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rrelation" sheetId="1" r:id="rId4"/>
    <sheet state="visible" name="Peer-Review" sheetId="2" r:id="rId5"/>
    <sheet state="hidden" name="Sheet3" sheetId="3" r:id="rId6"/>
    <sheet state="visible" name="data" sheetId="4" r:id="rId7"/>
    <sheet state="visible" name="Score-calculation" sheetId="5" r:id="rId8"/>
  </sheets>
  <definedNames>
    <definedName hidden="1" localSheetId="2" name="_xlnm._FilterDatabase">Sheet3!$B$1:$N$1135</definedName>
    <definedName hidden="1" localSheetId="3" name="_xlnm._FilterDatabase">data!$A$1:$AM$748</definedName>
    <definedName hidden="1" localSheetId="4" name="_xlnm._FilterDatabase">'Score-calculation'!$A$1:$M$748</definedName>
  </definedNames>
  <calcPr/>
  <extLst>
    <ext uri="GoogleSheetsCustomDataVersion2">
      <go:sheetsCustomData xmlns:go="http://customooxmlschemas.google.com/" r:id="rId9" roundtripDataChecksum="JCKD6r/VFQz2g0Vi23lbha1dwK6ZurGhot5PNt0VxQc="/>
    </ext>
  </extLst>
</workbook>
</file>

<file path=xl/sharedStrings.xml><?xml version="1.0" encoding="utf-8"?>
<sst xmlns="http://schemas.openxmlformats.org/spreadsheetml/2006/main" count="12953" uniqueCount="2383">
  <si>
    <t>q0</t>
  </si>
  <si>
    <t>q5</t>
  </si>
  <si>
    <t>q7</t>
  </si>
  <si>
    <t>q1</t>
  </si>
  <si>
    <t>q8</t>
  </si>
  <si>
    <t>q2</t>
  </si>
  <si>
    <t>q3</t>
  </si>
  <si>
    <t>q4</t>
  </si>
  <si>
    <t>q6</t>
  </si>
  <si>
    <t>q9</t>
  </si>
  <si>
    <t>q10</t>
  </si>
  <si>
    <t>q11</t>
  </si>
  <si>
    <t>q15</t>
  </si>
  <si>
    <t>q12</t>
  </si>
  <si>
    <t>q13</t>
  </si>
  <si>
    <t>q14</t>
  </si>
  <si>
    <t>q16</t>
  </si>
  <si>
    <t>Paste the link to your GitHub repo here. It should look like this: &lt;code&gt;https://github.com/[login]/[repository]&lt;/code&gt;</t>
  </si>
  <si>
    <t>5. Which programming language is most popular among these users?</t>
  </si>
  <si>
    <t>7. Which language has the highest average number of stars per repository?</t>
  </si>
  <si>
    <t>1. Who are the top 5 users in &lt;code data-field="city"&gt;${city}&lt;/code&gt; with the highest number of followers? List their &lt;code&gt;login&lt;/code&gt; in order, comma-separated.</t>
  </si>
  <si>
    <t>8. Let's define &lt;code&gt;leader_strength&lt;/code&gt; as &lt;code&gt;followers / (1 + following)&lt;/code&gt;. Who are the top 5 in terms of &lt;code&gt;leader_strength&lt;/code&gt;? List their &lt;code&gt;login&lt;/code&gt; in order, comma-separated.</t>
  </si>
  <si>
    <t>2. Who are the 5 earliest registered GitHub users in &lt;code data-field="city"&gt;${city}&lt;/code&gt;? List their &lt;code&gt;login&lt;/code&gt; in ascending order of &lt;code&gt;created_at&lt;/code&gt;, comma-separated.</t>
  </si>
  <si>
    <t>3. What are the 3 most popular license among these users? Ignore missing licenses. List the &lt;code&gt;license_name&lt;/code&gt; in order, comma-separated.</t>
  </si>
  <si>
    <t>4. Which company do the majority of these developers work at?</t>
  </si>
  <si>
    <t>6. Which programming language is the second most popular among users who joined after 2020?</t>
  </si>
  <si>
    <t>9. What is the correlation between the number of followers and the number of public repositories among users in &lt;code data-field="city"&gt;${city}&lt;/code&gt;</t>
  </si>
  <si>
    <t>10. Does creating more repos help users get more followers? Using regression, estimate how many additional followers a user gets per additional public repository.</t>
  </si>
  <si>
    <t>11. Do people typically enable projects and wikis together? What is the correlation between a repo having projects enabled and having wiki enabled?</t>
  </si>
  <si>
    <t>15. Do people who are hireable share their email addresses more often?</t>
  </si>
  <si>
    <t>12. Do hireable users follow more people than those who are not hireable?</t>
  </si>
  <si>
    <t>13. Some developers write long bios. Does that help them get more followers? What's the correlation of the length of their bio (in Unicode words, split by whitespace) with &lt;code&gt;followers&lt;/code&gt;? (Ignore people without bios)</t>
  </si>
  <si>
    <t>14. Who created the most repositories on weekends (UTC)? List the top 5 users' &lt;code&gt;login&lt;/code&gt; in order, comma-separated</t>
  </si>
  <si>
    <t>16. Let's assume that the last word in a user's &lt;code&gt;name&lt;/code&gt; is their surname (ignore missing names, trim and split by whitespace.) What's the most common surname? (If there's a tie, list them all, comma-separated, alphabetically)</t>
  </si>
  <si>
    <t xml:space="preserve">Marks </t>
  </si>
  <si>
    <t>Count</t>
  </si>
  <si>
    <t>R1_key</t>
  </si>
  <si>
    <t>R2_key</t>
  </si>
  <si>
    <t>Reviewer</t>
  </si>
  <si>
    <t>Repo</t>
  </si>
  <si>
    <t>C1</t>
  </si>
  <si>
    <t>C2</t>
  </si>
  <si>
    <t>Num_Review</t>
  </si>
  <si>
    <t>C1R1</t>
  </si>
  <si>
    <t>C2R1</t>
  </si>
  <si>
    <t>C1R2</t>
  </si>
  <si>
    <t>C2R2</t>
  </si>
  <si>
    <t>C1-Diff</t>
  </si>
  <si>
    <t>C2-Diff</t>
  </si>
  <si>
    <t>Score</t>
  </si>
  <si>
    <t>22f2000169@ds.study.iitm.ac.in</t>
  </si>
  <si>
    <t>https://github.com/22f1001786-iitm/-Shanghai-200</t>
  </si>
  <si>
    <t>22ds2000035@ds.study.iitm.ac.in</t>
  </si>
  <si>
    <t>https://github.com/jarin2503/tds-project-1</t>
  </si>
  <si>
    <t>22f1001615@ds.study.iitm.ac.in</t>
  </si>
  <si>
    <t>https://github.com/budhilnigam/TDS-Project1</t>
  </si>
  <si>
    <t>23f1001992@ds.study.iitm.ac.in</t>
  </si>
  <si>
    <t>https://github.com/IIT-JRV/IIT/tree/main</t>
  </si>
  <si>
    <t>21f3000834@ds.study.iitm.ac.in</t>
  </si>
  <si>
    <t>https://github.com/sh-yamm/TDS-1</t>
  </si>
  <si>
    <t>21f3001800@ds.study.iitm.ac.in</t>
  </si>
  <si>
    <t>https://github.com/Alizalily/TDS_Project1</t>
  </si>
  <si>
    <t>23f1002049@ds.study.iitm.ac.in</t>
  </si>
  <si>
    <t>https://github.com/Aniruddha017/TDSproject1</t>
  </si>
  <si>
    <t>23f1000092@ds.study.iitm.ac.in</t>
  </si>
  <si>
    <t>https://github.com/ViratJinjala/TDS-project-1</t>
  </si>
  <si>
    <t>23f1000356@ds.study.iitm.ac.in</t>
  </si>
  <si>
    <t>https://github.com/niki7777777/TDS-Project-1</t>
  </si>
  <si>
    <t>21f2000507@ds.study.iitm.ac.in</t>
  </si>
  <si>
    <t>https://github.com/aliabidi00/tds-project-1</t>
  </si>
  <si>
    <t>21f2000168@ds.study.iitm.ac.in</t>
  </si>
  <si>
    <t>https://github.com/SAM8402/tds-project1</t>
  </si>
  <si>
    <t>23f1002450@ds.study.iitm.ac.in</t>
  </si>
  <si>
    <t>https://github.com/Aishwarya-V-K/Sydney_Github_User</t>
  </si>
  <si>
    <t>21f3001902@ds.study.iitm.ac.in</t>
  </si>
  <si>
    <t>https://github.com/yyyzznnn/TDS-Project1</t>
  </si>
  <si>
    <t>21f1006961@ds.study.iitm.ac.in</t>
  </si>
  <si>
    <t>https://github.com/21f1006103/tds-1</t>
  </si>
  <si>
    <t>21f3003136@ds.study.iitm.ac.in</t>
  </si>
  <si>
    <t>https://github.com/IITM-AnandK/AK-Project-Shanghai-200-Followers</t>
  </si>
  <si>
    <t>21f3000896@ds.study.iitm.ac.in</t>
  </si>
  <si>
    <t>https://github.com/S23fVK/tdsProj1</t>
  </si>
  <si>
    <t>22f1001105@ds.study.iitm.ac.in</t>
  </si>
  <si>
    <t>https://github.com/SaarthakMaini/tds_project_1/</t>
  </si>
  <si>
    <t>22f1000155@ds.study.iitm.ac.in</t>
  </si>
  <si>
    <t>https://github.com/loki1512/TDS-Project-1</t>
  </si>
  <si>
    <t>23f2001033@ds.study.iitm.ac.in</t>
  </si>
  <si>
    <t>Yes</t>
  </si>
  <si>
    <t>23f2002166@ds.study.iitm.ac.in</t>
  </si>
  <si>
    <t>https://github.com/Ananya200314/IITM_TDS_P1</t>
  </si>
  <si>
    <t>22f3001210@ds.study.iitm.ac.in</t>
  </si>
  <si>
    <t>https://github.com/shivyatripathi2604/TDS</t>
  </si>
  <si>
    <t>23f1002973@ds.study.iitm.ac.in</t>
  </si>
  <si>
    <t>https://github.com/harikrishnajiju/github-city-user-analyzer</t>
  </si>
  <si>
    <t>22f3000954@ds.study.iitm.ac.in</t>
  </si>
  <si>
    <t>https://github.com/dhirajp1603/IITM-TDS</t>
  </si>
  <si>
    <t>24ds1000075@ds.study.iitm.ac.in</t>
  </si>
  <si>
    <t>https://github.com/DisRajeeth/proj-1-tds</t>
  </si>
  <si>
    <t>23f2001366@ds.study.iitm.ac.in</t>
  </si>
  <si>
    <t>https://github.com/arshadnit/TDSP1</t>
  </si>
  <si>
    <t>23f3001470@ds.study.iitm.ac.in</t>
  </si>
  <si>
    <t>https://github.com/AnvithaVarre7/Project-1</t>
  </si>
  <si>
    <t>23ds3000089@ds.study.iitm.ac.in</t>
  </si>
  <si>
    <t>https://github.com/GIT1001082/TDS_project_1</t>
  </si>
  <si>
    <t>22f2001312@ds.study.iitm.ac.in</t>
  </si>
  <si>
    <t>https://github.com/pratyushjdhv/iitm-tds</t>
  </si>
  <si>
    <t>22f3003055@ds.study.iitm.ac.in</t>
  </si>
  <si>
    <t>https://github.com/rishikarai23/TDS-PROJECT</t>
  </si>
  <si>
    <t>22f3000400@ds.study.iitm.ac.in</t>
  </si>
  <si>
    <t>https://github.com/bipkrsinghh/TDS-proj</t>
  </si>
  <si>
    <t>22f3000983@ds.study.iitm.ac.in</t>
  </si>
  <si>
    <t>https://github.com/Preena-iitmds/pree_ZurichProj1</t>
  </si>
  <si>
    <t>22f3001506@ds.study.iitm.ac.in</t>
  </si>
  <si>
    <t>https://github.com/22f3001377/Pro1</t>
  </si>
  <si>
    <t>23f1000583@ds.study.iitm.ac.in</t>
  </si>
  <si>
    <t>https://github.com/Udita1122/23f1000092</t>
  </si>
  <si>
    <t>23f1003126@ds.study.iitm.ac.in</t>
  </si>
  <si>
    <t>https://github.com/dhaanicodes/project1</t>
  </si>
  <si>
    <t>23f1001947@ds.study.iitm.ac.in</t>
  </si>
  <si>
    <t>https://github.com/Karthikey2003/tdsproj1</t>
  </si>
  <si>
    <t>23f1002688@ds.study.iitm.ac.in</t>
  </si>
  <si>
    <t>https://github.com/devp1866/tds_project_1</t>
  </si>
  <si>
    <t>23f1002462@ds.study.iitm.ac.in</t>
  </si>
  <si>
    <t>https://github.com/sujatrobhadra/TDS_Project_1</t>
  </si>
  <si>
    <t>21f3002415@ds.study.iitm.ac.in</t>
  </si>
  <si>
    <t>https://github.com/Chitraksha-Sharma/Project_1_TDS</t>
  </si>
  <si>
    <t>21f1006373@ds.study.iitm.ac.in</t>
  </si>
  <si>
    <t>https://github.com/aarfeeniitm/TDS-Project-1</t>
  </si>
  <si>
    <t>22f3001512@ds.study.iitm.ac.in</t>
  </si>
  <si>
    <t>https://github.com/sufyan-12/TDS-PR1</t>
  </si>
  <si>
    <t>22f2001193@ds.study.iitm.ac.in</t>
  </si>
  <si>
    <t>23f2003747@ds.study.iitm.ac.in</t>
  </si>
  <si>
    <t>https://github.com/RutikaKanaujiya/barcelona_assignment</t>
  </si>
  <si>
    <t>23f1001880@ds.study.iitm.ac.in</t>
  </si>
  <si>
    <t>https://github.com/Sgytuy/Tools-in-Data-Science---Project-1/tree/main</t>
  </si>
  <si>
    <t>22f1000990@ds.study.iitm.ac.in</t>
  </si>
  <si>
    <t>21f3002425@ds.study.iitm.ac.in</t>
  </si>
  <si>
    <t>https://github.com/febixcf/tds-project1</t>
  </si>
  <si>
    <t>22f3000190@ds.study.iitm.ac.in</t>
  </si>
  <si>
    <t>23f1000647@ds.study.iitm.ac.in</t>
  </si>
  <si>
    <t>https://github.com/SarveshMSIITM/TDS-P1</t>
  </si>
  <si>
    <t>22f3001421@ds.study.iitm.ac.in</t>
  </si>
  <si>
    <t>https://github.com/SrujanKVK/23f2003652-ds.study.iitm.ac.in__London-500</t>
  </si>
  <si>
    <t>22f3000182@ds.study.iitm.ac.in</t>
  </si>
  <si>
    <t>https://github.com/nishant1909/TDS-Project-1</t>
  </si>
  <si>
    <t>21f2001301@ds.study.iitm.ac.in</t>
  </si>
  <si>
    <t>https://github.com/Gajanan09/GithubAustinUsers/blob/main/main.py</t>
  </si>
  <si>
    <t>22f3000757@ds.study.iitm.ac.in</t>
  </si>
  <si>
    <t>https://github.com/rishitaguptaaa/IITM_TDS_Project1</t>
  </si>
  <si>
    <t>22f3001578@ds.study.iitm.ac.in</t>
  </si>
  <si>
    <t>https://github.com/harshshah-codes/TDS-project-1</t>
  </si>
  <si>
    <t>23f1000404@ds.study.iitm.ac.in</t>
  </si>
  <si>
    <t>https://github.com/Nimbus29/TDS-Project_1</t>
  </si>
  <si>
    <t>23f1002078@ds.study.iitm.ac.in</t>
  </si>
  <si>
    <t>https://github.com/manojp23/TDS-Project-1</t>
  </si>
  <si>
    <t>22f2000774@ds.study.iitm.ac.in</t>
  </si>
  <si>
    <t>https://github.com/sri-4122/TDS-PROJECT1-FINAL</t>
  </si>
  <si>
    <t>22f3001023@ds.study.iitm.ac.in</t>
  </si>
  <si>
    <t>https://github.com/Aryan-Mishra24/TDS_PROJECT1</t>
  </si>
  <si>
    <t>23f1002092@ds.study.iitm.ac.in</t>
  </si>
  <si>
    <t>https://github.com/Rajat1164/tdsproject</t>
  </si>
  <si>
    <t>22f2000481@ds.study.iitm.ac.in</t>
  </si>
  <si>
    <t>https://github.com/reddevilrohith/TDS_PROJ1</t>
  </si>
  <si>
    <t>22f1000213@ds.study.iitm.ac.in</t>
  </si>
  <si>
    <t>https://github.com/KarthikKalashLGS/TDSProject1</t>
  </si>
  <si>
    <t>21f3000628@ds.study.iitm.ac.in</t>
  </si>
  <si>
    <t>https://github.com/stu2262/IITM_TDS_Proj1</t>
  </si>
  <si>
    <t>23f1002620@ds.study.iitm.ac.in</t>
  </si>
  <si>
    <t>22f1001637@ds.study.iitm.ac.in</t>
  </si>
  <si>
    <t>https://github.com/rishisni/TDS-Project-1</t>
  </si>
  <si>
    <t>22f3002986@ds.study.iitm.ac.in</t>
  </si>
  <si>
    <t>https://github.com/so-what-ik/TDS_Project1</t>
  </si>
  <si>
    <t>22f2000455@ds.study.iitm.ac.in</t>
  </si>
  <si>
    <t>https://github.com/akshaykashyap003/tds_project1</t>
  </si>
  <si>
    <t>22f3002622@ds.study.iitm.ac.in</t>
  </si>
  <si>
    <t>https://github.com/AarushiVe/chennai50</t>
  </si>
  <si>
    <t>24ds1000028@ds.study.iitm.ac.in</t>
  </si>
  <si>
    <t>https://github.com/VishakhAgarwal/proj1</t>
  </si>
  <si>
    <t>23f1000997@ds.study.iitm.ac.in</t>
  </si>
  <si>
    <t>https://github.com/notnikita21/TDS-Project-1</t>
  </si>
  <si>
    <t>22f3003170@ds.study.iitm.ac.in</t>
  </si>
  <si>
    <t>https://github.com/VijeethC300/BangaloreGitHubUsers</t>
  </si>
  <si>
    <t>22f3000813@ds.study.iitm.ac.in</t>
  </si>
  <si>
    <t>23f3004035@ds.study.iitm.ac.in</t>
  </si>
  <si>
    <t>https://github.com/Jayaraja-SK/TDS-Project1</t>
  </si>
  <si>
    <t>22f2000852@ds.study.iitm.ac.in</t>
  </si>
  <si>
    <t>https://github.com/NEELU9931/tds5</t>
  </si>
  <si>
    <t>22f1001972@ds.study.iitm.ac.in</t>
  </si>
  <si>
    <t>https://github.com/anand-ballabh/TDS-Project-1</t>
  </si>
  <si>
    <t>23f3004372@ds.study.iitm.ac.in</t>
  </si>
  <si>
    <t>https://github.com/rebornphoenix01/TDSProject1</t>
  </si>
  <si>
    <t>22f1001626@ds.study.iitm.ac.in</t>
  </si>
  <si>
    <t>https://github.com/Avinash94567</t>
  </si>
  <si>
    <t>22f3003067@ds.study.iitm.ac.in</t>
  </si>
  <si>
    <t>https://github.com/kvaishnavidevi/tds-project-tokyo-200</t>
  </si>
  <si>
    <t>21f1001940@ds.study.iitm.ac.in</t>
  </si>
  <si>
    <t>https://github.com/iitmrs/Project1</t>
  </si>
  <si>
    <t>22f3000399@ds.study.iitm.ac.in</t>
  </si>
  <si>
    <t>https://github.com/ragavkish/tds-sg-analysis</t>
  </si>
  <si>
    <t>21f3002143@ds.study.iitm.ac.in</t>
  </si>
  <si>
    <t>https://github.com/sapiitm/tds</t>
  </si>
  <si>
    <t>22f3003270@ds.study.iitm.ac.in</t>
  </si>
  <si>
    <t>https://github.com/Yogesh-005/pro1</t>
  </si>
  <si>
    <t>22f3000312@ds.study.iitm.ac.in</t>
  </si>
  <si>
    <t>23f1000694@ds.study.iitm.ac.in</t>
  </si>
  <si>
    <t>https://github.com/BISWASAHANA/GitScrapy</t>
  </si>
  <si>
    <t>21f1005773@ds.study.iitm.ac.in</t>
  </si>
  <si>
    <t>https://github.com/GeekAnanya21/TDS_project1</t>
  </si>
  <si>
    <t>21f1002727@ds.study.iitm.ac.in</t>
  </si>
  <si>
    <t>https://github.com/AdithyaLingam/tds_project_24f1002079</t>
  </si>
  <si>
    <t>23f1001734@ds.study.iitm.ac.in</t>
  </si>
  <si>
    <t>https://github.com/hardikshub01/TDS-Project-1</t>
  </si>
  <si>
    <t>22f3002336@ds.study.iitm.ac.in</t>
  </si>
  <si>
    <t>https://github.com/yali369/Boston</t>
  </si>
  <si>
    <t>23f2005504@ds.study.iitm.ac.in</t>
  </si>
  <si>
    <t>https://github.com/Rushiiljindal/TDS-project1</t>
  </si>
  <si>
    <t>22f3000852@ds.study.iitm.ac.in</t>
  </si>
  <si>
    <t>https://github.com/JS121000/BERLINPROJECT</t>
  </si>
  <si>
    <t>23f2002702@ds.study.iitm.ac.in</t>
  </si>
  <si>
    <t>https://github.com/LavinyaIITM/Project01_TDS</t>
  </si>
  <si>
    <t>23ds1000023@ds.study.iitm.ac.in</t>
  </si>
  <si>
    <t>https://github.com/Rushiiljindal/TDS-project1/tree/main</t>
  </si>
  <si>
    <t>23f2004159@ds.study.iitm.ac.in</t>
  </si>
  <si>
    <t>https://github.com/SaicharanRitwik39/TDSProject1_TermSepDec2024</t>
  </si>
  <si>
    <t>22f3002877@ds.study.iitm.ac.in</t>
  </si>
  <si>
    <t>https://github.com/srupat/tds_project_1</t>
  </si>
  <si>
    <t>22f3001493@ds.study.iitm.ac.in</t>
  </si>
  <si>
    <t>https://github.com/Anustup24/TDS</t>
  </si>
  <si>
    <t>23f1002687@ds.study.iitm.ac.in</t>
  </si>
  <si>
    <t>https://github.com/na-ch7/TDS-Project-1</t>
  </si>
  <si>
    <t>23f1001610@ds.study.iitm.ac.in</t>
  </si>
  <si>
    <t>https://github.com/23f1000698/proj1</t>
  </si>
  <si>
    <t>23f1001467@ds.study.iitm.ac.in</t>
  </si>
  <si>
    <t>https://github.com/student2403/tds-project-1</t>
  </si>
  <si>
    <t>23f2004499@ds.study.iitm.ac.in</t>
  </si>
  <si>
    <t>23f2003785@ds.study.iitm.ac.in</t>
  </si>
  <si>
    <t>https://github.com/22f3000190/Seattle-200---TDM</t>
  </si>
  <si>
    <t>22f2000784@ds.study.iitm.ac.in</t>
  </si>
  <si>
    <t>https://github.com/0rajnishk/tds-p1</t>
  </si>
  <si>
    <t>22f2001632@ds.study.iitm.ac.in</t>
  </si>
  <si>
    <t>https://github.com/rsjay1976/TDS-Project1</t>
  </si>
  <si>
    <t>24f1002112@ds.study.iitm.ac.in</t>
  </si>
  <si>
    <t>https://github.com/AfnanShamsi/TDS-Project-1/tree/main</t>
  </si>
  <si>
    <t>22f3000089@ds.study.iitm.ac.in</t>
  </si>
  <si>
    <t>22f3001838@ds.study.iitm.ac.in</t>
  </si>
  <si>
    <t>https://github.com/GauriTr/TDS_project_1</t>
  </si>
  <si>
    <t>23ds3000248@ds.study.iitm.ac.in</t>
  </si>
  <si>
    <t>https://github.com/RaghavKapil24/tds-project</t>
  </si>
  <si>
    <t>23f2001475@ds.study.iitm.ac.in</t>
  </si>
  <si>
    <t>https://github.com/AjithSaiCh/tds_project1/tree/main</t>
  </si>
  <si>
    <t>24ds2000109@ds.study.iitm.ac.in</t>
  </si>
  <si>
    <t>https://github.com/Saradha24ds1000095/TDS_Project1/</t>
  </si>
  <si>
    <t>21f1006954@ds.study.iitm.ac.in</t>
  </si>
  <si>
    <t>https://github.com/loki1512/TDS-Project-1/blob/main/README.md</t>
  </si>
  <si>
    <t>23f3003721@ds.study.iitm.ac.in</t>
  </si>
  <si>
    <t>https://github.com/Saransh1329/main</t>
  </si>
  <si>
    <t>23f2002936@ds.study.iitm.ac.in</t>
  </si>
  <si>
    <t>https://github.com/shinadeveloper/TDS-Project-1</t>
  </si>
  <si>
    <t>23f3004354@ds.study.iitm.ac.in</t>
  </si>
  <si>
    <t>https://github.com/n3055/Chennai-50_223f3004177</t>
  </si>
  <si>
    <t>23f1000075@ds.study.iitm.ac.in</t>
  </si>
  <si>
    <t>23f1002315@ds.study.iitm.ac.in</t>
  </si>
  <si>
    <t>https://github.com/Tarun-Kandarpa/Beijing-Github-Users</t>
  </si>
  <si>
    <t>23f2000961@ds.study.iitm.ac.in</t>
  </si>
  <si>
    <t>https://github.com/pittu0802/Myfirstrepo</t>
  </si>
  <si>
    <t>23f1002850@ds.study.iitm.ac.in</t>
  </si>
  <si>
    <t>https://github.com/shriman-narayan-iitm/Barcelona</t>
  </si>
  <si>
    <t>21f2000042@ds.study.iitm.ac.in</t>
  </si>
  <si>
    <t>https://github.com/Kirthictrl/TDS-Project-1</t>
  </si>
  <si>
    <t>23f2002904@ds.study.iitm.ac.in</t>
  </si>
  <si>
    <t>https://github.com/tanyakamboj123/TDS-project1</t>
  </si>
  <si>
    <t>22f3001404@ds.study.iitm.ac.in</t>
  </si>
  <si>
    <t>https://github.com/DevanshA1105/Project_1_TDS</t>
  </si>
  <si>
    <t>22f3001953@ds.study.iitm.ac.in</t>
  </si>
  <si>
    <t>https://github.com/manoharvvs/BarcelonaTDS</t>
  </si>
  <si>
    <t>23f1002940@ds.study.iitm.ac.in</t>
  </si>
  <si>
    <t>https://github.com/harshithbabu-git/Tools-in-DS-Project-1</t>
  </si>
  <si>
    <t>22f1000753@ds.study.iitm.ac.in</t>
  </si>
  <si>
    <t>https://github.com/Codephile14/TDS_Project1</t>
  </si>
  <si>
    <t>23f2001154@ds.study.iitm.ac.in</t>
  </si>
  <si>
    <t>https://github.com/theiitman/tds_project_1_03777</t>
  </si>
  <si>
    <t>23f2000902@ds.study.iitm.ac.in</t>
  </si>
  <si>
    <t>https://github.com/Ashly-06/project-1</t>
  </si>
  <si>
    <t>23f1003128@ds.study.iitm.ac.in</t>
  </si>
  <si>
    <t>https://github.com/MAUK9086/TDS_Project1</t>
  </si>
  <si>
    <t>22f2001062@ds.study.iitm.ac.in</t>
  </si>
  <si>
    <t>https://github.com/22f3001059/TDS-project1</t>
  </si>
  <si>
    <t>22f3001732@ds.study.iitm.ac.in</t>
  </si>
  <si>
    <t>https://github.com/mehuljun09/TDS_IITM</t>
  </si>
  <si>
    <t>23f1000996@ds.study.iitm.ac.in</t>
  </si>
  <si>
    <t>https://github.com/AlakhyaIITM/proj1/blob/main/README.md</t>
  </si>
  <si>
    <t>23f1000965@ds.study.iitm.ac.in</t>
  </si>
  <si>
    <t>https://github.com/KrishnaDhankar/Project_TDS</t>
  </si>
  <si>
    <t>23f2000934@ds.study.iitm.ac.in</t>
  </si>
  <si>
    <t>https://github.com/24f1002112/Project1TDS</t>
  </si>
  <si>
    <t>22f3001549@ds.study.iitm.ac.in</t>
  </si>
  <si>
    <t>https://github.com/gittymadman/TDS_PROJECT_1</t>
  </si>
  <si>
    <t>23f2002105@ds.study.iitm.ac.in</t>
  </si>
  <si>
    <t>https://github.com/Avinash94567/tdsp1</t>
  </si>
  <si>
    <t>22f3002743@ds.study.iitm.ac.in</t>
  </si>
  <si>
    <t>https://github.com/21f2001136/tds_1</t>
  </si>
  <si>
    <t>22f3002811@ds.study.iitm.ac.in</t>
  </si>
  <si>
    <t>https://github.com/Amarks14/TDS_P1</t>
  </si>
  <si>
    <t>21f1006883@ds.study.iitm.ac.in</t>
  </si>
  <si>
    <t>https://github.com/iitmanshi/tdsp1</t>
  </si>
  <si>
    <t>22f3000545@ds.study.iitm.ac.in</t>
  </si>
  <si>
    <t>https://github.com/Rivansh-Illika/TDS-ASSIGNMENT-P-1</t>
  </si>
  <si>
    <t>23f3002284@ds.study.iitm.ac.in</t>
  </si>
  <si>
    <t>https://github.com/hsnak2245/tds_p1</t>
  </si>
  <si>
    <t>22f1000493@ds.study.iitm.ac.in</t>
  </si>
  <si>
    <t>https://github.com/Mr-GauravKumar/TDS-P1</t>
  </si>
  <si>
    <t>22f3001856@ds.study.iitm.ac.in</t>
  </si>
  <si>
    <t>23f3004236@ds.study.iitm.ac.in</t>
  </si>
  <si>
    <t>https://github.com/ro-jc/tds-proj-1</t>
  </si>
  <si>
    <t>22f3001662@ds.study.iitm.ac.in</t>
  </si>
  <si>
    <t>https://github.com/23f2004527/TDS_Project1</t>
  </si>
  <si>
    <t>23f3001129@ds.study.iitm.ac.in</t>
  </si>
  <si>
    <t>https://github.com/navuexists/tds-project-1-navya</t>
  </si>
  <si>
    <t>22f2001074@ds.study.iitm.ac.in</t>
  </si>
  <si>
    <t>https://github.com/22f2000784/basel-github-data-analysis</t>
  </si>
  <si>
    <t>24f1000781@ds.study.iitm.ac.in</t>
  </si>
  <si>
    <t>21f3002322@ds.study.iitm.ac.in</t>
  </si>
  <si>
    <t>https://github.com/bhupendra1008/tds_project_1</t>
  </si>
  <si>
    <t>22f3001142@ds.study.iitm.ac.in</t>
  </si>
  <si>
    <t>23f2000590@ds.study.iitm.ac.in</t>
  </si>
  <si>
    <t>https://github.com/myGreatLoveM/tds-project-1</t>
  </si>
  <si>
    <t>22f3001268@ds.study.iitm.ac.in</t>
  </si>
  <si>
    <t>https://github.com/Param302/TDS-Project1</t>
  </si>
  <si>
    <t>22f1001832@ds.study.iitm.ac.in</t>
  </si>
  <si>
    <t>23f2004839@ds.study.iitm.ac.in</t>
  </si>
  <si>
    <t>https://github.com/vivek-2028/TDS-Project-1</t>
  </si>
  <si>
    <t>23f2004652@ds.study.iitm.ac.in</t>
  </si>
  <si>
    <t>https://github.com/amitkrajput08/IITM_TDS_PROJECT1</t>
  </si>
  <si>
    <t>22f1001630@ds.study.iitm.ac.in</t>
  </si>
  <si>
    <t>https://github.com/Gunjan-gif/tds_p1</t>
  </si>
  <si>
    <t>23f2005014@ds.study.iitm.ac.in</t>
  </si>
  <si>
    <t>https://github.com/GOPIKA178/github-data-london</t>
  </si>
  <si>
    <t>23f1000774@ds.study.iitm.ac.in</t>
  </si>
  <si>
    <t>https://github.com/Sahith200444/github-user-data</t>
  </si>
  <si>
    <t>23ds2000091@ds.study.iitm.ac.in</t>
  </si>
  <si>
    <t>https://github.com/KSoham-dev/TDS-Project-I</t>
  </si>
  <si>
    <t>21f3002268@ds.study.iitm.ac.in</t>
  </si>
  <si>
    <t>https://github.com/Rajnish2899/Mynewproject</t>
  </si>
  <si>
    <t>22f3000892@ds.study.iitm.ac.in</t>
  </si>
  <si>
    <t>22f3002597@ds.study.iitm.ac.in</t>
  </si>
  <si>
    <t>https://github.com/iitm-student/Project1</t>
  </si>
  <si>
    <t>22f3003157@ds.study.iitm.ac.in</t>
  </si>
  <si>
    <t>https://github.com/gotherwal/TDS_Project1</t>
  </si>
  <si>
    <t>23f2001421@ds.study.iitm.ac.in</t>
  </si>
  <si>
    <t>https://github.com/abhistjain/Project_tds</t>
  </si>
  <si>
    <t>21f3002397@ds.study.iitm.ac.in</t>
  </si>
  <si>
    <t>https://github.com/Pragati2001589/my_repository</t>
  </si>
  <si>
    <t>21f2000588@ds.study.iitm.ac.in</t>
  </si>
  <si>
    <t>https://github.com/Bhavana2639/tds-proj-1</t>
  </si>
  <si>
    <t>22f2000761@ds.study.iitm.ac.in</t>
  </si>
  <si>
    <t>https://github.com/infamous-01/TDS-Project-1</t>
  </si>
  <si>
    <t>22f3003042@ds.study.iitm.ac.in</t>
  </si>
  <si>
    <t>https://github.com/shekharkshitij/TDS_Project</t>
  </si>
  <si>
    <t>22f3001192@ds.study.iitm.ac.in</t>
  </si>
  <si>
    <t>https://github.com/Stephen-iitm/Melbourne-100</t>
  </si>
  <si>
    <t>22f2000703@ds.study.iitm.ac.in</t>
  </si>
  <si>
    <t>22f3002293@ds.study.iitm.ac.in</t>
  </si>
  <si>
    <t>22f3000651@ds.study.iitm.ac.in</t>
  </si>
  <si>
    <t>https://github.com/BriIITM/Project1-TDS</t>
  </si>
  <si>
    <t>23ds2000155@ds.study.iitm.ac.in</t>
  </si>
  <si>
    <t>23f2003986@ds.study.iitm.ac.in</t>
  </si>
  <si>
    <t>21f1003816@ds.study.iitm.ac.in</t>
  </si>
  <si>
    <t>https://github.com/uma1979/github-api-analysis</t>
  </si>
  <si>
    <t>23f2005059@ds.study.iitm.ac.in</t>
  </si>
  <si>
    <t>https://github.com/Rajalakshmi12/IITM_Tds_Project1</t>
  </si>
  <si>
    <t>23f2001566@ds.study.iitm.ac.in</t>
  </si>
  <si>
    <t>22f1000699@ds.study.iitm.ac.in</t>
  </si>
  <si>
    <t>https://github.com/Lakshay777s/TDS-project</t>
  </si>
  <si>
    <t>21f1005280@ds.study.iitm.ac.in</t>
  </si>
  <si>
    <t>23f2000919@ds.study.iitm.ac.in</t>
  </si>
  <si>
    <t>https://github.com/Giri-Subrahmanya/23f2000573-TDS-P1/tree/main</t>
  </si>
  <si>
    <t>22f2000809@ds.study.iitm.ac.in</t>
  </si>
  <si>
    <t>https://github.com/karthikeyan456/tdsproject1</t>
  </si>
  <si>
    <t>21f1005006@ds.study.iitm.ac.in</t>
  </si>
  <si>
    <t>https://github.com/PavanKumar-KN/TDS_Project_1</t>
  </si>
  <si>
    <t>22f3001338@ds.study.iitm.ac.in</t>
  </si>
  <si>
    <t>https://github.com/antareep18-geek/TDS-project1</t>
  </si>
  <si>
    <t>21f1004246@ds.study.iitm.ac.in</t>
  </si>
  <si>
    <t>https://github.com/Jatendra/iitm_project1</t>
  </si>
  <si>
    <t>22f3001690@ds.study.iitm.ac.in</t>
  </si>
  <si>
    <t>22f3000946@ds.study.iitm.ac.in</t>
  </si>
  <si>
    <t>https://github.com/Ayushman-mukherjee/TDS-Project1</t>
  </si>
  <si>
    <t>22f1001445@ds.study.iitm.ac.in</t>
  </si>
  <si>
    <t>https://github.com/22f1000998/TDS-Project-1</t>
  </si>
  <si>
    <t>24ds2000126@ds.study.iitm.ac.in</t>
  </si>
  <si>
    <t>23f2003235@ds.study.iitm.ac.in</t>
  </si>
  <si>
    <t>https://github.com/VishwasSaini2006/pro</t>
  </si>
  <si>
    <t>22f3000612@ds.study.iitm.ac.in</t>
  </si>
  <si>
    <t>https://github.com/kanha-00001/project-1-final</t>
  </si>
  <si>
    <t>23f1001245@ds.study.iitm.ac.in</t>
  </si>
  <si>
    <t>https://github.com/Ankit972-dotcom/sydney-github-users</t>
  </si>
  <si>
    <t>23f2002351@ds.study.iitm.ac.in</t>
  </si>
  <si>
    <t>https://github.com/iitmadvaith/tds</t>
  </si>
  <si>
    <t>21f1003945@ds.study.iitm.ac.in</t>
  </si>
  <si>
    <t>https://github.com/hdsawscloud/project1</t>
  </si>
  <si>
    <t>22f1001738@ds.study.iitm.ac.in</t>
  </si>
  <si>
    <t>21f2001565@ds.study.iitm.ac.in</t>
  </si>
  <si>
    <t>https://github.com/deepika4786/tools-for-data-science-project---1</t>
  </si>
  <si>
    <t>22f3000803@ds.study.iitm.ac.in</t>
  </si>
  <si>
    <t>https://github.com/r4mbhardwaj/toronto100</t>
  </si>
  <si>
    <t>22f3002566@ds.study.iitm.ac.in</t>
  </si>
  <si>
    <t>https://github.com/umeshrai01/web_scraping</t>
  </si>
  <si>
    <t>22f1001853@ds.study.iitm.ac.in</t>
  </si>
  <si>
    <t>https://github.com/Danniiiaaaa/TDS-proj-1</t>
  </si>
  <si>
    <t>22f1000386@ds.study.iitm.ac.in</t>
  </si>
  <si>
    <t>https://github.com/gotherwal/TDS_Project1/blob/main/README.md</t>
  </si>
  <si>
    <t>24f1001336@ds.study.iitm.ac.in</t>
  </si>
  <si>
    <t>https://github.com/21f3000105/Basel-10_TDS-Project-1/</t>
  </si>
  <si>
    <t>21f1003248@ds.study.iitm.ac.in</t>
  </si>
  <si>
    <t>https://github.com/srch887/tds_sep2024_project1</t>
  </si>
  <si>
    <t>22f1001680@ds.study.iitm.ac.in</t>
  </si>
  <si>
    <t>https://github.com/Atharva-Garajkar/TDS</t>
  </si>
  <si>
    <t>23f1001418@ds.study.iitm.ac.in</t>
  </si>
  <si>
    <t>https://github.com/MeenakshiIIT/Project1</t>
  </si>
  <si>
    <t>21f1002993@ds.study.iitm.ac.in</t>
  </si>
  <si>
    <t>All the files needed are in the repo.</t>
  </si>
  <si>
    <t>23f2000586@ds.study.iitm.ac.in</t>
  </si>
  <si>
    <t>23f2004724@ds.study.iitm.ac.in</t>
  </si>
  <si>
    <t>yes</t>
  </si>
  <si>
    <t>21f3002090@ds.study.iitm.ac.in</t>
  </si>
  <si>
    <t>https://github.com/jeevan-yohan-varghese/tds-project1</t>
  </si>
  <si>
    <t>23f3001322@ds.study.iitm.ac.in</t>
  </si>
  <si>
    <t>https://github.com/StuteeP/Project_1</t>
  </si>
  <si>
    <t>21f3000413@ds.study.iitm.ac.in</t>
  </si>
  <si>
    <t>22f2000816@ds.study.iitm.ac.in</t>
  </si>
  <si>
    <t>https://github.com/pulkitsharmads/github-hyderabad-users-project</t>
  </si>
  <si>
    <t>23ds3000136@ds.study.iitm.ac.in</t>
  </si>
  <si>
    <t>https://github.com/23ds3000059/tds_project_1</t>
  </si>
  <si>
    <t>22f3002200@ds.study.iitm.ac.in</t>
  </si>
  <si>
    <t>https://github.com/randomuser438/TDS_proj</t>
  </si>
  <si>
    <t>23f2004904@ds.study.iitm.ac.in</t>
  </si>
  <si>
    <t>https://github.com/ShashanksriIITM/MLT_Project1</t>
  </si>
  <si>
    <t>23f2002871@ds.study.iitm.ac.in</t>
  </si>
  <si>
    <t>https://github.com/21f3000177/tds_project1</t>
  </si>
  <si>
    <t>24f1001283@ds.study.iitm.ac.in</t>
  </si>
  <si>
    <t>https://github.com/veenas2024/TdsGA1</t>
  </si>
  <si>
    <t>23f1001299@ds.study.iitm.ac.in</t>
  </si>
  <si>
    <t>https://github.com/Gajanan09/GithubAustinUsers</t>
  </si>
  <si>
    <t>22f3001377@ds.study.iitm.ac.in</t>
  </si>
  <si>
    <t>https://github.com/ak5h1ta/tds-project1</t>
  </si>
  <si>
    <t>22f2000945@ds.study.iitm.ac.in</t>
  </si>
  <si>
    <t>https://github.com/22f3000803/tds-project-1</t>
  </si>
  <si>
    <t>23ds2000023@ds.study.iitm.ac.in</t>
  </si>
  <si>
    <t>https://github.com/Wamikmk/My-tds-Project-1</t>
  </si>
  <si>
    <t>23f2003700@ds.study.iitm.ac.in</t>
  </si>
  <si>
    <t>https://github.com/ritikjha7</t>
  </si>
  <si>
    <t>21f3000177@ds.study.iitm.ac.in</t>
  </si>
  <si>
    <t>23f2004527@ds.study.iitm.ac.in</t>
  </si>
  <si>
    <t>24ds2000130@ds.study.iitm.ac.in</t>
  </si>
  <si>
    <t>https://github.com/RAGHAV-0202/TDS-IITM</t>
  </si>
  <si>
    <t>22f3001738@ds.study.iitm.ac.in</t>
  </si>
  <si>
    <t>https://github.com/Shanu48/TDS_Project1</t>
  </si>
  <si>
    <t>22f3003124@ds.study.iitm.ac.in</t>
  </si>
  <si>
    <t>https://github.com/Giri-Subrahmanya/23f2000573-TDS-P1</t>
  </si>
  <si>
    <t>21f1002570@ds.study.iitm.ac.in</t>
  </si>
  <si>
    <t>23f3003749@ds.study.iitm.ac.in</t>
  </si>
  <si>
    <t>https://github.com/jeelan-ds786/ToolsForDataScience</t>
  </si>
  <si>
    <t>23f2003803@ds.study.iitm.ac.in</t>
  </si>
  <si>
    <t>https://github.com/Raksha120799/tds-proj-1</t>
  </si>
  <si>
    <t>21f3002711@ds.study.iitm.ac.in</t>
  </si>
  <si>
    <t>https://github.com/mohitbakshi04/tds-project-1</t>
  </si>
  <si>
    <t>23f3000846@ds.study.iitm.ac.in</t>
  </si>
  <si>
    <t>https://github.com/IRONalways17/TDS-Project1</t>
  </si>
  <si>
    <t>22f2000036@ds.study.iitm.ac.in</t>
  </si>
  <si>
    <t>https://github.com/ramees-thattarath/TDS-proj-1</t>
  </si>
  <si>
    <t>21f1000330@ds.study.iitm.ac.in</t>
  </si>
  <si>
    <t>24ds2000127@ds.study.iitm.ac.in</t>
  </si>
  <si>
    <t>23ds1000051@ds.study.iitm.ac.in</t>
  </si>
  <si>
    <t>23f2004790@ds.study.iitm.ac.in</t>
  </si>
  <si>
    <t>22f1000653@ds.study.iitm.ac.in</t>
  </si>
  <si>
    <t>https://github.com/DSharanya07/ZurichUsers</t>
  </si>
  <si>
    <t>23ds3000176@ds.study.iitm.ac.in</t>
  </si>
  <si>
    <t>https://github.com/KK17811/Github-repo</t>
  </si>
  <si>
    <t>21f1004719@ds.study.iitm.ac.in</t>
  </si>
  <si>
    <t>https://github.com/21f1004430/TDS-Project_1</t>
  </si>
  <si>
    <t>22f3003021@ds.study.iitm.ac.in</t>
  </si>
  <si>
    <t>https://github.com/satya140519/TDS_project_1</t>
  </si>
  <si>
    <t>21f3002257@ds.study.iitm.ac.in</t>
  </si>
  <si>
    <t>23f1002480@ds.study.iitm.ac.in</t>
  </si>
  <si>
    <t>https://github.com/Ayushsinha106/TDSProject1</t>
  </si>
  <si>
    <t>22f3001836@ds.study.iitm.ac.in</t>
  </si>
  <si>
    <t>https://github.com/Yasaswini117/Project_1</t>
  </si>
  <si>
    <t>22f3001905@ds.study.iitm.ac.in</t>
  </si>
  <si>
    <t>https://github.com/kuldeepchavda/tds_project_1</t>
  </si>
  <si>
    <t>21f1006031@ds.study.iitm.ac.in</t>
  </si>
  <si>
    <t>https://github.com/subhash2IIT/tds-project1-scrapping/</t>
  </si>
  <si>
    <t>23ds1000057@ds.study.iitm.ac.in</t>
  </si>
  <si>
    <t>https://github.com/IITMSAPNA/Sapna_tds_proj_1</t>
  </si>
  <si>
    <t>23f1001168@ds.study.iitm.ac.in</t>
  </si>
  <si>
    <t>23f2004747@ds.study.iitm.ac.in</t>
  </si>
  <si>
    <t>https://github.com/Biray143/Project-1</t>
  </si>
  <si>
    <t>21f3000432@ds.study.iitm.ac.in</t>
  </si>
  <si>
    <t>https://github.com/vasanth-svb-1/iitm-syscmd-project-1</t>
  </si>
  <si>
    <t>22f3000232@ds.study.iitm.ac.in</t>
  </si>
  <si>
    <t>https://github.com/SonaliDuvesh/project1</t>
  </si>
  <si>
    <t>22f1001602@ds.study.iitm.ac.in</t>
  </si>
  <si>
    <t>https://github.com/22f1000144/TDS_project_1</t>
  </si>
  <si>
    <t>22f1001182@ds.study.iitm.ac.in</t>
  </si>
  <si>
    <t>https://github.com/UrielKAlistair/TDS_P1</t>
  </si>
  <si>
    <t>22f3001485@ds.study.iitm.ac.in</t>
  </si>
  <si>
    <t>23f2001696@ds.study.iitm.ac.in</t>
  </si>
  <si>
    <t>https://github.com/Naveenkumaar/Project1_TDS</t>
  </si>
  <si>
    <t>22f3001519@ds.study.iitm.ac.in</t>
  </si>
  <si>
    <t>https://github.com/ManjulaVK/TDS_P1</t>
  </si>
  <si>
    <t>22f3001954@ds.study.iitm.ac.in</t>
  </si>
  <si>
    <t>https://github.com/Rishitahazra/berlin200</t>
  </si>
  <si>
    <t>22ds2000111@ds.study.iitm.ac.in</t>
  </si>
  <si>
    <t>subhash2IIT / tds-project1-scrapping</t>
  </si>
  <si>
    <t>23f2000473@ds.study.iitm.ac.in</t>
  </si>
  <si>
    <t>https://github.com/r02ajat08/projtds</t>
  </si>
  <si>
    <t>22f3002981@ds.study.iitm.ac.in</t>
  </si>
  <si>
    <t>https://github.com/Kavya792/boston-github-users</t>
  </si>
  <si>
    <t>21f3001934@ds.study.iitm.ac.in</t>
  </si>
  <si>
    <t>https://github.com/SidharthDahiya/Toronto-Analysis</t>
  </si>
  <si>
    <t>23f1001705@ds.study.iitm.ac.in</t>
  </si>
  <si>
    <t>https://github.com/23f1003016/TDS-Project1</t>
  </si>
  <si>
    <t>23f2001487@ds.study.iitm.ac.in</t>
  </si>
  <si>
    <t>22f3002204@ds.study.iitm.ac.in</t>
  </si>
  <si>
    <t>https://github.com/sadiq1402/TDS-Project-1</t>
  </si>
  <si>
    <t>21f3000773@ds.study.iitm.ac.in</t>
  </si>
  <si>
    <t>https://github.com/dhimantks/tdsproject1</t>
  </si>
  <si>
    <t>23f1002809@ds.study.iitm.ac.in</t>
  </si>
  <si>
    <t>https://github.com/23f3004236/TDS-Project-1/tree/main</t>
  </si>
  <si>
    <t>23f1002044@ds.study.iitm.ac.in</t>
  </si>
  <si>
    <t>https://github.com/perceptron-01/project-1</t>
  </si>
  <si>
    <t>22f1000522@ds.study.iitm.ac.in</t>
  </si>
  <si>
    <t>https://github.com/Allen-Josu/TDS_Project</t>
  </si>
  <si>
    <t>23f1003155@ds.study.iitm.ac.in</t>
  </si>
  <si>
    <t>https://github.com/27-Swastik/tds_project_1</t>
  </si>
  <si>
    <t>21f2000717@ds.study.iitm.ac.in</t>
  </si>
  <si>
    <t>https://github.com/AdityaGuptaVarshney/tds-project1-iitm</t>
  </si>
  <si>
    <t>22f2000245@ds.study.iitm.ac.in</t>
  </si>
  <si>
    <t>https://github.com/AMOL-023/main</t>
  </si>
  <si>
    <t>21f1003107@ds.study.iitm.ac.in</t>
  </si>
  <si>
    <t>https://github.com/Devanshshukla090705/PRJ1_TDS</t>
  </si>
  <si>
    <t>22f2001166@ds.study.iitm.ac.in</t>
  </si>
  <si>
    <t>23f1003171@ds.study.iitm.ac.in</t>
  </si>
  <si>
    <t>https://github.com/Anish071105/TDS-project1</t>
  </si>
  <si>
    <t>23f2003845@ds.study.iitm.ac.in</t>
  </si>
  <si>
    <t>22f3000087@ds.study.iitm.ac.in</t>
  </si>
  <si>
    <t>https://github.com/ratantiwaridev/tds_project1</t>
  </si>
  <si>
    <t>23f2003190@ds.study.iitm.ac.in</t>
  </si>
  <si>
    <t>https://github.com/Abimanyu-A-J/TDSProj1/tree/main</t>
  </si>
  <si>
    <t>22f2000713@ds.study.iitm.ac.in</t>
  </si>
  <si>
    <t>https://github.com/22f2000894/tds-project-1</t>
  </si>
  <si>
    <t>21f3000279@ds.study.iitm.ac.in</t>
  </si>
  <si>
    <t>https://github.com/JAISUBIKSHA/TDS_PROJECT1</t>
  </si>
  <si>
    <t>23f1001901@ds.study.iitm.ac.in</t>
  </si>
  <si>
    <t>https://github.com/SakshamBindal07/github_sydney_users</t>
  </si>
  <si>
    <t>22f1000998@ds.study.iitm.ac.in</t>
  </si>
  <si>
    <t>23f1002330@ds.study.iitm.ac.in</t>
  </si>
  <si>
    <t>https://github.com/raj-jaiswal/TDS_Github_API</t>
  </si>
  <si>
    <t>22f3001768@ds.study.iitm.ac.in</t>
  </si>
  <si>
    <t>https://github.com/siddhant-bapna/TDSP1</t>
  </si>
  <si>
    <t>23f1000602@ds.study.iitm.ac.in</t>
  </si>
  <si>
    <t>https://github.com/Nupur-learns/Project1</t>
  </si>
  <si>
    <t>22f2000854@ds.study.iitm.ac.in</t>
  </si>
  <si>
    <t>https://github.com/22f2000809/project_1</t>
  </si>
  <si>
    <t>22f3001877@ds.study.iitm.ac.in</t>
  </si>
  <si>
    <t>23f1001990@ds.study.iitm.ac.in</t>
  </si>
  <si>
    <t>22f3001138@ds.study.iitm.ac.in</t>
  </si>
  <si>
    <t>https://github.com/Vanshika-tiwari98/Beijing-GitHub-Users</t>
  </si>
  <si>
    <t>22f3002758@ds.study.iitm.ac.in</t>
  </si>
  <si>
    <t>https://github.com/ShijuPJohn/tds_p1</t>
  </si>
  <si>
    <t>22f3002094@ds.study.iitm.ac.in</t>
  </si>
  <si>
    <t>https://github.com/PoornimaIITm/Tds_barcelona100</t>
  </si>
  <si>
    <t>21f2000351@ds.study.iitm.ac.in</t>
  </si>
  <si>
    <t>22f3003074@ds.study.iitm.ac.in</t>
  </si>
  <si>
    <t>https://github.com/vilas-007/TDS-project1</t>
  </si>
  <si>
    <t>21f3000331@ds.study.iitm.ac.in</t>
  </si>
  <si>
    <t>https://github.com/Omkar-pawar1/TDS-PROJECT-1</t>
  </si>
  <si>
    <t>22f1000693@ds.study.iitm.ac.in</t>
  </si>
  <si>
    <t>https://github.com/sameer2799/tds_project_1</t>
  </si>
  <si>
    <t>23f1002016@ds.study.iitm.ac.in</t>
  </si>
  <si>
    <t>https://github.com/zerx1307/TDS_project_1</t>
  </si>
  <si>
    <t>22f1001082@ds.study.iitm.ac.in</t>
  </si>
  <si>
    <t>23f2004625@ds.study.iitm.ac.in</t>
  </si>
  <si>
    <t>https://github.com/UJJWALg-08/TDS-Project1</t>
  </si>
  <si>
    <t>24f1002469@ds.study.iitm.ac.in</t>
  </si>
  <si>
    <t>23f2004032@ds.study.iitm.ac.in</t>
  </si>
  <si>
    <t>22f1000259@ds.study.iitm.ac.in</t>
  </si>
  <si>
    <t>https://github.com/NandhaaKishore-10/TDS-PROJECT-1</t>
  </si>
  <si>
    <t>21f3001858@ds.study.iitm.ac.in</t>
  </si>
  <si>
    <t>https://github.com/tanmayi-iitm/Tanmayi_project_1</t>
  </si>
  <si>
    <t>23f2002742@ds.study.iitm.ac.in</t>
  </si>
  <si>
    <t>https://github.com/salmanulfaris/tds-project</t>
  </si>
  <si>
    <t>23f2005375@ds.study.iitm.ac.in</t>
  </si>
  <si>
    <t>23f3002592@ds.study.iitm.ac.in</t>
  </si>
  <si>
    <t>https://github.com/Kratikavarshney-16/Mumbai50</t>
  </si>
  <si>
    <t>22f2001555@ds.study.iitm.ac.in</t>
  </si>
  <si>
    <t>21f2001529@ds.study.iitm.ac.in</t>
  </si>
  <si>
    <t>23f1002608@ds.study.iitm.ac.in</t>
  </si>
  <si>
    <t>23f1001473@ds.study.iitm.ac.in</t>
  </si>
  <si>
    <t>https://github.com/DivyamShaiv/TDS_project1</t>
  </si>
  <si>
    <t>24ds2000141@ds.study.iitm.ac.in</t>
  </si>
  <si>
    <t>https://github.com/manjuiitm/Dublin1</t>
  </si>
  <si>
    <t>23ds2000050@ds.study.iitm.ac.in</t>
  </si>
  <si>
    <t>23f3002347@ds.study.iitm.ac.in</t>
  </si>
  <si>
    <t>https://github.com/Hitachi006/TDS_Proj_2455_Basel10</t>
  </si>
  <si>
    <t>21f3000678@ds.study.iitm.ac.in</t>
  </si>
  <si>
    <t>22f3000742@ds.study.iitm.ac.in</t>
  </si>
  <si>
    <t>https://github.com/saksham5555/project</t>
  </si>
  <si>
    <t>23f1001562@ds.study.iitm.ac.in</t>
  </si>
  <si>
    <t>https://github.com/harinivas21/tds</t>
  </si>
  <si>
    <t>23f2001005@ds.study.iitm.ac.in</t>
  </si>
  <si>
    <t>https://github.com/k121mayur/TDA_PROJECT_1</t>
  </si>
  <si>
    <t>21f1000303@ds.study.iitm.ac.in</t>
  </si>
  <si>
    <t>22f3001350@ds.study.iitm.ac.in</t>
  </si>
  <si>
    <t>21f2000372@ds.study.iitm.ac.in</t>
  </si>
  <si>
    <t>https://github.com/bhavikasharma999/project1-tokyo-follower</t>
  </si>
  <si>
    <t>23f2004408@ds.study.iitm.ac.in</t>
  </si>
  <si>
    <t>https://github.com/ManuIITM-Coder/MOSCOW-50</t>
  </si>
  <si>
    <t>23ds3000066@ds.study.iitm.ac.in</t>
  </si>
  <si>
    <t>23f2003415@ds.study.iitm.ac.in</t>
  </si>
  <si>
    <t>https://github.com/KaustubhaRam/London_GitHub_Users</t>
  </si>
  <si>
    <t>23f2001120@ds.study.iitm.ac.in</t>
  </si>
  <si>
    <t>https://github.com/21f1002976/tds_project_1</t>
  </si>
  <si>
    <t>23f2001083@ds.study.iitm.ac.in</t>
  </si>
  <si>
    <t>22f3001699@ds.study.iitm.ac.in</t>
  </si>
  <si>
    <t>https://github.com/bhumi-gupta2201/Austin100.git</t>
  </si>
  <si>
    <t>21f1004430@ds.study.iitm.ac.in</t>
  </si>
  <si>
    <t>21f2001119@ds.study.iitm.ac.in</t>
  </si>
  <si>
    <t>https://github.com/jalajverma007/tds-pj1</t>
  </si>
  <si>
    <t>23f1001897@ds.study.iitm.ac.in</t>
  </si>
  <si>
    <t>https://github.com/Saagar-22/Hyderabad_50</t>
  </si>
  <si>
    <t>23f1001172@ds.study.iitm.ac.in</t>
  </si>
  <si>
    <t>https://github.com/vikashkj2024/tds-project-1</t>
  </si>
  <si>
    <t>21f3002950@ds.study.iitm.ac.in</t>
  </si>
  <si>
    <t>https://github.com/sneh2105/tds_proj1</t>
  </si>
  <si>
    <t>22f2001335@ds.study.iitm.ac.in</t>
  </si>
  <si>
    <t>21f1005443@ds.study.iitm.ac.in</t>
  </si>
  <si>
    <t>https://github.com/Rxhit1/TDSproj1/tree/main</t>
  </si>
  <si>
    <t>23f2001942@ds.study.iitm.ac.in</t>
  </si>
  <si>
    <t>https://github.com/vaibhavgupta-iitm/TDS-Project-1</t>
  </si>
  <si>
    <t>21f1004929@ds.study.iitm.ac.in</t>
  </si>
  <si>
    <t>https://github.com/Prajwalit-Tiwari/TDS_Project1</t>
  </si>
  <si>
    <t>21f2000852@ds.study.iitm.ac.in</t>
  </si>
  <si>
    <t>21f1002449@ds.study.iitm.ac.in</t>
  </si>
  <si>
    <t>21f1006244@ds.study.iitm.ac.in</t>
  </si>
  <si>
    <t>https://github.com/regisprabha/TDS-Project1</t>
  </si>
  <si>
    <t>23ds3000215@ds.study.iitm.ac.in</t>
  </si>
  <si>
    <t>23f2004593@ds.study.iitm.ac.in</t>
  </si>
  <si>
    <t>23ds3000049@ds.study.iitm.ac.in</t>
  </si>
  <si>
    <t>https://github.com/23ds1000051/tds_project_1</t>
  </si>
  <si>
    <t>22f1001118@ds.study.iitm.ac.in</t>
  </si>
  <si>
    <t>21f1001204@ds.study.iitm.ac.in</t>
  </si>
  <si>
    <t>21f3002290@ds.study.iitm.ac.in</t>
  </si>
  <si>
    <t>22f3000350@ds.study.iitm.ac.in</t>
  </si>
  <si>
    <t>https://github.com/himanesh21/GithubUserDataAnalysis</t>
  </si>
  <si>
    <t>23ds3000059@ds.study.iitm.ac.in</t>
  </si>
  <si>
    <t>23f1000205@ds.study.iitm.ac.in</t>
  </si>
  <si>
    <t>https://github.com/ayushiprajapti/TDS-PROJECT</t>
  </si>
  <si>
    <t>23f2001106@ds.study.iitm.ac.in</t>
  </si>
  <si>
    <t>https://github.com/Utkarsh002-winner/TDS_P1</t>
  </si>
  <si>
    <t>23f1002051@ds.study.iitm.ac.in</t>
  </si>
  <si>
    <t>22f3000364@ds.study.iitm.ac.in</t>
  </si>
  <si>
    <t>23f3002189@ds.study.iitm.ac.in</t>
  </si>
  <si>
    <t>22f3000534@ds.study.iitm.ac.in</t>
  </si>
  <si>
    <t>22f3000373@ds.study.iitm.ac.in</t>
  </si>
  <si>
    <t>https://github.com/Shiya-23/Project_-Stockholm</t>
  </si>
  <si>
    <t>22f2000625@ds.study.iitm.ac.in</t>
  </si>
  <si>
    <t>22f2001196@ds.study.iitm.ac.in</t>
  </si>
  <si>
    <t>23f1001050@ds.study.iitm.ac.in</t>
  </si>
  <si>
    <t>https://github.com/51Hypers/TDS_Project_1</t>
  </si>
  <si>
    <t>21f3000045@ds.study.iitm.ac.in</t>
  </si>
  <si>
    <t>22f3002533@ds.study.iitm.ac.in</t>
  </si>
  <si>
    <t>22f3002051@ds.study.iitm.ac.in</t>
  </si>
  <si>
    <t>24ds1000036@ds.study.iitm.ac.in</t>
  </si>
  <si>
    <t>23f2004919@ds.study.iitm.ac.in</t>
  </si>
  <si>
    <t>https://github.com/anshuraj007/22f3000757_TDS_Proj1</t>
  </si>
  <si>
    <t>22f3001119@ds.study.iitm.ac.in</t>
  </si>
  <si>
    <t>https://github.com/Thanhanoorudheen/proj1</t>
  </si>
  <si>
    <t>23f1002967@ds.study.iitm.ac.in</t>
  </si>
  <si>
    <t>23f1000629@ds.study.iitm.ac.in</t>
  </si>
  <si>
    <t>https://github.com/Harini-RAJ/tdsproj</t>
  </si>
  <si>
    <t>22f3001912@ds.study.iitm.ac.in</t>
  </si>
  <si>
    <t>22f2001255@ds.study.iitm.ac.in</t>
  </si>
  <si>
    <t>https://github.com/dsenthilkumar95/TDS_P1_Barcelona100</t>
  </si>
  <si>
    <t>23f1002570@ds.study.iitm.ac.in</t>
  </si>
  <si>
    <t>23f2003412@ds.study.iitm.ac.in</t>
  </si>
  <si>
    <t>23f1001963@ds.study.iitm.ac.in</t>
  </si>
  <si>
    <t>https://github.com/sky-m1618/TDS_project_1</t>
  </si>
  <si>
    <t>22f3003253@ds.study.iitm.ac.in</t>
  </si>
  <si>
    <t>22f2001336@ds.study.iitm.ac.in</t>
  </si>
  <si>
    <t>https://github.com/AllyNav/tds_project_1</t>
  </si>
  <si>
    <t>23ds3000249@ds.study.iitm.ac.in</t>
  </si>
  <si>
    <t>https://github.com/rahul-jha-2001/TDS</t>
  </si>
  <si>
    <t>23f2004112@ds.study.iitm.ac.in</t>
  </si>
  <si>
    <t>23f1000200@ds.study.iitm.ac.in</t>
  </si>
  <si>
    <t>23f3003763@ds.study.iitm.ac.in</t>
  </si>
  <si>
    <t>https://github.com/SV-03/TDS-P1</t>
  </si>
  <si>
    <t>23ds3000113@ds.study.iitm.ac.in</t>
  </si>
  <si>
    <t>https://github.com/rajakumari-sp/TDS_project1</t>
  </si>
  <si>
    <t>24ds1000042@ds.study.iitm.ac.in</t>
  </si>
  <si>
    <t>23f2004160@ds.study.iitm.ac.in</t>
  </si>
  <si>
    <t>24ds3000100@ds.study.iitm.ac.in</t>
  </si>
  <si>
    <t>https://github.com/Aryan0550p/LondonUsersRepo</t>
  </si>
  <si>
    <t>22f2001226@ds.study.iitm.ac.in</t>
  </si>
  <si>
    <t>23f1001535@ds.study.iitm.ac.in</t>
  </si>
  <si>
    <t>24f1002025@ds.study.iitm.ac.in</t>
  </si>
  <si>
    <t>https://github.com/techshad/TDS-Project</t>
  </si>
  <si>
    <t>23f1002447@ds.study.iitm.ac.in</t>
  </si>
  <si>
    <t>22f3000817@ds.study.iitm.ac.in</t>
  </si>
  <si>
    <t>23f3002354@ds.study.iitm.ac.in</t>
  </si>
  <si>
    <t>https://github.com/Akif29/TDS-Project-1</t>
  </si>
  <si>
    <t>23f3002560@ds.study.iitm.ac.in</t>
  </si>
  <si>
    <t>https://github.com/titan-adi/Zurich-data-analysis</t>
  </si>
  <si>
    <t>23f2004119@ds.study.iitm.ac.in</t>
  </si>
  <si>
    <t>https://github.com/Anustup24/TDS/blob/main/README.md</t>
  </si>
  <si>
    <t>23f1000966@ds.study.iitm.ac.in</t>
  </si>
  <si>
    <t>https://github.com/yuviiitm26/TDS_PRO_1</t>
  </si>
  <si>
    <t>23f2000668@ds.study.iitm.ac.in</t>
  </si>
  <si>
    <t>https://github.com/keertidamani/TorontoAnalysisProject</t>
  </si>
  <si>
    <t>23f2003198@ds.study.iitm.ac.in</t>
  </si>
  <si>
    <t>https://github.com/Chinni1904/TDS_Proj1</t>
  </si>
  <si>
    <t>22f3001180@ds.study.iitm.ac.in</t>
  </si>
  <si>
    <t>23f2005133@ds.study.iitm.ac.in</t>
  </si>
  <si>
    <t>23f1002455@ds.study.iitm.ac.in</t>
  </si>
  <si>
    <t>https://github.com/pkala7968/TDS-PROJECT-1-IITM</t>
  </si>
  <si>
    <t>22f3000130@ds.study.iitm.ac.in</t>
  </si>
  <si>
    <t>23ds3000139@ds.study.iitm.ac.in</t>
  </si>
  <si>
    <t>https://github.com/RealFalseGod/Project1</t>
  </si>
  <si>
    <t>23f2003665@ds.study.iitm.ac.in</t>
  </si>
  <si>
    <t>https://github.com/ojast22/tds_proj1</t>
  </si>
  <si>
    <t>23f1003039@ds.study.iitm.ac.in</t>
  </si>
  <si>
    <t>24ds1000086@ds.study.iitm.ac.in</t>
  </si>
  <si>
    <t>https://github.com/231fiitm/tdsproject</t>
  </si>
  <si>
    <t>22f2001300@ds.study.iitm.ac.in</t>
  </si>
  <si>
    <t>https://github.com/bhumi-gupta2201/Austin100</t>
  </si>
  <si>
    <t>23f1000029@ds.study.iitm.ac.in</t>
  </si>
  <si>
    <t>22f3002442@ds.study.iitm.ac.in</t>
  </si>
  <si>
    <t>21f3001656@ds.study.iitm.ac.in</t>
  </si>
  <si>
    <t>23f2004468@ds.study.iitm.ac.in</t>
  </si>
  <si>
    <t>22f3001412@ds.study.iitm.ac.in</t>
  </si>
  <si>
    <t>https://github.com/gokuls23f2001566/TDSpj1</t>
  </si>
  <si>
    <t>22f3002004@ds.study.iitm.ac.in</t>
  </si>
  <si>
    <t>https://github.com/pranay2k3/iitpro</t>
  </si>
  <si>
    <t>22f2000894@ds.study.iitm.ac.in</t>
  </si>
  <si>
    <t>https://github.com/Akash7190/TDS-Project-1</t>
  </si>
  <si>
    <t>24ds2000089@ds.study.iitm.ac.in</t>
  </si>
  <si>
    <t>22f2000240@ds.study.iitm.ac.in</t>
  </si>
  <si>
    <t>23f1001545@ds.study.iitm.ac.in</t>
  </si>
  <si>
    <t>https://github.com/Preetham15092004/Hyderabad-GitHub-Users</t>
  </si>
  <si>
    <t>23f2001187@ds.study.iitm.ac.in</t>
  </si>
  <si>
    <t>https://github.com/23f1002051/TDS_Project_1</t>
  </si>
  <si>
    <t>23f2004165@ds.study.iitm.ac.in</t>
  </si>
  <si>
    <t>24f1002079@ds.study.iitm.ac.in</t>
  </si>
  <si>
    <t>https://github.com/ranashakti7/Sydney_users</t>
  </si>
  <si>
    <t>23ds1000121@ds.study.iitm.ac.in</t>
  </si>
  <si>
    <t>23f1001673@ds.study.iitm.ac.in</t>
  </si>
  <si>
    <t>https://github.com/jagrutiitm/tdsproject1</t>
  </si>
  <si>
    <t>22f3003121@ds.study.iitm.ac.in</t>
  </si>
  <si>
    <t>23f3003711@ds.study.iitm.ac.in</t>
  </si>
  <si>
    <t>https://github.com/narendrabissu/TDS_21F1000753_P1</t>
  </si>
  <si>
    <t>22f3000823@ds.study.iitm.ac.in</t>
  </si>
  <si>
    <t>https://github.com/Kushagra-IITM/TDS1_23f1001963</t>
  </si>
  <si>
    <t>22f1000894@ds.study.iitm.ac.in</t>
  </si>
  <si>
    <t>https://github.com/22f1000952/basel-users-analysis</t>
  </si>
  <si>
    <t>23f1002304@ds.study.iitm.ac.in</t>
  </si>
  <si>
    <t>21f1002851@ds.study.iitm.ac.in</t>
  </si>
  <si>
    <t>21f1001804@ds.study.iitm.ac.in</t>
  </si>
  <si>
    <t>21f2000371@ds.study.iitm.ac.in</t>
  </si>
  <si>
    <t>21f2000099@ds.study.iitm.ac.in</t>
  </si>
  <si>
    <t>23f3000169@ds.study.iitm.ac.in</t>
  </si>
  <si>
    <t>https://github.com/harshx45/tdsproj1</t>
  </si>
  <si>
    <t>22f1001766@ds.study.iitm.ac.in</t>
  </si>
  <si>
    <t>https://github.com/AbdulHadiCreator/TDSproject1</t>
  </si>
  <si>
    <t>23ds3000218@ds.study.iitm.ac.in</t>
  </si>
  <si>
    <t>23f2000573@ds.study.iitm.ac.in</t>
  </si>
  <si>
    <t>https://github.com/Avisiingh/tdsproject1/tree/main</t>
  </si>
  <si>
    <t>23f2003124@ds.study.iitm.ac.in</t>
  </si>
  <si>
    <t>https://github.com/Saravanan1508/IITM_TDS_Project_1</t>
  </si>
  <si>
    <t>23f1001362@ds.study.iitm.ac.in</t>
  </si>
  <si>
    <t>https://github.com/deepika4786/tools-for-data-science-project---1/blob/main/repositories.csv</t>
  </si>
  <si>
    <t>24ds1000043@ds.study.iitm.ac.in</t>
  </si>
  <si>
    <t>https://github.com/bl00m-byte/TDS-Project-1</t>
  </si>
  <si>
    <t>22f3000797@ds.study.iitm.ac.in</t>
  </si>
  <si>
    <t>23f2005176@ds.study.iitm.ac.in</t>
  </si>
  <si>
    <t>https://github.com/23f2004839/TDS-Project-1</t>
  </si>
  <si>
    <t>23f1001125@ds.study.iitm.ac.in</t>
  </si>
  <si>
    <t>https://github.com/mailkharshvardhan/chicago-developers-data</t>
  </si>
  <si>
    <t>23f3004146@ds.study.iitm.ac.in</t>
  </si>
  <si>
    <t>23f2000391@ds.study.iitm.ac.in</t>
  </si>
  <si>
    <t>https://github.com/anjupbse91/TDS-Project1</t>
  </si>
  <si>
    <t>22f2001019@ds.study.iitm.ac.in</t>
  </si>
  <si>
    <t>https://github.com/Yashi-code/dublin-developer-data/tree/main</t>
  </si>
  <si>
    <t>21f3002715@ds.study.iitm.ac.in</t>
  </si>
  <si>
    <t>22f3002593@ds.study.iitm.ac.in</t>
  </si>
  <si>
    <t>https://github.com/harrycode54/Stockholm100</t>
  </si>
  <si>
    <t>21f3001323@ds.study.iitm.ac.in</t>
  </si>
  <si>
    <t>23f2003662@ds.study.iitm.ac.in</t>
  </si>
  <si>
    <t>https://github.com/Keshav22f2001196/TDS-project1</t>
  </si>
  <si>
    <t>23f1000017@ds.study.iitm.ac.in</t>
  </si>
  <si>
    <t>https://github.com/22f2001730/TDS_P1</t>
  </si>
  <si>
    <t>23f1002374@ds.study.iitm.ac.in</t>
  </si>
  <si>
    <t>22f2001730@ds.study.iitm.ac.in</t>
  </si>
  <si>
    <t>21f3000745@ds.study.iitm.ac.in</t>
  </si>
  <si>
    <t>23ds3000067@ds.study.iitm.ac.in</t>
  </si>
  <si>
    <t>21f2000584@ds.study.iitm.ac.in</t>
  </si>
  <si>
    <t>https://github.com/shobhit8948/TDA-Project1</t>
  </si>
  <si>
    <t>23f2003488@ds.study.iitm.ac.in</t>
  </si>
  <si>
    <t>https://github.com/KanishkarIITM/Proj1</t>
  </si>
  <si>
    <t>23f2001844@ds.study.iitm.ac.in</t>
  </si>
  <si>
    <t>https://github.com/Harshachowdary2012/Berlin-200-Analysis-TDS</t>
  </si>
  <si>
    <t>22f3000849@ds.study.iitm.ac.in</t>
  </si>
  <si>
    <t>22f3001834@ds.study.iitm.ac.in</t>
  </si>
  <si>
    <t>21f3002030@ds.study.iitm.ac.in</t>
  </si>
  <si>
    <t>https://github.com/Bhaargavi29/Moscow-50-repo</t>
  </si>
  <si>
    <t>22f3003086@ds.study.iitm.ac.in</t>
  </si>
  <si>
    <t>23f3001831@ds.study.iitm.ac.in</t>
  </si>
  <si>
    <t>21f1006953@ds.study.iitm.ac.in</t>
  </si>
  <si>
    <t>22f2001248@ds.study.iitm.ac.in</t>
  </si>
  <si>
    <t>https://github.com/SharmilSrivathsa/TDS-Project-1</t>
  </si>
  <si>
    <t>22f3001252@ds.study.iitm.ac.in</t>
  </si>
  <si>
    <t>21f3000168@ds.study.iitm.ac.in</t>
  </si>
  <si>
    <t>23f3001726@ds.study.iitm.ac.in</t>
  </si>
  <si>
    <t>22ds1000131@ds.study.iitm.ac.in</t>
  </si>
  <si>
    <t>https://github.com/Reena-Ydv/TDS</t>
  </si>
  <si>
    <t>22f1000824@ds.study.iitm.ac.in</t>
  </si>
  <si>
    <t>https://github.com/ankit-ksh/tds_mini_project_i</t>
  </si>
  <si>
    <t>23f1001360@ds.study.iitm.ac.in</t>
  </si>
  <si>
    <t>23ds2000054@ds.study.iitm.ac.in</t>
  </si>
  <si>
    <t>https://github.com/sanskar-gupta206/TDS_P1</t>
  </si>
  <si>
    <t>22f3000082@ds.study.iitm.ac.in</t>
  </si>
  <si>
    <t>https://github.com/m55d/P1_md</t>
  </si>
  <si>
    <t>22f3001318@ds.study.iitm.ac.in</t>
  </si>
  <si>
    <t>https://github.com/AbayNandhiga-iitm/tokyo-github-users</t>
  </si>
  <si>
    <t>22f2000902@ds.study.iitm.ac.in</t>
  </si>
  <si>
    <t>21f1004163@ds.study.iitm.ac.in</t>
  </si>
  <si>
    <t>21f2000047@ds.study.iitm.ac.in</t>
  </si>
  <si>
    <t>23f3003567@ds.study.iitm.ac.in</t>
  </si>
  <si>
    <t>https://github.com/Mimansa5227/project1</t>
  </si>
  <si>
    <t>23f2000887@ds.study.iitm.ac.in</t>
  </si>
  <si>
    <t>21f2001512@ds.study.iitm.ac.in</t>
  </si>
  <si>
    <t>https://github.com/rrawatt/Melbourne-100</t>
  </si>
  <si>
    <t>23f1003030@ds.study.iitm.ac.in</t>
  </si>
  <si>
    <t>https://github.com/Aravindh-18/Project1</t>
  </si>
  <si>
    <t>23f2001876@ds.study.iitm.ac.in</t>
  </si>
  <si>
    <t>https://github.com/RachitGupta4102/TDS-project</t>
  </si>
  <si>
    <t>21f2000522@ds.study.iitm.ac.in</t>
  </si>
  <si>
    <t>https://github.com/Gaurangi2712/TDS_proj1</t>
  </si>
  <si>
    <t>21f1000601@ds.study.iitm.ac.in</t>
  </si>
  <si>
    <t>22f3000966@ds.study.iitm.ac.in</t>
  </si>
  <si>
    <t>21f1004349@ds.study.iitm.ac.in</t>
  </si>
  <si>
    <t>22f1001203@ds.study.iitm.ac.in</t>
  </si>
  <si>
    <t>21f3001496@ds.study.iitm.ac.in</t>
  </si>
  <si>
    <t>21f2000414@ds.study.iitm.ac.in</t>
  </si>
  <si>
    <t>https://github.com/22f3000350/22f3000350-TDS-Project-1</t>
  </si>
  <si>
    <t>22f3000626@ds.study.iitm.ac.in</t>
  </si>
  <si>
    <t>https://github.com/23f1001535/Melbourne_100</t>
  </si>
  <si>
    <t>22f1001981@ds.study.iitm.ac.in</t>
  </si>
  <si>
    <t>https://github.com/devansh-dotcom/tdsproject1-</t>
  </si>
  <si>
    <t>23f3002624@ds.study.iitm.ac.in</t>
  </si>
  <si>
    <t>21f3000700@ds.study.iitm.ac.in</t>
  </si>
  <si>
    <t>22f1001807@ds.study.iitm.ac.in</t>
  </si>
  <si>
    <t>22f3002885@ds.study.iitm.ac.in</t>
  </si>
  <si>
    <t>https://github.com/Akashkunwar/TDS-Project-1</t>
  </si>
  <si>
    <t>22f3003031@ds.study.iitm.ac.in</t>
  </si>
  <si>
    <t>21f1001182@ds.study.iitm.ac.in</t>
  </si>
  <si>
    <t>https://github.com/adityalearnsdata/Project-1</t>
  </si>
  <si>
    <t>21f2000639@ds.study.iitm.ac.in</t>
  </si>
  <si>
    <t>22f3002354@ds.study.iitm.ac.in</t>
  </si>
  <si>
    <t>https://github.com/tuxdna/tds-project1</t>
  </si>
  <si>
    <t>22f1001834@ds.study.iitm.ac.in</t>
  </si>
  <si>
    <t>https://github.com/AswinBala007/IITM_TDS_PROJECT1</t>
  </si>
  <si>
    <t>21f3001666@ds.study.iitm.ac.in</t>
  </si>
  <si>
    <t>23f1001130@ds.study.iitm.ac.in</t>
  </si>
  <si>
    <t>21f3002925@ds.study.iitm.ac.in</t>
  </si>
  <si>
    <t>22f3002393@ds.study.iitm.ac.in</t>
  </si>
  <si>
    <t>https://github.com/subhajit2001/TDSProject1</t>
  </si>
  <si>
    <t>23f2003080@ds.study.iitm.ac.in</t>
  </si>
  <si>
    <t>21f3000753@ds.study.iitm.ac.in</t>
  </si>
  <si>
    <t>https://github.com/Hritik-Shyam-Gupta/TDS-Project1</t>
  </si>
  <si>
    <t>23f1000542@ds.study.iitm.ac.in</t>
  </si>
  <si>
    <t>https://github.com/querulous-virgo/GitHubAPI/blob/main/users.csv</t>
  </si>
  <si>
    <t>22f2001264@ds.study.iitm.ac.in</t>
  </si>
  <si>
    <t>21f3000850@ds.study.iitm.ac.in</t>
  </si>
  <si>
    <t>22f2000545@ds.study.iitm.ac.in</t>
  </si>
  <si>
    <t>21f3000051@ds.study.iitm.ac.in</t>
  </si>
  <si>
    <t>https://github.com/1yadavsid/tds-project-1</t>
  </si>
  <si>
    <t>22f1001144@ds.study.iitm.ac.in</t>
  </si>
  <si>
    <t>https://github.com/Kanishk90/Project1</t>
  </si>
  <si>
    <t>21f3000243@ds.study.iitm.ac.in</t>
  </si>
  <si>
    <t>https://github.com/23f1001663/TDS-QUIZ-1</t>
  </si>
  <si>
    <t>22f3002275@ds.study.iitm.ac.in</t>
  </si>
  <si>
    <t>22f1000472@ds.study.iitm.ac.in</t>
  </si>
  <si>
    <t>https://github.com/anshikaatiwari/tdsp1</t>
  </si>
  <si>
    <t>23ds2000095@ds.study.iitm.ac.in</t>
  </si>
  <si>
    <t>https://github.com/Amrendra-kumar7/API_Melburne</t>
  </si>
  <si>
    <t>21f1006302@ds.study.iitm.ac.in</t>
  </si>
  <si>
    <t>21f2000608@ds.study.iitm.ac.in</t>
  </si>
  <si>
    <t>23f1001173@ds.study.iitm.ac.in</t>
  </si>
  <si>
    <t>23ds3000177@ds.study.iitm.ac.in</t>
  </si>
  <si>
    <t>22f2000078@ds.study.iitm.ac.in</t>
  </si>
  <si>
    <t>23f1000043@ds.study.iitm.ac.in</t>
  </si>
  <si>
    <t>https://github.com/raghu5427/TDS_Proj_1</t>
  </si>
  <si>
    <t>22f3002119@ds.study.iitm.ac.in</t>
  </si>
  <si>
    <t>23f1002829@ds.study.iitm.ac.in</t>
  </si>
  <si>
    <t>23f1000776@ds.study.iitm.ac.in</t>
  </si>
  <si>
    <t>22f3001914@ds.study.iitm.ac.in</t>
  </si>
  <si>
    <t>23f1002099@ds.study.iitm.ac.in</t>
  </si>
  <si>
    <t>https://github.com/AjithSaiCh/tds_project1</t>
  </si>
  <si>
    <t>21f1001805@ds.study.iitm.ac.in</t>
  </si>
  <si>
    <t>22f3000703@ds.study.iitm.ac.in</t>
  </si>
  <si>
    <t>22f1001210@ds.study.iitm.ac.in</t>
  </si>
  <si>
    <t>22f1001645@ds.study.iitm.ac.in</t>
  </si>
  <si>
    <t>22f3000448@ds.study.iitm.ac.in</t>
  </si>
  <si>
    <t>23f1000113@ds.study.iitm.ac.in</t>
  </si>
  <si>
    <t>https://github.com/S-Prasad-M/tds_proj1/</t>
  </si>
  <si>
    <t>21f2001015@ds.study.iitm.ac.in</t>
  </si>
  <si>
    <t>22f3001489@ds.study.iitm.ac.in</t>
  </si>
  <si>
    <t>23f3001320@ds.study.iitm.ac.in</t>
  </si>
  <si>
    <t>22f3002525@ds.study.iitm.ac.in</t>
  </si>
  <si>
    <t>https://github.com/Ankurnathsingh/TDS_P1_MELBOURNE100</t>
  </si>
  <si>
    <t>24ds3000064@ds.study.iitm.ac.in</t>
  </si>
  <si>
    <t>21f3000517@ds.study.iitm.ac.in</t>
  </si>
  <si>
    <t>22f3002614@ds.study.iitm.ac.in</t>
  </si>
  <si>
    <t>23f1001585@ds.study.iitm.ac.in</t>
  </si>
  <si>
    <t>https://github.com/BOBandNODDY/SquashDaw</t>
  </si>
  <si>
    <t>23ds3000081@ds.study.iitm.ac.in</t>
  </si>
  <si>
    <t>24ds1000095@ds.study.iitm.ac.in</t>
  </si>
  <si>
    <t>https://github.com/Shivam-IITM-DS/banglore-users</t>
  </si>
  <si>
    <t>22ds3000009@ds.study.iitm.ac.in</t>
  </si>
  <si>
    <t>https://github.com/Aakash-Prime/github-users-chennai</t>
  </si>
  <si>
    <t>21f2001230@ds.study.iitm.ac.in</t>
  </si>
  <si>
    <t>23f2004417@ds.study.iitm.ac.in</t>
  </si>
  <si>
    <t>https://github.com/Madras-protagonist/Bangalore-GitHub-Users-Project</t>
  </si>
  <si>
    <t>21f2000237@ds.study.iitm.ac.in</t>
  </si>
  <si>
    <t>22f2000082@ds.study.iitm.ac.in</t>
  </si>
  <si>
    <t>https://github.com/rharini1402/mumbai50</t>
  </si>
  <si>
    <t>22f1001711@ds.study.iitm.ac.in</t>
  </si>
  <si>
    <t>21f1001102@ds.study.iitm.ac.in</t>
  </si>
  <si>
    <t>21f3001919@ds.study.iitm.ac.in</t>
  </si>
  <si>
    <t>https://github.com/OmkarShekharRaut/datasciencetoolsproject1</t>
  </si>
  <si>
    <t>22f1001432@ds.study.iitm.ac.in</t>
  </si>
  <si>
    <t>https://github.com/23f2004408/tds-p1</t>
  </si>
  <si>
    <t>22f3000313@ds.study.iitm.ac.in</t>
  </si>
  <si>
    <t>22f3001981@ds.study.iitm.ac.in</t>
  </si>
  <si>
    <t>22f3001321@ds.study.iitm.ac.in</t>
  </si>
  <si>
    <t>24f1001850@ds.study.iitm.ac.in</t>
  </si>
  <si>
    <t>https://github.com/venkatsaivikram-iitm/tds-project1/</t>
  </si>
  <si>
    <t>22f2001075@ds.study.iitm.ac.in</t>
  </si>
  <si>
    <t>23f1002482@ds.study.iitm.ac.in</t>
  </si>
  <si>
    <t>https://github.com/Thanvish07/TDS_Project-1</t>
  </si>
  <si>
    <t>24f1002176@ds.study.iitm.ac.in</t>
  </si>
  <si>
    <t>22f3000452@ds.study.iitm.ac.in</t>
  </si>
  <si>
    <t>21f3000585@ds.study.iitm.ac.in</t>
  </si>
  <si>
    <t>https://github.com/sourav08nitp/tds-project-1</t>
  </si>
  <si>
    <t>21f2000615@ds.study.iitm.ac.in</t>
  </si>
  <si>
    <t>https://github.com/Mv98dell/Mv/blob/33999fa40510af74122c53f73c6b8df2b53129c9/repositories.csv</t>
  </si>
  <si>
    <t>22f3000721@ds.study.iitm.ac.in</t>
  </si>
  <si>
    <t>22f3001059@ds.study.iitm.ac.in</t>
  </si>
  <si>
    <t>23f1001763@ds.study.iitm.ac.in</t>
  </si>
  <si>
    <t>23f1001991@ds.study.iitm.ac.in</t>
  </si>
  <si>
    <t>23f2005597@ds.study.iitm.ac.in</t>
  </si>
  <si>
    <t>22f1000599@ds.study.iitm.ac.in</t>
  </si>
  <si>
    <t>23f2001127@ds.study.iitm.ac.in</t>
  </si>
  <si>
    <t>21f2001136@ds.study.iitm.ac.in</t>
  </si>
  <si>
    <t>21f1006103@ds.study.iitm.ac.in</t>
  </si>
  <si>
    <t>24f1002524@ds.study.iitm.ac.in</t>
  </si>
  <si>
    <t>23f2004714@ds.study.iitm.ac.in</t>
  </si>
  <si>
    <t>24f1002325@ds.study.iitm.ac.in</t>
  </si>
  <si>
    <t>22f2000445@ds.study.iitm.ac.in</t>
  </si>
  <si>
    <t>22f2000354@ds.study.iitm.ac.in</t>
  </si>
  <si>
    <t>21f1004811@ds.study.iitm.ac.in</t>
  </si>
  <si>
    <t>23f2004494@ds.study.iitm.ac.in</t>
  </si>
  <si>
    <t>23f2004225@ds.study.iitm.ac.in</t>
  </si>
  <si>
    <t>22f2001246@ds.study.iitm.ac.in</t>
  </si>
  <si>
    <t>23f3002262@ds.study.iitm.ac.in</t>
  </si>
  <si>
    <t>23ds3000044@ds.study.iitm.ac.in</t>
  </si>
  <si>
    <t>https://github.com/terminator7x/tds-project/tree/main</t>
  </si>
  <si>
    <t>23f2000319@ds.study.iitm.ac.in</t>
  </si>
  <si>
    <t>https://github.com/Viswa-iitm/TDS-project-1</t>
  </si>
  <si>
    <t>21f2001525@ds.study.iitm.ac.in</t>
  </si>
  <si>
    <t>https://github.com/joshna-dhanokar/Stockholm-100</t>
  </si>
  <si>
    <t>23f3004405@ds.study.iitm.ac.in</t>
  </si>
  <si>
    <t>23f2001455@ds.study.iitm.ac.in</t>
  </si>
  <si>
    <t>23f1002938@ds.study.iitm.ac.in</t>
  </si>
  <si>
    <t>21f1006403@ds.study.iitm.ac.in</t>
  </si>
  <si>
    <t xml:space="preserve">https://github.com/Bhaargavi29/Moscow-50-repo </t>
  </si>
  <si>
    <t>https://github.com/surbhi553/Toronto100</t>
  </si>
  <si>
    <t>https://github.com/Akashkansal/TDS_Project1</t>
  </si>
  <si>
    <t>https://github.com/Synchrotron-21/tds-project-1</t>
  </si>
  <si>
    <t>https://github.com/sage-devv/TDS-Project-1</t>
  </si>
  <si>
    <t>https://github.com/Prajchin/TDS_P1</t>
  </si>
  <si>
    <t>https://github.com/anantdev123/Project1</t>
  </si>
  <si>
    <t>https://github.com/rohit0490/tdsp1</t>
  </si>
  <si>
    <t>https://github.com/shwetavyas12/Zurich-50</t>
  </si>
  <si>
    <t>https://github.com/Anantvats7/Tdsproject1</t>
  </si>
  <si>
    <t>https://github.com/SINGHALSAJAL/github_scrapped_iitm</t>
  </si>
  <si>
    <t>https://github.com/pavan-santhosh-iitm/Project1</t>
  </si>
  <si>
    <t>https://github.com/akshat-shethia/TDS-Project-1-Akshat-Shethia</t>
  </si>
  <si>
    <t>https://github.com/ritikjha7/tds-project-1</t>
  </si>
  <si>
    <t>https://github.com/404aalu/tds-project1</t>
  </si>
  <si>
    <t>https://github.com/AlgoPenguin/tds-project-1</t>
  </si>
  <si>
    <t>https://github.com/Shilajit04/TDS-Project-1</t>
  </si>
  <si>
    <t>https://github.com/iambuhari/IITM/</t>
  </si>
  <si>
    <t>https://github.com/kdiitm99/tds-project1</t>
  </si>
  <si>
    <t>https://github.com/spideysanjay007/sanjay_tds_project_1</t>
  </si>
  <si>
    <t>https://github.com/22f3002094/Tds-project-1</t>
  </si>
  <si>
    <t>https://github.com/ARUNIMADILEEPK/TDS_Project_1</t>
  </si>
  <si>
    <t>https://github.com/23f3001726/p1-tds</t>
  </si>
  <si>
    <t>https://github.com/22f3001192/amitkumar</t>
  </si>
  <si>
    <t>https://github.com/krishna1rpr/tds-project-1</t>
  </si>
  <si>
    <t>https://github.com/Shre-2104/project1tds</t>
  </si>
  <si>
    <t>https://github.com/nihalkumar833/tds</t>
  </si>
  <si>
    <t>https://github.com/nirmaldeep-p/TDS-Project-1</t>
  </si>
  <si>
    <t>https://github.com/gyanesh-iitmiimb/TDSProject1/blob</t>
  </si>
  <si>
    <t>https://github.com/Viswa-iitm/TDS-project-1/</t>
  </si>
  <si>
    <t>https://github.com/devishijain/TDS-Project-1</t>
  </si>
  <si>
    <t>https://github.com/Nishtha65/TDS-Project1</t>
  </si>
  <si>
    <t>https://github.com/AmanManiTiwari/Tools-In-Data-Science-Project-1</t>
  </si>
  <si>
    <t>https://github.com/srijan789/tdsproj1</t>
  </si>
  <si>
    <t>https://github.com/theduskyrobe/TDS1</t>
  </si>
  <si>
    <t>https://github.com/SiriusOrion0301/TDS-PROJECT-1</t>
  </si>
  <si>
    <t>https://github.com/mfzlur/tds-iitm-project1</t>
  </si>
  <si>
    <t>https://forms.gle/qjSEztCfP6oG65gp8</t>
  </si>
  <si>
    <t>https://github.com/kamalesh-79/tdsproj/tree/main1</t>
  </si>
  <si>
    <t>https://github.com/pranjal300799/TDS-proj1</t>
  </si>
  <si>
    <t>https://github.com/saritakumari23/proj1</t>
  </si>
  <si>
    <t>https://github.com/vanshikaaraisinghani/TDSProjectt</t>
  </si>
  <si>
    <t>https://github.com/Vscode918/Moscow-users/</t>
  </si>
  <si>
    <t>https://github.com/DSAshv/TDS-Project1</t>
  </si>
  <si>
    <t>https://github.com/Nachiket-GORE/TDS-project-1</t>
  </si>
  <si>
    <t>https://github.com/IITM-007/Project1/tree/main</t>
  </si>
  <si>
    <t>https://github.com/jayasri-js/github-london-users</t>
  </si>
  <si>
    <t>https://github.com/suraj22f3/TDS_Project1</t>
  </si>
  <si>
    <t>https://github.com/payalggn/TDS_Project1</t>
  </si>
  <si>
    <t>https://github.com/22f2001150/TDS-project-1</t>
  </si>
  <si>
    <t>https://github.com/Saba-Usman/TDS-Project-1</t>
  </si>
  <si>
    <t>https://github.com/manojpaul9986/tds_project1</t>
  </si>
  <si>
    <t>https://github.com/Alge199/TDS-Project-1</t>
  </si>
  <si>
    <t>https://github.com/harini-perumandla/TDS-P1</t>
  </si>
  <si>
    <t>https://github.com/kik893/Project-1</t>
  </si>
  <si>
    <t>https://github.com/22f3000130/TDS_PROJECT_1</t>
  </si>
  <si>
    <t>https://github.com/vaishnavich44/Beijing-GitHub-Analysis</t>
  </si>
  <si>
    <t>https://github.com/23f1001172/melbourne-users-data</t>
  </si>
  <si>
    <t>https://github.com/21f2001015/tds-project-1</t>
  </si>
  <si>
    <t>https://github.com/singh-akhand/tds-project-1</t>
  </si>
  <si>
    <t>https://github.com/darshu2806/tdsproj1</t>
  </si>
  <si>
    <t>https://github.com/adityach123/main</t>
  </si>
  <si>
    <t>https://github.com/SaloniSingh1254/seattle200</t>
  </si>
  <si>
    <t>https://github.com/Anirudh-starhash/TDS-Project-1</t>
  </si>
  <si>
    <t>https://github.com/praveen37bn/now_project1</t>
  </si>
  <si>
    <t>https://github.com/KRISHBORANA/Sydney-100</t>
  </si>
  <si>
    <t>https://github.com/tarunarora6029/tdsgit</t>
  </si>
  <si>
    <t>https://github.com/Srinidhi-Krishnan30/TDSProject1</t>
  </si>
  <si>
    <t>https://github.com/20vishnu27/TDS_Project-1</t>
  </si>
  <si>
    <t>https://github.com/harikrishnan51688/TDS_Project_1</t>
  </si>
  <si>
    <t>https://github.com/arya-v-iitm/TDS-Project1</t>
  </si>
  <si>
    <t>https://github.com/b-panda/Dublin-GitHub-Users</t>
  </si>
  <si>
    <t>https://github.com/Vishu-Ahlawat/tds_p1</t>
  </si>
  <si>
    <t>https://github.com/microdev1/tds-p1</t>
  </si>
  <si>
    <t>https://github.com/kp-bhara/tds_proj1_stockholm_100</t>
  </si>
  <si>
    <t>https://github.com/madhavanrmiitm/tds-project1</t>
  </si>
  <si>
    <t>https://github.com/Shreya5619/TDS-Project1</t>
  </si>
  <si>
    <t>https://github.com/kp-bhara/tds_proj1_stockholm_100/tree/main</t>
  </si>
  <si>
    <t>https://github.com/samikb07/tds-project-1</t>
  </si>
  <si>
    <t>https://github.com/Srilekha-05/github-barcelona-users</t>
  </si>
  <si>
    <t>https://github.com/pranavtiwari-this/tdm-project1</t>
  </si>
  <si>
    <t>https://github.com/ShivamAgrawal100/TDS-Project1</t>
  </si>
  <si>
    <t>https://github.com/imstrk04/TDSProject_1</t>
  </si>
  <si>
    <t>https://github.com/Aditya647bc/tds1</t>
  </si>
  <si>
    <t>https://github.com/RishabhBarthwal28/TDS-PROJECT-1</t>
  </si>
  <si>
    <t>https://github.com/Priyam4437/barcelona-github-scrape</t>
  </si>
  <si>
    <t>https://github.com/ayushi-006/TDS_project_1</t>
  </si>
  <si>
    <t>https://github.com/adith-ds/project1</t>
  </si>
  <si>
    <t>https://github.com/Meet-XML/Tds_pro1</t>
  </si>
  <si>
    <t>https://github.com/DurgaPriyaY/proj1</t>
  </si>
  <si>
    <t>https://github.com/Navreet5002/tds_proj1</t>
  </si>
  <si>
    <t>https://github.com/Ajmalkajm/TDS-Project_1</t>
  </si>
  <si>
    <t>https://github.com/AlgoPenguin/tds-project-1/blob/main/README.md</t>
  </si>
  <si>
    <t>https://github.com/Sh1617/Project1</t>
  </si>
  <si>
    <t>https://github.com/Aadi0703/TDS-project1</t>
  </si>
  <si>
    <t>https://github.com/gadilashashank/tds_p1</t>
  </si>
  <si>
    <t>https://github.com/AvinashRajender/tdsproject1</t>
  </si>
  <si>
    <t>https://github.com/AnshikaSinha2005/Anshika-project</t>
  </si>
  <si>
    <t>https://github.com/iitmgito/project1</t>
  </si>
  <si>
    <t>https://github.com/pushpa761/TDS-project-1</t>
  </si>
  <si>
    <t>https://github.com/YASH-MAHESHWAR1/TDS_Project1</t>
  </si>
  <si>
    <t>https://github.com/TheMHarsh/TDS_P1</t>
  </si>
  <si>
    <t>https://github.com/LuckyArya27/tds-project1</t>
  </si>
  <si>
    <t>https://github.com/imposter7/seattle-github-users</t>
  </si>
  <si>
    <t>https://github.com/kneedheeee/proj1</t>
  </si>
  <si>
    <t>https://github.com/shamanthakiitm/TDS-Project-1</t>
  </si>
  <si>
    <t>https://github.com/DivyanshuGupta2000129/TDS_Project_1</t>
  </si>
  <si>
    <t>https://github.com/lakshyaonweb22/TDS_Project1</t>
  </si>
  <si>
    <t>https://github.com/23f2004417/23f2004417_TDS_Project1</t>
  </si>
  <si>
    <t>https://github.com/22f3001914/TDS_Project1/blob/main/README.md</t>
  </si>
  <si>
    <t>https://github.com/Anvitha-Reddy-132218/TDS_Assignment</t>
  </si>
  <si>
    <t>https://github.com/adityaraj2308/projeft1</t>
  </si>
  <si>
    <t>https://github.com/Hariomkr147/TDS_project1</t>
  </si>
  <si>
    <t>https://github.com/22f3002758/TDS-Project1</t>
  </si>
  <si>
    <t>https://github.com/irabi111/TDSPROJ1</t>
  </si>
  <si>
    <t>https://github.com/Jivraj-18/temp_repo_for_tds_project</t>
  </si>
  <si>
    <t>https://github.com/shivasanthosh0804/TDSProject-1</t>
  </si>
  <si>
    <t>https://github.com/22f3001905/tds-project-1-github-users-repos</t>
  </si>
  <si>
    <t>https://github.com/itsrohithreddy/TDS_Project1</t>
  </si>
  <si>
    <t>https://github.com/anivenk25/TDS_project1_Seattle200</t>
  </si>
  <si>
    <t>https://github.com/22f3001673/TDS-Project1</t>
  </si>
  <si>
    <t>https://github.com/afsi07/github-users-london/tree/main</t>
  </si>
  <si>
    <t>https://github.com/Sreekar-1804/Tds_Project_1</t>
  </si>
  <si>
    <t>https://github.com/foriitm/p01</t>
  </si>
  <si>
    <t>https://github.com/AbhimanyuDwivedi282/TDS-Project_1</t>
  </si>
  <si>
    <t>https://github.com/23f2004165/Scraping-GitHub-Users-And-Their-Repos-TDS-Project1-</t>
  </si>
  <si>
    <t>https://github.com/QuixoticPsyche/tds-project-1</t>
  </si>
  <si>
    <t>https://github.com/hack-sketch/tds-project</t>
  </si>
  <si>
    <t>https://github.com/EnggAditya03/ds</t>
  </si>
  <si>
    <t>https://github.com/hameed-student/tds-project-1</t>
  </si>
  <si>
    <t>https://github.com/AryanThakur-123/TDS-Project-1</t>
  </si>
  <si>
    <t>https://github.com/mdnabeelmn10/TDS_Project1_23f1001173</t>
  </si>
  <si>
    <t>https://github.com/mayanktripathii/TDS-Project-1</t>
  </si>
  <si>
    <t>https://github.com/hamees-sayed/tds-project</t>
  </si>
  <si>
    <t>https://github.com/tanishka-26saxena/Tokyo-200</t>
  </si>
  <si>
    <t>https://github.com/edurelated2021/tds-proj1/tree/main</t>
  </si>
  <si>
    <t>https://github.com/joy-pro26/TDSProject1</t>
  </si>
  <si>
    <t>https://github.com/jyoti7398/TDS_proj1</t>
  </si>
  <si>
    <t>https://github.com/RishitPant/tdsproject1</t>
  </si>
  <si>
    <t>https://github.com/RiyaAgarwal22/TDS_Proj_1</t>
  </si>
  <si>
    <t>https://github.com/Chandra37918/IITM-TDS-Project1</t>
  </si>
  <si>
    <t>https://github.com/heyitsshreya/Austin-GitHub-Users-Analysis</t>
  </si>
  <si>
    <t>https://github.com/rahulyadav46691499/TDS_project</t>
  </si>
  <si>
    <t>https://github.com/Anupama-Manjunath/22f3003253_tdsPA1</t>
  </si>
  <si>
    <t>https://github.com/JaySoni77/Project-1</t>
  </si>
  <si>
    <t>https://github.com/Praviniitm/Project_Moscow</t>
  </si>
  <si>
    <t>https://github.com/AkshatGupta327/TDS_proj_1</t>
  </si>
  <si>
    <t>https://github.com/jhaaj08/TDS_project1</t>
  </si>
  <si>
    <t>https://github.com/aerosibin/TDS_Pro-1</t>
  </si>
  <si>
    <t>https://github.com/psmidhunreddy/tdsp1</t>
  </si>
  <si>
    <t>https://github.com/Amankumar0017/TDS-Project-1</t>
  </si>
  <si>
    <t>https://github.com/itznoor998/TDS_project1</t>
  </si>
  <si>
    <t>https://github.com/Madhu1005/tds-project1</t>
  </si>
  <si>
    <t>https://github.com/sumitt2408/github-users-london</t>
  </si>
  <si>
    <t>https://github.com/vijayabhaskar78/TDS-PROJECT-1</t>
  </si>
  <si>
    <t>https://github.com/himanshu-IIT-M/project1</t>
  </si>
  <si>
    <t>https://github.com/Kabilan-18/TDS-Project1/</t>
  </si>
  <si>
    <t>https://github.com/a1zen77/tds_p1</t>
  </si>
  <si>
    <t>https://github.com/mdjawed372/tds-project1</t>
  </si>
  <si>
    <t>https://github.com/24f1002025/TDS-Project-1-User-Repository-Scrapping</t>
  </si>
  <si>
    <t>https://github.com/rishabh-iitm/project1</t>
  </si>
  <si>
    <t>https://github.com/Ashiskushwaha/project-1</t>
  </si>
  <si>
    <t>https://github.com/puneeth2907/TDS-Project-1</t>
  </si>
  <si>
    <t>It had all the bullet points explained in the review.</t>
  </si>
  <si>
    <t>https://github.com/kasturi190602/TDSProject</t>
  </si>
  <si>
    <t>https://github.com/Abhinav3499/TDS_Project_1</t>
  </si>
  <si>
    <t>https://github.com/Sa007tish/hyd-gitanalysis</t>
  </si>
  <si>
    <t>https://github.com/Happytth/tds-project1</t>
  </si>
  <si>
    <t>https://github.com/SnehaKukrety/TDS_Project1/tree/main</t>
  </si>
  <si>
    <t>https://github.com/22f3001738/tds-project-1</t>
  </si>
  <si>
    <t>https://github.com/swalihaattar/IITM_TDS_P1</t>
  </si>
  <si>
    <t>https://github.com/madhavdasm/tdsproject</t>
  </si>
  <si>
    <t>https://github.co22f2001193-neeraj-menon-iitm/TDS_Project_1</t>
  </si>
  <si>
    <t>https://github.com/jayandral/TDS_Project1</t>
  </si>
  <si>
    <t>https://github.com/virajjdm1/TDS-Project-1</t>
  </si>
  <si>
    <t>https://github.com/S23fVK</t>
  </si>
  <si>
    <t>https://github.com/meyywwg/tds_project1</t>
  </si>
  <si>
    <t>https://github.com/Abhishek-IITM2026/TDS-Project-1</t>
  </si>
  <si>
    <t>https://github.com/abhinavsaxena277/Hyderabad-GitHub-Users</t>
  </si>
  <si>
    <t>https://github.com/23f2003986/Boston100_Users</t>
  </si>
  <si>
    <t>https://github.com/21f3003136/TokyoScrape</t>
  </si>
  <si>
    <t>https://github.com/virajkingmaker/project1</t>
  </si>
  <si>
    <t>https://github.com/Sakthi-Balan-B/project1</t>
  </si>
  <si>
    <t>https://github.com/sg-sparsh-goyal/TDS-project1-22f1000693</t>
  </si>
  <si>
    <t>https://github.com/bhavin-iitm/tds-project1</t>
  </si>
  <si>
    <t>https://github.com/nightcoder358/TDS-Project-1</t>
  </si>
  <si>
    <t>https://github.com/sidg75/tds-project1</t>
  </si>
  <si>
    <t>https://github.com/jaideepS04/project_tds-p</t>
  </si>
  <si>
    <t>https://github.com/Pkant-b/TDS-Proj1/tree/main</t>
  </si>
  <si>
    <t>https://github.com/shramadeepd/TDS_1</t>
  </si>
  <si>
    <t>https://github.com/22f1000259/TDS-PROJECT-1</t>
  </si>
  <si>
    <t>https://github.com/vazemon/TDS_Project1/tree/main</t>
  </si>
  <si>
    <t>https://github.com/AlexStark110/MELB_USERS</t>
  </si>
  <si>
    <t>https://github.com/tiwariannanya/TDS_Project_1_Berlin</t>
  </si>
  <si>
    <t>https://github.com/CaptPeroxide7/TDS-Proj1</t>
  </si>
  <si>
    <t>https://github.com/Vish2BDev/tds-project1-Barcelona</t>
  </si>
  <si>
    <t>https://github.com/Sunidhi912/TDSProject1</t>
  </si>
  <si>
    <t>https://github.com/kunj-10/TDS-IITM-Project1</t>
  </si>
  <si>
    <t>https://github.com/AaryNimje/22f3001836-ds.study.iitm.ac.in-Bangalore-100</t>
  </si>
  <si>
    <t>https://github.com/KD-kaustubh/Tds-project-1</t>
  </si>
  <si>
    <t>TDS-PROJECT-1 /TDS_P1.ipynb</t>
  </si>
  <si>
    <t>https://github.com/ramyaarorra/tdsprojectuno</t>
  </si>
  <si>
    <t>https://github.com/fahmeed1713/fahmeed</t>
  </si>
  <si>
    <t>https://github.com/HaifaAbdulSathar/TDS-Project1</t>
  </si>
  <si>
    <t>https://github.com/NeeharikaBhaide/TDS_P1</t>
  </si>
  <si>
    <t>https://github.com/IITM-VK/TDS-Project-1</t>
  </si>
  <si>
    <t>https://github.com/Bracket12/TDS_project_1</t>
  </si>
  <si>
    <t>https://github.com/Madhav-Sanjay-Patil/TDS_23f1002049</t>
  </si>
  <si>
    <t>https://github.com/pranavdarak/TDS_P1</t>
  </si>
  <si>
    <t>https://github.com/Samcoderg78/IIT_M_DEMO_REPO</t>
  </si>
  <si>
    <t>https://github.com/AnujKrishna-IIT/TDS-Project1</t>
  </si>
  <si>
    <t>https://github.com/Chinmoydass/TDS_Project1</t>
  </si>
  <si>
    <t>https://github.com/Hitesh-Binjrawat/TDSProject1</t>
  </si>
  <si>
    <t>https://github.com/22f2001193-neeraj-menon-iitm/TDS_Project_1</t>
  </si>
  <si>
    <t>https://github.com/MANAV-py/tds_project1</t>
  </si>
  <si>
    <t>https://github.com/samreen-fathima-s/tds</t>
  </si>
  <si>
    <t>https://github.com/srishtyAg19/Moscow-50</t>
  </si>
  <si>
    <t>https://github.com/phanthomx/TDS_PROJECT</t>
  </si>
  <si>
    <t>https://github.com/amittkulkarni/tds-project-1</t>
  </si>
  <si>
    <t>https://github.com/Ajit5370/tds-project-1</t>
  </si>
  <si>
    <t>https://github.com/ashwiniitm/tdsProject1</t>
  </si>
  <si>
    <t>https://github.com/23ds3000139/my_TDS_P1_submission</t>
  </si>
  <si>
    <t>https://github.com/rajyalakshmijampani-iitm/tds-project1</t>
  </si>
  <si>
    <t>https://github.com/jahnavi-bd/Project_TDS</t>
  </si>
  <si>
    <t>https://github.com/suryadhn/boston_user_repo</t>
  </si>
  <si>
    <t>https://github.com/im-adamya-vatsalya-sharma-09/TDS-Project-1</t>
  </si>
  <si>
    <t>https://github.com/code-kalrav/IITM-P1/tree/main</t>
  </si>
  <si>
    <t>https://github.com/Dnyan-iitm/TDS-Project1</t>
  </si>
  <si>
    <t>https://github.com/Mahabodhi4652/tds_project1</t>
  </si>
  <si>
    <t>https://github.com/aniko1806/GitHub_API_Analysis_Boston</t>
  </si>
  <si>
    <t>https://github.com/anshikaiitm/toronto_github_users</t>
  </si>
  <si>
    <t>https://github.com/vinaysurya1505/TDS-project-1</t>
  </si>
  <si>
    <t>https://github.com/RajaVishwanathDasari/TDS-Project-1</t>
  </si>
  <si>
    <t>https://github.com/ShivamS191/hiiii</t>
  </si>
  <si>
    <t>https://github.com/indalbind/tds_project_first</t>
  </si>
  <si>
    <t>https://github.com/Praveenkunn/TDS-Project1</t>
  </si>
  <si>
    <t>https://github.com/AnantLuthra/tds-project1</t>
  </si>
  <si>
    <t>https://github.com/SravanVullanki/TDSPROJECT1</t>
  </si>
  <si>
    <t>https://github.com/AnkitaDev05/TDS-Project1</t>
  </si>
  <si>
    <t>https://github.com/tejasreematta/TDS-Project-1</t>
  </si>
  <si>
    <t>https://github.com/ishitabhalla16/TDS-Project-1</t>
  </si>
  <si>
    <t>https://github.com/leyther5813/b100</t>
  </si>
  <si>
    <t>https://github.com/SANDESH9098/TDS-Project1</t>
  </si>
  <si>
    <t>https://github.com/Abhinandan-IIT-M/austin-github-users.git</t>
  </si>
  <si>
    <t>https://github.com/sn1411/chicago-github-users</t>
  </si>
  <si>
    <t>https://github.com/akulbansal1/TDS_Project_1</t>
  </si>
  <si>
    <t>https://github.com/PradeepIITMBS/TDS-PROJECT-1</t>
  </si>
  <si>
    <t>https://github.com/Jayaprakash1710/TDS-Project-1</t>
  </si>
  <si>
    <t>https://github.com/Rosh-10/tds-project-1</t>
  </si>
  <si>
    <t>https://github.com/ml1608/TDS-Project1</t>
  </si>
  <si>
    <t>https://github.com/22f3000398/TDS-Project</t>
  </si>
  <si>
    <t>https://github.com/Varun-K34/github-users-toronto</t>
  </si>
  <si>
    <t>https://github.com/raunak-kumar800/tds-project</t>
  </si>
  <si>
    <t>https://github.com/deep2003tds/project1/blob/main/repositories.csv</t>
  </si>
  <si>
    <t>https://github.com/RK-Codes-IITMBS/TDS-Project-1</t>
  </si>
  <si>
    <t>https://github.com/chandrabs25/tds_project1</t>
  </si>
  <si>
    <t>https://github.com/azh-py/london-github-users</t>
  </si>
  <si>
    <t>https://github.com/kabir2505/zurich_scraping-tds</t>
  </si>
  <si>
    <t>https://github.com/23f1000647/tds-project-1</t>
  </si>
  <si>
    <t>https://github.com/pranshu0205/TDS-Project-1</t>
  </si>
  <si>
    <t>https://github.com/abhi-manyu04/tds-pr1</t>
  </si>
  <si>
    <t>https://github.com/drashtish/TDS-Project1</t>
  </si>
  <si>
    <t>https://github.com/Tanuroy10/TdsProject</t>
  </si>
  <si>
    <t>https://github.com/vath-21/tdsproject1</t>
  </si>
  <si>
    <t>https://github.com/swaraj753/Project-1</t>
  </si>
  <si>
    <t>https://github.com/DigvijaysinhChudasamaIITM/ToolsinDataScience-Project1</t>
  </si>
  <si>
    <t>https://github.com/24f1002325-Jagan/Project-1/tree/main</t>
  </si>
  <si>
    <t>https://github.com/A-ojha31/Tokyo_200</t>
  </si>
  <si>
    <t>https://github.com/Man24Jain/Tokyo-GitHub-Scraping-Project</t>
  </si>
  <si>
    <t>https://github.com/pranavtiwari-this/tdm-project1/blob/main/README.mdn/TDS_P1.ipynb</t>
  </si>
  <si>
    <t>https://github.com/Irshadanwar/berlin-200-users-repositories</t>
  </si>
  <si>
    <t>https://github.com/SaikatMandal2022/TDS_Project1</t>
  </si>
  <si>
    <t>https://github.com/LakshayB05/tds_project1</t>
  </si>
  <si>
    <t>https://github.com/Anburajasp/TDS-PROJECT-1</t>
  </si>
  <si>
    <t>https://github.com/Neha-Galande-14/scrapper-project</t>
  </si>
  <si>
    <t>https://github.com/agaMadan/TDS-Project-1</t>
  </si>
  <si>
    <t>https://github.com/Abhinandan-IIT-M/austin-github-users</t>
  </si>
  <si>
    <t>https://github.com/SoumaySinghChauhan/Hyderabad_Github_users</t>
  </si>
  <si>
    <t>https://github.com/spacetime177/tds_proj</t>
  </si>
  <si>
    <t>https://github.com/importAmmar/TDS-Project-1</t>
  </si>
  <si>
    <t>https://github.com/edurelated2021/tds-proj1</t>
  </si>
  <si>
    <t>https://github.com/Abina-srini/TDS</t>
  </si>
  <si>
    <t>https://github.com/22f3002293/TDS-project1</t>
  </si>
  <si>
    <t>https://github.com/Harini-commits/stockholm-github-users</t>
  </si>
  <si>
    <t>https://github.com/Me-dev-commits/project-1</t>
  </si>
  <si>
    <t>https://github.com/Anu-IITM/Tds_project1</t>
  </si>
  <si>
    <t>https://github.com/Aadi0703/TDS-project1/blob/main/TDSP1.ipynb</t>
  </si>
  <si>
    <t>https://github.com/adityaraj2308/projeft1/blob/main/README.md</t>
  </si>
  <si>
    <t>https://github.com/ekxnsh22005/TDS-Project</t>
  </si>
  <si>
    <t>https://github.com/sashank-e/TDS_P1</t>
  </si>
  <si>
    <t>https://github.com/namish18/TDSP1</t>
  </si>
  <si>
    <t>https://github.com/23f2003488/dublin_users</t>
  </si>
  <si>
    <t>https://github.com/himanshu-IIT-M/project1/blob/main/repositories.csvlob/main/repositories.csv</t>
  </si>
  <si>
    <t>https://github.com/shanky999/TDS_Project1</t>
  </si>
  <si>
    <t>https://github.com/MaharajaMoorthy/tds_project1</t>
  </si>
  <si>
    <t>https://github.com/Aadil-Iqbal1729/TDS_Project-1</t>
  </si>
  <si>
    <t>https://github.com/PRAVINKUMAR99/mywebsite</t>
  </si>
  <si>
    <t>https://github.com/Karanshrivastav/tds_project_1</t>
  </si>
  <si>
    <t>https://github.com/404aalu/tds-project1/tree/main</t>
  </si>
  <si>
    <t>https://github.com/anshulbaliga7/iitm-tds-project1</t>
  </si>
  <si>
    <t>https://github.com/nitesh-Sharma-IITM/IITM_TDS</t>
  </si>
  <si>
    <t>https://github.com/VaishHa/Delhi100_TDS</t>
  </si>
  <si>
    <t>ttps://github.com/swalihaattar/IITM_TDS_P1</t>
  </si>
  <si>
    <t>https://github.com/tanmay8542/project1</t>
  </si>
  <si>
    <t>https://github.com/SohamGhosh2510/Project</t>
  </si>
  <si>
    <t>https://github.com/23f3002916/TDSProject1</t>
  </si>
  <si>
    <t>https://github.com/aksarwar/tds-project/blob/main/project1.ipynb</t>
  </si>
  <si>
    <t>https://github.com/Logikos1/iitm-tds-project1-berlin200</t>
  </si>
  <si>
    <t>https://github.com/22f2001300/TDS-P1</t>
  </si>
  <si>
    <t>https://github.com/palavallichaitanya/TDS-Project-1</t>
  </si>
  <si>
    <t>https://github.com/Swag2002/TDS_Main_Project</t>
  </si>
  <si>
    <t>https://github.com/NewDaci/tds-project1</t>
  </si>
  <si>
    <t>https://github.com/kashishbansal920/Project-TDS</t>
  </si>
  <si>
    <t>https://github.com/Amrutkar-Kavya/TDS-Project1</t>
  </si>
  <si>
    <t>https://github.com/yaqoob56/TDS_Project_1</t>
  </si>
  <si>
    <t>https://github.com/Lokith-sharan/GitHub-Scraper-Singapore</t>
  </si>
  <si>
    <t>https://github.com/anupam-21f2000522/Mumbai-50</t>
  </si>
  <si>
    <t>https://github.com/2utkarsh2/TDS_Project1</t>
  </si>
  <si>
    <t>https://github.com/24f1002325-Jagan/Project-1</t>
  </si>
  <si>
    <t>https://github.com/vazemon/TDS_Project1</t>
  </si>
  <si>
    <t>https://github.com/kthirumlaesh17/tdsproject-1</t>
  </si>
  <si>
    <t>https://github.com/UnfairFinish/TDS-Project-1</t>
  </si>
  <si>
    <t>https://github.com/Imranrasheedpm/tds_proj_1</t>
  </si>
  <si>
    <t>https://github.com/sunnykumardangi/TDS_project-1</t>
  </si>
  <si>
    <t>https://github.com/Nandhini-Ammaiappan/Project1</t>
  </si>
  <si>
    <t>https://github.com/Ganesh002005/data_analysis_boostan</t>
  </si>
  <si>
    <t>https://github.com/nemo0002/Tds_proj_1</t>
  </si>
  <si>
    <t>https://github.com/sanchit-in/sydney-github-users</t>
  </si>
  <si>
    <t>https://github.com/basubinayak/tds-project-1</t>
  </si>
  <si>
    <t>https://github.com/Mv98dell/Mv/tree/33999fa40510af74122c53f73c6b8df2b53129c9</t>
  </si>
  <si>
    <t>https://github.com/Anas007-lab/Toronto_Scraper</t>
  </si>
  <si>
    <t>https://github.com/ThePenguin12345/TDS_Project1</t>
  </si>
  <si>
    <t>https://github.com/sneha-singh-12345578998/TDSProj-1</t>
  </si>
  <si>
    <t>https://github.com/divyanshdixit09/tds_project1</t>
  </si>
  <si>
    <t>https://github.com/ajay-iit/TDS-Project-1</t>
  </si>
  <si>
    <t>https://github.com/ArnoldMathew1998/TDS-project</t>
  </si>
  <si>
    <t>https://github.com/Skyehackerdoge/github-london-users</t>
  </si>
  <si>
    <t>https://github.com/ashuiitm/tdsproject1/</t>
  </si>
  <si>
    <t>https://github.com/kamalesh-79/tdsproj/tree/main</t>
  </si>
  <si>
    <t>https://github.com/Rishi-Bhatt/TDS-Project1-Sept2024</t>
  </si>
  <si>
    <t>https://github.com/AMIRTHAKATESAN-M/TDS-PROJECT-1</t>
  </si>
  <si>
    <t>https://github.com/Jahnavi530/TDS-Project-1</t>
  </si>
  <si>
    <t>https://github.com/fahmeed1713/GitHub-Users-and-Repositories-Data-Scraper</t>
  </si>
  <si>
    <t>https://github.com/RITIK-CHAUDHRY/project-1</t>
  </si>
  <si>
    <t xml:space="preserve">https://github.com/aksarwar/tds-project </t>
  </si>
  <si>
    <t>time</t>
  </si>
  <si>
    <t>score</t>
  </si>
  <si>
    <t>salt</t>
  </si>
  <si>
    <t>quiz</t>
  </si>
  <si>
    <t>email</t>
  </si>
  <si>
    <t>scores_q0</t>
  </si>
  <si>
    <t>scores_q1</t>
  </si>
  <si>
    <t>scores_q2</t>
  </si>
  <si>
    <t>scores_q3</t>
  </si>
  <si>
    <t>scores_q4</t>
  </si>
  <si>
    <t>scores_q5</t>
  </si>
  <si>
    <t>scores_q6</t>
  </si>
  <si>
    <t>scores_q7</t>
  </si>
  <si>
    <t>scores_q8</t>
  </si>
  <si>
    <t>scores_q9</t>
  </si>
  <si>
    <t>scores_q10</t>
  </si>
  <si>
    <t>scores_q11</t>
  </si>
  <si>
    <t>scores_q12</t>
  </si>
  <si>
    <t>scores_q13</t>
  </si>
  <si>
    <t>scores_q14</t>
  </si>
  <si>
    <t>scores_q15</t>
  </si>
  <si>
    <t>scores_q16</t>
  </si>
  <si>
    <t>answers_q0</t>
  </si>
  <si>
    <t>answers_q1</t>
  </si>
  <si>
    <t>answers_q2</t>
  </si>
  <si>
    <t>answers_q3</t>
  </si>
  <si>
    <t>answers_q4</t>
  </si>
  <si>
    <t>answers_q5</t>
  </si>
  <si>
    <t>answers_q6</t>
  </si>
  <si>
    <t>answers_q7</t>
  </si>
  <si>
    <t>answers_q8</t>
  </si>
  <si>
    <t>answers_q9</t>
  </si>
  <si>
    <t>answers_q10</t>
  </si>
  <si>
    <t>answers_q11</t>
  </si>
  <si>
    <t>answers_q12</t>
  </si>
  <si>
    <t>answers_q13</t>
  </si>
  <si>
    <t>answers_q14</t>
  </si>
  <si>
    <t>answers_q15</t>
  </si>
  <si>
    <t>answers_q16</t>
  </si>
  <si>
    <t>21f1000078@ds.study.iitm.ac.in</t>
  </si>
  <si>
    <t>2024-sep-project1</t>
  </si>
  <si>
    <t>orta,jeromeetienne,jonataslaw,steventroughtonsmith,axic</t>
  </si>
  <si>
    <t>paulca,adrian,GavinJoyce,amir,ciaranlee</t>
  </si>
  <si>
    <t>mit,apache-2.0,other</t>
  </si>
  <si>
    <t>MICROSOFT</t>
  </si>
  <si>
    <t>JavaScript</t>
  </si>
  <si>
    <t>MDX</t>
  </si>
  <si>
    <t>flaviohenriquealmeida,zalando,AnikSarker,wix,CardinalHealth</t>
  </si>
  <si>
    <t>orta,joshuacassidy,No9,wafuwafu13,lmammino</t>
  </si>
  <si>
    <t>O'Sullivan</t>
  </si>
  <si>
    <t>krishnaik06,championswimmer,arpitbbhayani,manjunath5496,tanaypratap</t>
  </si>
  <si>
    <t>anandology,irfn,jace,abhisek,abhin4v</t>
  </si>
  <si>
    <t>nan,mit,apache-2.0</t>
  </si>
  <si>
    <t>GOOGLE</t>
  </si>
  <si>
    <t>CSS</t>
  </si>
  <si>
    <t>XSLT</t>
  </si>
  <si>
    <t>krishnaik06,Hack-with-Github,laxmimerit,tanaypratap,abhishh1</t>
  </si>
  <si>
    <t>itaditya,manjunath5496,avinassh,sangam14,BastinRobin</t>
  </si>
  <si>
    <t>Kumar,Singh</t>
  </si>
  <si>
    <t>midudev,ai,raysan5,vfarcic,spite</t>
  </si>
  <si>
    <t>oleganza,gravityblast,fesplugas,fxn,pauek</t>
  </si>
  <si>
    <t>FREELANCE</t>
  </si>
  <si>
    <t>Python</t>
  </si>
  <si>
    <t>Vim Script</t>
  </si>
  <si>
    <t>midudev,vfarcic,spite,amix,cfenollosa</t>
  </si>
  <si>
    <t>NaN</t>
  </si>
  <si>
    <t>nilportugues,kinow,ajsb85,vfarcic,wlsf82</t>
  </si>
  <si>
    <t>MartÃ­nez,Ortiz</t>
  </si>
  <si>
    <t>21f1000398@ds.study.iitm.ac.in</t>
  </si>
  <si>
    <t>iam-veeramalla,in28minutes,stacksimplify,thenaveensaggam,MadhavBahl</t>
  </si>
  <si>
    <t>shabda,sitaramc,bagwanpankaj,srikanthlogic,kulbirsaini</t>
  </si>
  <si>
    <t>HTML</t>
  </si>
  <si>
    <t>Perl</t>
  </si>
  <si>
    <t>in28minutes,iam-veeramalla,stacksimplify,ashokitschool,thenaveensaggam</t>
  </si>
  <si>
    <t>wahidKhan74,hemanth22,akshayblevel,mnadeem,aadhar54</t>
  </si>
  <si>
    <t>Kumar</t>
  </si>
  <si>
    <t>amitshekhariitbhu,shradha-khapra,loveBabbar,Nakshatra05,Anuj-Kumar-Sharma</t>
  </si>
  <si>
    <t>one-aalam,vaidik,dineshkummarc,dash1291,DroidNinja</t>
  </si>
  <si>
    <t>MASAI SCHOOL</t>
  </si>
  <si>
    <t>TSQL</t>
  </si>
  <si>
    <t>Anuj-Kumar-Sharma,Ignitetechnologies,shradha-khapra,loveBabbar,amitshekhariitbhu</t>
  </si>
  <si>
    <t>sharmaroshan,amitsrivastava4all,shobhitsrivastava-ds,adityajoshi12,TheJSGirl</t>
  </si>
  <si>
    <t>Singh</t>
  </si>
  <si>
    <t>21f1000753@ds.study.iitm.ac.in</t>
  </si>
  <si>
    <t>peng-zhihui,ruanyf,phodal,liyupi,stormzhang</t>
  </si>
  <si>
    <t>osteele,mrluanma,ShiningRay,rainux,why404</t>
  </si>
  <si>
    <t>BYTEDANCE</t>
  </si>
  <si>
    <t>Rich Text Format</t>
  </si>
  <si>
    <t>ruanyf,peng-zhihui,espressif,vnpy,bilibili</t>
  </si>
  <si>
    <t>losfair,gonnavis,shadowcz007,j5s,Yuan-ManX</t>
  </si>
  <si>
    <t>Zhang</t>
  </si>
  <si>
    <t>21f1000770@ds.study.iitm.ac.in</t>
  </si>
  <si>
    <t>AlexGyver,carlcastanas,sergeyshaykhullin,alexey-goloburdin,richardroberti</t>
  </si>
  <si>
    <t>maxlapshin,veged,alexeyr,alec-c4,alno</t>
  </si>
  <si>
    <t>mit,other,apache-2.0</t>
  </si>
  <si>
    <t>YANDEX</t>
  </si>
  <si>
    <t>Pascal</t>
  </si>
  <si>
    <t>AlexGyver,alexey-goloburdin,yandex,yandexdataschool,esokolov</t>
  </si>
  <si>
    <t>VN0,kuggaa,reverse-ex,Mirocow,vslinko</t>
  </si>
  <si>
    <t>Romanov</t>
  </si>
  <si>
    <t>brianyu28,PatrickAlphaC,KeithGalli,CharlesCreativeContent,timbl</t>
  </si>
  <si>
    <t>evan,dpickett,tel,radical,joshuaclayton</t>
  </si>
  <si>
    <t>MIT License,Other,Apache License 2.0</t>
  </si>
  <si>
    <t>NORTHEASTERN UNIVERSITY</t>
  </si>
  <si>
    <t>SQL</t>
  </si>
  <si>
    <t>nikomatsakis,ccoenraets,KeithGalli,rstudio,pluskid</t>
  </si>
  <si>
    <t>cameronraysmith,berquist,lizbur10,burtbeckwith,jimkang</t>
  </si>
  <si>
    <t>Williams</t>
  </si>
  <si>
    <t>21f1001141@ds.study.iitm.ac.in</t>
  </si>
  <si>
    <t>Premalatha-success,anitaa1990,codewithMUHILAN,sygops,Spikeysanju</t>
  </si>
  <si>
    <t>cnu,railsfactory,sudhirj,ravijaya,badri</t>
  </si>
  <si>
    <t>MIT,APACHE-2.0,OTHER</t>
  </si>
  <si>
    <t>UNKNOWN</t>
  </si>
  <si>
    <t>JAVASCRIPT</t>
  </si>
  <si>
    <t>MARKDOWN</t>
  </si>
  <si>
    <t>codewithMUHILAN,Premalatha-success,aswintechguy,manikandanraji,jaganjavid</t>
  </si>
  <si>
    <t>AASIM-SYED,NK-GEARS,KARUPPIAH7890,RAJASEGAR,TESTLEAFPAGES</t>
  </si>
  <si>
    <t>S</t>
  </si>
  <si>
    <t>emmabostian,emilk,mpj,hrydgard,eriklindernoren</t>
  </si>
  <si>
    <t>Mange,kallepersson,fesplugas,etnt,pirelenito</t>
  </si>
  <si>
    <t>MIT License,Apache License 2.0,Other</t>
  </si>
  <si>
    <t>SPOTIFY</t>
  </si>
  <si>
    <t>TypeScript</t>
  </si>
  <si>
    <t>RAML</t>
  </si>
  <si>
    <t>spotify,Mojang,fornwall,joearms,EmbarkStudios</t>
  </si>
  <si>
    <t>HaraldNordgren,linhduongtuan,Nyholm,LinusU,lydell</t>
  </si>
  <si>
    <t>Gustafsson,Persson</t>
  </si>
  <si>
    <t>cassidoo,felangel,dabeaz,sstephenson,mattgodbolt</t>
  </si>
  <si>
    <t>ELLIOTTCABLE,trevorturk,lukehoersten,djspiewak,shanesveller</t>
  </si>
  <si>
    <t>UNIVERSITY OF CHICAGO</t>
  </si>
  <si>
    <t>dabeaz,sstephenson,khan4019,adashofdata,djspiewak</t>
  </si>
  <si>
    <t>yyolk,sabre1041,neodigm,MelSumner,carolynvs</t>
  </si>
  <si>
    <t>Smith</t>
  </si>
  <si>
    <t>MICROSOFT,IIIT HYDERABAD,GOOGLE</t>
  </si>
  <si>
    <t>marwahaha,eddelbuettel,sabre1041,erichilarysmithsr,yyolk</t>
  </si>
  <si>
    <t>vczh,bradfitz,munificent,tenderlove,ahmetb</t>
  </si>
  <si>
    <t>topfunky,nex3,beccasaurus,eric,grantr</t>
  </si>
  <si>
    <t>Vim script</t>
  </si>
  <si>
    <t>awslabs,mission-peace,karan,cmuratori,nex3</t>
  </si>
  <si>
    <t>svermeulen,homebysix,ryanoasis,anvaka,eugeneyan</t>
  </si>
  <si>
    <t>Wang</t>
  </si>
  <si>
    <t>getify,benawad,steveklabnik,cloudflare,jbogard</t>
  </si>
  <si>
    <t>jnewland,joshknowles,hassox,dan,damon</t>
  </si>
  <si>
    <t>Fennel</t>
  </si>
  <si>
    <t>getify,cloudflare,benawad,oracle,ContinuumIO</t>
  </si>
  <si>
    <t>FellowTraveler,realityexpander,OR13,PaulBratslavsky,skeptycal</t>
  </si>
  <si>
    <t>Moore,Smith</t>
  </si>
  <si>
    <t>michaelliao,daimajia,xiaolai,draveness,hongyangAndroid</t>
  </si>
  <si>
    <t>robin,nwind,reeze,kejun,ZhangHanDong</t>
  </si>
  <si>
    <t>Lex</t>
  </si>
  <si>
    <t>michaelliao,ityouknow,liuhuanyong,thunlp,shenghy</t>
  </si>
  <si>
    <t>michaelliao,Fallen-Breath,xtlsoft,ashawkey,rcore-os</t>
  </si>
  <si>
    <t>cameronraysmith,berquist,burtbeckwith,jimkang,johnny-rice</t>
  </si>
  <si>
    <t>21f1002828@ds.study.iitm.ac.in</t>
  </si>
  <si>
    <t>tiangolo,schacon,rwieruch,shuding,android10</t>
  </si>
  <si>
    <t>schacon,adamwiggins,myobie,lstoll,znarf</t>
  </si>
  <si>
    <t>Fluent</t>
  </si>
  <si>
    <t>tiangolo,marijnh,vakila,alexeygrigorev,lewagon</t>
  </si>
  <si>
    <t>derhuerst,janpio,saschanaz,jamesmunns,sunsided</t>
  </si>
  <si>
    <t>Schneider 3</t>
  </si>
  <si>
    <t>aneagoie,ZhangMYihua,susanli2016,thedaviddias,ange-yaghi</t>
  </si>
  <si>
    <t>jamesmacaulay,michaelklishin,myles,nwjsmith,vito</t>
  </si>
  <si>
    <t>UNIVERSITY OF TORONTO</t>
  </si>
  <si>
    <t>Cython</t>
  </si>
  <si>
    <t>aneagoie,nayuki,GrapheneOS,hlissner,rspivak</t>
  </si>
  <si>
    <t>andyw8,QuinntyneBrown,n1ckfg,nhat416,rgrinberg</t>
  </si>
  <si>
    <t>Ahmed</t>
  </si>
  <si>
    <t>21f1002976@ds.study.iitm.ac.in</t>
  </si>
  <si>
    <t>Haml</t>
  </si>
  <si>
    <t>nolanlawson,ingydotnet,homebysix,jacob-ebey,ImgBotApp</t>
  </si>
  <si>
    <t>Lin,Wang</t>
  </si>
  <si>
    <t>Jinja</t>
  </si>
  <si>
    <t>LinuxSuRen,zhufengnodejs,xiaoweiruby,i5ting,mozillazg</t>
  </si>
  <si>
    <t>REELANCE</t>
  </si>
  <si>
    <t>manjunath5496,itaditya,avinassh,narayanr7,sangam14</t>
  </si>
  <si>
    <t>21f1003777@ds.study.iitm.ac.in</t>
  </si>
  <si>
    <t>gpl-3.0,apache-2.0,mit</t>
  </si>
  <si>
    <t>Svelte</t>
  </si>
  <si>
    <t>dheeraj-thedev, coding-blocks-archives, Ayush7614, imvickykumar999, dineshkummarc</t>
  </si>
  <si>
    <t>Jupyter Notebook</t>
  </si>
  <si>
    <t>Chen,Kenny,O'Sullivan,Quinn</t>
  </si>
  <si>
    <t>ValentineFernandes, kovidgoyal, slidenerd, aryashah2k, coding-parrot</t>
  </si>
  <si>
    <t>ivank, sandeepshetty, svs, nitinhayaran, nischal</t>
  </si>
  <si>
    <t>mit, apache-2.0, other</t>
  </si>
  <si>
    <t>kovidgoyal, coding-parrot, gkcs, slidenerd, dmalvia</t>
  </si>
  <si>
    <t>Kushal334, alokproc, vinod1988, patilswapnilv, rajeshpillai</t>
  </si>
  <si>
    <t>21f1003992@ds.study.iitm.ac.in</t>
  </si>
  <si>
    <t>https://github.com/21f1003992/SeattleGitHubUsersScraper</t>
  </si>
  <si>
    <t>vczh,ryanoasis,fengli,lostintangent,sandersn</t>
  </si>
  <si>
    <t>\</t>
  </si>
  <si>
    <t>nan</t>
  </si>
  <si>
    <t>eugeneyan,anvaka,ryanoasis,aidenybai,derv82</t>
  </si>
  <si>
    <t>tj,kunal-kushwaha,angelabauer,jlord,Elfocrash</t>
  </si>
  <si>
    <t>aslakhellesoy,tomstuart,sole,javache,philhawksworth</t>
  </si>
  <si>
    <t>FACEBOOK</t>
  </si>
  <si>
    <t>Sass</t>
  </si>
  <si>
    <t>kunal-kushwaha,angelabauer,Elfocrash,LaravelDaily,cloudflare</t>
  </si>
  <si>
    <t>praveenscience,mattdesl,passy,valeman,CodeMaster7000</t>
  </si>
  <si>
    <t>Appleton,Brewery,Fuller,Greenfeld,Jackson,Li,Williams</t>
  </si>
  <si>
    <t>HaraldNordgren,Nyholm,lydell,LinusU,leostera</t>
  </si>
  <si>
    <t>huggingface,brunosimon,fabpot,Charles-Chrismann,posva</t>
  </si>
  <si>
    <t>sunny,nkallen,nono,tdd,luislavena</t>
  </si>
  <si>
    <t>HUGGINGFACE</t>
  </si>
  <si>
    <t>Blade</t>
  </si>
  <si>
    <t>huggingface,brunosimon,fabpot,lewagon,BartoszMilewski</t>
  </si>
  <si>
    <t>FarhaKousar1601, sunilkumarc, Nasruddin, avinassh, agbilotia1998</t>
  </si>
  <si>
    <t>dheeraj-thedev,coding-blocks-archives,Ayush7614,imvickykumar999,dineshkummarc</t>
  </si>
  <si>
    <t>nolanlawson,homebysix,ingydotnet,anvaka,moznion</t>
  </si>
  <si>
    <t>xtlsoft,LinuxSuRen,zhufengnodejs,ZhaoJ9014,lotem</t>
  </si>
  <si>
    <t>MIT License,Apache License 2.0,,GNU General Public License v3.0</t>
  </si>
  <si>
    <t>Ruby</t>
  </si>
  <si>
    <t>Weaver,Pickett,Abrahamson,Jain,Clayton</t>
  </si>
  <si>
    <t>21f1005745@ds.study.iitm.ac.in</t>
  </si>
  <si>
    <t>nicknochnack,brendangregg,cornflourblue,0vm,davecheney</t>
  </si>
  <si>
    <t>dylanegan,cjheath,freshtonic,dhowden,mikel</t>
  </si>
  <si>
    <t>ATLASSIAN</t>
  </si>
  <si>
    <t>Mermaid</t>
  </si>
  <si>
    <t>brendangregg,cornflourblue,Canva,nicknochnack,0vm</t>
  </si>
  <si>
    <t>timgates42,pinkforest,mikeyhodl,ozbillwang,XertroV</t>
  </si>
  <si>
    <t>Wu,Zhang</t>
  </si>
  <si>
    <t>nolanlawson,homebysix,ingydotnet,anvaka,ImgBotApp</t>
  </si>
  <si>
    <t>LinuxSuRen,zhufengnodejs,xiaoweiruby,i5ting,hailiang-wang</t>
  </si>
  <si>
    <t>mozillazg,HuangCongQing,XueshiQiao,zhufengnodejs,sunng87</t>
  </si>
  <si>
    <t>21f1006221@ds.study.iitm.ac.in</t>
  </si>
  <si>
    <t>THOUGHTWORKS</t>
  </si>
  <si>
    <t>Markdown</t>
  </si>
  <si>
    <t>aasim-syed,nk-gears,karuppiah7890,rajasegar,TestLeafPages</t>
  </si>
  <si>
    <t>nicknochnack, brendangregg, cornflourblue, 0vm, davecheney-</t>
  </si>
  <si>
    <t>dylanegan, cjheath, freshtonic, dhowden, mikel</t>
  </si>
  <si>
    <t>timgates42, pinkforest, mikeyhodl, ozbillwang, XertroV</t>
  </si>
  <si>
    <t>Huang</t>
  </si>
  <si>
    <t>n1ckfg,jsoref,QuinntyneBrown,invokethreatguy,andyw8</t>
  </si>
  <si>
    <t>andyw8,QuinntyneBrown,invokethreatguy,rgrinberg,Devang-25</t>
  </si>
  <si>
    <t>21f1006463@ds.study.iitm.ac.in</t>
  </si>
  <si>
    <t>tarsius,aalmiray,marcoroth,klmr,MrNeRF</t>
  </si>
  <si>
    <t>bennyzen,aalmiray,pvillega,tarsius,amaunz</t>
  </si>
  <si>
    <t>UNIVERSITY OF BASEL</t>
  </si>
  <si>
    <t>PureScript</t>
  </si>
  <si>
    <t>dpryan79,wasserth,ravage84,elanmart,quadbiolab</t>
  </si>
  <si>
    <t>dpryan79,syzer,ioolkos,maysam,pvillega</t>
  </si>
  <si>
    <t>Arnold,Brand,Christensen,Fink,GmbH,Group,Guggisberg,Landolt,Roth,Tan</t>
  </si>
  <si>
    <t>https://github.com/aksarwar/tds-project</t>
  </si>
  <si>
    <t>jamesmacaulay,michaelklishin,myles,nwjsmith,cablehead</t>
  </si>
  <si>
    <t>derhuerst,janpio,saschanaz,blueyed,jamesmunns</t>
  </si>
  <si>
    <t>Schneider</t>
  </si>
  <si>
    <t>21f1007111@ds.study.iitm.ac.in</t>
  </si>
  <si>
    <t>https://github.com/fazleo/iitm_project</t>
  </si>
  <si>
    <t>cloudflare, oracle, ContinuumIO, mrocklin, srowen</t>
  </si>
  <si>
    <t>progrium, steveklabnik, davatron5000, schneems, SlexAxton</t>
  </si>
  <si>
    <t>dennybritz,wasabeef,dai-shi,rui314,domenic</t>
  </si>
  <si>
    <t>kana,kakutani,mootoh,lhl,walf443</t>
  </si>
  <si>
    <t>Rust</t>
  </si>
  <si>
    <t>Assembly</t>
  </si>
  <si>
    <t>blueimp,dai-shi,asahilina,pilcrowonpaper,marcan</t>
  </si>
  <si>
    <t>azu,suzuki-shunsuke,yuiseki,xuwei-k,zchee</t>
  </si>
  <si>
    <t>Kato,Tanaka</t>
  </si>
  <si>
    <t>jordaneremieff,pinkforest,timgates42,Anyesh,beauwilliams</t>
  </si>
  <si>
    <t>No License,mit,other</t>
  </si>
  <si>
    <t>marwahaha,austinsonger,eddelbuettel,sabre1041,yyolk</t>
  </si>
  <si>
    <t>Baker,Chen,Chu,Fuller,Jones,King,LLC,Miller,Olsen,Sadykov,Smith,Turk,Zhang</t>
  </si>
  <si>
    <t>h6ah4i,qnighy,yutkat,syumai,suzuki-shunsuke</t>
  </si>
  <si>
    <t>mosh-hamedani,TheCherno,haileys,rstacruz,jesseduffield</t>
  </si>
  <si>
    <t>toolmantim,crafterm,dgoodlad,Sutto,mdub</t>
  </si>
  <si>
    <t>MIT License,Other,GNU General Public License v3.0</t>
  </si>
  <si>
    <t>MONASH UNIVERSITY</t>
  </si>
  <si>
    <t>Java</t>
  </si>
  <si>
    <t>mosh-hamedani,binarythistle,TheCherno,TuPayChain,rogerclarkmelbourne</t>
  </si>
  <si>
    <t>haileys,rstacruz,jesseduffield,binarythistle,JakeLin</t>
  </si>
  <si>
    <t>MIT,Apache-2.0,GPL-3.0</t>
  </si>
  <si>
    <t>losfair,j5s,Yuan-ManX,gonnavis,yuzd</t>
  </si>
  <si>
    <t>HaraldNordgren,Nyholm,lydell,linhduongtuan,LinusU</t>
  </si>
  <si>
    <t>ValentineFernandes,kovidgoyal,slidenerd,aryashah2k,coding-parrot</t>
  </si>
  <si>
    <t>ivank,sandeepshetty,svs,nitinhayaran,nischal</t>
  </si>
  <si>
    <t>kovidgoyal,coding-parrot,gkcs,slidenerd,dmalvia</t>
  </si>
  <si>
    <t>Kushal334,alokproc,vinod1988,patilswapnilv,rajeshpillai</t>
  </si>
  <si>
    <t>timgates42,pinkforest,johndpope,mvandermeulen,mikeyhodl</t>
  </si>
  <si>
    <t>IDouble,TheOfficialFloW,Seldaek,riscv,JonnyBurger</t>
  </si>
  <si>
    <t>Coq</t>
  </si>
  <si>
    <t>JonnyBurger,syzer,kynan,nicnocquee,zouzias</t>
  </si>
  <si>
    <t>Li,Wang</t>
  </si>
  <si>
    <t>mit,gpl-3.0,apache-2.0</t>
  </si>
  <si>
    <t>21f2000624@ds.study.iitm.ac.in</t>
  </si>
  <si>
    <t>https://github.com/FaruqueIITM/TDS_Project_1</t>
  </si>
  <si>
    <t>alexfernandez, jordisantamaria, goncy, carlosble, alexlondon07</t>
  </si>
  <si>
    <t>carlosble, alexfernandez, jordisantamaria, goncy, drpicox</t>
  </si>
  <si>
    <t>MIT License, Apache License 2.0, GNU General Public License v3.0</t>
  </si>
  <si>
    <t>alexfernandez, jordisantamaria, goncy, carlosble, drpicox</t>
  </si>
  <si>
    <t>0.42 (moderate positive correlation)</t>
  </si>
  <si>
    <t>Regression analysis shows approximately 2.8 additional followers per public repository.</t>
  </si>
  <si>
    <t>0.76 (strong positive correlation, suggesting they are often enabled together)</t>
  </si>
  <si>
    <t>Hireable users follow on average 15% more people than non-hireable users</t>
  </si>
  <si>
    <t>0.31 (weak to moderate positive correlation)</t>
  </si>
  <si>
    <t>alexfernandez, goncy, jordisantamaria, carlosble, alexlondon07</t>
  </si>
  <si>
    <t>72% of hireable users share their email address, compared to 45% of non-hireable users</t>
  </si>
  <si>
    <t>Garcia, Martinez, Lopez</t>
  </si>
  <si>
    <t>johndpope,mvandermeulen,timgates42,mikeyhodl,pinkforest</t>
  </si>
  <si>
    <t>D</t>
  </si>
  <si>
    <t>wolfeidau,karkranikhil,roachhd,plutext,rstacruz</t>
  </si>
  <si>
    <t>21f2000753@ds.study.iitm.ac.in</t>
  </si>
  <si>
    <t>21f2000813@ds.study.iitm.ac.in</t>
  </si>
  <si>
    <t>N/A</t>
  </si>
  <si>
    <t>MysteriousSonOfGod,rishistyping,vincentbernat,gre,KOUISAmine</t>
  </si>
  <si>
    <t>Fontaine,Gomez,Michel,Paris,Project,Simon</t>
  </si>
  <si>
    <t>Go</t>
  </si>
  <si>
    <t>Hengle,j5s,Ewenwan,HiWong,shadowcz007</t>
  </si>
  <si>
    <t>yyx990803,halfrost,DIYgod,yangshun,bytedance</t>
  </si>
  <si>
    <t>chuyeow,choonkeat,winston,cheeaun,nowa</t>
  </si>
  <si>
    <t>NATIONAL UNIVERSITY OF SINGAPORE</t>
  </si>
  <si>
    <t>bytedance,Jinjiang,cloudflare,JamesNK,Shib-Chain</t>
  </si>
  <si>
    <t>Nan</t>
  </si>
  <si>
    <t>alextanhongpin,shantanu561993,SOF3,KennyDizi,vdt</t>
  </si>
  <si>
    <t>marwahaha,austinsonger,eddelbuettel,erichilarysmithsr,yyolk</t>
  </si>
  <si>
    <t>LinuxSuRen,hailiang-wang,xiaoweiruby,i5ting,zhufengnodejs</t>
  </si>
  <si>
    <t>SystemVerilog</t>
  </si>
  <si>
    <t>johnpolacek,azaa1,awatson1978,marwahaha,ryanve</t>
  </si>
  <si>
    <t>null,mit,apache-2.0</t>
  </si>
  <si>
    <t>21f2001536@ds.study.iitm.ac.in</t>
  </si>
  <si>
    <t>backtrackbaba,devdatta95,Kushal334,ankit0183,burhanuday</t>
  </si>
  <si>
    <t>joshuacassidy,skilbjo,kracekumar,butlerx,lmammino</t>
  </si>
  <si>
    <t>21f3000105@ds.study.iitm.ac.in</t>
  </si>
  <si>
    <t>ADOBE</t>
  </si>
  <si>
    <t>PHP</t>
  </si>
  <si>
    <t>marcossegovia,tbreuss,ioolkos,BaselHack,maysam</t>
  </si>
  <si>
    <t>21f3000133@ds.study.iitm.ac.in</t>
  </si>
  <si>
    <t>imvickykumar999,dheeraj-thedev,Ayush7614,coding-blocks-archives,cybergeekgyan</t>
  </si>
  <si>
    <t>lejoe,uwolfer,matthiask,oscardelben,panterch</t>
  </si>
  <si>
    <t>BitBake</t>
  </si>
  <si>
    <t>riscv,bpasero,Seldaek,egamma,ethz-asl</t>
  </si>
  <si>
    <t>JonnyBurger,syzer,kynan,nicnocquee,simonaco</t>
  </si>
  <si>
    <t>21f3000201@ds.study.iitm.ac.in</t>
  </si>
  <si>
    <t>janpio,denisdefreyne,MohamedMesto,PurpleBooth,generall</t>
  </si>
  <si>
    <t>jnewland,joshknowles,hassox,jicksta,dan</t>
  </si>
  <si>
    <t>Labs,Moore,Smith</t>
  </si>
  <si>
    <t>21f3000328@ds.study.iitm.ac.in</t>
  </si>
  <si>
    <t>hemanth22,anjijava16,wahidKhan74,elevenpassin,narasimhavuppala</t>
  </si>
  <si>
    <t>ZOHO</t>
  </si>
  <si>
    <t>21f3000401@ds.study.iitm.ac.in</t>
  </si>
  <si>
    <t>https://github.com/[Mihir150485]/[github-user-scraper.git]</t>
  </si>
  <si>
    <t>[tarsius,allmiray,marcoroth,Klmr,MrNeRF]</t>
  </si>
  <si>
    <t>[bennyzen,allmiray,pvillega,tarsius,amaunz]</t>
  </si>
  <si>
    <t>,k</t>
  </si>
  <si>
    <t>s</t>
  </si>
  <si>
    <t>java</t>
  </si>
  <si>
    <t>kynan,yati-sagade,dw5,nicnocquee,sspreitzer</t>
  </si>
  <si>
    <t>21f3000428@ds.study.iitm.ac.in</t>
  </si>
  <si>
    <t>roachhd,wolfeidau,karkranikhil,rstacruz,plutext</t>
  </si>
  <si>
    <t>jq</t>
  </si>
  <si>
    <t>HaraldNordgren,Nyholm,lydell,linhduogtuan,LinusU</t>
  </si>
  <si>
    <t>mit,apache,other</t>
  </si>
  <si>
    <t>Swift</t>
  </si>
  <si>
    <t>taku910,sinhrks,kissy24,kitasuke,takahashim</t>
  </si>
  <si>
    <t>Inno Setup</t>
  </si>
  <si>
    <t>vdt,shantanu561993,alextanhongpin,cheahengsoon,SOF3</t>
  </si>
  <si>
    <t>simon</t>
  </si>
  <si>
    <t>qnighy,h6ah4i,takahashim,suzuki-shunsuke,kevincobain2000</t>
  </si>
  <si>
    <t>Tanaka</t>
  </si>
  <si>
    <t>kinow,nilportugues,ajsb85,vfarcic,wlsf82</t>
  </si>
  <si>
    <t>LÃ³pez,MartÃ­nez,Ortiz</t>
  </si>
  <si>
    <t>SOF3,sausheong,geocine,Minyus,pankajparkar</t>
  </si>
  <si>
    <t>janpio,derhuerst,saschanaz,jamesmunns,sunsided</t>
  </si>
  <si>
    <t>21f3001214@ds.study.iitm.ac.in</t>
  </si>
  <si>
    <t>21f3001285@ds.study.iitm.ac.in</t>
  </si>
  <si>
    <t>FarhaKousar1601,avinassh,Nasruddin,sunilkumarc,sunnysavita10</t>
  </si>
  <si>
    <t>JonnyBurger,syzer,kynan,nicnocquee,betatim</t>
  </si>
  <si>
    <t>21f3001328@ds.study.iitm.ac.in</t>
  </si>
  <si>
    <t>https://github.com/Rudranshs1ngh/project_iitm</t>
  </si>
  <si>
    <t>sindresorhus,feross,josephg,peterbe,glenmaddern</t>
  </si>
  <si>
    <t>21f3001345@ds.study.iitm.ac.in</t>
  </si>
  <si>
    <t>https://github.com/Induvardhan/singapore_100</t>
  </si>
  <si>
    <t>yyx990803, halfrost, DIYgod, yangshun, bytedance</t>
  </si>
  <si>
    <t>chuyeow, choonkeat, winston, cheeaun, nowa</t>
  </si>
  <si>
    <t>MIT License, Apache License 2.0,Other</t>
  </si>
  <si>
    <t>NATIONAL UNIVERSITYÂ OFÂ SINGAPORE</t>
  </si>
  <si>
    <t>bytedance, Jinjiang,cloudflare, JamesNK,Â Shib-Chain</t>
  </si>
  <si>
    <t>alextanhongpin,SOF3, shantanu 561993,KennyDizi,vdt</t>
  </si>
  <si>
    <t>21f3001489@ds.study.iitm.ac.in</t>
  </si>
  <si>
    <t>Jackson,Wang</t>
  </si>
  <si>
    <t>dennybritz, wasabeef, dai-shi, rui314, domenic</t>
  </si>
  <si>
    <t>kana, kakutani, mootoh, lhl, walf443</t>
  </si>
  <si>
    <t>mit, other, apache-2.0</t>
  </si>
  <si>
    <t>blueimp, dai-shi, asahilina, pilcrowonpaper, marcan</t>
  </si>
  <si>
    <t>azu, syohex, xuwei-k, tuian, making</t>
  </si>
  <si>
    <t>Kato, Tanaka, 5</t>
  </si>
  <si>
    <t>21f3001520@ds.study.iitm.ac.in</t>
  </si>
  <si>
    <t>losfair,gonnavis,j5s,shadowcz007,Yuan-ManX</t>
  </si>
  <si>
    <t>StephenMayeux,steveklabnik,benawad,pfrazee,progrium</t>
  </si>
  <si>
    <t>MOORE,SMITH</t>
  </si>
  <si>
    <t>londonappbrewery,valeman,adamchainz,praveenscience,mattdesl</t>
  </si>
  <si>
    <t>21f3001907@ds.study.iitm.ac.in</t>
  </si>
  <si>
    <t>f213,pumano,daniiomir,xanderblinov,Sergey-Yurakov</t>
  </si>
  <si>
    <t>itaditya,sangam14,avinassh,theschoolofai,manjunath5496</t>
  </si>
  <si>
    <t>Kushal334,alokproc,patilswapnilv,rajeshpillai,deadcoder0904</t>
  </si>
  <si>
    <t>Singh,Shah,Yadav</t>
  </si>
  <si>
    <t>21f3002088@ds.study.iitm.ac.in</t>
  </si>
  <si>
    <t>Cassidoo,Felangel, Dabeaz, Sstephenson, Mattgodbolt</t>
  </si>
  <si>
    <t>ELLIOTTCABLE, trevorturk, lukehoersten, djspiewak, shanesveller</t>
  </si>
  <si>
    <t>MIT License, Other, Apache License 2.0</t>
  </si>
  <si>
    <t>NULL</t>
  </si>
  <si>
    <t>null</t>
  </si>
  <si>
    <t>dabeaz, sstephenson, khan4019, adashofdata, djspiewak</t>
  </si>
  <si>
    <t>johnpolacek, gauss1181, johnwinans, emilyriederer, tedivm</t>
  </si>
  <si>
    <t>21f3002125@ds.study.iitm.ac.in</t>
  </si>
  <si>
    <t>Quinn</t>
  </si>
  <si>
    <t>https://github.com/21f3002397/tds-project</t>
  </si>
  <si>
    <t>'',mit,other</t>
  </si>
  <si>
    <t>''</t>
  </si>
  <si>
    <t>other,mit,apache-2.0</t>
  </si>
  <si>
    <t>javascript</t>
  </si>
  <si>
    <t>unknown</t>
  </si>
  <si>
    <t>handlebars</t>
  </si>
  <si>
    <t>rwaldron,bahmutov,PatrickAlphaC,nikomatsakis,migueldeicaza</t>
  </si>
  <si>
    <t>21f3002579@ds.study.iitm.ac.in</t>
  </si>
  <si>
    <t>Persson,Gustafsson</t>
  </si>
  <si>
    <t>21f3002780@ds.study.iitm.ac.in</t>
  </si>
  <si>
    <t>21f3002801@ds.study.iitm.ac.in</t>
  </si>
  <si>
    <t>mit,bsd-2-clause,apache-2.0</t>
  </si>
  <si>
    <t>21f3002811@ds.study.iitm.ac.in</t>
  </si>
  <si>
    <t>https://github.com/isha123navare/ISshaTDS1Proj</t>
  </si>
  <si>
    <t>schacon,adamwiggins,anaisbetts,fjl,kashif</t>
  </si>
  <si>
    <t>Microsoft</t>
  </si>
  <si>
    <t>Tex</t>
  </si>
  <si>
    <t>Sass 3915.0</t>
  </si>
  <si>
    <t>MohamedMesto,AmruthPillai,leo,stefanjudis,Byron</t>
  </si>
  <si>
    <t>Adermann,Ahmadi,Aisch,Alencar,Amcalar,Betts,Bourgon,BÃ¶hnke,Camunda,Cejas,Chacon,Chambers,Cure53,Ding,Explosion,Farkas,Galli,GeisendÃ¶rfer,Ghallou,Giraudel,Grigorev,Haase,Hauser,Haverbeke,Heilmann,Honnibal,Jack,Jahns,Jerzy,Judis,Junginger,Keyes,Khan,Klack,Kolahan,Krieger,Kumar,KÃ¤ppler,Lamprecht,Lange,Larkin,Lee,Lehnardt,Lohmann,M.,Makeev,Massango,Mesto,Migutsky,Montani,MÃ¼hler,Neely,Nguyen,Paszke,Pillai,Poettering,Polonsky,Popov,Prisma,Prokopov,Rabenstein,RamÃ­rez,Rasul,Rebe,Roaa,Rojansky,Ruder,Ruecker,SE,Scherer,Schickling,Schlawack,SchlÃ¶mer,Schmitt,Shishkin,Silbermann,Srivastava,Swift,Tarek,Thiel,Tran,Typst,Vakil,Vogelsteller,Vohr,Wagon,Walkowiak,Weissflog,Wieruch,Wiggins,Wittmann,Xiao,Zorn,Zubarev,cytopia,ligi,srrrse,xct</t>
  </si>
  <si>
    <t>azu,suzuki-shunsuke,yuiseki,xuwei-k,kt3k</t>
  </si>
  <si>
    <t>21f3002970@ds.study.iitm.ac.in</t>
  </si>
  <si>
    <t>https://github.com/Swagat-pati/TDS_project1</t>
  </si>
  <si>
    <t>cheeaun, Jinjiang, uknownothingsnow, JamesNK, cloudflare</t>
  </si>
  <si>
    <t>mit, apache-2.0, bsd-3-clause</t>
  </si>
  <si>
    <t>TOEVERYTHING</t>
  </si>
  <si>
    <t>bytedance, Jinjiang, cloudflare, JamesNK, Shib-Chain</t>
  </si>
  <si>
    <t>cheeaun, sonnylazuardi, fossasia, cloudflare, DIYgod. â€‹</t>
  </si>
  <si>
    <t>azu,suzuki-shunsuke,yuiseki,xuwei-k,rhysd</t>
  </si>
  <si>
    <t>22ds2000045@ds.study.iitm.ac.in</t>
  </si>
  <si>
    <t>https://github.com/ASIF-I-KHAN/github_bangalore_user_data</t>
  </si>
  <si>
    <t>krishnaik06, championswimmer, arpitbbhayani, manjunath5496, tanaypratap</t>
  </si>
  <si>
    <t>midopooler, RheaAdh, sahilbansal17, techiescamp, Amitpnk</t>
  </si>
  <si>
    <t>mit, apache-2.0, gpl-3.0</t>
  </si>
  <si>
    <t>krishnaik06, Hack-with-Github, laxmimerit, tanaypratap, abhishh1</t>
  </si>
  <si>
    <t>22ds3000053@ds.study.iitm.ac.in</t>
  </si>
  <si>
    <t>https://github.com/Nila2023-d/TDS-Project-1</t>
  </si>
  <si>
    <t>bvalosek,gonzopancho,techmexdev,jhildenbiddle,edkrueger</t>
  </si>
  <si>
    <t>22ds3000122@ds.study.iitm.ac.in</t>
  </si>
  <si>
    <t>lejoe,uwolfer,matthiask,oscardelben,pneff</t>
  </si>
  <si>
    <t>JonnyBurger,syzer,kynan,nicnocquee,shuhei</t>
  </si>
  <si>
    <t>Li, Wang : 4</t>
  </si>
  <si>
    <t>22f1000099@ds.study.iitm.ac.in</t>
  </si>
  <si>
    <t>syzer,JonnyBurger,kynan,nicnocquee,shuhei</t>
  </si>
  <si>
    <t>22f1000144@ds.study.iitm.ac.in</t>
  </si>
  <si>
    <t>wang</t>
  </si>
  <si>
    <t>MASAISCHOOL</t>
  </si>
  <si>
    <t>Kushal334,alokproc,rajeshpillai,deadcoder0904,mohd14shoeb</t>
  </si>
  <si>
    <t>AlexGyver,alexey-goloburdin,yandex,esokolov,yandexdataschool</t>
  </si>
  <si>
    <t>22f1000543@ds.study.iitm.ac.in</t>
  </si>
  <si>
    <t>98638443, 1308621, 5139030, 73865728, 59478396</t>
  </si>
  <si>
    <t>4976, 20508, 45945, 50523, 51428</t>
  </si>
  <si>
    <t>IIIT HYDERABAD</t>
  </si>
  <si>
    <t>HCL</t>
  </si>
  <si>
    <t>22f1000605@ds.study.iitm.ac.in</t>
  </si>
  <si>
    <t>22f1000619@ds.study.iitm.ac.in</t>
  </si>
  <si>
    <t>HaraldNordgren,jamesmcm,satansdeer,jakobmattsson,MaikKlein</t>
  </si>
  <si>
    <t>sethbergman,OR13,jeffreybiles,asonix,camilonova</t>
  </si>
  <si>
    <t>chrisguttandin,cs-MohamedAyman,hartwork,PurpleBooth,tcurdt</t>
  </si>
  <si>
    <t>22f1000935@ds.study.iitm.ac.in</t>
  </si>
  <si>
    <t>https://github.com/nitharsh935/project-p1</t>
  </si>
  <si>
    <t>octocat,mojombo,defunkt,holman,atmos</t>
  </si>
  <si>
    <t>johndoe, janedoe, jsmith, maryjones, bobanders</t>
  </si>
  <si>
    <t>MIT, Apache-2.0, GPL-3.0</t>
  </si>
  <si>
    <t>SHOPIFY</t>
  </si>
  <si>
    <t>python</t>
  </si>
  <si>
    <t>octocat, mojombo, defunkt, holman, atmos</t>
  </si>
  <si>
    <t>Smith, Johnson, Williams</t>
  </si>
  <si>
    <t>22f1000952@ds.study.iitm.ac.in</t>
  </si>
  <si>
    <t>hemanth22,anjijava16,wahidKhan74,elevenpassin,Shekharrajak</t>
  </si>
  <si>
    <t>other,apache-2.0,mit</t>
  </si>
  <si>
    <t>https://github.com/22f1001105/TDSPROJECT1</t>
  </si>
  <si>
    <t>Premalatha-success, adithya1010, SeshagiriSriram, ramkumar-26, sreeedhar</t>
  </si>
  <si>
    <t>Premalatha-success, anitaa1990, codewithMUHILAN, sygops, Spikeysanju</t>
  </si>
  <si>
    <t>MIT License, Apache License 2.0, Other</t>
  </si>
  <si>
    <t>NAN</t>
  </si>
  <si>
    <t>Not enough programming languages found for recent users.</t>
  </si>
  <si>
    <t>aasim-syed, nk-gears, karuppiah7890, rajasegar, TestLeafPages</t>
  </si>
  <si>
    <t>bit101,dbrant,natea,zenhack,BlakeWilliams</t>
  </si>
  <si>
    <t>praveenscience,mattdesl,passy,CodeMaster7000,UKVeteran</t>
  </si>
  <si>
    <t>null,MIT License,Apache License 2.0</t>
  </si>
  <si>
    <t>NONE</t>
  </si>
  <si>
    <t>22f1001595@ds.study.iitm.ac.in</t>
  </si>
  <si>
    <t>rahuldkjain, preethamb97, swapagarwal, sunnysavita10, uchiha-suraj</t>
  </si>
  <si>
    <t>KUMAR</t>
  </si>
  <si>
    <t>40ants,coagulant,deepfire,kuggaa,hightemp</t>
  </si>
  <si>
    <t>22f1001786@ds.study.iitm.ac.in</t>
  </si>
  <si>
    <t>Html</t>
  </si>
  <si>
    <t>user86,user166,user202,user255,user170</t>
  </si>
  <si>
    <t>user463,user407,user500,user268,user284</t>
  </si>
  <si>
    <t>GPL-3.0,BSD-3-Clause,Apache-2.0</t>
  </si>
  <si>
    <t>TAN DESIGNS</t>
  </si>
  <si>
    <t>user192,user346,user427,user378,user479</t>
  </si>
  <si>
    <t>user309, user352, user408, user200, user15</t>
  </si>
  <si>
    <t>Long</t>
  </si>
  <si>
    <t>alextanhongpin,SOF3,shantanu561993,KennyDizi,vdt</t>
  </si>
  <si>
    <t>dheeraj-thedev,coding-blocks-archives,imvickykumar999,Ayush7614,cybergeekgyan</t>
  </si>
  <si>
    <t>anandology, irfn, jace, abhisek, abhin4v</t>
  </si>
  <si>
    <t>tarsius, aalmiray, marcoroth, klmr, MrNeRF</t>
  </si>
  <si>
    <t>bennyzen, aalmiray, pvillega, tarsius, amaunz</t>
  </si>
  <si>
    <t>The majority of developers work at: UNIVERSITY OF BASEL with 20 developers.</t>
  </si>
  <si>
    <t>The most popular programming language is: JavaScript with 1405 repositories</t>
  </si>
  <si>
    <t>The second most popular programming language among users who joined after 2020 is: HTML with 21 repositories.</t>
  </si>
  <si>
    <t>PureScript with an average of 114.00 stars</t>
  </si>
  <si>
    <t>dpryan79, wasserth, ravage84, elanmart, quadbiolab</t>
  </si>
  <si>
    <t>The correlation between the number of followers and the number of public repositories is: 0.345</t>
  </si>
  <si>
    <t>marcossegovia, tbreuss, BaselHack, ioolkos, maysam</t>
  </si>
  <si>
    <t>rnold, Brand, Christensen, Fink, GmbH, Group, Guggisberg, Landolt, Roth, Tan</t>
  </si>
  <si>
    <t>anjijava16,hemanth22,Shekharrajak,wahidKhan74,elevenpassin</t>
  </si>
  <si>
    <t>22f2000309@ds.study.iitm.ac.in</t>
  </si>
  <si>
    <t>22f2000438@ds.study.iitm.ac.in</t>
  </si>
  <si>
    <t>TheOfficialFloW,tbocek,rschlaefli,iwangu,dw5</t>
  </si>
  <si>
    <t>C#</t>
  </si>
  <si>
    <t>22f2000517@ds.study.iitm.ac.in</t>
  </si>
  <si>
    <t>https://github.com/monikabhalerao/tds_project_1</t>
  </si>
  <si>
    <t>michaelliao, daimajia, xiaolai, draveness, hongyangAndroid</t>
  </si>
  <si>
    <t>robin, nwind, reeze, kejun, ZhangHanDong</t>
  </si>
  <si>
    <t>AkshayAnand2002,manrajgrover,mehulmpt,ShreyaPrasad1209,saumya1singh</t>
  </si>
  <si>
    <t>vczh,bradfitz,munificent,tenderlove,koush</t>
  </si>
  <si>
    <t>codewithMUHILAN,Premalatha-success,aswintechguy,manikandan</t>
  </si>
  <si>
    <t>rama270677,rakshaa2000,Raj2710,Vinaykumarmahato,Balajichandra</t>
  </si>
  <si>
    <t>22f2000778@ds.study.iitm.ac.in</t>
  </si>
  <si>
    <t>https://github.com/VivekIITM1/VivekIITM</t>
  </si>
  <si>
    <t>getify, benawad, steveklabnik, cloudflare, jbogard</t>
  </si>
  <si>
    <t>itaditya,avinassh,sangam14,manjunath5496,championswimmer</t>
  </si>
  <si>
    <t>marwahaha,eddelbuettel,sabre1041,yyolk,austinsonger</t>
  </si>
  <si>
    <t>xaviershay,md-5,wolfeidau,timbertson,evgenyneu</t>
  </si>
  <si>
    <t>Vue</t>
  </si>
  <si>
    <t>davideuler,songquanpeng,taoso,xen0n,leeight</t>
  </si>
  <si>
    <t>22f2000931@ds.study.iitm.ac.in</t>
  </si>
  <si>
    <t>Lissy93,martincostello,FlexMonkey,benjojo,MattIPv4</t>
  </si>
  <si>
    <t>22f2000946@ds.study.iitm.ac.in</t>
  </si>
  <si>
    <t>mit,apache-2.0,gpl-3.0</t>
  </si>
  <si>
    <t>VN0,kuggaa,reverse-ex,ktaranov,Mirocow</t>
  </si>
  <si>
    <t>22f2001076@ds.study.iitm.ac.in</t>
  </si>
  <si>
    <t>PatrickAlphaC,jlooper,ccoenraets,leonnoel,nedbat</t>
  </si>
  <si>
    <t>evan, dpickett, tel, radical, joshuaclayton</t>
  </si>
  <si>
    <t>brianyu28, Aveek-Saha, seflless, philipturnbull,rachelkang</t>
  </si>
  <si>
    <t>22f2001150@ds.study.iitm.ac.in</t>
  </si>
  <si>
    <t>LinuxSuRen,zhufengnodejs,xiaoweiruby,hailiang-wang,i5ting</t>
  </si>
  <si>
    <t>https://github.com/Namangoel1904/TDS-Project1</t>
  </si>
  <si>
    <t>timgates42,pinkforest,johndpope,mvandermeulen,ozbillwang</t>
  </si>
  <si>
    <t>22f2001256@ds.study.iitm.ac.in</t>
  </si>
  <si>
    <t>C++</t>
  </si>
  <si>
    <t>Sevelte</t>
  </si>
  <si>
    <t>kracekumar,skilbjo,aldanor,wafuwafu13,butlerx</t>
  </si>
  <si>
    <t>22f2001318@ds.study.iitm.ac.in</t>
  </si>
  <si>
    <t>Javascript</t>
  </si>
  <si>
    <t>marks,OR13,jeffreybiles,darius,camilonova</t>
  </si>
  <si>
    <t>22f2001347@ds.study.iitm.ac.in</t>
  </si>
  <si>
    <t>22f2001395@ds.study.iitm.ac.in</t>
  </si>
  <si>
    <t>gpl-3.0</t>
  </si>
  <si>
    <t>22f2001483@ds.study.iitm.ac.in</t>
  </si>
  <si>
    <t>22f2001494@ds.study.iitm.ac.in</t>
  </si>
  <si>
    <t>https://github.com/Shashi7420/TDS---Project-1</t>
  </si>
  <si>
    <t>22f2001522@ds.study.iitm.ac.in</t>
  </si>
  <si>
    <t>https://github.com/Tannukr/TDSweek5</t>
  </si>
  <si>
    <t>mohd14shoeb,vinod1988,Kushal334,patilswapnilv,alokproc</t>
  </si>
  <si>
    <t>FellowTraveler,realityexpander,PaulBratslavsky,steveklabnik,OR13</t>
  </si>
  <si>
    <t>brendangregg,cornflourblue,nicknochnack,0vm,adg</t>
  </si>
  <si>
    <t>22f3000152@ds.study.iitm.ac.in</t>
  </si>
  <si>
    <t>svermeulen,homebysix,ryanoasis,eugeneyan,anvaka</t>
  </si>
  <si>
    <t>22f3000263@ds.study.iitm.ac.in</t>
  </si>
  <si>
    <t>tomhodgins,davepagurek,DjDeveloperr,joeyism,EmilyGraceSeville7cf</t>
  </si>
  <si>
    <t>22f3000377@ds.study.iitm.ac.in</t>
  </si>
  <si>
    <t>22f3000398@ds.study.iitm.ac.in</t>
  </si>
  <si>
    <t>https://github.com/Veekshi28/tds-project1</t>
  </si>
  <si>
    <t>22f3000531@ds.study.iitm.ac.in</t>
  </si>
  <si>
    <t>h6ah4i,qnighy,takahashim,kevincobain2000,yutkat</t>
  </si>
  <si>
    <t>22f3000653@ds.study.iitm.ac.in</t>
  </si>
  <si>
    <t>johnny-rice,lizbur10,bahmutov,cameronraysmith,rwaldron</t>
  </si>
  <si>
    <t>syzer,JonnyBurger,kynan,nicnocquee,zouzias</t>
  </si>
  <si>
    <t>backtrackbaba,devdatta95,ankit0183,Kushal334,burhanuday</t>
  </si>
  <si>
    <t>mit,apache-2.0,other,bsd-3-clause,gpl-3.0</t>
  </si>
  <si>
    <t>MysteriousSonOfGod,Haroenv,rishistyping,vincentbernat,gre</t>
  </si>
  <si>
    <t>Fontaine,Gomez,Paris,Project,Simon</t>
  </si>
  <si>
    <t>LinuxSuRen,zhufengnodejs,i5ting,mozillazg,hailiang-wang</t>
  </si>
  <si>
    <t>Google</t>
  </si>
  <si>
    <t>GDScript</t>
  </si>
  <si>
    <t>gontovnik,Mononofu,Soldy,alexanderGugel,ashvardanian</t>
  </si>
  <si>
    <t>22f3000936@ds.study.iitm.ac.in</t>
  </si>
  <si>
    <t>https://github.com/AddagallaSaiTharun/TDS_Project1</t>
  </si>
  <si>
    <t>22f3000942@ds.study.iitm.ac.in</t>
  </si>
  <si>
    <t>anjijava16,elevenpassin,Shekharrajak,Jsuresh47,kuluruvineeth</t>
  </si>
  <si>
    <t>Hamadabcn,vieron,julianxhokaxhiu,domini-code,ctford</t>
  </si>
  <si>
    <t>22f3001074@ds.study.iitm.ac.in</t>
  </si>
  <si>
    <t>Simon</t>
  </si>
  <si>
    <t>alokproc,Kushal334,rajeshpillai,Chitrank-Dixit,mohd14shoeb</t>
  </si>
  <si>
    <t>22f3001415@ds.study.iitm.ac.in</t>
  </si>
  <si>
    <t>https://github.com/Shiva9361/Project1</t>
  </si>
  <si>
    <t>22f3001475@ds.study.iitm.ac.in</t>
  </si>
  <si>
    <t>https://github.com/neil537/TDS---Project-1/tree/main</t>
  </si>
  <si>
    <t>['cassidoo', 'felangel', 'dabeaz', 'sstephenson', 'mattgodbolt']</t>
  </si>
  <si>
    <t>['ELLIOTTCABLE', 'trevorturk', 'lukehoersten', 'djspiewak', 'shanesveller']</t>
  </si>
  <si>
    <t>['mit', 'other', 'apache-2.0']</t>
  </si>
  <si>
    <t>['dabeaz', 'sstephenson', 'khan4019', 'adashofdata', 'djspiewak']</t>
  </si>
  <si>
    <t>['marwahaha', 'eddelbuettel', 'sabre1041', 'erichilarysmithsr', 'yyolk']</t>
  </si>
  <si>
    <t>22f3001566@ds.study.iitm.ac.in</t>
  </si>
  <si>
    <t>22f3001652@ds.study.iitm.ac.in</t>
  </si>
  <si>
    <t>22f3001673@ds.study.iitm.ac.in</t>
  </si>
  <si>
    <t>22f3001715@ds.study.iitm.ac.in</t>
  </si>
  <si>
    <t>janpio,derhuerst,saschanaz,james,munns,sunsided</t>
  </si>
  <si>
    <t>https://github.com/Aryan1411/TDS-Proj1</t>
  </si>
  <si>
    <t>22f3001906@ds.study.iitm.ac.in</t>
  </si>
  <si>
    <t>https://github.com/22f3001914/TDS_Project1</t>
  </si>
  <si>
    <t>22f3001943@ds.study.iitm.ac.in</t>
  </si>
  <si>
    <t>https://github.com/sam22ridhi/iitm</t>
  </si>
  <si>
    <t>None</t>
  </si>
  <si>
    <t>davecheney, jpillora, alecthomas, sanjay-kv, djnavarro</t>
  </si>
  <si>
    <t>itaditya,avinassh,sangam14,manjunath5496,Tivotal</t>
  </si>
  <si>
    <t>'',mit,apache-2.0</t>
  </si>
  <si>
    <t>CMake</t>
  </si>
  <si>
    <t>flaviohenriquealmeida,AnikSarker,awesomeAB,steventroughtonsmith,12Knocksinna</t>
  </si>
  <si>
    <t>22f3002048@ds.study.iitm.ac.in</t>
  </si>
  <si>
    <t>user123,dev456,coder789,programmer101,engineer202</t>
  </si>
  <si>
    <t>22f3002113@ds.study.iitm.ac.in</t>
  </si>
  <si>
    <t>itaditya,avinassh,sangam14,Tivotal,manjunath5496</t>
  </si>
  <si>
    <t>22f3002174@ds.study.iitm.ac.in</t>
  </si>
  <si>
    <t>22f3002192@ds.study.iitm.ac.in</t>
  </si>
  <si>
    <t>dheeraj-thedev,imvickykumar999,coding-blocks-archives,Ayush7614,cybergeekgyan</t>
  </si>
  <si>
    <t>22f3002240@ds.study.iitm.ac.in</t>
  </si>
  <si>
    <t>https://github.com/zyrobeast/TDS_Week_4_Project</t>
  </si>
  <si>
    <t>No License,MIT License,Other</t>
  </si>
  <si>
    <t>22f3002345@ds.study.iitm.ac.in</t>
  </si>
  <si>
    <t>https://github.com/lakshmanmutum/tds_project1</t>
  </si>
  <si>
    <t>Reason</t>
  </si>
  <si>
    <t>kunal-kushwaha,angelabauer,Elfocrash,LaravelDaily,sonnysangha</t>
  </si>
  <si>
    <t>praveenscience,passy,mattdesl,CodeMaster7000,UKVeteran</t>
  </si>
  <si>
    <t>Appleton,Fuller,Greenfeld,Jackson,Li,Williams</t>
  </si>
  <si>
    <t>Ewenwan,phodal,amusi,KittenYang,nihui</t>
  </si>
  <si>
    <t>https://github.com/danishansarii78/sydney_github_users</t>
  </si>
  <si>
    <t>mlt,gpl-3.0,apache-2.0</t>
  </si>
  <si>
    <t>Atlassian</t>
  </si>
  <si>
    <t>22f3002488@ds.study.iitm.ac.in</t>
  </si>
  <si>
    <t>aws</t>
  </si>
  <si>
    <t>camilonova,realityexpander,daniel-nagy,mauvehed,sethbergman</t>
  </si>
  <si>
    <t>22f3002542@ds.study.iitm.ac.in</t>
  </si>
  <si>
    <t>dpryan79,ioolkos,syzer,maysam,pvillega</t>
  </si>
  <si>
    <t>nolanlawson,homebysix,ingydotnet,anvaka,moznio</t>
  </si>
  <si>
    <t>Hamedani,Chernikov,Somerville,Cruz,Duffield</t>
  </si>
  <si>
    <t>22f3002723@ds.study.iitm.ac.in</t>
  </si>
  <si>
    <t>GOOGLE,MICROSOFT,MASAI SCHOOL</t>
  </si>
  <si>
    <t>22f3002796@ds.study.iitm.ac.in</t>
  </si>
  <si>
    <t>vraravam,sudar,vraa,manojlds,kayceesrk</t>
  </si>
  <si>
    <t>No licenses found among the users.</t>
  </si>
  <si>
    <t>codewithMUHILAN, Premalatha-success, aswintechguy, manikandanraji, jaganjavid</t>
  </si>
  <si>
    <t>schacon,adamwiggins,lstoll,mindreframer,anaisbetts</t>
  </si>
  <si>
    <t>Shell</t>
  </si>
  <si>
    <t>No license,MIT License,Apache License 2.0</t>
  </si>
  <si>
    <t>filiphr,iwangu,stefanhaustein,shuhei,WhiteFireFox</t>
  </si>
  <si>
    <t>joshuacassidy,butlerx,Gpzim98,oguzhane,allentv</t>
  </si>
  <si>
    <t>22f3003110@ds.study.iitm.ac.in</t>
  </si>
  <si>
    <t>https://github.com/gaurav870922/moscowProj01.git</t>
  </si>
  <si>
    <t>034D53A5B203CBDE49AF3BE59C47E5E7330ED65EF31693F43C091A8C0DB39559</t>
  </si>
  <si>
    <t>saran, vijay, mohan, rohit, sohan</t>
  </si>
  <si>
    <t>reliance</t>
  </si>
  <si>
    <t>c++</t>
  </si>
  <si>
    <t>SELECT SUM(price) AS total_sales FROM (     SELECT price     FROM tickets     WHERE type = 'Gold'     ORDER BY price DESC     LIMIT 100 );</t>
  </si>
  <si>
    <t>mrs</t>
  </si>
  <si>
    <t>manjunath5496,Newton-School,Tivotal,tkmagesh,narayanr7</t>
  </si>
  <si>
    <t>22f3003208@ds.study.iitm.ac.in</t>
  </si>
  <si>
    <t>JonnyBurger,syzer,kynan,nicnocquee,eregon</t>
  </si>
  <si>
    <t>jnewland, joshknowles, hassox, dan, damon</t>
  </si>
  <si>
    <t>MIT, Apache 2.0, GPLv3</t>
  </si>
  <si>
    <t>getify, cloudflare, benawad, oracle, ContinuumIO</t>
  </si>
  <si>
    <t>getify, GeostatsGuy, pfrazee, dhg, thirtythreeforty</t>
  </si>
  <si>
    <t>Moore, Smith</t>
  </si>
  <si>
    <t>22f3003282@ds.study.iitm.ac.in</t>
  </si>
  <si>
    <t>No License,mit,apache-2.0</t>
  </si>
  <si>
    <t>huggingface, brunosimon, fabpot, Charles-Chrismann, posva</t>
  </si>
  <si>
    <t>sunny, nkallen, nono, tdd, luislavena</t>
  </si>
  <si>
    <t>Language: Blade, Average Stars: 1632.0</t>
  </si>
  <si>
    <t>huggingface, brunosimon, fabpot, lewagon, BartoszMilewski</t>
  </si>
  <si>
    <t>MysteriousSonOfGod, Haroenv, rishistyping, vincentbernat, gre</t>
  </si>
  <si>
    <t>https://github.com/Kumaran-akm/tds-project1</t>
  </si>
  <si>
    <t>0.353.</t>
  </si>
  <si>
    <t>SCSS</t>
  </si>
  <si>
    <t>23ds3000149@ds.study.iitm.ac.in</t>
  </si>
  <si>
    <t>anjijava16,Shekharrajak,arvindr21,in28minutes,maddydevgits</t>
  </si>
  <si>
    <t>23ds3000191@ds.study.iitm.ac.in</t>
  </si>
  <si>
    <t>University of Basel</t>
  </si>
  <si>
    <t>23ds3000221@ds.study.iitm.ac.in</t>
  </si>
  <si>
    <t>mstechly,friyiajr,rajansagarwal,etimberg,bruno-garcia</t>
  </si>
  <si>
    <t>23ds3000239@ds.study.iitm.ac.in</t>
  </si>
  <si>
    <t>MLT Licence,Apache License 2.0,other</t>
  </si>
  <si>
    <t>bytedance,jinjiang,cloudflare,jamesNK,Shib-Chain</t>
  </si>
  <si>
    <t>23f1000024@ds.study.iitm.ac.in</t>
  </si>
  <si>
    <t>https://github.com/Your-Coder-Guy/Bengluru_Github_users.git</t>
  </si>
  <si>
    <t>knadh,sadanandpai,DeekshithSN,collabnix,probelalkhan</t>
  </si>
  <si>
    <t>ajeetraina,knadh,ragunathjawahar,aakashns,raisedadead</t>
  </si>
  <si>
    <t>mit</t>
  </si>
  <si>
    <t>Kailash Nadh,Belal Khan,Collabnix,SAURAV SHARMA,Mitesh Chodvadiya</t>
  </si>
  <si>
    <t>haotian-wang,maxkatz6,ylegall,mbucchia,arxanas</t>
  </si>
  <si>
    <t>awslabs,mission-peace,karan, cmuratori,nex3</t>
  </si>
  <si>
    <t>nolanlawson,homebysix,ingydotnet,anvaka,schollz</t>
  </si>
  <si>
    <t>No License,MIT License,Apache License 2.0</t>
  </si>
  <si>
    <t>kynan,lris,yati-sagade,Sadullah-TANRIKULU,shuhei</t>
  </si>
  <si>
    <t>23f1000307@ds.study.iitm.ac.in</t>
  </si>
  <si>
    <t>schollz,ingydotnet,nolanlawson,homebysix,arokem</t>
  </si>
  <si>
    <t>23f1000645@ds.study.iitm.ac.in</t>
  </si>
  <si>
    <t>https://github.com/shanukmr123/TDS_Project1/</t>
  </si>
  <si>
    <t>23f1000698@ds.study.iitm.ac.in</t>
  </si>
  <si>
    <t>Arnold, Brand, Christensen, Fink, GmbH, Group, Guggisberg, Landolt,Â Roth,Â Tan</t>
  </si>
  <si>
    <t>23f1000726@ds.study.iitm.ac.in</t>
  </si>
  <si>
    <t>Gustafsson</t>
  </si>
  <si>
    <t>alextanhongpin,SOF3,shantanu561993,pankajparkar,KennyDizi</t>
  </si>
  <si>
    <t>https://github.com/AlakhyaIITM/proj1</t>
  </si>
  <si>
    <t>23f1001079@ds.study.iitm.ac.in</t>
  </si>
  <si>
    <t>https://github.com/AgRhIaTnRtAy/Proj1.git</t>
  </si>
  <si>
    <t>23f1001293@ds.study.iitm.ac.in</t>
  </si>
  <si>
    <t>23f1001316@ds.study.iitm.ac.in</t>
  </si>
  <si>
    <t>https://github.com/samta-web/TDS-PROJECT1</t>
  </si>
  <si>
    <t>michaelliao ,daimajia ,xiaolai, draveness, hongyangAndroid</t>
  </si>
  <si>
    <t>n,ZhangHanDong</t>
  </si>
  <si>
    <t>23f1001345@ds.study.iitm.ac.in</t>
  </si>
  <si>
    <t>Ansheel9,backtrackbaba,dipeshpatil,Jasmin2895,burhanuday</t>
  </si>
  <si>
    <t>23f1001357@ds.study.iitm.ac.in</t>
  </si>
  <si>
    <t>kushal334,alokproc,patilswapnilv,rajeshpillai,deadcoder0904</t>
  </si>
  <si>
    <t>mission-peace,karan,cmuratori,nex3,RyanCavanaugh</t>
  </si>
  <si>
    <t>Aws</t>
  </si>
  <si>
    <t>23f1001415@ds.study.iitm.ac.in</t>
  </si>
  <si>
    <t>https://github.com/NIkhilTejaC/Project_1/tree/main</t>
  </si>
  <si>
    <t>bytedance,Jinjiang,cloudflare,Shib-Chain,rustdesk</t>
  </si>
  <si>
    <t>MONASHUNIVERSITY</t>
  </si>
  <si>
    <t>23f1001663@ds.study.iitm.ac.in</t>
  </si>
  <si>
    <t>azu,hajimehoshi,kishikawakatsumi,kazupon,privatenumber</t>
  </si>
  <si>
    <t>23f1001713@ds.study.iitm.ac.in</t>
  </si>
  <si>
    <t>badri,ravijaya,sudhirj,railsfactory,cnu</t>
  </si>
  <si>
    <t>nk-gears,TestLeafPages,RahulSundar,rajasegar,rama270677</t>
  </si>
  <si>
    <t>23f1001747@ds.study.iitm.ac.in</t>
  </si>
  <si>
    <t>Lua</t>
  </si>
  <si>
    <t>derhuerst,janpio,jamesmunns,meh,localheinz</t>
  </si>
  <si>
    <t>23f1001788@ds.study.iitm.ac.in</t>
  </si>
  <si>
    <t>23f1001832@ds.study.iitm.ac.in</t>
  </si>
  <si>
    <t>maxlapshin,veged,borman,AlexWayfer,pasaran</t>
  </si>
  <si>
    <t>MIT License,Apache License 2.0,GNU General Public License v3.0</t>
  </si>
  <si>
    <t>23f1001898@ds.study.iitm.ac.in</t>
  </si>
  <si>
    <t>zhufengnodejs,i5ting,mozillazg,hailiang-wang,HuangCongQing</t>
  </si>
  <si>
    <t>23f1001975@ds.study.iitm.ac.in</t>
  </si>
  <si>
    <t>MIT License, Apache License 2.0, BSD 3-Clause</t>
  </si>
  <si>
    <t>riscv, bpasero, Seldaek, egamma, ethz-asl</t>
  </si>
  <si>
    <t>JonnyBurger, simonaco, sahildua2305, filipw, mhils</t>
  </si>
  <si>
    <t>Li, Wang</t>
  </si>
  <si>
    <t>MadhavBahl,in28minutes,zephyrzilla,yaswanthpalaghat,waseem18</t>
  </si>
  <si>
    <t>23f1002071@ds.study.iitm.ac.in</t>
  </si>
  <si>
    <t>LinuxSuRen,hailiang-wang,i5ting,xiaoweiruby,wanglong</t>
  </si>
  <si>
    <t>wahidKhan74, hemanth22, akshayblevel, mnadeem, aadhar54</t>
  </si>
  <si>
    <t>23f1002451@ds.study.iitm.ac.in</t>
  </si>
  <si>
    <t>ldct,DjDeveloperr,davepagurek,rajansagarwal,andyw8</t>
  </si>
  <si>
    <t>23f1002508@ds.study.iitm.ac.in</t>
  </si>
  <si>
    <t>23f1002574@ds.study.iitm.ac.in</t>
  </si>
  <si>
    <t>https://github.com/TITlidatta/DataAnalysis_2</t>
  </si>
  <si>
    <t>schacon,codepo8,felixge,peterbourgon,marijnh</t>
  </si>
  <si>
    <t>mit,apache-2.0,gpl-2.0</t>
  </si>
  <si>
    <t>Dart</t>
  </si>
  <si>
    <t>floooh,ines,android10,vakila,codepo8</t>
  </si>
  <si>
    <t>Amcalar, Bourgon, Cejas, Chacon, Ding, GeisendÃ¶rfer, Giraudel, Grigorev, Haverbeke, Heilmann, Hauser, Junginger, Kolahan, Lohmann, Montani, Paszke, Popov, Prokopov, Ruder, RamÃ­rez, Srivastava, Vakil, Vohr, Wagon, Weissflog, Wieruch, Xiao</t>
  </si>
  <si>
    <t>JonnyBurger,betatim,simonaco,sahildua2305,filipw</t>
  </si>
  <si>
    <t>23f1002633@ds.study.iitm.ac.in</t>
  </si>
  <si>
    <t>https://github.com/LandeVV326/TDS_Project-1</t>
  </si>
  <si>
    <t>"https://github.com/krishnaik06", "https://github.com/championswimmer", "https://github.com/arpitbbhayani", "https://github.com/manjunath5496",  "https://github.com/tanaypratap"</t>
  </si>
  <si>
    <t>Amazon</t>
  </si>
  <si>
    <t>PYTHON</t>
  </si>
  <si>
    <t>JAVA SCRIPT</t>
  </si>
  <si>
    <t>"https://github.com/krishnaik06", "https://github.com/championswimmer", "https://github.com/arpitbbhayani", "https://github.com/manjunath5496",  "https://github.com/tanaypratap",</t>
  </si>
  <si>
    <t>arpitbbhayani, championswimmer, callicoder</t>
  </si>
  <si>
    <t>losfair,Ewenwan,lychees,davideuler,phodal</t>
  </si>
  <si>
    <t>23f1002698@ds.study.iitm.ac.in</t>
  </si>
  <si>
    <t>https://github.com/SuhaniDubey03/TDSGA1</t>
  </si>
  <si>
    <t>azu, suzuki-shunsuke, yuiseki, xuwei-k, zchee</t>
  </si>
  <si>
    <t>Kato, Tanaka</t>
  </si>
  <si>
    <t>23f1002786@ds.study.iitm.ac.in</t>
  </si>
  <si>
    <t>23f1002800@ds.study.iitm.ac.in</t>
  </si>
  <si>
    <t>denisdefreyne,PurpleBooth,MohamedMesto,AmruthPillai,hanshuebner</t>
  </si>
  <si>
    <t>23f1002989@ds.study.iitm.ac.in</t>
  </si>
  <si>
    <t>https://github.com/Gowshikraj6/tdsp1</t>
  </si>
  <si>
    <t>sudar,kayceesrk,MovingToWeb,csjaba,suriyadeepan</t>
  </si>
  <si>
    <t>Makefile</t>
  </si>
  <si>
    <t>23f1003016@ds.study.iitm.ac.in</t>
  </si>
  <si>
    <t>brianyu28, PatrickAlphaC, KeithGalli, CharlesCreativeContent, timbl</t>
  </si>
  <si>
    <t>nikomatsakis, ccoenraets, KeithGalli, rstudio, pluskid</t>
  </si>
  <si>
    <t>cameronraysmith, berquist, burtbeckwith, jimkang, johnny-rice</t>
  </si>
  <si>
    <t>23f1003040@ds.study.iitm.ac.in</t>
  </si>
  <si>
    <t>https://github.com/nirmalpillai17/tds-project-1</t>
  </si>
  <si>
    <t>FREELANCE,RED HAT,APPLE,ADEVINTA,DATADOG</t>
  </si>
  <si>
    <t>23f1003100@ds.study.iitm.ac.in</t>
  </si>
  <si>
    <t>TanYuanyuan,abcKFC68,xianzong-wu</t>
  </si>
  <si>
    <t>cnu, railsfactory, sudhirj, ravijaya, badri</t>
  </si>
  <si>
    <t>https://github.com/aryankeserwani/github-stockholm-scrape</t>
  </si>
  <si>
    <t>spotify,Mojang,joearms,fornwall,EmbarkStudios</t>
  </si>
  <si>
    <t>spotify,FabrizioBrancati,keeto,miyconst,panoply</t>
  </si>
  <si>
    <t>23f2000119@ds.study.iitm.ac.in</t>
  </si>
  <si>
    <t>https://github.com/Varuna08/Barcelona_users</t>
  </si>
  <si>
    <t>Top 5 users in Barcelona by followers: midudev, ai, raysan5, vfarcic, spite</t>
  </si>
  <si>
    <t>5 earliest registered users in Barcelona: oleganza, gravityblast, fxn, ctford, blixt</t>
  </si>
  <si>
    <t>3 most popular licenses among users in Barcelona: mit, apache-2.0, other</t>
  </si>
  <si>
    <t>The company with the majority of developers in Barcelona is: RED HAT with 3 developers.</t>
  </si>
  <si>
    <t>The most popular programming language among users in Barcelona is: JavaScript with 1224 repositories</t>
  </si>
  <si>
    <t>The second most popular programming language among users who joined after 2020 is: C with 12 repositories.</t>
  </si>
  <si>
    <t>The programming language with the highest average number of stars per repository is: Vim Script with an average of 15351.50 stars.</t>
  </si>
  <si>
    <t>Top 5 users in terms of leader strength: midudev, vfarcic, spite, amix, cfenollosa</t>
  </si>
  <si>
    <t>The correlation between the number of followers and the number of public repositories is: 0.062</t>
  </si>
  <si>
    <t>The estimated number of additional followers per additional public repository is: 1.501</t>
  </si>
  <si>
    <t>The correlation between having projects enabled and having wiki enabled is: 0.395</t>
  </si>
  <si>
    <t>The average following for hireable users minus the average for non-hireable users is: nan</t>
  </si>
  <si>
    <t>The estimated number of additional followers per word in bio is: 11.737</t>
  </si>
  <si>
    <t>Top 5 users who created the most repositories on weekends: julianxhokaxhiu, ctford, robertohuertasm, marc2332, pditommaso</t>
  </si>
  <si>
    <t>Difference in email sharing: nan</t>
  </si>
  <si>
    <t>Most common surnames: PÃ©rez</t>
  </si>
  <si>
    <t>23f2000274@ds.study.iitm.ac.in</t>
  </si>
  <si>
    <t>https://github.com/sparsh0106/TDS-P1</t>
  </si>
  <si>
    <t>cassidoo, felangel, dabeaz, sstephenson, mattgodbolt</t>
  </si>
  <si>
    <t>djspiewak, dchelimsky, sstephenson, rentzsch, coreyhaines</t>
  </si>
  <si>
    <t>Github</t>
  </si>
  <si>
    <t>djspiewak, adashofdata, khan4019, sstephenson, dabeaz</t>
  </si>
  <si>
    <t>andyw8, QuinntyneBrown, invokethreatguy, rgrinberg, Devang-25</t>
  </si>
  <si>
    <t>23f2000328@ds.study.iitm.ac.in</t>
  </si>
  <si>
    <t>Chen,Johnson,Williams,Zhang</t>
  </si>
  <si>
    <t>23f2000332@ds.study.iitm.ac.in</t>
  </si>
  <si>
    <t>stacksimplify, thenaveensaggam, ashokitschool, codewithdev, NotHarshhaa</t>
  </si>
  <si>
    <t>janakiramm, hindupuravinash, daminisatya, javabyraghu, thenaveensaggam</t>
  </si>
  <si>
    <t>red hat</t>
  </si>
  <si>
    <t>in28minutes, iam-veeramalla, stacksimplify, ashokitschool, thenaveensaggam</t>
  </si>
  <si>
    <t>in28minutes, thenaveensaggam, MadhavBahl, Shahzaib-D-Memon, imbhargav5</t>
  </si>
  <si>
    <t>23f2000362@ds.study.iitm.ac.in</t>
  </si>
  <si>
    <t>cassidoo,scollis,carolineartz,PedroLopes,zekenie</t>
  </si>
  <si>
    <t>Turk</t>
  </si>
  <si>
    <t>Tim Lucas,Marcus Crafter,David Goodlad,Darcy Laycock,Mike Williams</t>
  </si>
  <si>
    <t>Wang,Jackson</t>
  </si>
  <si>
    <t>23f2000605@ds.study.iitm.ac.in</t>
  </si>
  <si>
    <t>https://github.com/Swayamatiitm/github-user-scraper</t>
  </si>
  <si>
    <t>tj, kunal-kushwaha, angelabauer, jlord, Elfocrash</t>
  </si>
  <si>
    <t>jcoglan, albinotonnina, audreyfeldroy, matryer, dsyer</t>
  </si>
  <si>
    <t>kunal-kushwaha, angelabauer, Elfocrash, LaravelDaily, cloudflare</t>
  </si>
  <si>
    <t>Lissy93, Archakov06, sergiecode, weavejester, eddiejaoude</t>
  </si>
  <si>
    <t>Brewery, Fuller, Greenfeld</t>
  </si>
  <si>
    <t>qnighy,yuiseki,kuy,yutkat,suzuki-shunsuke</t>
  </si>
  <si>
    <t>23f2000819@ds.study.iitm.ac.in</t>
  </si>
  <si>
    <t>23f2000859@ds.study.iitm.ac.in</t>
  </si>
  <si>
    <t>https://github.com/aashay-d12/TDS-Project1</t>
  </si>
  <si>
    <t>tiangolo, schacon, rwieruch, shuding, android10</t>
  </si>
  <si>
    <t>schacon, codepo8, felixge, peterbourgon, marijnh</t>
  </si>
  <si>
    <t>No one joined after 2020</t>
  </si>
  <si>
    <t>tiangolo</t>
  </si>
  <si>
    <t>https://github.com/adityaraj2308/projeft1/blob/main/repositories.csv</t>
  </si>
  <si>
    <t>Gustafsson,Persson 3</t>
  </si>
  <si>
    <t>NONE,MIT License,Apache License 2.0</t>
  </si>
  <si>
    <t>AWS</t>
  </si>
  <si>
    <t>23f2001431@ds.study.iitm.ac.in</t>
  </si>
  <si>
    <t>taku910, qnighy, kyubuns, gimite, sinhrk</t>
  </si>
  <si>
    <t>tbreuss,BaselHack,svene,goggle,schoentoon</t>
  </si>
  <si>
    <t>mit,apache-2.0,bsd-3-clause</t>
  </si>
  <si>
    <t>Emacs Lisp</t>
  </si>
  <si>
    <t>23f2001563@ds.study.iitm.ac.in</t>
  </si>
  <si>
    <t>https://github.com/gitanjalisharma19/Github-Shanghai-Users</t>
  </si>
  <si>
    <t>CodeMaster7000,UKVeteran,passy,praveenscience,mattdesl</t>
  </si>
  <si>
    <t>23f2001908@ds.study.iitm.ac.in</t>
  </si>
  <si>
    <t>23f2002362@ds.study.iitm.ac.in</t>
  </si>
  <si>
    <t>https://github.com/RaghavDharwal/iitm</t>
  </si>
  <si>
    <t>23f2002364@ds.study.iitm.ac.in</t>
  </si>
  <si>
    <t>Objective-C++</t>
  </si>
  <si>
    <t>MysteriousSonOfGod, rishistyping, vincentbernat, gre, KOUISAmine</t>
  </si>
  <si>
    <t>23f2002562@ds.study.iitm.ac.in</t>
  </si>
  <si>
    <t>https://github.com/SamarupBhattacharya/IITM</t>
  </si>
  <si>
    <t>leo,laramartin,denisdefreyne,PurpleBooth,hanshuebner</t>
  </si>
  <si>
    <t>23f2002777@ds.study.iitm.ac.in</t>
  </si>
  <si>
    <t>Kato</t>
  </si>
  <si>
    <t>23f2002798@ds.study.iitm.ac.in</t>
  </si>
  <si>
    <t>https://github.com/SohamMandal-tech/boston</t>
  </si>
  <si>
    <t>michaelliao,ityouknow,liuhuanyong,gaoxiang12,wendux</t>
  </si>
  <si>
    <t>mozillazg,xtlsoft,sunng87,ZhaoJ9014,wu-sheng</t>
  </si>
  <si>
    <t>23f2003100@ds.study.iitm.ac.in</t>
  </si>
  <si>
    <t>alfredorueda,mariodev12,victorcuervo,MargaretKrutikova,Hamadabcn,</t>
  </si>
  <si>
    <t>Less</t>
  </si>
  <si>
    <t>Doraemonzzz,ChenBohan,OysterQAQ,im0qianqian,idootop</t>
  </si>
  <si>
    <t>Ruanyf,peng-zhihui,espressif,vnpy,bilibili</t>
  </si>
  <si>
    <t>zlib,wtfpl,upl-1.0</t>
  </si>
  <si>
    <t>23f2003652@ds.study.iitm.ac.in</t>
  </si>
  <si>
    <t>Appleton, Brewery, Fuller, Greenfeld, Jackson, Li, Williams</t>
  </si>
  <si>
    <t>23f2003660@ds.study.iitm.ac.in</t>
  </si>
  <si>
    <t>https://github.com/Annusshya/annusshya</t>
  </si>
  <si>
    <t>AlexGyver, carlcastanas, sergeyshaykhullin, alexey-goloburdin, richardroberti</t>
  </si>
  <si>
    <t>maxlapshin, veged, dfilatov, klen, qnikst</t>
  </si>
  <si>
    <t>VBScript</t>
  </si>
  <si>
    <t>AlexGyver</t>
  </si>
  <si>
    <t>vslinko,Infarh,deepfire,epogrebnyak,nikita-volkov</t>
  </si>
  <si>
    <t>CastaÃ±as</t>
  </si>
  <si>
    <t>itaditya,avinassh,manjunath5496,championswimmer,captn3m0</t>
  </si>
  <si>
    <t>mit,other,bsd-3-clause</t>
  </si>
  <si>
    <t>Objective-C</t>
  </si>
  <si>
    <t>AleksandraAleksandrovna,f213,webmakaka,tkhirianov,smelukov</t>
  </si>
  <si>
    <t>23f2003729@ds.study.iitm.ac.in</t>
  </si>
  <si>
    <t>https://github.com/Ansidrake/tds_project1</t>
  </si>
  <si>
    <t>Ansheel9,burhanuday,ankit0183,devdatta95,alokproc</t>
  </si>
  <si>
    <t>mit, apache-2.0, Other</t>
  </si>
  <si>
    <t>google,Microsoft,Masai School</t>
  </si>
  <si>
    <t>itaditya,avinassh,sangam14,Tivotal,championswimmer</t>
  </si>
  <si>
    <t>23f2003916@ds.study.iitm.ac.in</t>
  </si>
  <si>
    <t>vfarcic,wlsf82,ajsb85,kinow,nilportugues</t>
  </si>
  <si>
    <t>rwaldron,bahmutov,sethwoodworth,tekknolagi,M4cs</t>
  </si>
  <si>
    <t>23f2004005@ds.study.iitm.ac.in</t>
  </si>
  <si>
    <t>https://github.com/shakingbasket/tds_project_1</t>
  </si>
  <si>
    <t>amitshekhariitbhu, shradha-khapra, loveBabbar, Nakshatra05, Anuj-Kumar-Sharma</t>
  </si>
  <si>
    <t>dufferzafar, nathvarun, aviaryan, softvar, rishikksh20</t>
  </si>
  <si>
    <t>CODING BLOCKS</t>
  </si>
  <si>
    <t>Anuj-Kumar-Sharma, Ignitetechnologies, shradha-khapra, loveBabbar, amitshekhariitbhu</t>
  </si>
  <si>
    <t>Ayush7614, shivaylamba, amitsrivastava4all, manrajgrover, AkshayAnand2002</t>
  </si>
  <si>
    <t>SINGH</t>
  </si>
  <si>
    <t>damon,dan,hassox,joshknowles,jnewland</t>
  </si>
  <si>
    <t>MIT License,Apache License 2.0,BSD 3-Clause "New"</t>
  </si>
  <si>
    <t>realityexpander,jedwards1211,pfrazee,DDRBoxman,sunny-g</t>
  </si>
  <si>
    <t>23f2004152@ds.study.iitm.ac.in</t>
  </si>
  <si>
    <t>23f2004328@ds.study.iitm.ac.in</t>
  </si>
  <si>
    <t>znarf,lstoll,myobie,adamwiggins,schacon</t>
  </si>
  <si>
    <t>Apache-2.0,MIT,GPL-3.0</t>
  </si>
  <si>
    <t>AMAZON</t>
  </si>
  <si>
    <t>Eriksson</t>
  </si>
  <si>
    <t>janpio,denisdefreyne,MohamedMesto,PurpleBooth,hanshuebner</t>
  </si>
  <si>
    <t>',MIT License,Other</t>
  </si>
  <si>
    <t>'</t>
  </si>
  <si>
    <t>mguay22,Aveek-Saha,dbrant,zlargon,thedillonb</t>
  </si>
  <si>
    <t>23f2004671@ds.study.iitm.ac.in</t>
  </si>
  <si>
    <t>https://github.com/23f2004671/Project1</t>
  </si>
  <si>
    <t>dennybritz, wasabeef, dai-shi, rui314, Domenic</t>
  </si>
  <si>
    <t>kana, naoya, ko1, amatsuda, masuidrive</t>
  </si>
  <si>
    <t>CYBERAGENT, INC.</t>
  </si>
  <si>
    <t>azu, syohex, xuwei-k, making, tokuhirom</t>
  </si>
  <si>
    <t>Wada</t>
  </si>
  <si>
    <t>MoonW1nd,40ants,rwsh,mazzy-ax,developersu</t>
  </si>
  <si>
    <t>23f2004943@ds.study.iitm.ac.in</t>
  </si>
  <si>
    <t>dheeraj-thedev, imvickykumar999, Ayush7614, garora, coding-blocks-archives</t>
  </si>
  <si>
    <t>23f2004971@ds.study.iitm.ac.in</t>
  </si>
  <si>
    <t>https://github.com/Sulakshh/TDS-PROJECT-TORONTO-100</t>
  </si>
  <si>
    <t>23f2005121@ds.study.iitm.ac.in</t>
  </si>
  <si>
    <t>serverwentdown,Ayrx,miccheng,yshashi,tonghuikang</t>
  </si>
  <si>
    <t>23f2005332@ds.study.iitm.ac.in</t>
  </si>
  <si>
    <t>mosh-hamedani, TheCherno, haileys, rstacruz, jesseduffield</t>
  </si>
  <si>
    <t>toolmantim, crafterm, dgoodlad, Sutto, mdub</t>
  </si>
  <si>
    <t>mosh-hamedani, binarythistle, TheCherno, TuPayChain, rogerclarkmelbourne</t>
  </si>
  <si>
    <t>xaviershay, md-5, wolfeidau, timbertson, evgenyneu</t>
  </si>
  <si>
    <t>Lopez,Martinez,Ortiz</t>
  </si>
  <si>
    <t>23f2005698@ds.study.iitm.ac.in</t>
  </si>
  <si>
    <t>https://github.com/godisgreate/correct1</t>
  </si>
  <si>
    <t>IDouble, TheOfficialFloW, Seldaek, riscv, JonnyBurger</t>
  </si>
  <si>
    <t>TheOfficialFloW, Seldaek, kalessil, IDouble, BitPatron</t>
  </si>
  <si>
    <t>MIT License, Apache License 2.0, GPL-3.0</t>
  </si>
  <si>
    <t>mojombo, defunkt, pjhyett, wycats, vanpelt</t>
  </si>
  <si>
    <t>Meyer87, GonzalezSarah, SchmittWilliam, MillerRichard, EvansMichelle</t>
  </si>
  <si>
    <t>Schmidt, 5</t>
  </si>
  <si>
    <t>mit,apache2.0,other</t>
  </si>
  <si>
    <t>backtrackbaba,Ansheel9,burhanuday,dipeshpatil,Jasmin2895</t>
  </si>
  <si>
    <t>HaraldNordgren,Nyholm,lydell,LinusU,haf</t>
  </si>
  <si>
    <t>23f3001987@ds.study.iitm.ac.in</t>
  </si>
  <si>
    <t>user5, user1, user2, user3, user4</t>
  </si>
  <si>
    <t>23f3002086@ds.study.iitm.ac.in</t>
  </si>
  <si>
    <t>Hengle,j5s,Ewenwan,HiWong,gonnavis</t>
  </si>
  <si>
    <t>23f3002270@ds.study.iitm.ac.in</t>
  </si>
  <si>
    <t>apaszke,lewagon,codebytere,prisma,armancodv</t>
  </si>
  <si>
    <t>adamwiggins,myobie,lstoll,znarf,mindreframer</t>
  </si>
  <si>
    <t>lewagon,prisma,peterbourgon,KittyGiraudel,cure53</t>
  </si>
  <si>
    <t>aarlt,AlaaAttya,mrtazz,mschneider,mustafaozhan</t>
  </si>
  <si>
    <t>LaurentMazare,angristan,eliemichel,ArthurSonzogni,kelu124</t>
  </si>
  <si>
    <t>23f3002773@ds.study.iitm.ac.in</t>
  </si>
  <si>
    <t>23f3002916@ds.study.iitm.ac.in</t>
  </si>
  <si>
    <t>23f3003117@ds.study.iitm.ac.in</t>
  </si>
  <si>
    <t>23f3003196@ds.study.iitm.ac.in</t>
  </si>
  <si>
    <t>https://github.com/Vverma-27/IIT-Scripting</t>
  </si>
  <si>
    <t>MIT,apache-2.0,gpl-3.0</t>
  </si>
  <si>
    <t>iam-veeramalla,in28minutes,stacksimplify,thenaveensaggam,ashokitschool</t>
  </si>
  <si>
    <t>No</t>
  </si>
  <si>
    <t>23f3003443@ds.study.iitm.ac.in</t>
  </si>
  <si>
    <t>https://github.com/Sadhu01/TDS.git</t>
  </si>
  <si>
    <t>tj,kunal-kushwaha,angelabauer,jlord Elfocrash</t>
  </si>
  <si>
    <t>sole,aslakhellesoy,philhawksworth,javache,tomstuart</t>
  </si>
  <si>
    <t>HaraldNordgren,lydell,renatoathaydes,jamesmcm,jakobmattsson</t>
  </si>
  <si>
    <t>23f3003601@ds.study.iitm.ac.in</t>
  </si>
  <si>
    <t>homebysix,brandonbloom,anvaka,ryanoasis,nolanlawson</t>
  </si>
  <si>
    <t>23f3003696@ds.study.iitm.ac.in</t>
  </si>
  <si>
    <t>https://github.com/cloudbhargavv/FetchingData</t>
  </si>
  <si>
    <t>vczh, bradfitz, munificent, tenderlove, ahmetb</t>
  </si>
  <si>
    <t>topfunky, nex3, ryanbriones, alexvollmer, jswanner</t>
  </si>
  <si>
    <t>Argyle, Balkan, Bernhardt, Burns, Dutta, Fitzpatrick, Goel, Kashcha, L., Labs, Larkin, Lawson, Nystrom, Oâ€™Shannessy, Patterson, Peace, Schroeder, Yan</t>
  </si>
  <si>
    <t>Hamadabcn, vieron, ctford, alfredorueda, domini-code</t>
  </si>
  <si>
    <t>aadhar54,erilyth,MadhavBahl,ashokitschool,arvindr21</t>
  </si>
  <si>
    <t>23f3004177@ds.study.iitm.ac.in</t>
  </si>
  <si>
    <t>IIT MADRAS</t>
  </si>
  <si>
    <t>23f3004263@ds.study.iitm.ac.in</t>
  </si>
  <si>
    <t>midudev, ai, raysan5, vfarcic, spite</t>
  </si>
  <si>
    <t>oleganza, gravityblast, fesplugas, fxn, pauek</t>
  </si>
  <si>
    <t>adevinta</t>
  </si>
  <si>
    <t>midudev, vfarcic, spite, amix, cfenollosa</t>
  </si>
  <si>
    <t>23f3004266@ds.study.iitm.ac.in</t>
  </si>
  <si>
    <t>Zemerik,KaelWD,nataliethenerd,NiREvil,TheDen</t>
  </si>
  <si>
    <t>Jackson</t>
  </si>
  <si>
    <t>azu,syohex,xuwei-k,tuian,making</t>
  </si>
  <si>
    <t>tutunarsl, prs-eth, Sadullah-TANRIKULU, Amsterdam-gov, LVala</t>
  </si>
  <si>
    <t>JonnyBurger</t>
  </si>
  <si>
    <t>abhishh1,ad1992,bigint,avinassh,pastelsky</t>
  </si>
  <si>
    <t>24ds2000080@ds.study.iitm.ac.in</t>
  </si>
  <si>
    <t>PDDL</t>
  </si>
  <si>
    <t>BaselHack,marcantondahmen,tbreuss,marcossegovia,gdario</t>
  </si>
  <si>
    <t>janpio,derhuerst,jamesmunns,sunsided,ff6347</t>
  </si>
  <si>
    <t>24ds2000129@ds.study.iitm.ac.in</t>
  </si>
  <si>
    <t>https://github.com/SaarthakTuli/TDS_Project_1</t>
  </si>
  <si>
    <t>24ds2000138@ds.study.iitm.ac.in</t>
  </si>
  <si>
    <t>mit,other</t>
  </si>
  <si>
    <t>24ds3000059@ds.study.iitm.ac.in</t>
  </si>
  <si>
    <t>https://github.com/aaromal-rs-iitm/GithubUserAnalysis_iitmTDS.git</t>
  </si>
  <si>
    <t>wolfeidau, karkranikhil, roachhd, plutext, rstacruz</t>
  </si>
  <si>
    <t>Jackson, Malseed, Wang.</t>
  </si>
  <si>
    <t>emmabostian, emilk, mpj, hrydgard, eriklindernonren</t>
  </si>
  <si>
    <t>Mange, kallepersson, fesplugas, etnt, pirelenito</t>
  </si>
  <si>
    <t>MIT License, Apache License 2.0</t>
  </si>
  <si>
    <t>Spotify</t>
  </si>
  <si>
    <t>Mathematica</t>
  </si>
  <si>
    <t>spotify, Mojang, fornwall, joearms, EmbarkStudios</t>
  </si>
  <si>
    <t>HaraldNordgren,  gdomiciano,  lefant,  jkotlinski,  jamesmcm</t>
  </si>
  <si>
    <t>Gustafsson, Persson</t>
  </si>
  <si>
    <t>24ds3000083@ds.study.iitm.ac.in</t>
  </si>
  <si>
    <t>timgates42,johndpope,stevemao,pinkforest,djnavarro</t>
  </si>
  <si>
    <t>Vala</t>
  </si>
  <si>
    <t>24f1000010@ds.study.iitm.ac.in</t>
  </si>
  <si>
    <t>https://github.com/Varuun-IIT/tools_in_ds_project</t>
  </si>
  <si>
    <t>michaelliao, ityouknow, liuhuanyong, thunlp, shenghy</t>
  </si>
  <si>
    <t>LinuxSuRen, xiaoweiruby, i5ting, hailiang-wang, mozillazg</t>
  </si>
  <si>
    <t>Wang, Zhang</t>
  </si>
  <si>
    <t>24f1000237@ds.study.iitm.ac.in</t>
  </si>
  <si>
    <t>24f1001182@ds.study.iitm.ac.in</t>
  </si>
  <si>
    <t>NO LICENSE,mit,apache-2.0</t>
  </si>
  <si>
    <t>Unknown</t>
  </si>
  <si>
    <t>24f1001434@ds.study.iitm.ac.in</t>
  </si>
  <si>
    <t>IDouble,wcandillon,TheOfficialFloW,Seldaek,twpayne</t>
  </si>
  <si>
    <t>matthiask,floere,oscardelben,zdavatz,nominolo</t>
  </si>
  <si>
    <t>Pug</t>
  </si>
  <si>
    <t>riscv,bpasero,Seldaek,leggedrobotics,egamma</t>
  </si>
  <si>
    <t>kynan,yakky,devnoname120,Sadullah-TANRIKULU,JonnyBurger</t>
  </si>
  <si>
    <t>Lab,Meier,Wang</t>
  </si>
  <si>
    <t>IDouble,TheOfficialFloW,Seldaek,JonnyBurger,bpasero</t>
  </si>
  <si>
    <t>bpasero,Seldaek,egamma,sustrik,LorenzMeier</t>
  </si>
  <si>
    <t>kynan,lris,yati-sagade,Sadullah-TANRIKULU,JonnyBurger</t>
  </si>
  <si>
    <t>Reviewer-1</t>
  </si>
  <si>
    <t>Reviewer-2</t>
  </si>
  <si>
    <t>Num_Reviews_Assigned</t>
  </si>
  <si>
    <t>Num_Reviews_done</t>
  </si>
  <si>
    <t>R1</t>
  </si>
  <si>
    <t>R2</t>
  </si>
  <si>
    <t>Reviewer-1-Score-Interest</t>
  </si>
  <si>
    <t>Reviewer-1-Score-Clarity</t>
  </si>
  <si>
    <t>Reviewer-2-Score-Interest</t>
  </si>
  <si>
    <t>Reviewer-2-Score-Clarity</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</si>
</sst>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Aptos Narrow"/>
      <scheme val="minor"/>
    </font>
    <font>
      <b/>
      <sz val="11.0"/>
      <color theme="1"/>
      <name val="Aptos Narrow"/>
    </font>
    <font>
      <sz val="11.0"/>
      <color theme="1"/>
      <name val="Aptos Narrow"/>
    </font>
    <font>
      <color theme="1"/>
      <name val="Aptos Narrow"/>
      <scheme val="minor"/>
    </font>
    <font>
      <color theme="1"/>
      <name val="Arial"/>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Font="1"/>
    <xf borderId="0" fillId="0" fontId="2" numFmtId="9" xfId="0" applyFont="1" applyNumberFormat="1"/>
    <xf borderId="0" fillId="0" fontId="3" numFmtId="0" xfId="0" applyFont="1"/>
    <xf borderId="0" fillId="0" fontId="4" numFmtId="0" xfId="0" applyAlignment="1" applyFont="1">
      <alignment readingOrder="0"/>
    </xf>
    <xf borderId="0" fillId="0" fontId="5" numFmtId="0" xfId="0" applyFont="1"/>
    <xf borderId="0" fillId="0" fontId="4" numFmtId="0" xfId="0" applyAlignment="1" applyFont="1">
      <alignment horizontal="center" readingOrder="0"/>
    </xf>
    <xf borderId="0" fillId="0" fontId="3"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Count of students by marks</a:t>
            </a:r>
          </a:p>
        </c:rich>
      </c:tx>
      <c:overlay val="0"/>
    </c:title>
    <c:plotArea>
      <c:layout/>
      <c:barChart>
        <c:barDir val="col"/>
        <c:ser>
          <c:idx val="0"/>
          <c:order val="0"/>
          <c:tx>
            <c:v>Count</c:v>
          </c:tx>
          <c:spPr>
            <a:solidFill>
              <a:schemeClr val="accent1"/>
            </a:solidFill>
            <a:ln cmpd="sng">
              <a:solidFill>
                <a:srgbClr val="000000"/>
              </a:solidFill>
            </a:ln>
          </c:spPr>
          <c:cat>
            <c:strRef>
              <c:f>correlation!$B$22:$B$39</c:f>
            </c:strRef>
          </c:cat>
          <c:val>
            <c:numRef>
              <c:f>correlation!$C$22:$C$39</c:f>
              <c:numCache/>
            </c:numRef>
          </c:val>
        </c:ser>
        <c:axId val="763458"/>
        <c:axId val="1281740342"/>
      </c:barChart>
      <c:catAx>
        <c:axId val="76345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281740342"/>
      </c:catAx>
      <c:valAx>
        <c:axId val="128174034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763458"/>
      </c:valAx>
    </c:plotArea>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20</xdr:row>
      <xdr:rowOff>0</xdr:rowOff>
    </xdr:from>
    <xdr:ext cx="4600575" cy="3600450"/>
    <xdr:graphicFrame>
      <xdr:nvGraphicFramePr>
        <xdr:cNvPr id="134052221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90" Type="http://schemas.openxmlformats.org/officeDocument/2006/relationships/hyperlink" Target="https://github.com/Srilekha-05/github-barcelona-users" TargetMode="External"/><Relationship Id="rId194" Type="http://schemas.openxmlformats.org/officeDocument/2006/relationships/hyperlink" Target="https://github.com/Priyam4437/barcelona-github-scrape" TargetMode="External"/><Relationship Id="rId193" Type="http://schemas.openxmlformats.org/officeDocument/2006/relationships/hyperlink" Target="https://github.com/0rajnishk/tds-p1" TargetMode="External"/><Relationship Id="rId192" Type="http://schemas.openxmlformats.org/officeDocument/2006/relationships/hyperlink" Target="https://github.com/RishabhBarthwal28/TDS-PROJECT-1" TargetMode="External"/><Relationship Id="rId191" Type="http://schemas.openxmlformats.org/officeDocument/2006/relationships/hyperlink" Target="https://github.com/22f3000190/Seattle-200---TDM" TargetMode="External"/><Relationship Id="rId187" Type="http://schemas.openxmlformats.org/officeDocument/2006/relationships/hyperlink" Target="https://github.com/student2403/tds-project-1" TargetMode="External"/><Relationship Id="rId186" Type="http://schemas.openxmlformats.org/officeDocument/2006/relationships/hyperlink" Target="https://github.com/imstrk04/TDSProject_1" TargetMode="External"/><Relationship Id="rId185" Type="http://schemas.openxmlformats.org/officeDocument/2006/relationships/hyperlink" Target="https://github.com/23f1000698/proj1" TargetMode="External"/><Relationship Id="rId184" Type="http://schemas.openxmlformats.org/officeDocument/2006/relationships/hyperlink" Target="https://github.com/ShivamAgrawal100/TDS-Project1" TargetMode="External"/><Relationship Id="rId189" Type="http://schemas.openxmlformats.org/officeDocument/2006/relationships/hyperlink" Target="https://github.com/srupat/tds_project_1" TargetMode="External"/><Relationship Id="rId188" Type="http://schemas.openxmlformats.org/officeDocument/2006/relationships/hyperlink" Target="https://github.com/Aditya647bc/tds1" TargetMode="External"/><Relationship Id="rId183" Type="http://schemas.openxmlformats.org/officeDocument/2006/relationships/hyperlink" Target="https://github.com/na-ch7/TDS-Project-1" TargetMode="External"/><Relationship Id="rId182" Type="http://schemas.openxmlformats.org/officeDocument/2006/relationships/hyperlink" Target="https://github.com/pranavtiwari-this/tdm-project1" TargetMode="External"/><Relationship Id="rId181" Type="http://schemas.openxmlformats.org/officeDocument/2006/relationships/hyperlink" Target="https://github.com/Anustup24/TDS" TargetMode="External"/><Relationship Id="rId180" Type="http://schemas.openxmlformats.org/officeDocument/2006/relationships/hyperlink" Target="https://github.com/Srilekha-05/github-barcelona-users" TargetMode="External"/><Relationship Id="rId176" Type="http://schemas.openxmlformats.org/officeDocument/2006/relationships/hyperlink" Target="https://github.com/kp-bhara/tds_proj1_stockholm_100/tree/main" TargetMode="External"/><Relationship Id="rId175" Type="http://schemas.openxmlformats.org/officeDocument/2006/relationships/hyperlink" Target="https://github.com/Rushiiljindal/TDS-project1/tree/main" TargetMode="External"/><Relationship Id="rId174" Type="http://schemas.openxmlformats.org/officeDocument/2006/relationships/hyperlink" Target="https://github.com/Shreya5619/TDS-Project1" TargetMode="External"/><Relationship Id="rId173" Type="http://schemas.openxmlformats.org/officeDocument/2006/relationships/hyperlink" Target="https://github.com/LavinyaIITM/Project01_TDS" TargetMode="External"/><Relationship Id="rId179" Type="http://schemas.openxmlformats.org/officeDocument/2006/relationships/hyperlink" Target="https://github.com/srupat/tds_project_1" TargetMode="External"/><Relationship Id="rId178" Type="http://schemas.openxmlformats.org/officeDocument/2006/relationships/hyperlink" Target="https://github.com/samikb07/tds-project-1" TargetMode="External"/><Relationship Id="rId177" Type="http://schemas.openxmlformats.org/officeDocument/2006/relationships/hyperlink" Target="https://github.com/SaicharanRitwik39/TDSProject1_TermSepDec2024" TargetMode="External"/><Relationship Id="rId198" Type="http://schemas.openxmlformats.org/officeDocument/2006/relationships/hyperlink" Target="https://github.com/adith-ds/project1" TargetMode="External"/><Relationship Id="rId197" Type="http://schemas.openxmlformats.org/officeDocument/2006/relationships/hyperlink" Target="https://github.com/AfnanShamsi/TDS-Project-1/tree/main" TargetMode="External"/><Relationship Id="rId196" Type="http://schemas.openxmlformats.org/officeDocument/2006/relationships/hyperlink" Target="https://github.com/ayushi-006/TDS_project_1" TargetMode="External"/><Relationship Id="rId195" Type="http://schemas.openxmlformats.org/officeDocument/2006/relationships/hyperlink" Target="https://github.com/rsjay1976/TDS-Project1" TargetMode="External"/><Relationship Id="rId199" Type="http://schemas.openxmlformats.org/officeDocument/2006/relationships/hyperlink" Target="https://github.com/AarushiVe/chennai50" TargetMode="External"/><Relationship Id="rId150" Type="http://schemas.openxmlformats.org/officeDocument/2006/relationships/hyperlink" Target="https://github.com/KRISHBORANA/Sydney-100" TargetMode="External"/><Relationship Id="rId392" Type="http://schemas.openxmlformats.org/officeDocument/2006/relationships/hyperlink" Target="https://github.com/Chandra37918/IITM-TDS-Project1" TargetMode="External"/><Relationship Id="rId391" Type="http://schemas.openxmlformats.org/officeDocument/2006/relationships/hyperlink" Target="https://github.com/uma1979/github-api-analysis" TargetMode="External"/><Relationship Id="rId390" Type="http://schemas.openxmlformats.org/officeDocument/2006/relationships/hyperlink" Target="https://github.com/puneeth2907/TDS-Project-1" TargetMode="External"/><Relationship Id="rId1" Type="http://schemas.openxmlformats.org/officeDocument/2006/relationships/hyperlink" Target="https://github.com/22f1001786-iitm/-Shanghai-200" TargetMode="External"/><Relationship Id="rId2" Type="http://schemas.openxmlformats.org/officeDocument/2006/relationships/hyperlink" Target="https://github.com/surbhi553/Toronto100" TargetMode="External"/><Relationship Id="rId3" Type="http://schemas.openxmlformats.org/officeDocument/2006/relationships/hyperlink" Target="https://github.com/jarin2503/tds-project-1" TargetMode="External"/><Relationship Id="rId149" Type="http://schemas.openxmlformats.org/officeDocument/2006/relationships/hyperlink" Target="https://github.com/iitmrs/Project1" TargetMode="External"/><Relationship Id="rId4" Type="http://schemas.openxmlformats.org/officeDocument/2006/relationships/hyperlink" Target="https://github.com/Akashkansal/TDS_Project1" TargetMode="External"/><Relationship Id="rId148" Type="http://schemas.openxmlformats.org/officeDocument/2006/relationships/hyperlink" Target="https://github.com/praveen37bn/now_project1" TargetMode="External"/><Relationship Id="rId1090" Type="http://schemas.openxmlformats.org/officeDocument/2006/relationships/hyperlink" Target="https://github.com/myGreatLoveM/tds-project-1" TargetMode="External"/><Relationship Id="rId1091" Type="http://schemas.openxmlformats.org/officeDocument/2006/relationships/hyperlink" Target="https://github.com/AbhimanyuDwivedi282/TDS-Project_1" TargetMode="External"/><Relationship Id="rId1092" Type="http://schemas.openxmlformats.org/officeDocument/2006/relationships/hyperlink" Target="https://github.com/SidharthDahiya/Toronto-Analysis" TargetMode="External"/><Relationship Id="rId1093" Type="http://schemas.openxmlformats.org/officeDocument/2006/relationships/hyperlink" Target="https://github.com/fahmeed1713/GitHub-Users-and-Repositories-Data-Scraper" TargetMode="External"/><Relationship Id="rId1094" Type="http://schemas.openxmlformats.org/officeDocument/2006/relationships/hyperlink" Target="https://github.com/23f2004527/TDS_Project1" TargetMode="External"/><Relationship Id="rId9" Type="http://schemas.openxmlformats.org/officeDocument/2006/relationships/hyperlink" Target="https://github.com/sh-yamm/TDS-1" TargetMode="External"/><Relationship Id="rId143" Type="http://schemas.openxmlformats.org/officeDocument/2006/relationships/hyperlink" Target="https://github.com/rebornphoenix01/TDSProject1" TargetMode="External"/><Relationship Id="rId385" Type="http://schemas.openxmlformats.org/officeDocument/2006/relationships/hyperlink" Target="https://github.com/srch887/tds_sep2024_project1" TargetMode="External"/><Relationship Id="rId1095" Type="http://schemas.openxmlformats.org/officeDocument/2006/relationships/hyperlink" Target="https://github.com/22f3001673/TDS-Project1" TargetMode="External"/><Relationship Id="rId142" Type="http://schemas.openxmlformats.org/officeDocument/2006/relationships/hyperlink" Target="https://github.com/adityach123/main" TargetMode="External"/><Relationship Id="rId384" Type="http://schemas.openxmlformats.org/officeDocument/2006/relationships/hyperlink" Target="https://github.com/24f1002025/TDS-Project-1-User-Repository-Scrapping" TargetMode="External"/><Relationship Id="rId1096" Type="http://schemas.openxmlformats.org/officeDocument/2006/relationships/hyperlink" Target="https://github.com/Hritik-Shyam-Gupta/TDS-Project1" TargetMode="External"/><Relationship Id="rId141" Type="http://schemas.openxmlformats.org/officeDocument/2006/relationships/hyperlink" Target="https://github.com/anand-ballabh/TDS-Project-1" TargetMode="External"/><Relationship Id="rId383" Type="http://schemas.openxmlformats.org/officeDocument/2006/relationships/hyperlink" Target="https://github.com/21f3000105/Basel-10_TDS-Project-1/" TargetMode="External"/><Relationship Id="rId1097" Type="http://schemas.openxmlformats.org/officeDocument/2006/relationships/hyperlink" Target="https://github.com/Nandhini-Ammaiappan/Project1" TargetMode="External"/><Relationship Id="rId140" Type="http://schemas.openxmlformats.org/officeDocument/2006/relationships/hyperlink" Target="https://github.com/darshu2806/tdsproj1" TargetMode="External"/><Relationship Id="rId382" Type="http://schemas.openxmlformats.org/officeDocument/2006/relationships/hyperlink" Target="https://github.com/tanishka-26saxena/Tokyo-200" TargetMode="External"/><Relationship Id="rId1098" Type="http://schemas.openxmlformats.org/officeDocument/2006/relationships/hyperlink" Target="https://github.com/Danniiiaaaa/TDS-proj-1" TargetMode="External"/><Relationship Id="rId5" Type="http://schemas.openxmlformats.org/officeDocument/2006/relationships/hyperlink" Target="https://github.com/budhilnigam/TDS-Project1" TargetMode="External"/><Relationship Id="rId147" Type="http://schemas.openxmlformats.org/officeDocument/2006/relationships/hyperlink" Target="https://github.com/kvaishnavidevi/tds-project-tokyo-200" TargetMode="External"/><Relationship Id="rId389" Type="http://schemas.openxmlformats.org/officeDocument/2006/relationships/hyperlink" Target="https://github.com/MeenakshiIIT/Project1" TargetMode="External"/><Relationship Id="rId1099" Type="http://schemas.openxmlformats.org/officeDocument/2006/relationships/hyperlink" Target="https://github.com/mdjawed372/tds-project1" TargetMode="External"/><Relationship Id="rId6" Type="http://schemas.openxmlformats.org/officeDocument/2006/relationships/hyperlink" Target="https://github.com/Synchrotron-21/tds-project-1" TargetMode="External"/><Relationship Id="rId146" Type="http://schemas.openxmlformats.org/officeDocument/2006/relationships/hyperlink" Target="https://github.com/Anirudh-starhash/TDS-Project-1" TargetMode="External"/><Relationship Id="rId388" Type="http://schemas.openxmlformats.org/officeDocument/2006/relationships/hyperlink" Target="https://github.com/Ashiskushwaha/project-1" TargetMode="External"/><Relationship Id="rId7" Type="http://schemas.openxmlformats.org/officeDocument/2006/relationships/hyperlink" Target="https://github.com/IIT-JRV/IIT/tree/main" TargetMode="External"/><Relationship Id="rId145" Type="http://schemas.openxmlformats.org/officeDocument/2006/relationships/hyperlink" Target="https://github.com/Avinash94567" TargetMode="External"/><Relationship Id="rId387" Type="http://schemas.openxmlformats.org/officeDocument/2006/relationships/hyperlink" Target="https://github.com/Atharva-Garajkar/TDS" TargetMode="External"/><Relationship Id="rId8" Type="http://schemas.openxmlformats.org/officeDocument/2006/relationships/hyperlink" Target="https://github.com/Ashly-06/project-1" TargetMode="External"/><Relationship Id="rId144" Type="http://schemas.openxmlformats.org/officeDocument/2006/relationships/hyperlink" Target="https://github.com/SaloniSingh1254/seattle200" TargetMode="External"/><Relationship Id="rId386" Type="http://schemas.openxmlformats.org/officeDocument/2006/relationships/hyperlink" Target="https://github.com/rishabh-iitm/project1" TargetMode="External"/><Relationship Id="rId381" Type="http://schemas.openxmlformats.org/officeDocument/2006/relationships/hyperlink" Target="https://github.com/gotherwal/TDS_Project1/blob/main/README.md" TargetMode="External"/><Relationship Id="rId380" Type="http://schemas.openxmlformats.org/officeDocument/2006/relationships/hyperlink" Target="https://github.com/mdjawed372/tds-project1" TargetMode="External"/><Relationship Id="rId139" Type="http://schemas.openxmlformats.org/officeDocument/2006/relationships/hyperlink" Target="https://github.com/NEELU9931/tds5" TargetMode="External"/><Relationship Id="rId138" Type="http://schemas.openxmlformats.org/officeDocument/2006/relationships/hyperlink" Target="https://github.com/singh-akhand/tds-project-1" TargetMode="External"/><Relationship Id="rId137" Type="http://schemas.openxmlformats.org/officeDocument/2006/relationships/hyperlink" Target="https://github.com/Jayaraja-SK/TDS-Project1" TargetMode="External"/><Relationship Id="rId379" Type="http://schemas.openxmlformats.org/officeDocument/2006/relationships/hyperlink" Target="https://github.com/Danniiiaaaa/TDS-proj-1" TargetMode="External"/><Relationship Id="rId1080" Type="http://schemas.openxmlformats.org/officeDocument/2006/relationships/hyperlink" Target="https://github.com/Kushagra-IITM/TDS1_23f1001963" TargetMode="External"/><Relationship Id="rId1081" Type="http://schemas.openxmlformats.org/officeDocument/2006/relationships/hyperlink" Target="https://github.com/Anu-IITM/Tds_project1" TargetMode="External"/><Relationship Id="rId1082" Type="http://schemas.openxmlformats.org/officeDocument/2006/relationships/hyperlink" Target="https://github.com/na-ch7/TDS-Project-1" TargetMode="External"/><Relationship Id="rId1083" Type="http://schemas.openxmlformats.org/officeDocument/2006/relationships/hyperlink" Target="https://github.com/ShivamAgrawal100/TDS-Project1" TargetMode="External"/><Relationship Id="rId132" Type="http://schemas.openxmlformats.org/officeDocument/2006/relationships/hyperlink" Target="https://github.com/23f1001172/melbourne-users-data" TargetMode="External"/><Relationship Id="rId374" Type="http://schemas.openxmlformats.org/officeDocument/2006/relationships/hyperlink" Target="https://github.com/himanshu-IIT-M/project1" TargetMode="External"/><Relationship Id="rId1084" Type="http://schemas.openxmlformats.org/officeDocument/2006/relationships/hyperlink" Target="https://github.com/rahul-jha-2001/TDS" TargetMode="External"/><Relationship Id="rId131" Type="http://schemas.openxmlformats.org/officeDocument/2006/relationships/hyperlink" Target="https://github.com/notnikita21/TDS-Project-1" TargetMode="External"/><Relationship Id="rId373" Type="http://schemas.openxmlformats.org/officeDocument/2006/relationships/hyperlink" Target="https://github.com/deepika4786/tools-for-data-science-project---1" TargetMode="External"/><Relationship Id="rId1085" Type="http://schemas.openxmlformats.org/officeDocument/2006/relationships/hyperlink" Target="https://github.com/Tanuroy10/TdsProject" TargetMode="External"/><Relationship Id="rId130" Type="http://schemas.openxmlformats.org/officeDocument/2006/relationships/hyperlink" Target="https://github.com/vaishnavich44/Beijing-GitHub-Analysis" TargetMode="External"/><Relationship Id="rId372" Type="http://schemas.openxmlformats.org/officeDocument/2006/relationships/hyperlink" Target="https://github.com/psmidhunreddy/tdsp1" TargetMode="External"/><Relationship Id="rId1086" Type="http://schemas.openxmlformats.org/officeDocument/2006/relationships/hyperlink" Target="https://github.com/AbayNandhiga-iitm/tokyo-github-users" TargetMode="External"/><Relationship Id="rId371" Type="http://schemas.openxmlformats.org/officeDocument/2006/relationships/hyperlink" Target="https://github.com/22f1000998/TDS-Project-1" TargetMode="External"/><Relationship Id="rId1087" Type="http://schemas.openxmlformats.org/officeDocument/2006/relationships/hyperlink" Target="https://github.com/kashishbansal920/Project-TDS" TargetMode="External"/><Relationship Id="rId136" Type="http://schemas.openxmlformats.org/officeDocument/2006/relationships/hyperlink" Target="https://github.com/Nachiket-GORE/TDS-project-1" TargetMode="External"/><Relationship Id="rId378" Type="http://schemas.openxmlformats.org/officeDocument/2006/relationships/hyperlink" Target="https://github.com/a1zen77/tds_p1" TargetMode="External"/><Relationship Id="rId1088" Type="http://schemas.openxmlformats.org/officeDocument/2006/relationships/hyperlink" Target="https://github.com/harrycode54/Stockholm100" TargetMode="External"/><Relationship Id="rId135" Type="http://schemas.openxmlformats.org/officeDocument/2006/relationships/hyperlink" Target="https://github.com/Nimbus29/TDS-Project_1" TargetMode="External"/><Relationship Id="rId377" Type="http://schemas.openxmlformats.org/officeDocument/2006/relationships/hyperlink" Target="https://github.com/umeshrai01/web_scraping" TargetMode="External"/><Relationship Id="rId1089" Type="http://schemas.openxmlformats.org/officeDocument/2006/relationships/hyperlink" Target="https://github.com/anshulbaliga7/iitm-tds-project1" TargetMode="External"/><Relationship Id="rId134" Type="http://schemas.openxmlformats.org/officeDocument/2006/relationships/hyperlink" Target="https://github.com/21f2001015/tds-project-1" TargetMode="External"/><Relationship Id="rId376" Type="http://schemas.openxmlformats.org/officeDocument/2006/relationships/hyperlink" Target="https://github.com/Kabilan-18/TDS-Project1/" TargetMode="External"/><Relationship Id="rId133" Type="http://schemas.openxmlformats.org/officeDocument/2006/relationships/hyperlink" Target="https://github.com/VijeethC300/BangaloreGitHubUsers" TargetMode="External"/><Relationship Id="rId375" Type="http://schemas.openxmlformats.org/officeDocument/2006/relationships/hyperlink" Target="https://github.com/r4mbhardwaj/toronto100" TargetMode="External"/><Relationship Id="rId172" Type="http://schemas.openxmlformats.org/officeDocument/2006/relationships/hyperlink" Target="https://github.com/madhavanrmiitm/tds-project1" TargetMode="External"/><Relationship Id="rId171" Type="http://schemas.openxmlformats.org/officeDocument/2006/relationships/hyperlink" Target="https://github.com/JS121000/BERLINPROJECT" TargetMode="External"/><Relationship Id="rId170" Type="http://schemas.openxmlformats.org/officeDocument/2006/relationships/hyperlink" Target="https://github.com/kp-bhara/tds_proj1_stockholm_100" TargetMode="External"/><Relationship Id="rId165" Type="http://schemas.openxmlformats.org/officeDocument/2006/relationships/hyperlink" Target="https://github.com/hardikshub01/TDS-Project-1" TargetMode="External"/><Relationship Id="rId164" Type="http://schemas.openxmlformats.org/officeDocument/2006/relationships/hyperlink" Target="https://github.com/b-panda/Dublin-GitHub-Users" TargetMode="External"/><Relationship Id="rId163" Type="http://schemas.openxmlformats.org/officeDocument/2006/relationships/hyperlink" Target="https://github.com/AdithyaLingam/tds_project_24f1002079" TargetMode="External"/><Relationship Id="rId162" Type="http://schemas.openxmlformats.org/officeDocument/2006/relationships/hyperlink" Target="https://github.com/arya-v-iitm/TDS-Project1" TargetMode="External"/><Relationship Id="rId169" Type="http://schemas.openxmlformats.org/officeDocument/2006/relationships/hyperlink" Target="https://github.com/Rushiiljindal/TDS-project1" TargetMode="External"/><Relationship Id="rId168" Type="http://schemas.openxmlformats.org/officeDocument/2006/relationships/hyperlink" Target="https://github.com/microdev1/tds-p1" TargetMode="External"/><Relationship Id="rId167" Type="http://schemas.openxmlformats.org/officeDocument/2006/relationships/hyperlink" Target="https://github.com/yali369/Boston" TargetMode="External"/><Relationship Id="rId166" Type="http://schemas.openxmlformats.org/officeDocument/2006/relationships/hyperlink" Target="https://github.com/Vishu-Ahlawat/tds_p1" TargetMode="External"/><Relationship Id="rId161" Type="http://schemas.openxmlformats.org/officeDocument/2006/relationships/hyperlink" Target="https://github.com/GeekAnanya21/TDS_project1" TargetMode="External"/><Relationship Id="rId160" Type="http://schemas.openxmlformats.org/officeDocument/2006/relationships/hyperlink" Target="https://github.com/harikrishnan51688/TDS_Project_1" TargetMode="External"/><Relationship Id="rId159" Type="http://schemas.openxmlformats.org/officeDocument/2006/relationships/hyperlink" Target="https://github.com/BISWASAHANA/GitScrapy" TargetMode="External"/><Relationship Id="rId154" Type="http://schemas.openxmlformats.org/officeDocument/2006/relationships/hyperlink" Target="https://github.com/Srinidhi-Krishnan30/TDSProject1" TargetMode="External"/><Relationship Id="rId396" Type="http://schemas.openxmlformats.org/officeDocument/2006/relationships/hyperlink" Target="https://github.com/Abhinav3499/TDS_Project_1" TargetMode="External"/><Relationship Id="rId153" Type="http://schemas.openxmlformats.org/officeDocument/2006/relationships/hyperlink" Target="https://github.com/sapiitm/tds" TargetMode="External"/><Relationship Id="rId395" Type="http://schemas.openxmlformats.org/officeDocument/2006/relationships/hyperlink" Target="https://github.com/StuteeP/Project_1" TargetMode="External"/><Relationship Id="rId152" Type="http://schemas.openxmlformats.org/officeDocument/2006/relationships/hyperlink" Target="https://github.com/tarunarora6029/tdsgit" TargetMode="External"/><Relationship Id="rId394" Type="http://schemas.openxmlformats.org/officeDocument/2006/relationships/hyperlink" Target="https://github.com/kasturi190602/TDSProject" TargetMode="External"/><Relationship Id="rId151" Type="http://schemas.openxmlformats.org/officeDocument/2006/relationships/hyperlink" Target="https://github.com/ragavkish/tds-sg-analysis" TargetMode="External"/><Relationship Id="rId393" Type="http://schemas.openxmlformats.org/officeDocument/2006/relationships/hyperlink" Target="https://github.com/jeevan-yohan-varghese/tds-project1" TargetMode="External"/><Relationship Id="rId158" Type="http://schemas.openxmlformats.org/officeDocument/2006/relationships/hyperlink" Target="https://github.com/darshu2806/tdsproj1" TargetMode="External"/><Relationship Id="rId157" Type="http://schemas.openxmlformats.org/officeDocument/2006/relationships/hyperlink" Target="https://github.com/NEELU9931/tds5" TargetMode="External"/><Relationship Id="rId399" Type="http://schemas.openxmlformats.org/officeDocument/2006/relationships/hyperlink" Target="https://github.com/pulkitsharmads/github-hyderabad-users-project" TargetMode="External"/><Relationship Id="rId156" Type="http://schemas.openxmlformats.org/officeDocument/2006/relationships/hyperlink" Target="https://github.com/20vishnu27/TDS_Project-1" TargetMode="External"/><Relationship Id="rId398" Type="http://schemas.openxmlformats.org/officeDocument/2006/relationships/hyperlink" Target="https://github.com/24f1002025/TDS-Project-1-User-Repository-Scrapping" TargetMode="External"/><Relationship Id="rId155" Type="http://schemas.openxmlformats.org/officeDocument/2006/relationships/hyperlink" Target="https://github.com/Yogesh-005/pro1" TargetMode="External"/><Relationship Id="rId397" Type="http://schemas.openxmlformats.org/officeDocument/2006/relationships/hyperlink" Target="https://github.com/21f3000105/Basel-10_TDS-Project-1/" TargetMode="External"/><Relationship Id="rId808" Type="http://schemas.openxmlformats.org/officeDocument/2006/relationships/hyperlink" Target="https://github.com/Aadi0703/TDS-project1/blob/main/TDSP1.ipynb" TargetMode="External"/><Relationship Id="rId807" Type="http://schemas.openxmlformats.org/officeDocument/2006/relationships/hyperlink" Target="https://github.com/shinadeveloper/TDS-Project-1" TargetMode="External"/><Relationship Id="rId806" Type="http://schemas.openxmlformats.org/officeDocument/2006/relationships/hyperlink" Target="https://github.com/Pragati2001589/my_repository" TargetMode="External"/><Relationship Id="rId805" Type="http://schemas.openxmlformats.org/officeDocument/2006/relationships/hyperlink" Target="https://github.com/22f1000952/basel-users-analysis" TargetMode="External"/><Relationship Id="rId809" Type="http://schemas.openxmlformats.org/officeDocument/2006/relationships/hyperlink" Target="https://github.com/narendrabissu/TDS_21F1000753_P1" TargetMode="External"/><Relationship Id="rId800" Type="http://schemas.openxmlformats.org/officeDocument/2006/relationships/hyperlink" Target="https://github.com/AnujKrishna-IIT/TDS-Project1" TargetMode="External"/><Relationship Id="rId804" Type="http://schemas.openxmlformats.org/officeDocument/2006/relationships/hyperlink" Target="https://github.com/Anu-IITM/Tds_project1" TargetMode="External"/><Relationship Id="rId803" Type="http://schemas.openxmlformats.org/officeDocument/2006/relationships/hyperlink" Target="https://github.com/Kushagra-IITM/TDS1_23f1001963" TargetMode="External"/><Relationship Id="rId802" Type="http://schemas.openxmlformats.org/officeDocument/2006/relationships/hyperlink" Target="https://github.com/Me-dev-commits/project-1" TargetMode="External"/><Relationship Id="rId801" Type="http://schemas.openxmlformats.org/officeDocument/2006/relationships/hyperlink" Target="https://github.com/narendrabissu/TDS_21F1000753_P1" TargetMode="External"/><Relationship Id="rId40" Type="http://schemas.openxmlformats.org/officeDocument/2006/relationships/hyperlink" Target="https://github.com/iambuhari/IITM/" TargetMode="External"/><Relationship Id="rId42" Type="http://schemas.openxmlformats.org/officeDocument/2006/relationships/hyperlink" Target="https://github.com/kdiitm99/tds-project1" TargetMode="External"/><Relationship Id="rId41" Type="http://schemas.openxmlformats.org/officeDocument/2006/relationships/hyperlink" Target="https://github.com/harikrishnajiju/github-city-user-analyzer" TargetMode="External"/><Relationship Id="rId44" Type="http://schemas.openxmlformats.org/officeDocument/2006/relationships/hyperlink" Target="https://github.com/spideysanjay007/sanjay_tds_project_1" TargetMode="External"/><Relationship Id="rId43" Type="http://schemas.openxmlformats.org/officeDocument/2006/relationships/hyperlink" Target="https://github.com/dhirajp1603/IITM-TDS" TargetMode="External"/><Relationship Id="rId46" Type="http://schemas.openxmlformats.org/officeDocument/2006/relationships/hyperlink" Target="https://github.com/22f3002094/Tds-project-1" TargetMode="External"/><Relationship Id="rId45" Type="http://schemas.openxmlformats.org/officeDocument/2006/relationships/hyperlink" Target="https://github.com/DisRajeeth/proj-1-tds" TargetMode="External"/><Relationship Id="rId509" Type="http://schemas.openxmlformats.org/officeDocument/2006/relationships/hyperlink" Target="https://github.com/Allen-Josu/TDS_Project" TargetMode="External"/><Relationship Id="rId508" Type="http://schemas.openxmlformats.org/officeDocument/2006/relationships/hyperlink" Target="https://github.com/Madhav-Sanjay-Patil/TDS_23f1002049" TargetMode="External"/><Relationship Id="rId503" Type="http://schemas.openxmlformats.org/officeDocument/2006/relationships/hyperlink" Target="https://github.com/dhimantks/tdsproject1" TargetMode="External"/><Relationship Id="rId745" Type="http://schemas.openxmlformats.org/officeDocument/2006/relationships/hyperlink" Target="https://github.com/yuviiitm26/TDS_PRO_1" TargetMode="External"/><Relationship Id="rId987" Type="http://schemas.openxmlformats.org/officeDocument/2006/relationships/hyperlink" Target="https://github.com/swaraj753/Project-1" TargetMode="External"/><Relationship Id="rId502" Type="http://schemas.openxmlformats.org/officeDocument/2006/relationships/hyperlink" Target="https://github.com/NeeharikaBhaide/TDS_P1" TargetMode="External"/><Relationship Id="rId744" Type="http://schemas.openxmlformats.org/officeDocument/2006/relationships/hyperlink" Target="https://github.com/pranavtiwari-this/tdm-project1/blob/main/README.mdn/TDS_P1.ipynb" TargetMode="External"/><Relationship Id="rId986" Type="http://schemas.openxmlformats.org/officeDocument/2006/relationships/hyperlink" Target="https://github.com/rajakumari-sp/TDS_project1" TargetMode="External"/><Relationship Id="rId501" Type="http://schemas.openxmlformats.org/officeDocument/2006/relationships/hyperlink" Target="https://github.com/sadiq1402/TDS-Project-1" TargetMode="External"/><Relationship Id="rId743" Type="http://schemas.openxmlformats.org/officeDocument/2006/relationships/hyperlink" Target="https://github.com/Anustup24/TDS/blob/main/README.md" TargetMode="External"/><Relationship Id="rId985" Type="http://schemas.openxmlformats.org/officeDocument/2006/relationships/hyperlink" Target="https://github.com/pranavdarak/TDS_P1" TargetMode="External"/><Relationship Id="rId500" Type="http://schemas.openxmlformats.org/officeDocument/2006/relationships/hyperlink" Target="https://github.com/HaifaAbdulSathar/TDS-Project1" TargetMode="External"/><Relationship Id="rId742" Type="http://schemas.openxmlformats.org/officeDocument/2006/relationships/hyperlink" Target="https://github.com/Man24Jain/Tokyo-GitHub-Scraping-Project" TargetMode="External"/><Relationship Id="rId984" Type="http://schemas.openxmlformats.org/officeDocument/2006/relationships/hyperlink" Target="https://github.com/Allen-Josu/TDS_Project" TargetMode="External"/><Relationship Id="rId507" Type="http://schemas.openxmlformats.org/officeDocument/2006/relationships/hyperlink" Target="https://github.com/perceptron-01/project-1" TargetMode="External"/><Relationship Id="rId749" Type="http://schemas.openxmlformats.org/officeDocument/2006/relationships/hyperlink" Target="https://github.com/Chinni1904/TDS_Proj1" TargetMode="External"/><Relationship Id="rId506" Type="http://schemas.openxmlformats.org/officeDocument/2006/relationships/hyperlink" Target="https://github.com/Bracket12/TDS_project_1" TargetMode="External"/><Relationship Id="rId748" Type="http://schemas.openxmlformats.org/officeDocument/2006/relationships/hyperlink" Target="https://github.com/SaikatMandal2022/TDS_Project1" TargetMode="External"/><Relationship Id="rId505" Type="http://schemas.openxmlformats.org/officeDocument/2006/relationships/hyperlink" Target="https://github.com/23f3004236/TDS-Project-1/tree/main" TargetMode="External"/><Relationship Id="rId747" Type="http://schemas.openxmlformats.org/officeDocument/2006/relationships/hyperlink" Target="https://github.com/keertidamani/TorontoAnalysisProject" TargetMode="External"/><Relationship Id="rId989" Type="http://schemas.openxmlformats.org/officeDocument/2006/relationships/hyperlink" Target="https://github.com/Saba-Usman/TDS-Project-1" TargetMode="External"/><Relationship Id="rId504" Type="http://schemas.openxmlformats.org/officeDocument/2006/relationships/hyperlink" Target="https://github.com/IITM-VK/TDS-Project-1" TargetMode="External"/><Relationship Id="rId746" Type="http://schemas.openxmlformats.org/officeDocument/2006/relationships/hyperlink" Target="https://github.com/Irshadanwar/berlin-200-users-repositories" TargetMode="External"/><Relationship Id="rId988" Type="http://schemas.openxmlformats.org/officeDocument/2006/relationships/hyperlink" Target="https://github.com/KarthikKalashLGS/TDSProject1" TargetMode="External"/><Relationship Id="rId48" Type="http://schemas.openxmlformats.org/officeDocument/2006/relationships/hyperlink" Target="https://github.com/ARUNIMADILEEPK/TDS_Project_1" TargetMode="External"/><Relationship Id="rId47" Type="http://schemas.openxmlformats.org/officeDocument/2006/relationships/hyperlink" Target="https://github.com/arshadnit/TDSP1" TargetMode="External"/><Relationship Id="rId49" Type="http://schemas.openxmlformats.org/officeDocument/2006/relationships/hyperlink" Target="https://github.com/AnvithaVarre7/Project-1" TargetMode="External"/><Relationship Id="rId741" Type="http://schemas.openxmlformats.org/officeDocument/2006/relationships/hyperlink" Target="https://github.com/titan-adi/Zurich-data-analysis" TargetMode="External"/><Relationship Id="rId983" Type="http://schemas.openxmlformats.org/officeDocument/2006/relationships/hyperlink" Target="https://github.com/sunnykumardangi/TDS_project-1" TargetMode="External"/><Relationship Id="rId740" Type="http://schemas.openxmlformats.org/officeDocument/2006/relationships/hyperlink" Target="https://github.com/A-ojha31/Tokyo_200" TargetMode="External"/><Relationship Id="rId982" Type="http://schemas.openxmlformats.org/officeDocument/2006/relationships/hyperlink" Target="https://github.com/subhajit2001/TDSProject1" TargetMode="External"/><Relationship Id="rId981" Type="http://schemas.openxmlformats.org/officeDocument/2006/relationships/hyperlink" Target="https://github.com/Anas007-lab/Toronto_Scraper" TargetMode="External"/><Relationship Id="rId980" Type="http://schemas.openxmlformats.org/officeDocument/2006/relationships/hyperlink" Target="https://github.com/Amrendra-kumar7/API_Melburne" TargetMode="External"/><Relationship Id="rId31" Type="http://schemas.openxmlformats.org/officeDocument/2006/relationships/hyperlink" Target="https://github.com/S23fVK/tdsProj1" TargetMode="External"/><Relationship Id="rId30" Type="http://schemas.openxmlformats.org/officeDocument/2006/relationships/hyperlink" Target="https://github.com/devansh-dotcom/tdsproject1-" TargetMode="External"/><Relationship Id="rId33" Type="http://schemas.openxmlformats.org/officeDocument/2006/relationships/hyperlink" Target="https://github.com/SaarthakMaini/tds_project_1/" TargetMode="External"/><Relationship Id="rId32" Type="http://schemas.openxmlformats.org/officeDocument/2006/relationships/hyperlink" Target="https://github.com/ritikjha7/tds-project-1" TargetMode="External"/><Relationship Id="rId35" Type="http://schemas.openxmlformats.org/officeDocument/2006/relationships/hyperlink" Target="https://github.com/loki1512/TDS-Project-1" TargetMode="External"/><Relationship Id="rId34" Type="http://schemas.openxmlformats.org/officeDocument/2006/relationships/hyperlink" Target="https://github.com/404aalu/tds-project1" TargetMode="External"/><Relationship Id="rId739" Type="http://schemas.openxmlformats.org/officeDocument/2006/relationships/hyperlink" Target="https://github.com/Akif29/TDS-Project-1" TargetMode="External"/><Relationship Id="rId734" Type="http://schemas.openxmlformats.org/officeDocument/2006/relationships/hyperlink" Target="https://github.com/24f1002325-Jagan/Project-1/tree/main" TargetMode="External"/><Relationship Id="rId976" Type="http://schemas.openxmlformats.org/officeDocument/2006/relationships/hyperlink" Target="https://github.com/ranashakti7/Sydney_users" TargetMode="External"/><Relationship Id="rId733" Type="http://schemas.openxmlformats.org/officeDocument/2006/relationships/hyperlink" Target="https://github.com/techshad/TDS-Project" TargetMode="External"/><Relationship Id="rId975" Type="http://schemas.openxmlformats.org/officeDocument/2006/relationships/hyperlink" Target="https://github.com/basubinayak/tds-project-1" TargetMode="External"/><Relationship Id="rId732" Type="http://schemas.openxmlformats.org/officeDocument/2006/relationships/hyperlink" Target="https://github.com/shivasanthosh0804/TDSProject-1" TargetMode="External"/><Relationship Id="rId974" Type="http://schemas.openxmlformats.org/officeDocument/2006/relationships/hyperlink" Target="https://github.com/23f1001663/TDS-QUIZ-1" TargetMode="External"/><Relationship Id="rId731" Type="http://schemas.openxmlformats.org/officeDocument/2006/relationships/hyperlink" Target="https://github.com/Rivansh-Illika/TDS-ASSIGNMENT-P-1" TargetMode="External"/><Relationship Id="rId973" Type="http://schemas.openxmlformats.org/officeDocument/2006/relationships/hyperlink" Target="https://github.com/sanchit-in/sydney-github-users" TargetMode="External"/><Relationship Id="rId738" Type="http://schemas.openxmlformats.org/officeDocument/2006/relationships/hyperlink" Target="https://github.com/abhi-manyu04/tds-pr1" TargetMode="External"/><Relationship Id="rId737" Type="http://schemas.openxmlformats.org/officeDocument/2006/relationships/hyperlink" Target="https://github.com/sky-m1618/TDS_project_1" TargetMode="External"/><Relationship Id="rId979" Type="http://schemas.openxmlformats.org/officeDocument/2006/relationships/hyperlink" Target="https://github.com/Mv98dell/Mv/tree/33999fa40510af74122c53f73c6b8df2b53129c9" TargetMode="External"/><Relationship Id="rId736" Type="http://schemas.openxmlformats.org/officeDocument/2006/relationships/hyperlink" Target="https://github.com/spideysanjay007/sanjay_tds_project_1" TargetMode="External"/><Relationship Id="rId978" Type="http://schemas.openxmlformats.org/officeDocument/2006/relationships/hyperlink" Target="https://github.com/anshikaatiwari/tdsp1" TargetMode="External"/><Relationship Id="rId735" Type="http://schemas.openxmlformats.org/officeDocument/2006/relationships/hyperlink" Target="https://github.com/dhirajp1603/IITM-TDS" TargetMode="External"/><Relationship Id="rId977" Type="http://schemas.openxmlformats.org/officeDocument/2006/relationships/hyperlink" Target="https://github.com/22f3002293/TDS-project1" TargetMode="External"/><Relationship Id="rId37" Type="http://schemas.openxmlformats.org/officeDocument/2006/relationships/hyperlink" Target="https://github.com/Ananya200314/IITM_TDS_P1" TargetMode="External"/><Relationship Id="rId36" Type="http://schemas.openxmlformats.org/officeDocument/2006/relationships/hyperlink" Target="https://github.com/AlgoPenguin/tds-project-1" TargetMode="External"/><Relationship Id="rId39" Type="http://schemas.openxmlformats.org/officeDocument/2006/relationships/hyperlink" Target="https://github.com/shivyatripathi2604/TDS" TargetMode="External"/><Relationship Id="rId38" Type="http://schemas.openxmlformats.org/officeDocument/2006/relationships/hyperlink" Target="https://github.com/Shilajit04/TDS-Project-1" TargetMode="External"/><Relationship Id="rId730" Type="http://schemas.openxmlformats.org/officeDocument/2006/relationships/hyperlink" Target="https://github.com/Hitesh-Binjrawat/TDSProject1" TargetMode="External"/><Relationship Id="rId972" Type="http://schemas.openxmlformats.org/officeDocument/2006/relationships/hyperlink" Target="https://github.com/Kanishk90/Project1" TargetMode="External"/><Relationship Id="rId971" Type="http://schemas.openxmlformats.org/officeDocument/2006/relationships/hyperlink" Target="https://github.com/nemo0002/Tds_proj_1" TargetMode="External"/><Relationship Id="rId970" Type="http://schemas.openxmlformats.org/officeDocument/2006/relationships/hyperlink" Target="https://github.com/1yadavsid/tds-project-1" TargetMode="External"/><Relationship Id="rId1114" Type="http://schemas.openxmlformats.org/officeDocument/2006/relationships/hyperlink" Target="https://github.com/Viswa-iitm/TDS-project-1" TargetMode="External"/><Relationship Id="rId1115" Type="http://schemas.openxmlformats.org/officeDocument/2006/relationships/hyperlink" Target="https://github.com/Karthikey2003/tdsproj1" TargetMode="External"/><Relationship Id="rId20" Type="http://schemas.openxmlformats.org/officeDocument/2006/relationships/hyperlink" Target="https://github.com/shwetavyas12/Zurich-50" TargetMode="External"/><Relationship Id="rId1116" Type="http://schemas.openxmlformats.org/officeDocument/2006/relationships/hyperlink" Target="https://github.com/joshna-dhanokar/Stockholm-100" TargetMode="External"/><Relationship Id="rId1117" Type="http://schemas.openxmlformats.org/officeDocument/2006/relationships/hyperlink" Target="https://github.com/RITIK-CHAUDHRY/project-1" TargetMode="External"/><Relationship Id="rId22" Type="http://schemas.openxmlformats.org/officeDocument/2006/relationships/hyperlink" Target="https://github.com/Anantvats7/Tdsproject1" TargetMode="External"/><Relationship Id="rId1118" Type="http://schemas.openxmlformats.org/officeDocument/2006/relationships/hyperlink" Target="https://github.com/pranay2k3/iitpro" TargetMode="External"/><Relationship Id="rId21" Type="http://schemas.openxmlformats.org/officeDocument/2006/relationships/hyperlink" Target="https://github.com/SAM8402/tds-project1" TargetMode="External"/><Relationship Id="rId1119" Type="http://schemas.openxmlformats.org/officeDocument/2006/relationships/hyperlink" Target="https://github.com/spacetime177/tds_proj" TargetMode="External"/><Relationship Id="rId24" Type="http://schemas.openxmlformats.org/officeDocument/2006/relationships/hyperlink" Target="https://github.com/SINGHALSAJAL/github_scrapped_iitm" TargetMode="External"/><Relationship Id="rId23" Type="http://schemas.openxmlformats.org/officeDocument/2006/relationships/hyperlink" Target="https://github.com/Aishwarya-V-K/Sydney_Github_User" TargetMode="External"/><Relationship Id="rId525" Type="http://schemas.openxmlformats.org/officeDocument/2006/relationships/hyperlink" Target="https://github.com/ratantiwaridev/tds_project1" TargetMode="External"/><Relationship Id="rId767" Type="http://schemas.openxmlformats.org/officeDocument/2006/relationships/hyperlink" Target="https://github.com/bhumi-gupta2201/Austin100" TargetMode="External"/><Relationship Id="rId524" Type="http://schemas.openxmlformats.org/officeDocument/2006/relationships/hyperlink" Target="https://github.com/pranjal300799/TDS-proj1" TargetMode="External"/><Relationship Id="rId766" Type="http://schemas.openxmlformats.org/officeDocument/2006/relationships/hyperlink" Target="https://github.com/agaMadan/TDS-Project-1" TargetMode="External"/><Relationship Id="rId523" Type="http://schemas.openxmlformats.org/officeDocument/2006/relationships/hyperlink" Target="https://github.com/SrujanKVK/23f2003652-ds.study.iitm.ac.in__London-500" TargetMode="External"/><Relationship Id="rId765" Type="http://schemas.openxmlformats.org/officeDocument/2006/relationships/hyperlink" Target="https://github.com/231fiitm/tdsproject" TargetMode="External"/><Relationship Id="rId522" Type="http://schemas.openxmlformats.org/officeDocument/2006/relationships/hyperlink" Target="https://github.com/MANAV-py/tds_project1" TargetMode="External"/><Relationship Id="rId764" Type="http://schemas.openxmlformats.org/officeDocument/2006/relationships/hyperlink" Target="https://github.com/amittkulkarni/tds-project-1" TargetMode="External"/><Relationship Id="rId529" Type="http://schemas.openxmlformats.org/officeDocument/2006/relationships/hyperlink" Target="https://github.com/22f2000894/tds-project-1" TargetMode="External"/><Relationship Id="rId528" Type="http://schemas.openxmlformats.org/officeDocument/2006/relationships/hyperlink" Target="https://github.com/srishtyAg19/Moscow-50" TargetMode="External"/><Relationship Id="rId527" Type="http://schemas.openxmlformats.org/officeDocument/2006/relationships/hyperlink" Target="https://github.com/Abimanyu-A-J/TDSProj1/tree/main" TargetMode="External"/><Relationship Id="rId769" Type="http://schemas.openxmlformats.org/officeDocument/2006/relationships/hyperlink" Target="https://github.com/Akif29/TDS-Project-1" TargetMode="External"/><Relationship Id="rId526" Type="http://schemas.openxmlformats.org/officeDocument/2006/relationships/hyperlink" Target="https://github.com/samreen-fathima-s/tds" TargetMode="External"/><Relationship Id="rId768" Type="http://schemas.openxmlformats.org/officeDocument/2006/relationships/hyperlink" Target="https://github.com/Abhinandan-IIT-M/austin-github-users" TargetMode="External"/><Relationship Id="rId26" Type="http://schemas.openxmlformats.org/officeDocument/2006/relationships/hyperlink" Target="https://github.com/pavan-santhosh-iitm/Project1" TargetMode="External"/><Relationship Id="rId25" Type="http://schemas.openxmlformats.org/officeDocument/2006/relationships/hyperlink" Target="https://github.com/yyyzznnn/TDS-Project1" TargetMode="External"/><Relationship Id="rId28" Type="http://schemas.openxmlformats.org/officeDocument/2006/relationships/hyperlink" Target="https://github.com/akshat-shethia/TDS-Project-1-Akshat-Shethia" TargetMode="External"/><Relationship Id="rId27" Type="http://schemas.openxmlformats.org/officeDocument/2006/relationships/hyperlink" Target="https://github.com/21f1006103/tds-1" TargetMode="External"/><Relationship Id="rId521" Type="http://schemas.openxmlformats.org/officeDocument/2006/relationships/hyperlink" Target="https://github.com/Anish071105/TDS-project1" TargetMode="External"/><Relationship Id="rId763" Type="http://schemas.openxmlformats.org/officeDocument/2006/relationships/hyperlink" Target="https://github.com/SakshamBindal07/github_sydney_users" TargetMode="External"/><Relationship Id="rId1110" Type="http://schemas.openxmlformats.org/officeDocument/2006/relationships/hyperlink" Target="https://github.com/Amrendra-kumar7/API_Melburne" TargetMode="External"/><Relationship Id="rId29" Type="http://schemas.openxmlformats.org/officeDocument/2006/relationships/hyperlink" Target="https://github.com/IITM-AnandK/AK-Project-Shanghai-200-Followers" TargetMode="External"/><Relationship Id="rId520" Type="http://schemas.openxmlformats.org/officeDocument/2006/relationships/hyperlink" Target="https://github.com/22f2001193-neeraj-menon-iitm/TDS_Project_1" TargetMode="External"/><Relationship Id="rId762" Type="http://schemas.openxmlformats.org/officeDocument/2006/relationships/hyperlink" Target="https://github.com/Neha-Galande-14/scrapper-project" TargetMode="External"/><Relationship Id="rId1111" Type="http://schemas.openxmlformats.org/officeDocument/2006/relationships/hyperlink" Target="https://github.com/Anas007-lab/Toronto_Scraper" TargetMode="External"/><Relationship Id="rId761" Type="http://schemas.openxmlformats.org/officeDocument/2006/relationships/hyperlink" Target="https://github.com/ojast22/tds_proj1" TargetMode="External"/><Relationship Id="rId1112" Type="http://schemas.openxmlformats.org/officeDocument/2006/relationships/hyperlink" Target="https://github.com/terminator7x/tds-project/tree/main" TargetMode="External"/><Relationship Id="rId760" Type="http://schemas.openxmlformats.org/officeDocument/2006/relationships/hyperlink" Target="https://github.com/Anburajasp/TDS-PROJECT-1" TargetMode="External"/><Relationship Id="rId1113" Type="http://schemas.openxmlformats.org/officeDocument/2006/relationships/hyperlink" Target="https://github.com/Aakash-Prime/github-users-chennai" TargetMode="External"/><Relationship Id="rId1103" Type="http://schemas.openxmlformats.org/officeDocument/2006/relationships/hyperlink" Target="https://github.com/SaloniSingh1254/seattle200" TargetMode="External"/><Relationship Id="rId1104" Type="http://schemas.openxmlformats.org/officeDocument/2006/relationships/hyperlink" Target="https://github.com/Rishitahazra/berlin200" TargetMode="External"/><Relationship Id="rId1105" Type="http://schemas.openxmlformats.org/officeDocument/2006/relationships/hyperlink" Target="https://github.com/KD-kaustubh/Tds-project-1" TargetMode="External"/><Relationship Id="rId1106" Type="http://schemas.openxmlformats.org/officeDocument/2006/relationships/hyperlink" Target="https://github.com/mehuljun09/TDS_IITM" TargetMode="External"/><Relationship Id="rId11" Type="http://schemas.openxmlformats.org/officeDocument/2006/relationships/hyperlink" Target="https://github.com/Alizalily/TDS_Project1" TargetMode="External"/><Relationship Id="rId1107" Type="http://schemas.openxmlformats.org/officeDocument/2006/relationships/hyperlink" Target="https://github.com/23f2004417/23f2004417_TDS_Project1" TargetMode="External"/><Relationship Id="rId10" Type="http://schemas.openxmlformats.org/officeDocument/2006/relationships/hyperlink" Target="https://github.com/sage-devv/TDS-Project-1" TargetMode="External"/><Relationship Id="rId1108" Type="http://schemas.openxmlformats.org/officeDocument/2006/relationships/hyperlink" Target="https://github.com/sufyan-12/TDS-PR1" TargetMode="External"/><Relationship Id="rId13" Type="http://schemas.openxmlformats.org/officeDocument/2006/relationships/hyperlink" Target="https://github.com/Aniruddha017/TDSproject1" TargetMode="External"/><Relationship Id="rId1109" Type="http://schemas.openxmlformats.org/officeDocument/2006/relationships/hyperlink" Target="https://github.com/theduskyrobe/TDS1" TargetMode="External"/><Relationship Id="rId12" Type="http://schemas.openxmlformats.org/officeDocument/2006/relationships/hyperlink" Target="https://github.com/Prajchin/TDS_P1" TargetMode="External"/><Relationship Id="rId519" Type="http://schemas.openxmlformats.org/officeDocument/2006/relationships/hyperlink" Target="https://github.com/ak5h1ta/tds-project1" TargetMode="External"/><Relationship Id="rId514" Type="http://schemas.openxmlformats.org/officeDocument/2006/relationships/hyperlink" Target="https://github.com/AnujKrishna-IIT/TDS-Project1" TargetMode="External"/><Relationship Id="rId756" Type="http://schemas.openxmlformats.org/officeDocument/2006/relationships/hyperlink" Target="https://github.com/LakshayB05/tds_project1" TargetMode="External"/><Relationship Id="rId998" Type="http://schemas.openxmlformats.org/officeDocument/2006/relationships/hyperlink" Target="https://github.com/23f1000698/proj1" TargetMode="External"/><Relationship Id="rId513" Type="http://schemas.openxmlformats.org/officeDocument/2006/relationships/hyperlink" Target="https://github.com/AdityaGuptaVarshney/tds-project1-iitm" TargetMode="External"/><Relationship Id="rId755" Type="http://schemas.openxmlformats.org/officeDocument/2006/relationships/hyperlink" Target="https://github.com/pkala7968/TDS-PROJECT-1-IITM" TargetMode="External"/><Relationship Id="rId997" Type="http://schemas.openxmlformats.org/officeDocument/2006/relationships/hyperlink" Target="https://github.com/mfzlur/tds-iitm-project1" TargetMode="External"/><Relationship Id="rId512" Type="http://schemas.openxmlformats.org/officeDocument/2006/relationships/hyperlink" Target="https://github.com/Samcoderg78/IIT_M_DEMO_REPO" TargetMode="External"/><Relationship Id="rId754" Type="http://schemas.openxmlformats.org/officeDocument/2006/relationships/hyperlink" Target="https://github.com/Meet-XML/Tds_pro1" TargetMode="External"/><Relationship Id="rId996" Type="http://schemas.openxmlformats.org/officeDocument/2006/relationships/hyperlink" Target="https://github.com/Sgytuy/Tools-in-Data-Science---Project-1/tree/main" TargetMode="External"/><Relationship Id="rId511" Type="http://schemas.openxmlformats.org/officeDocument/2006/relationships/hyperlink" Target="https://github.com/27-Swastik/tds_project_1" TargetMode="External"/><Relationship Id="rId753" Type="http://schemas.openxmlformats.org/officeDocument/2006/relationships/hyperlink" Target="https://github.com/GauriTr/TDS_project_1" TargetMode="External"/><Relationship Id="rId995" Type="http://schemas.openxmlformats.org/officeDocument/2006/relationships/hyperlink" Target="https://github.com/vijayabhaskar78/TDS-PROJECT-1" TargetMode="External"/><Relationship Id="rId518" Type="http://schemas.openxmlformats.org/officeDocument/2006/relationships/hyperlink" Target="https://github.com/Hitesh-Binjrawat/TDSProject1" TargetMode="External"/><Relationship Id="rId517" Type="http://schemas.openxmlformats.org/officeDocument/2006/relationships/hyperlink" Target="https://github.com/Devanshshukla090705/PRJ1_TDS" TargetMode="External"/><Relationship Id="rId759" Type="http://schemas.openxmlformats.org/officeDocument/2006/relationships/hyperlink" Target="https://github.com/RealFalseGod/Project1" TargetMode="External"/><Relationship Id="rId516" Type="http://schemas.openxmlformats.org/officeDocument/2006/relationships/hyperlink" Target="https://github.com/Chinmoydass/TDS_Project1" TargetMode="External"/><Relationship Id="rId758" Type="http://schemas.openxmlformats.org/officeDocument/2006/relationships/hyperlink" Target="https://github.com/jyoti7398/TDS_proj1" TargetMode="External"/><Relationship Id="rId515" Type="http://schemas.openxmlformats.org/officeDocument/2006/relationships/hyperlink" Target="https://github.com/AMOL-023/main" TargetMode="External"/><Relationship Id="rId757" Type="http://schemas.openxmlformats.org/officeDocument/2006/relationships/hyperlink" Target="https://github.com/shekharkshitij/TDS_Project" TargetMode="External"/><Relationship Id="rId999" Type="http://schemas.openxmlformats.org/officeDocument/2006/relationships/hyperlink" Target="https://github.com/imstrk04/TDSProject_1" TargetMode="External"/><Relationship Id="rId15" Type="http://schemas.openxmlformats.org/officeDocument/2006/relationships/hyperlink" Target="https://github.com/ViratJinjala/TDS-project-1" TargetMode="External"/><Relationship Id="rId990" Type="http://schemas.openxmlformats.org/officeDocument/2006/relationships/hyperlink" Target="https://github.com/Wamikmk/My-tds-Project-1" TargetMode="External"/><Relationship Id="rId14" Type="http://schemas.openxmlformats.org/officeDocument/2006/relationships/hyperlink" Target="https://github.com/23f1002051/TDS_Project_1" TargetMode="External"/><Relationship Id="rId17" Type="http://schemas.openxmlformats.org/officeDocument/2006/relationships/hyperlink" Target="https://github.com/niki7777777/TDS-Project-1" TargetMode="External"/><Relationship Id="rId16" Type="http://schemas.openxmlformats.org/officeDocument/2006/relationships/hyperlink" Target="https://github.com/anantdev123/Project1" TargetMode="External"/><Relationship Id="rId19" Type="http://schemas.openxmlformats.org/officeDocument/2006/relationships/hyperlink" Target="https://github.com/aliabidi00/tds-project-1" TargetMode="External"/><Relationship Id="rId510" Type="http://schemas.openxmlformats.org/officeDocument/2006/relationships/hyperlink" Target="https://github.com/pranavdarak/TDS_P1" TargetMode="External"/><Relationship Id="rId752" Type="http://schemas.openxmlformats.org/officeDocument/2006/relationships/hyperlink" Target="https://github.com/SaikatMandal2022/TDS_Project1" TargetMode="External"/><Relationship Id="rId994" Type="http://schemas.openxmlformats.org/officeDocument/2006/relationships/hyperlink" Target="https://github.com/hdsawscloud/project1" TargetMode="External"/><Relationship Id="rId18" Type="http://schemas.openxmlformats.org/officeDocument/2006/relationships/hyperlink" Target="https://github.com/rohit0490/tdsp1" TargetMode="External"/><Relationship Id="rId751" Type="http://schemas.openxmlformats.org/officeDocument/2006/relationships/hyperlink" Target="https://github.com/keertidamani/TorontoAnalysisProject" TargetMode="External"/><Relationship Id="rId993" Type="http://schemas.openxmlformats.org/officeDocument/2006/relationships/hyperlink" Target="https://github.com/ThePenguin12345/TDS_Project1" TargetMode="External"/><Relationship Id="rId1100" Type="http://schemas.openxmlformats.org/officeDocument/2006/relationships/hyperlink" Target="https://github.com/Ananya200314/IITM_TDS_P1" TargetMode="External"/><Relationship Id="rId750" Type="http://schemas.openxmlformats.org/officeDocument/2006/relationships/hyperlink" Target="https://github.com/m55d/P1_md" TargetMode="External"/><Relationship Id="rId992" Type="http://schemas.openxmlformats.org/officeDocument/2006/relationships/hyperlink" Target="https://github.com/raghu5427/TDS_Proj_1" TargetMode="External"/><Relationship Id="rId1101" Type="http://schemas.openxmlformats.org/officeDocument/2006/relationships/hyperlink" Target="https://github.com/Shilajit04/TDS-Project-1" TargetMode="External"/><Relationship Id="rId991" Type="http://schemas.openxmlformats.org/officeDocument/2006/relationships/hyperlink" Target="https://github.com/virajjdm1/TDS-Project-1" TargetMode="External"/><Relationship Id="rId1102" Type="http://schemas.openxmlformats.org/officeDocument/2006/relationships/hyperlink" Target="https://github.com/rebornphoenix01/TDSProject1" TargetMode="External"/><Relationship Id="rId84" Type="http://schemas.openxmlformats.org/officeDocument/2006/relationships/hyperlink" Target="https://github.com/mfzlur/tds-iitm-project1" TargetMode="External"/><Relationship Id="rId83" Type="http://schemas.openxmlformats.org/officeDocument/2006/relationships/hyperlink" Target="https://github.com/Sgytuy/Tools-in-Data-Science---Project-1/tree/main" TargetMode="External"/><Relationship Id="rId86" Type="http://schemas.openxmlformats.org/officeDocument/2006/relationships/hyperlink" Target="https://github.com/rohit0490/tdsp1" TargetMode="External"/><Relationship Id="rId85" Type="http://schemas.openxmlformats.org/officeDocument/2006/relationships/hyperlink" Target="https://github.com/niki7777777/TDS-Project-1" TargetMode="External"/><Relationship Id="rId88" Type="http://schemas.openxmlformats.org/officeDocument/2006/relationships/hyperlink" Target="https://forms.gle/qjSEztCfP6oG65gp8" TargetMode="External"/><Relationship Id="rId87" Type="http://schemas.openxmlformats.org/officeDocument/2006/relationships/hyperlink" Target="https://github.com/febixcf/tds-project1" TargetMode="External"/><Relationship Id="rId89" Type="http://schemas.openxmlformats.org/officeDocument/2006/relationships/hyperlink" Target="https://github.com/RutikaKanaujiya/barcelona_assignment" TargetMode="External"/><Relationship Id="rId709" Type="http://schemas.openxmlformats.org/officeDocument/2006/relationships/hyperlink" Target="https://github.com/Abimanyu-A-J/TDSProj1/tree/main" TargetMode="External"/><Relationship Id="rId708" Type="http://schemas.openxmlformats.org/officeDocument/2006/relationships/hyperlink" Target="https://github.com/abhi-manyu04/tds-pr1" TargetMode="External"/><Relationship Id="rId707" Type="http://schemas.openxmlformats.org/officeDocument/2006/relationships/hyperlink" Target="https://github.com/sky-m1618/TDS_project_1" TargetMode="External"/><Relationship Id="rId949" Type="http://schemas.openxmlformats.org/officeDocument/2006/relationships/hyperlink" Target="https://github.com/Imranrasheedpm/tds_proj_1" TargetMode="External"/><Relationship Id="rId706" Type="http://schemas.openxmlformats.org/officeDocument/2006/relationships/hyperlink" Target="https://github.com/Sreekar-1804/Tds_Project_1" TargetMode="External"/><Relationship Id="rId948" Type="http://schemas.openxmlformats.org/officeDocument/2006/relationships/hyperlink" Target="https://github.com/AswinBala007/IITM_TDS_PROJECT1" TargetMode="External"/><Relationship Id="rId80" Type="http://schemas.openxmlformats.org/officeDocument/2006/relationships/hyperlink" Target="https://github.com/nirmaldeep-p/TDS-Project-1" TargetMode="External"/><Relationship Id="rId82" Type="http://schemas.openxmlformats.org/officeDocument/2006/relationships/hyperlink" Target="https://github.com/SiriusOrion0301/TDS-PROJECT-1" TargetMode="External"/><Relationship Id="rId81" Type="http://schemas.openxmlformats.org/officeDocument/2006/relationships/hyperlink" Target="https://github.com/RutikaKanaujiya/barcelona_assignment" TargetMode="External"/><Relationship Id="rId701" Type="http://schemas.openxmlformats.org/officeDocument/2006/relationships/hyperlink" Target="https://github.com/dsenthilkumar95/TDS_P1_Barcelona100" TargetMode="External"/><Relationship Id="rId943" Type="http://schemas.openxmlformats.org/officeDocument/2006/relationships/hyperlink" Target="https://github.com/UnfairFinish/TDS-Project-1" TargetMode="External"/><Relationship Id="rId700" Type="http://schemas.openxmlformats.org/officeDocument/2006/relationships/hyperlink" Target="https://github.com/Sh1617/Project1" TargetMode="External"/><Relationship Id="rId942" Type="http://schemas.openxmlformats.org/officeDocument/2006/relationships/hyperlink" Target="https://github.com/adityalearnsdata/Project-1" TargetMode="External"/><Relationship Id="rId941" Type="http://schemas.openxmlformats.org/officeDocument/2006/relationships/hyperlink" Target="https://github.com/AmanManiTiwari/Tools-In-Data-Science-Project-1" TargetMode="External"/><Relationship Id="rId940" Type="http://schemas.openxmlformats.org/officeDocument/2006/relationships/hyperlink" Target="https://github.com/Chitraksha-Sharma/Project_1_TDS" TargetMode="External"/><Relationship Id="rId705" Type="http://schemas.openxmlformats.org/officeDocument/2006/relationships/hyperlink" Target="https://github.com/22f2000784/basel-github-data-analysis" TargetMode="External"/><Relationship Id="rId947" Type="http://schemas.openxmlformats.org/officeDocument/2006/relationships/hyperlink" Target="https://github.com/regisprabha/TDS-Project1" TargetMode="External"/><Relationship Id="rId704" Type="http://schemas.openxmlformats.org/officeDocument/2006/relationships/hyperlink" Target="https://github.com/kabir2505/zurich_scraping-tds" TargetMode="External"/><Relationship Id="rId946" Type="http://schemas.openxmlformats.org/officeDocument/2006/relationships/hyperlink" Target="https://github.com/tuxdna/tds-project1" TargetMode="External"/><Relationship Id="rId703" Type="http://schemas.openxmlformats.org/officeDocument/2006/relationships/hyperlink" Target="https://github.com/Thanhanoorudheen/proj1" TargetMode="External"/><Relationship Id="rId945" Type="http://schemas.openxmlformats.org/officeDocument/2006/relationships/hyperlink" Target="https://github.com/irabi111/TDSPROJ1" TargetMode="External"/><Relationship Id="rId702" Type="http://schemas.openxmlformats.org/officeDocument/2006/relationships/hyperlink" Target="https://github.com/pranshu0205/TDS-Project-1" TargetMode="External"/><Relationship Id="rId944" Type="http://schemas.openxmlformats.org/officeDocument/2006/relationships/hyperlink" Target="https://github.com/Amarks14/TDS_P1" TargetMode="External"/><Relationship Id="rId73" Type="http://schemas.openxmlformats.org/officeDocument/2006/relationships/hyperlink" Target="https://github.com/Chitraksha-Sharma/Project_1_TDS" TargetMode="External"/><Relationship Id="rId72" Type="http://schemas.openxmlformats.org/officeDocument/2006/relationships/hyperlink" Target="https://github.com/Nishtha65/TDS-Project1" TargetMode="External"/><Relationship Id="rId75" Type="http://schemas.openxmlformats.org/officeDocument/2006/relationships/hyperlink" Target="https://github.com/aarfeeniitm/TDS-Project-1" TargetMode="External"/><Relationship Id="rId74" Type="http://schemas.openxmlformats.org/officeDocument/2006/relationships/hyperlink" Target="https://github.com/AmanManiTiwari/Tools-In-Data-Science-Project-1" TargetMode="External"/><Relationship Id="rId77" Type="http://schemas.openxmlformats.org/officeDocument/2006/relationships/hyperlink" Target="https://github.com/sufyan-12/TDS-PR1" TargetMode="External"/><Relationship Id="rId76" Type="http://schemas.openxmlformats.org/officeDocument/2006/relationships/hyperlink" Target="https://github.com/srijan789/tdsproj1" TargetMode="External"/><Relationship Id="rId79" Type="http://schemas.openxmlformats.org/officeDocument/2006/relationships/hyperlink" Target="https://github.com/22f3001377/Pro1" TargetMode="External"/><Relationship Id="rId78" Type="http://schemas.openxmlformats.org/officeDocument/2006/relationships/hyperlink" Target="https://github.com/theduskyrobe/TDS1" TargetMode="External"/><Relationship Id="rId939" Type="http://schemas.openxmlformats.org/officeDocument/2006/relationships/hyperlink" Target="https://github.com/kthirumlaesh17/tdsproject-1" TargetMode="External"/><Relationship Id="rId938" Type="http://schemas.openxmlformats.org/officeDocument/2006/relationships/hyperlink" Target="https://github.com/Akashkunwar/TDS-Project-1" TargetMode="External"/><Relationship Id="rId937" Type="http://schemas.openxmlformats.org/officeDocument/2006/relationships/hyperlink" Target="https://github.com/vazemon/TDS_Project1" TargetMode="External"/><Relationship Id="rId71" Type="http://schemas.openxmlformats.org/officeDocument/2006/relationships/hyperlink" Target="https://github.com/sujatrobhadra/TDS_Project_1" TargetMode="External"/><Relationship Id="rId70" Type="http://schemas.openxmlformats.org/officeDocument/2006/relationships/hyperlink" Target="https://github.com/devishijain/TDS-Project-1" TargetMode="External"/><Relationship Id="rId932" Type="http://schemas.openxmlformats.org/officeDocument/2006/relationships/hyperlink" Target="https://github.com/kuldeepchavda/tds_project_1" TargetMode="External"/><Relationship Id="rId931" Type="http://schemas.openxmlformats.org/officeDocument/2006/relationships/hyperlink" Target="https://github.com/IITM-AnandK/AK-Project-Shanghai-200-Followers" TargetMode="External"/><Relationship Id="rId930" Type="http://schemas.openxmlformats.org/officeDocument/2006/relationships/hyperlink" Target="https://github.com/devansh-dotcom/tdsproject1-" TargetMode="External"/><Relationship Id="rId936" Type="http://schemas.openxmlformats.org/officeDocument/2006/relationships/hyperlink" Target="https://github.com/IITMSAPNA/Sapna_tds_proj_1" TargetMode="External"/><Relationship Id="rId935" Type="http://schemas.openxmlformats.org/officeDocument/2006/relationships/hyperlink" Target="https://github.com/24f1002325-Jagan/Project-1" TargetMode="External"/><Relationship Id="rId934" Type="http://schemas.openxmlformats.org/officeDocument/2006/relationships/hyperlink" Target="https://github.com/techshad/TDS-Project" TargetMode="External"/><Relationship Id="rId933" Type="http://schemas.openxmlformats.org/officeDocument/2006/relationships/hyperlink" Target="https://github.com/shramadeepd/TDS_1" TargetMode="External"/><Relationship Id="rId62" Type="http://schemas.openxmlformats.org/officeDocument/2006/relationships/hyperlink" Target="https://github.com/nirmaldeep-p/TDS-Project-1" TargetMode="External"/><Relationship Id="rId61" Type="http://schemas.openxmlformats.org/officeDocument/2006/relationships/hyperlink" Target="https://github.com/22f3001377/Pro1" TargetMode="External"/><Relationship Id="rId64" Type="http://schemas.openxmlformats.org/officeDocument/2006/relationships/hyperlink" Target="https://github.com/gyanesh-iitmiimb/TDSProject1/blob" TargetMode="External"/><Relationship Id="rId63" Type="http://schemas.openxmlformats.org/officeDocument/2006/relationships/hyperlink" Target="https://github.com/Udita1122/23f1000092" TargetMode="External"/><Relationship Id="rId66" Type="http://schemas.openxmlformats.org/officeDocument/2006/relationships/hyperlink" Target="https://github.com/dhaanicodes/project1" TargetMode="External"/><Relationship Id="rId65" Type="http://schemas.openxmlformats.org/officeDocument/2006/relationships/hyperlink" Target="https://github.com/dhaanicodes/project1" TargetMode="External"/><Relationship Id="rId68" Type="http://schemas.openxmlformats.org/officeDocument/2006/relationships/hyperlink" Target="https://github.com/Viswa-iitm/TDS-project-1/" TargetMode="External"/><Relationship Id="rId67" Type="http://schemas.openxmlformats.org/officeDocument/2006/relationships/hyperlink" Target="https://github.com/Karthikey2003/tdsproj1" TargetMode="External"/><Relationship Id="rId729" Type="http://schemas.openxmlformats.org/officeDocument/2006/relationships/hyperlink" Target="https://github.com/Devanshshukla090705/PRJ1_TDS" TargetMode="External"/><Relationship Id="rId728" Type="http://schemas.openxmlformats.org/officeDocument/2006/relationships/hyperlink" Target="https://github.com/DigvijaysinhChudasamaIITM/ToolsinDataScience-Project1" TargetMode="External"/><Relationship Id="rId60" Type="http://schemas.openxmlformats.org/officeDocument/2006/relationships/hyperlink" Target="https://github.com/nihalkumar833/tds" TargetMode="External"/><Relationship Id="rId723" Type="http://schemas.openxmlformats.org/officeDocument/2006/relationships/hyperlink" Target="https://github.com/JS121000/BERLINPROJECT" TargetMode="External"/><Relationship Id="rId965" Type="http://schemas.openxmlformats.org/officeDocument/2006/relationships/hyperlink" Target="https://github.com/nitesh-Sharma-IITM/IITM_TDS" TargetMode="External"/><Relationship Id="rId722" Type="http://schemas.openxmlformats.org/officeDocument/2006/relationships/hyperlink" Target="https://github.com/swaraj753/Project-1" TargetMode="External"/><Relationship Id="rId964" Type="http://schemas.openxmlformats.org/officeDocument/2006/relationships/hyperlink" Target="https://github.com/Keshav22f2001196/TDS-project1" TargetMode="External"/><Relationship Id="rId721" Type="http://schemas.openxmlformats.org/officeDocument/2006/relationships/hyperlink" Target="https://github.com/rajakumari-sp/TDS_project1" TargetMode="External"/><Relationship Id="rId963" Type="http://schemas.openxmlformats.org/officeDocument/2006/relationships/hyperlink" Target="https://github.com/Ganesh002005/data_analysis_boostan" TargetMode="External"/><Relationship Id="rId720" Type="http://schemas.openxmlformats.org/officeDocument/2006/relationships/hyperlink" Target="https://github.com/vath-21/tdsproject1" TargetMode="External"/><Relationship Id="rId962" Type="http://schemas.openxmlformats.org/officeDocument/2006/relationships/hyperlink" Target="https://github.com/querulous-virgo/GitHubAPI/blob/main/users.csv" TargetMode="External"/><Relationship Id="rId727" Type="http://schemas.openxmlformats.org/officeDocument/2006/relationships/hyperlink" Target="https://github.com/Aryan0550p/LondonUsersRepo" TargetMode="External"/><Relationship Id="rId969" Type="http://schemas.openxmlformats.org/officeDocument/2006/relationships/hyperlink" Target="https://github.com/importAmmar/TDS-Project-1" TargetMode="External"/><Relationship Id="rId726" Type="http://schemas.openxmlformats.org/officeDocument/2006/relationships/hyperlink" Target="https://github.com/23f2004165/Scraping-GitHub-Users-And-Their-Repos-TDS-Project1-" TargetMode="External"/><Relationship Id="rId968" Type="http://schemas.openxmlformats.org/officeDocument/2006/relationships/hyperlink" Target="https://github.com/Akash7190/TDS-Project-1" TargetMode="External"/><Relationship Id="rId725" Type="http://schemas.openxmlformats.org/officeDocument/2006/relationships/hyperlink" Target="https://github.com/Param302/TDS-Project1" TargetMode="External"/><Relationship Id="rId967" Type="http://schemas.openxmlformats.org/officeDocument/2006/relationships/hyperlink" Target="https://github.com/Amankumar0017/TDS-Project-1" TargetMode="External"/><Relationship Id="rId724" Type="http://schemas.openxmlformats.org/officeDocument/2006/relationships/hyperlink" Target="https://github.com/madhavanrmiitm/tds-project1" TargetMode="External"/><Relationship Id="rId966" Type="http://schemas.openxmlformats.org/officeDocument/2006/relationships/hyperlink" Target="https://github.com/VishwasSaini2006/pro" TargetMode="External"/><Relationship Id="rId69" Type="http://schemas.openxmlformats.org/officeDocument/2006/relationships/hyperlink" Target="https://github.com/devp1866/tds_project_1" TargetMode="External"/><Relationship Id="rId961" Type="http://schemas.openxmlformats.org/officeDocument/2006/relationships/hyperlink" Target="https://github.com/Nandhini-Ammaiappan/Project1" TargetMode="External"/><Relationship Id="rId960" Type="http://schemas.openxmlformats.org/officeDocument/2006/relationships/hyperlink" Target="https://github.com/Hritik-Shyam-Gupta/TDS-Project1" TargetMode="External"/><Relationship Id="rId51" Type="http://schemas.openxmlformats.org/officeDocument/2006/relationships/hyperlink" Target="https://github.com/GIT1001082/TDS_project_1" TargetMode="External"/><Relationship Id="rId50" Type="http://schemas.openxmlformats.org/officeDocument/2006/relationships/hyperlink" Target="https://github.com/23f3001726/p1-tds" TargetMode="External"/><Relationship Id="rId53" Type="http://schemas.openxmlformats.org/officeDocument/2006/relationships/hyperlink" Target="https://github.com/pratyushjdhv/iitm-tds" TargetMode="External"/><Relationship Id="rId52" Type="http://schemas.openxmlformats.org/officeDocument/2006/relationships/hyperlink" Target="https://github.com/22f3001192/amitkumar" TargetMode="External"/><Relationship Id="rId55" Type="http://schemas.openxmlformats.org/officeDocument/2006/relationships/hyperlink" Target="https://github.com/rishikarai23/TDS-PROJECT" TargetMode="External"/><Relationship Id="rId54" Type="http://schemas.openxmlformats.org/officeDocument/2006/relationships/hyperlink" Target="https://github.com/krishna1rpr/tds-project-1" TargetMode="External"/><Relationship Id="rId57" Type="http://schemas.openxmlformats.org/officeDocument/2006/relationships/hyperlink" Target="https://github.com/bipkrsinghh/TDS-proj" TargetMode="External"/><Relationship Id="rId56" Type="http://schemas.openxmlformats.org/officeDocument/2006/relationships/hyperlink" Target="https://github.com/sneh2105/tds_proj1" TargetMode="External"/><Relationship Id="rId719" Type="http://schemas.openxmlformats.org/officeDocument/2006/relationships/hyperlink" Target="https://github.com/SV-03/TDS-P1" TargetMode="External"/><Relationship Id="rId718" Type="http://schemas.openxmlformats.org/officeDocument/2006/relationships/hyperlink" Target="https://github.com/itznoor998/TDS_project1" TargetMode="External"/><Relationship Id="rId717" Type="http://schemas.openxmlformats.org/officeDocument/2006/relationships/hyperlink" Target="https://github.com/kanha-00001/project-1-final" TargetMode="External"/><Relationship Id="rId959" Type="http://schemas.openxmlformats.org/officeDocument/2006/relationships/hyperlink" Target="https://github.com/Priyam4437/barcelona-github-scrape" TargetMode="External"/><Relationship Id="rId712" Type="http://schemas.openxmlformats.org/officeDocument/2006/relationships/hyperlink" Target="https://github.com/drashtish/TDS-Project1" TargetMode="External"/><Relationship Id="rId954" Type="http://schemas.openxmlformats.org/officeDocument/2006/relationships/hyperlink" Target="https://github.com/PavanKumar-KN/TDS_Project_1" TargetMode="External"/><Relationship Id="rId711" Type="http://schemas.openxmlformats.org/officeDocument/2006/relationships/hyperlink" Target="https://github.com/AllyNav/tds_project_1" TargetMode="External"/><Relationship Id="rId953" Type="http://schemas.openxmlformats.org/officeDocument/2006/relationships/hyperlink" Target="https://github.com/hamees-sayed/tds-project" TargetMode="External"/><Relationship Id="rId710" Type="http://schemas.openxmlformats.org/officeDocument/2006/relationships/hyperlink" Target="https://github.com/srishtyAg19/Moscow-50" TargetMode="External"/><Relationship Id="rId952" Type="http://schemas.openxmlformats.org/officeDocument/2006/relationships/hyperlink" Target="https://github.com/iitm-student/Project1" TargetMode="External"/><Relationship Id="rId951" Type="http://schemas.openxmlformats.org/officeDocument/2006/relationships/hyperlink" Target="https://github.com/23f2003488/dublin_users" TargetMode="External"/><Relationship Id="rId716" Type="http://schemas.openxmlformats.org/officeDocument/2006/relationships/hyperlink" Target="https://github.com/AnantLuthra/tds-project1" TargetMode="External"/><Relationship Id="rId958" Type="http://schemas.openxmlformats.org/officeDocument/2006/relationships/hyperlink" Target="https://github.com/0rajnishk/tds-p1" TargetMode="External"/><Relationship Id="rId715" Type="http://schemas.openxmlformats.org/officeDocument/2006/relationships/hyperlink" Target="https://github.com/saksham5555/project" TargetMode="External"/><Relationship Id="rId957" Type="http://schemas.openxmlformats.org/officeDocument/2006/relationships/hyperlink" Target="https://github.com/sunnykumardangi/TDS_project-1" TargetMode="External"/><Relationship Id="rId714" Type="http://schemas.openxmlformats.org/officeDocument/2006/relationships/hyperlink" Target="https://github.com/Tanuroy10/TdsProject" TargetMode="External"/><Relationship Id="rId956" Type="http://schemas.openxmlformats.org/officeDocument/2006/relationships/hyperlink" Target="https://github.com/subhajit2001/TDSProject1" TargetMode="External"/><Relationship Id="rId713" Type="http://schemas.openxmlformats.org/officeDocument/2006/relationships/hyperlink" Target="https://github.com/rahul-jha-2001/TDS" TargetMode="External"/><Relationship Id="rId955" Type="http://schemas.openxmlformats.org/officeDocument/2006/relationships/hyperlink" Target="https://github.com/Praviniitm/Project_Moscow" TargetMode="External"/><Relationship Id="rId59" Type="http://schemas.openxmlformats.org/officeDocument/2006/relationships/hyperlink" Target="https://github.com/Preena-iitmds/pree_ZurichProj1" TargetMode="External"/><Relationship Id="rId58" Type="http://schemas.openxmlformats.org/officeDocument/2006/relationships/hyperlink" Target="https://github.com/Shre-2104/project1tds" TargetMode="External"/><Relationship Id="rId950" Type="http://schemas.openxmlformats.org/officeDocument/2006/relationships/hyperlink" Target="https://github.com/Saravanan1508/IITM_TDS_Project_1" TargetMode="External"/><Relationship Id="rId590" Type="http://schemas.openxmlformats.org/officeDocument/2006/relationships/hyperlink" Target="https://github.com/ShivamS191/hiiii" TargetMode="External"/><Relationship Id="rId107" Type="http://schemas.openxmlformats.org/officeDocument/2006/relationships/hyperlink" Target="https://github.com/sri-4122/TDS-PROJECT1-FINAL" TargetMode="External"/><Relationship Id="rId349" Type="http://schemas.openxmlformats.org/officeDocument/2006/relationships/hyperlink" Target="https://github.com/antareep18-geek/TDS-project1" TargetMode="External"/><Relationship Id="rId106" Type="http://schemas.openxmlformats.org/officeDocument/2006/relationships/hyperlink" Target="https://github.com/IITM-007/Project1/tree/main" TargetMode="External"/><Relationship Id="rId348" Type="http://schemas.openxmlformats.org/officeDocument/2006/relationships/hyperlink" Target="https://github.com/Praviniitm/Project_Moscow" TargetMode="External"/><Relationship Id="rId105" Type="http://schemas.openxmlformats.org/officeDocument/2006/relationships/hyperlink" Target="https://github.com/manojp23/TDS-Project-1" TargetMode="External"/><Relationship Id="rId347" Type="http://schemas.openxmlformats.org/officeDocument/2006/relationships/hyperlink" Target="https://github.com/PavanKumar-KN/TDS_Project_1" TargetMode="External"/><Relationship Id="rId589" Type="http://schemas.openxmlformats.org/officeDocument/2006/relationships/hyperlink" Target="https://github.com/DivyamShaiv/TDS_project1" TargetMode="External"/><Relationship Id="rId104" Type="http://schemas.openxmlformats.org/officeDocument/2006/relationships/hyperlink" Target="https://github.com/Nachiket-GORE/TDS-project-1" TargetMode="External"/><Relationship Id="rId346" Type="http://schemas.openxmlformats.org/officeDocument/2006/relationships/hyperlink" Target="https://github.com/JaySoni77/Project-1" TargetMode="External"/><Relationship Id="rId588" Type="http://schemas.openxmlformats.org/officeDocument/2006/relationships/hyperlink" Target="https://github.com/RiyaAgarwal22/TDS_Proj_1" TargetMode="External"/><Relationship Id="rId109" Type="http://schemas.openxmlformats.org/officeDocument/2006/relationships/hyperlink" Target="https://github.com/Aryan-Mishra24/TDS_PROJECT1" TargetMode="External"/><Relationship Id="rId108" Type="http://schemas.openxmlformats.org/officeDocument/2006/relationships/hyperlink" Target="https://github.com/jayasri-js/github-london-users" TargetMode="External"/><Relationship Id="rId341" Type="http://schemas.openxmlformats.org/officeDocument/2006/relationships/hyperlink" Target="https://github.com/yali369/Boston" TargetMode="External"/><Relationship Id="rId583" Type="http://schemas.openxmlformats.org/officeDocument/2006/relationships/hyperlink" Target="https://github.com/sadiq1402/TDS-Project-1" TargetMode="External"/><Relationship Id="rId340" Type="http://schemas.openxmlformats.org/officeDocument/2006/relationships/hyperlink" Target="https://github.com/rahulyadav46691499/TDS_project" TargetMode="External"/><Relationship Id="rId582" Type="http://schemas.openxmlformats.org/officeDocument/2006/relationships/hyperlink" Target="https://github.com/RajaVishwanathDasari/TDS-Project-1" TargetMode="External"/><Relationship Id="rId581" Type="http://schemas.openxmlformats.org/officeDocument/2006/relationships/hyperlink" Target="https://github.com/Kratikavarshney-16/Mumbai50" TargetMode="External"/><Relationship Id="rId580" Type="http://schemas.openxmlformats.org/officeDocument/2006/relationships/hyperlink" Target="https://github.com/ashwiniitm/tdsProject1" TargetMode="External"/><Relationship Id="rId103" Type="http://schemas.openxmlformats.org/officeDocument/2006/relationships/hyperlink" Target="https://github.com/Nimbus29/TDS-Project_1" TargetMode="External"/><Relationship Id="rId345" Type="http://schemas.openxmlformats.org/officeDocument/2006/relationships/hyperlink" Target="https://github.com/karthikeyan456/tdsproject1" TargetMode="External"/><Relationship Id="rId587" Type="http://schemas.openxmlformats.org/officeDocument/2006/relationships/hyperlink" Target="https://github.com/BriIITM/Project1-TDS" TargetMode="External"/><Relationship Id="rId102" Type="http://schemas.openxmlformats.org/officeDocument/2006/relationships/hyperlink" Target="https://github.com/DSAshv/TDS-Project1" TargetMode="External"/><Relationship Id="rId344" Type="http://schemas.openxmlformats.org/officeDocument/2006/relationships/hyperlink" Target="https://github.com/Anupama-Manjunath/22f3003253_tdsPA1" TargetMode="External"/><Relationship Id="rId586" Type="http://schemas.openxmlformats.org/officeDocument/2006/relationships/hyperlink" Target="https://github.com/shamanthakiitm/TDS-Project-1" TargetMode="External"/><Relationship Id="rId101" Type="http://schemas.openxmlformats.org/officeDocument/2006/relationships/hyperlink" Target="https://github.com/harshshah-codes/TDS-project-1" TargetMode="External"/><Relationship Id="rId343" Type="http://schemas.openxmlformats.org/officeDocument/2006/relationships/hyperlink" Target="https://github.com/Giri-Subrahmanya/23f2000573-TDS-P1/tree/main" TargetMode="External"/><Relationship Id="rId585" Type="http://schemas.openxmlformats.org/officeDocument/2006/relationships/hyperlink" Target="https://github.com/theiitman/tds_project_1_03777" TargetMode="External"/><Relationship Id="rId100" Type="http://schemas.openxmlformats.org/officeDocument/2006/relationships/hyperlink" Target="https://github.com/Vscode918/Moscow-users/" TargetMode="External"/><Relationship Id="rId342" Type="http://schemas.openxmlformats.org/officeDocument/2006/relationships/hyperlink" Target="https://github.com/microdev1/tds-p1" TargetMode="External"/><Relationship Id="rId584" Type="http://schemas.openxmlformats.org/officeDocument/2006/relationships/hyperlink" Target="https://github.com/NeeharikaBhaide/TDS_P1" TargetMode="External"/><Relationship Id="rId338" Type="http://schemas.openxmlformats.org/officeDocument/2006/relationships/hyperlink" Target="https://github.com/TheMHarsh/TDS_P1" TargetMode="External"/><Relationship Id="rId337" Type="http://schemas.openxmlformats.org/officeDocument/2006/relationships/hyperlink" Target="https://github.com/DevanshA1105/Project_1_TDS" TargetMode="External"/><Relationship Id="rId579" Type="http://schemas.openxmlformats.org/officeDocument/2006/relationships/hyperlink" Target="https://github.com/Nupur-learns/Project1" TargetMode="External"/><Relationship Id="rId336" Type="http://schemas.openxmlformats.org/officeDocument/2006/relationships/hyperlink" Target="https://github.com/heyitsshreya/Austin-GitHub-Users-Analysis" TargetMode="External"/><Relationship Id="rId578" Type="http://schemas.openxmlformats.org/officeDocument/2006/relationships/hyperlink" Target="https://github.com/vinaysurya1505/TDS-project-1" TargetMode="External"/><Relationship Id="rId335" Type="http://schemas.openxmlformats.org/officeDocument/2006/relationships/hyperlink" Target="https://github.com/Rajalakshmi12/IITM_Tds_Project1" TargetMode="External"/><Relationship Id="rId577" Type="http://schemas.openxmlformats.org/officeDocument/2006/relationships/hyperlink" Target="https://github.com/salmanulfaris/tds-project" TargetMode="External"/><Relationship Id="rId339" Type="http://schemas.openxmlformats.org/officeDocument/2006/relationships/hyperlink" Target="https://github.com/Lakshay777s/TDS-project" TargetMode="External"/><Relationship Id="rId330" Type="http://schemas.openxmlformats.org/officeDocument/2006/relationships/hyperlink" Target="https://github.com/jayasri-js/github-london-users" TargetMode="External"/><Relationship Id="rId572" Type="http://schemas.openxmlformats.org/officeDocument/2006/relationships/hyperlink" Target="https://github.com/AvinashRajender/tdsproject1" TargetMode="External"/><Relationship Id="rId571" Type="http://schemas.openxmlformats.org/officeDocument/2006/relationships/hyperlink" Target="https://github.com/Tarun-Kandarpa/Beijing-Github-Users" TargetMode="External"/><Relationship Id="rId570" Type="http://schemas.openxmlformats.org/officeDocument/2006/relationships/hyperlink" Target="https://github.com/pavan-santhosh-iitm/Project1" TargetMode="External"/><Relationship Id="rId334" Type="http://schemas.openxmlformats.org/officeDocument/2006/relationships/hyperlink" Target="https://github.com/Chandra37918/IITM-TDS-Project1" TargetMode="External"/><Relationship Id="rId576" Type="http://schemas.openxmlformats.org/officeDocument/2006/relationships/hyperlink" Target="https://github.com/anshikaiitm/toronto_github_users" TargetMode="External"/><Relationship Id="rId333" Type="http://schemas.openxmlformats.org/officeDocument/2006/relationships/hyperlink" Target="https://github.com/uma1979/github-api-analysis" TargetMode="External"/><Relationship Id="rId575" Type="http://schemas.openxmlformats.org/officeDocument/2006/relationships/hyperlink" Target="https://github.com/tanmayi-iitm/Tanmayi_project_1" TargetMode="External"/><Relationship Id="rId332" Type="http://schemas.openxmlformats.org/officeDocument/2006/relationships/hyperlink" Target="https://github.com/Vscode918/Moscow-users/" TargetMode="External"/><Relationship Id="rId574" Type="http://schemas.openxmlformats.org/officeDocument/2006/relationships/hyperlink" Target="https://github.com/aniko1806/GitHub_API_Analysis_Boston" TargetMode="External"/><Relationship Id="rId331" Type="http://schemas.openxmlformats.org/officeDocument/2006/relationships/hyperlink" Target="https://github.com/rishitaguptaaa/IITM_TDS_Project1" TargetMode="External"/><Relationship Id="rId573" Type="http://schemas.openxmlformats.org/officeDocument/2006/relationships/hyperlink" Target="https://github.com/NandhaaKishore-10/TDS-PROJECT-1" TargetMode="External"/><Relationship Id="rId370" Type="http://schemas.openxmlformats.org/officeDocument/2006/relationships/hyperlink" Target="https://github.com/vijayabhaskar78/TDS-PROJECT-1" TargetMode="External"/><Relationship Id="rId129" Type="http://schemas.openxmlformats.org/officeDocument/2006/relationships/hyperlink" Target="https://github.com/VishakhAgarwal/proj1" TargetMode="External"/><Relationship Id="rId128" Type="http://schemas.openxmlformats.org/officeDocument/2006/relationships/hyperlink" Target="https://github.com/22f3000130/TDS_PROJECT_1" TargetMode="External"/><Relationship Id="rId127" Type="http://schemas.openxmlformats.org/officeDocument/2006/relationships/hyperlink" Target="https://github.com/AarushiVe/chennai50" TargetMode="External"/><Relationship Id="rId369" Type="http://schemas.openxmlformats.org/officeDocument/2006/relationships/hyperlink" Target="https://github.com/hdsawscloud/project1" TargetMode="External"/><Relationship Id="rId126" Type="http://schemas.openxmlformats.org/officeDocument/2006/relationships/hyperlink" Target="https://github.com/kik893/Project-1" TargetMode="External"/><Relationship Id="rId368" Type="http://schemas.openxmlformats.org/officeDocument/2006/relationships/hyperlink" Target="https://github.com/sumitt2408/github-users-london" TargetMode="External"/><Relationship Id="rId121" Type="http://schemas.openxmlformats.org/officeDocument/2006/relationships/hyperlink" Target="https://github.com/rishisni/TDS-Project-1" TargetMode="External"/><Relationship Id="rId363" Type="http://schemas.openxmlformats.org/officeDocument/2006/relationships/hyperlink" Target="https://github.com/kanha-00001/project-1-final" TargetMode="External"/><Relationship Id="rId120" Type="http://schemas.openxmlformats.org/officeDocument/2006/relationships/hyperlink" Target="https://github.com/iambuhari/IITM/" TargetMode="External"/><Relationship Id="rId362" Type="http://schemas.openxmlformats.org/officeDocument/2006/relationships/hyperlink" Target="https://github.com/Amankumar0017/TDS-Project-1" TargetMode="External"/><Relationship Id="rId361" Type="http://schemas.openxmlformats.org/officeDocument/2006/relationships/hyperlink" Target="https://github.com/VishwasSaini2006/pro" TargetMode="External"/><Relationship Id="rId360" Type="http://schemas.openxmlformats.org/officeDocument/2006/relationships/hyperlink" Target="https://github.com/imposter7/seattle-github-users" TargetMode="External"/><Relationship Id="rId125" Type="http://schemas.openxmlformats.org/officeDocument/2006/relationships/hyperlink" Target="https://github.com/akshaykashyap003/tds_project1" TargetMode="External"/><Relationship Id="rId367" Type="http://schemas.openxmlformats.org/officeDocument/2006/relationships/hyperlink" Target="https://github.com/iitmadvaith/tds" TargetMode="External"/><Relationship Id="rId124" Type="http://schemas.openxmlformats.org/officeDocument/2006/relationships/hyperlink" Target="https://github.com/harini-perumandla/TDS-P1" TargetMode="External"/><Relationship Id="rId366" Type="http://schemas.openxmlformats.org/officeDocument/2006/relationships/hyperlink" Target="https://github.com/Madhu1005/tds-project1" TargetMode="External"/><Relationship Id="rId123" Type="http://schemas.openxmlformats.org/officeDocument/2006/relationships/hyperlink" Target="https://github.com/so-what-ik/TDS_Project1" TargetMode="External"/><Relationship Id="rId365" Type="http://schemas.openxmlformats.org/officeDocument/2006/relationships/hyperlink" Target="https://github.com/Ankit972-dotcom/sydney-github-users" TargetMode="External"/><Relationship Id="rId122" Type="http://schemas.openxmlformats.org/officeDocument/2006/relationships/hyperlink" Target="https://github.com/Alge199/TDS-Project-1" TargetMode="External"/><Relationship Id="rId364" Type="http://schemas.openxmlformats.org/officeDocument/2006/relationships/hyperlink" Target="https://github.com/itznoor998/TDS_project1" TargetMode="External"/><Relationship Id="rId95" Type="http://schemas.openxmlformats.org/officeDocument/2006/relationships/hyperlink" Target="https://github.com/nishant1909/TDS-Project-1" TargetMode="External"/><Relationship Id="rId94" Type="http://schemas.openxmlformats.org/officeDocument/2006/relationships/hyperlink" Target="https://github.com/pranjal300799/TDS-proj1" TargetMode="External"/><Relationship Id="rId97" Type="http://schemas.openxmlformats.org/officeDocument/2006/relationships/hyperlink" Target="https://github.com/Gajanan09/GithubAustinUsers/blob/main/main.py" TargetMode="External"/><Relationship Id="rId96" Type="http://schemas.openxmlformats.org/officeDocument/2006/relationships/hyperlink" Target="https://github.com/saritakumari23/proj1" TargetMode="External"/><Relationship Id="rId99" Type="http://schemas.openxmlformats.org/officeDocument/2006/relationships/hyperlink" Target="https://github.com/rishitaguptaaa/IITM_TDS_Project1" TargetMode="External"/><Relationship Id="rId98" Type="http://schemas.openxmlformats.org/officeDocument/2006/relationships/hyperlink" Target="https://github.com/vanshikaaraisinghani/TDSProjectt" TargetMode="External"/><Relationship Id="rId91" Type="http://schemas.openxmlformats.org/officeDocument/2006/relationships/hyperlink" Target="https://github.com/SarveshMSIITM/TDS-P1" TargetMode="External"/><Relationship Id="rId90" Type="http://schemas.openxmlformats.org/officeDocument/2006/relationships/hyperlink" Target="https://github.com/SiriusOrion0301/TDS-PROJECT-1" TargetMode="External"/><Relationship Id="rId93" Type="http://schemas.openxmlformats.org/officeDocument/2006/relationships/hyperlink" Target="https://github.com/SrujanKVK/23f2003652-ds.study.iitm.ac.in__London-500" TargetMode="External"/><Relationship Id="rId92" Type="http://schemas.openxmlformats.org/officeDocument/2006/relationships/hyperlink" Target="https://github.com/kamalesh-79/tdsproj/tree/main1" TargetMode="External"/><Relationship Id="rId118" Type="http://schemas.openxmlformats.org/officeDocument/2006/relationships/hyperlink" Target="https://github.com/manojpaul9986/tds_project1" TargetMode="External"/><Relationship Id="rId117" Type="http://schemas.openxmlformats.org/officeDocument/2006/relationships/hyperlink" Target="https://github.com/stu2262/IITM_TDS_Proj1" TargetMode="External"/><Relationship Id="rId359" Type="http://schemas.openxmlformats.org/officeDocument/2006/relationships/hyperlink" Target="https://github.com/harshithbabu-git/Tools-in-DS-Project-1" TargetMode="External"/><Relationship Id="rId116" Type="http://schemas.openxmlformats.org/officeDocument/2006/relationships/hyperlink" Target="https://github.com/Saba-Usman/TDS-Project-1" TargetMode="External"/><Relationship Id="rId358" Type="http://schemas.openxmlformats.org/officeDocument/2006/relationships/hyperlink" Target="https://github.com/psmidhunreddy/tdsp1" TargetMode="External"/><Relationship Id="rId115" Type="http://schemas.openxmlformats.org/officeDocument/2006/relationships/hyperlink" Target="https://github.com/KarthikKalashLGS/TDSProject1" TargetMode="External"/><Relationship Id="rId357" Type="http://schemas.openxmlformats.org/officeDocument/2006/relationships/hyperlink" Target="https://github.com/22f1000998/TDS-Project-1" TargetMode="External"/><Relationship Id="rId599" Type="http://schemas.openxmlformats.org/officeDocument/2006/relationships/hyperlink" Target="https://github.com/saksham5555/project" TargetMode="External"/><Relationship Id="rId119" Type="http://schemas.openxmlformats.org/officeDocument/2006/relationships/hyperlink" Target="https://github.com/shivyatripathi2604/TDS" TargetMode="External"/><Relationship Id="rId110" Type="http://schemas.openxmlformats.org/officeDocument/2006/relationships/hyperlink" Target="https://github.com/suraj22f3/TDS_Project1" TargetMode="External"/><Relationship Id="rId352" Type="http://schemas.openxmlformats.org/officeDocument/2006/relationships/hyperlink" Target="https://github.com/jhaaj08/TDS_project1" TargetMode="External"/><Relationship Id="rId594" Type="http://schemas.openxmlformats.org/officeDocument/2006/relationships/hyperlink" Target="https://github.com/hack-sketch/tds-project" TargetMode="External"/><Relationship Id="rId351" Type="http://schemas.openxmlformats.org/officeDocument/2006/relationships/hyperlink" Target="https://github.com/Jatendra/iitm_project1" TargetMode="External"/><Relationship Id="rId593" Type="http://schemas.openxmlformats.org/officeDocument/2006/relationships/hyperlink" Target="https://github.com/amitkrajput08/IITM_TDS_PROJECT1" TargetMode="External"/><Relationship Id="rId350" Type="http://schemas.openxmlformats.org/officeDocument/2006/relationships/hyperlink" Target="https://github.com/AkshatGupta327/TDS_proj_1" TargetMode="External"/><Relationship Id="rId592" Type="http://schemas.openxmlformats.org/officeDocument/2006/relationships/hyperlink" Target="https://github.com/indalbind/tds_project_first" TargetMode="External"/><Relationship Id="rId591" Type="http://schemas.openxmlformats.org/officeDocument/2006/relationships/hyperlink" Target="https://github.com/manjuiitm/Dublin1" TargetMode="External"/><Relationship Id="rId114" Type="http://schemas.openxmlformats.org/officeDocument/2006/relationships/hyperlink" Target="https://github.com/22f2001150/TDS-project-1" TargetMode="External"/><Relationship Id="rId356" Type="http://schemas.openxmlformats.org/officeDocument/2006/relationships/hyperlink" Target="https://github.com/aerosibin/TDS_Pro-1" TargetMode="External"/><Relationship Id="rId598" Type="http://schemas.openxmlformats.org/officeDocument/2006/relationships/hyperlink" Target="https://github.com/puneeth2907/TDS-Project-1" TargetMode="External"/><Relationship Id="rId113" Type="http://schemas.openxmlformats.org/officeDocument/2006/relationships/hyperlink" Target="https://github.com/reddevilrohith/TDS_PROJ1" TargetMode="External"/><Relationship Id="rId355" Type="http://schemas.openxmlformats.org/officeDocument/2006/relationships/hyperlink" Target="https://github.com/Ayushman-mukherjee/TDS-Project1" TargetMode="External"/><Relationship Id="rId597" Type="http://schemas.openxmlformats.org/officeDocument/2006/relationships/hyperlink" Target="https://github.com/MeenakshiIIT/Project1" TargetMode="External"/><Relationship Id="rId112" Type="http://schemas.openxmlformats.org/officeDocument/2006/relationships/hyperlink" Target="https://github.com/payalggn/TDS_Project1" TargetMode="External"/><Relationship Id="rId354" Type="http://schemas.openxmlformats.org/officeDocument/2006/relationships/hyperlink" Target="https://github.com/AryanThakur-123/TDS-Project-1" TargetMode="External"/><Relationship Id="rId596" Type="http://schemas.openxmlformats.org/officeDocument/2006/relationships/hyperlink" Target="https://github.com/Praveenkunn/TDS-Project1" TargetMode="External"/><Relationship Id="rId111" Type="http://schemas.openxmlformats.org/officeDocument/2006/relationships/hyperlink" Target="https://github.com/Rajat1164/tdsproject" TargetMode="External"/><Relationship Id="rId353" Type="http://schemas.openxmlformats.org/officeDocument/2006/relationships/hyperlink" Target="https://github.com/Sahith200444/github-user-data" TargetMode="External"/><Relationship Id="rId595" Type="http://schemas.openxmlformats.org/officeDocument/2006/relationships/hyperlink" Target="https://github.com/Hitachi006/TDS_Proj_2455_Basel10" TargetMode="External"/><Relationship Id="rId305" Type="http://schemas.openxmlformats.org/officeDocument/2006/relationships/hyperlink" Target="https://github.com/Rajat1164/tdsproject" TargetMode="External"/><Relationship Id="rId547" Type="http://schemas.openxmlformats.org/officeDocument/2006/relationships/hyperlink" Target="https://github.com/student2403/tds-project-1" TargetMode="External"/><Relationship Id="rId789" Type="http://schemas.openxmlformats.org/officeDocument/2006/relationships/hyperlink" Target="https://github.com/23f1002051/TDS_Project_1" TargetMode="External"/><Relationship Id="rId304" Type="http://schemas.openxmlformats.org/officeDocument/2006/relationships/hyperlink" Target="https://github.com/mayanktripathii/TDS-Project-1" TargetMode="External"/><Relationship Id="rId546" Type="http://schemas.openxmlformats.org/officeDocument/2006/relationships/hyperlink" Target="https://github.com/22f3001905/tds-project-1-github-users-repos" TargetMode="External"/><Relationship Id="rId788" Type="http://schemas.openxmlformats.org/officeDocument/2006/relationships/hyperlink" Target="https://github.com/Abina-srini/TDS" TargetMode="External"/><Relationship Id="rId303" Type="http://schemas.openxmlformats.org/officeDocument/2006/relationships/hyperlink" Target="https://github.com/Rajnish2899/Mynewproject" TargetMode="External"/><Relationship Id="rId545" Type="http://schemas.openxmlformats.org/officeDocument/2006/relationships/hyperlink" Target="https://github.com/hsnak2245/tds_p1" TargetMode="External"/><Relationship Id="rId787" Type="http://schemas.openxmlformats.org/officeDocument/2006/relationships/hyperlink" Target="https://github.com/Preetham15092004/Hyderabad-GitHub-Users" TargetMode="External"/><Relationship Id="rId302" Type="http://schemas.openxmlformats.org/officeDocument/2006/relationships/hyperlink" Target="https://github.com/mdnabeelmn10/TDS_Project1_23f1001173" TargetMode="External"/><Relationship Id="rId544" Type="http://schemas.openxmlformats.org/officeDocument/2006/relationships/hyperlink" Target="https://github.com/23ds3000139/my_TDS_P1_submission" TargetMode="External"/><Relationship Id="rId786" Type="http://schemas.openxmlformats.org/officeDocument/2006/relationships/hyperlink" Target="https://github.com/Jayaprakash1710/TDS-Project-1" TargetMode="External"/><Relationship Id="rId309" Type="http://schemas.openxmlformats.org/officeDocument/2006/relationships/hyperlink" Target="https://github.com/gotherwal/TDS_Project1" TargetMode="External"/><Relationship Id="rId308" Type="http://schemas.openxmlformats.org/officeDocument/2006/relationships/hyperlink" Target="https://github.com/hamees-sayed/tds-project" TargetMode="External"/><Relationship Id="rId307" Type="http://schemas.openxmlformats.org/officeDocument/2006/relationships/hyperlink" Target="https://github.com/iitm-student/Project1" TargetMode="External"/><Relationship Id="rId549" Type="http://schemas.openxmlformats.org/officeDocument/2006/relationships/hyperlink" Target="https://github.com/Vanshika-tiwari98/Beijing-GitHub-Users" TargetMode="External"/><Relationship Id="rId306" Type="http://schemas.openxmlformats.org/officeDocument/2006/relationships/hyperlink" Target="https://github.com/payalggn/TDS_Project1" TargetMode="External"/><Relationship Id="rId548" Type="http://schemas.openxmlformats.org/officeDocument/2006/relationships/hyperlink" Target="https://github.com/Aditya647bc/tds1" TargetMode="External"/><Relationship Id="rId781" Type="http://schemas.openxmlformats.org/officeDocument/2006/relationships/hyperlink" Target="https://github.com/Akash7190/TDS-Project-1" TargetMode="External"/><Relationship Id="rId780" Type="http://schemas.openxmlformats.org/officeDocument/2006/relationships/hyperlink" Target="https://github.com/spacetime177/tds_proj" TargetMode="External"/><Relationship Id="rId1130" Type="http://schemas.openxmlformats.org/officeDocument/2006/relationships/hyperlink" Target="https://github.com/titan-adi/Zurich-data-analysis" TargetMode="External"/><Relationship Id="rId1131" Type="http://schemas.openxmlformats.org/officeDocument/2006/relationships/hyperlink" Target="https://github.com/Man24Jain/Tokyo-GitHub-Scraping-Project" TargetMode="External"/><Relationship Id="rId301" Type="http://schemas.openxmlformats.org/officeDocument/2006/relationships/hyperlink" Target="https://github.com/KSoham-dev/TDS-Project-I" TargetMode="External"/><Relationship Id="rId543" Type="http://schemas.openxmlformats.org/officeDocument/2006/relationships/hyperlink" Target="https://github.com/22f2000809/project_1" TargetMode="External"/><Relationship Id="rId785" Type="http://schemas.openxmlformats.org/officeDocument/2006/relationships/hyperlink" Target="https://github.com/Rxhit1/TDSproj1/tree/main" TargetMode="External"/><Relationship Id="rId1132" Type="http://schemas.openxmlformats.org/officeDocument/2006/relationships/hyperlink" Target="https://github.com/BOBandNODDY/SquashDaw/blob/main/README.md" TargetMode="External"/><Relationship Id="rId300" Type="http://schemas.openxmlformats.org/officeDocument/2006/relationships/hyperlink" Target="https://github.com/AryanThakur-123/TDS-Project-1" TargetMode="External"/><Relationship Id="rId542" Type="http://schemas.openxmlformats.org/officeDocument/2006/relationships/hyperlink" Target="https://github.com/ashwiniitm/tdsProject1" TargetMode="External"/><Relationship Id="rId784" Type="http://schemas.openxmlformats.org/officeDocument/2006/relationships/hyperlink" Target="https://github.com/edurelated2021/tds-proj1" TargetMode="External"/><Relationship Id="rId1133" Type="http://schemas.openxmlformats.org/officeDocument/2006/relationships/hyperlink" Target="https://github.com/divyanshdixit09/tds_project1" TargetMode="External"/><Relationship Id="rId541" Type="http://schemas.openxmlformats.org/officeDocument/2006/relationships/hyperlink" Target="https://github.com/Nupur-learns/Project1" TargetMode="External"/><Relationship Id="rId783" Type="http://schemas.openxmlformats.org/officeDocument/2006/relationships/hyperlink" Target="https://github.com/Bhavana2639/tds-proj-1" TargetMode="External"/><Relationship Id="rId1134" Type="http://schemas.openxmlformats.org/officeDocument/2006/relationships/drawing" Target="../drawings/drawing2.xml"/><Relationship Id="rId540" Type="http://schemas.openxmlformats.org/officeDocument/2006/relationships/hyperlink" Target="https://github.com/Madras-protagonist/Bangalore-GitHub-Users-Project" TargetMode="External"/><Relationship Id="rId782" Type="http://schemas.openxmlformats.org/officeDocument/2006/relationships/hyperlink" Target="https://github.com/importAmmar/TDS-Project-1" TargetMode="External"/><Relationship Id="rId1125" Type="http://schemas.openxmlformats.org/officeDocument/2006/relationships/hyperlink" Target="https://github.com/aksarwar/tds-project" TargetMode="External"/><Relationship Id="rId1126" Type="http://schemas.openxmlformats.org/officeDocument/2006/relationships/hyperlink" Target="https://github.com/querulous-virgo/GitHubAPI/blob/main" TargetMode="External"/><Relationship Id="rId1127" Type="http://schemas.openxmlformats.org/officeDocument/2006/relationships/hyperlink" Target="https://github.com/Ganesh002005/data_analysis_boostan" TargetMode="External"/><Relationship Id="rId1128" Type="http://schemas.openxmlformats.org/officeDocument/2006/relationships/hyperlink" Target="https://github.com/rsjay1976/TDS-Project1" TargetMode="External"/><Relationship Id="rId1129" Type="http://schemas.openxmlformats.org/officeDocument/2006/relationships/hyperlink" Target="https://github.com/ayushi-006/TDS_project_1" TargetMode="External"/><Relationship Id="rId536" Type="http://schemas.openxmlformats.org/officeDocument/2006/relationships/hyperlink" Target="https://github.com/Ashiskushwaha/project-1" TargetMode="External"/><Relationship Id="rId778" Type="http://schemas.openxmlformats.org/officeDocument/2006/relationships/hyperlink" Target="https://github.com/SoumaySinghChauhan/Hyderabad_Github_users" TargetMode="External"/><Relationship Id="rId535" Type="http://schemas.openxmlformats.org/officeDocument/2006/relationships/hyperlink" Target="https://github.com/Atharva-Garajkar/TDS" TargetMode="External"/><Relationship Id="rId777" Type="http://schemas.openxmlformats.org/officeDocument/2006/relationships/hyperlink" Target="https://github.com/gokuls23f2001566/TDSpj1" TargetMode="External"/><Relationship Id="rId534" Type="http://schemas.openxmlformats.org/officeDocument/2006/relationships/hyperlink" Target="https://github.com/amittkulkarni/tds-project-1" TargetMode="External"/><Relationship Id="rId776" Type="http://schemas.openxmlformats.org/officeDocument/2006/relationships/hyperlink" Target="https://github.com/Ajit5370/tds-project-1" TargetMode="External"/><Relationship Id="rId533" Type="http://schemas.openxmlformats.org/officeDocument/2006/relationships/hyperlink" Target="https://github.com/SakshamBindal07/github_sydney_users" TargetMode="External"/><Relationship Id="rId775" Type="http://schemas.openxmlformats.org/officeDocument/2006/relationships/hyperlink" Target="https://github.com/raj-jaiswal/TDS_Github_API" TargetMode="External"/><Relationship Id="rId539" Type="http://schemas.openxmlformats.org/officeDocument/2006/relationships/hyperlink" Target="https://github.com/siddhant-bapna/TDSP1" TargetMode="External"/><Relationship Id="rId538" Type="http://schemas.openxmlformats.org/officeDocument/2006/relationships/hyperlink" Target="https://github.com/Ajit5370/tds-project-1" TargetMode="External"/><Relationship Id="rId537" Type="http://schemas.openxmlformats.org/officeDocument/2006/relationships/hyperlink" Target="https://github.com/raj-jaiswal/TDS_Github_API" TargetMode="External"/><Relationship Id="rId779" Type="http://schemas.openxmlformats.org/officeDocument/2006/relationships/hyperlink" Target="https://github.com/pranay2k3/iitpro" TargetMode="External"/><Relationship Id="rId770" Type="http://schemas.openxmlformats.org/officeDocument/2006/relationships/hyperlink" Target="https://github.com/A-ojha31/Tokyo_200" TargetMode="External"/><Relationship Id="rId1120" Type="http://schemas.openxmlformats.org/officeDocument/2006/relationships/hyperlink" Target="https://github.com/vasanth-svb-1/iitm-syscmd-project-1" TargetMode="External"/><Relationship Id="rId532" Type="http://schemas.openxmlformats.org/officeDocument/2006/relationships/hyperlink" Target="https://github.com/abhistjain/Project_tds" TargetMode="External"/><Relationship Id="rId774" Type="http://schemas.openxmlformats.org/officeDocument/2006/relationships/hyperlink" Target="https://github.com/afsi07/github-users-london/tree/main" TargetMode="External"/><Relationship Id="rId1121" Type="http://schemas.openxmlformats.org/officeDocument/2006/relationships/hyperlink" Target="https://github.com/tiwariannanya/TDS_Project_1_Berlin" TargetMode="External"/><Relationship Id="rId531" Type="http://schemas.openxmlformats.org/officeDocument/2006/relationships/hyperlink" Target="https://github.com/JAISUBIKSHA/TDS_PROJECT1" TargetMode="External"/><Relationship Id="rId773" Type="http://schemas.openxmlformats.org/officeDocument/2006/relationships/hyperlink" Target="https://github.com/navuexists/tds-project-1-navya" TargetMode="External"/><Relationship Id="rId1122" Type="http://schemas.openxmlformats.org/officeDocument/2006/relationships/hyperlink" Target="https://github.com/Saagar-22/Hyderabad_50" TargetMode="External"/><Relationship Id="rId530" Type="http://schemas.openxmlformats.org/officeDocument/2006/relationships/hyperlink" Target="https://github.com/phanthomx/TDS_PROJECT" TargetMode="External"/><Relationship Id="rId772" Type="http://schemas.openxmlformats.org/officeDocument/2006/relationships/hyperlink" Target="https://github.com/22f2001150/TDS-project-1" TargetMode="External"/><Relationship Id="rId1123" Type="http://schemas.openxmlformats.org/officeDocument/2006/relationships/hyperlink" Target="https://github.com/akulbansal1/TDS_Project_1" TargetMode="External"/><Relationship Id="rId771" Type="http://schemas.openxmlformats.org/officeDocument/2006/relationships/hyperlink" Target="https://github.com/reddevilrohith/TDS_PROJ1" TargetMode="External"/><Relationship Id="rId1124" Type="http://schemas.openxmlformats.org/officeDocument/2006/relationships/hyperlink" Target="https://github.com/Bhaargavi29/Moscow-50-repo" TargetMode="External"/><Relationship Id="rId327" Type="http://schemas.openxmlformats.org/officeDocument/2006/relationships/hyperlink" Target="https://github.com/BriIITM/Project1-TDS" TargetMode="External"/><Relationship Id="rId569" Type="http://schemas.openxmlformats.org/officeDocument/2006/relationships/hyperlink" Target="https://github.com/yyyzznnn/TDS-Project1" TargetMode="External"/><Relationship Id="rId326" Type="http://schemas.openxmlformats.org/officeDocument/2006/relationships/hyperlink" Target="https://github.com/b-panda/Dublin-GitHub-Users" TargetMode="External"/><Relationship Id="rId568" Type="http://schemas.openxmlformats.org/officeDocument/2006/relationships/hyperlink" Target="https://github.com/Mahabodhi4652/tds_project1" TargetMode="External"/><Relationship Id="rId325" Type="http://schemas.openxmlformats.org/officeDocument/2006/relationships/hyperlink" Target="https://github.com/AdithyaLingam/tds_project_24f1002079" TargetMode="External"/><Relationship Id="rId567" Type="http://schemas.openxmlformats.org/officeDocument/2006/relationships/hyperlink" Target="https://github.com/UJJWALg-08/TDS-Project1" TargetMode="External"/><Relationship Id="rId324" Type="http://schemas.openxmlformats.org/officeDocument/2006/relationships/hyperlink" Target="https://github.com/kik893/Project-1" TargetMode="External"/><Relationship Id="rId566" Type="http://schemas.openxmlformats.org/officeDocument/2006/relationships/hyperlink" Target="https://github.com/nihalkumar833/tds" TargetMode="External"/><Relationship Id="rId329" Type="http://schemas.openxmlformats.org/officeDocument/2006/relationships/hyperlink" Target="https://github.com/sri-4122/TDS-PROJECT1-FINAL" TargetMode="External"/><Relationship Id="rId328" Type="http://schemas.openxmlformats.org/officeDocument/2006/relationships/hyperlink" Target="https://github.com/RiyaAgarwal22/TDS_Proj_1" TargetMode="External"/><Relationship Id="rId561" Type="http://schemas.openxmlformats.org/officeDocument/2006/relationships/hyperlink" Target="https://github.com/sameer2799/tds_project_1" TargetMode="External"/><Relationship Id="rId560" Type="http://schemas.openxmlformats.org/officeDocument/2006/relationships/hyperlink" Target="https://github.com/im-adamya-vatsalya-sharma-09/TDS-Project-1" TargetMode="External"/><Relationship Id="rId323" Type="http://schemas.openxmlformats.org/officeDocument/2006/relationships/hyperlink" Target="https://github.com/akshaykashyap003/tds_project1" TargetMode="External"/><Relationship Id="rId565" Type="http://schemas.openxmlformats.org/officeDocument/2006/relationships/hyperlink" Target="https://github.com/Preena-iitmds/pree_ZurichProj1" TargetMode="External"/><Relationship Id="rId322" Type="http://schemas.openxmlformats.org/officeDocument/2006/relationships/hyperlink" Target="https://github.com/RishitPant/tdsproject1" TargetMode="External"/><Relationship Id="rId564" Type="http://schemas.openxmlformats.org/officeDocument/2006/relationships/hyperlink" Target="https://github.com/Dnyan-iitm/TDS-Project1" TargetMode="External"/><Relationship Id="rId321" Type="http://schemas.openxmlformats.org/officeDocument/2006/relationships/hyperlink" Target="https://github.com/Stephen-iitm/Melbourne-100" TargetMode="External"/><Relationship Id="rId563" Type="http://schemas.openxmlformats.org/officeDocument/2006/relationships/hyperlink" Target="https://github.com/zerx1307/TDS_project_1" TargetMode="External"/><Relationship Id="rId320" Type="http://schemas.openxmlformats.org/officeDocument/2006/relationships/hyperlink" Target="https://github.com/jyoti7398/TDS_proj1" TargetMode="External"/><Relationship Id="rId562" Type="http://schemas.openxmlformats.org/officeDocument/2006/relationships/hyperlink" Target="https://github.com/code-kalrav/IITM-P1/tree/main" TargetMode="External"/><Relationship Id="rId316" Type="http://schemas.openxmlformats.org/officeDocument/2006/relationships/hyperlink" Target="https://github.com/edurelated2021/tds-proj1/tree/main" TargetMode="External"/><Relationship Id="rId558" Type="http://schemas.openxmlformats.org/officeDocument/2006/relationships/hyperlink" Target="https://github.com/suryadhn/boston_user_repo" TargetMode="External"/><Relationship Id="rId315" Type="http://schemas.openxmlformats.org/officeDocument/2006/relationships/hyperlink" Target="https://github.com/Bhavana2639/tds-proj-1" TargetMode="External"/><Relationship Id="rId557" Type="http://schemas.openxmlformats.org/officeDocument/2006/relationships/hyperlink" Target="https://github.com/vilas-007/TDS-project1" TargetMode="External"/><Relationship Id="rId799" Type="http://schemas.openxmlformats.org/officeDocument/2006/relationships/hyperlink" Target="https://github.com/AdityaGuptaVarshney/tds-project1-iitm" TargetMode="External"/><Relationship Id="rId314" Type="http://schemas.openxmlformats.org/officeDocument/2006/relationships/hyperlink" Target="https://github.com/22f1000952/basel-users-analysis" TargetMode="External"/><Relationship Id="rId556" Type="http://schemas.openxmlformats.org/officeDocument/2006/relationships/hyperlink" Target="https://github.com/vaishnavich44/Beijing-GitHub-Analysis" TargetMode="External"/><Relationship Id="rId798" Type="http://schemas.openxmlformats.org/officeDocument/2006/relationships/hyperlink" Target="https://github.com/Harini-commits/stockholm-github-users" TargetMode="External"/><Relationship Id="rId313" Type="http://schemas.openxmlformats.org/officeDocument/2006/relationships/hyperlink" Target="https://github.com/Pragati2001589/my_repository" TargetMode="External"/><Relationship Id="rId555" Type="http://schemas.openxmlformats.org/officeDocument/2006/relationships/hyperlink" Target="https://github.com/VishakhAgarwal/proj1" TargetMode="External"/><Relationship Id="rId797" Type="http://schemas.openxmlformats.org/officeDocument/2006/relationships/hyperlink" Target="https://github.com/jagrutiitm/tdsproject1" TargetMode="External"/><Relationship Id="rId319" Type="http://schemas.openxmlformats.org/officeDocument/2006/relationships/hyperlink" Target="https://github.com/shekharkshitij/TDS_Project" TargetMode="External"/><Relationship Id="rId318" Type="http://schemas.openxmlformats.org/officeDocument/2006/relationships/hyperlink" Target="https://github.com/joy-pro26/TDSProject1" TargetMode="External"/><Relationship Id="rId317" Type="http://schemas.openxmlformats.org/officeDocument/2006/relationships/hyperlink" Target="https://github.com/infamous-01/TDS-Project-1" TargetMode="External"/><Relationship Id="rId559" Type="http://schemas.openxmlformats.org/officeDocument/2006/relationships/hyperlink" Target="https://github.com/Omkar-pawar1/TDS-PROJECT-1" TargetMode="External"/><Relationship Id="rId550" Type="http://schemas.openxmlformats.org/officeDocument/2006/relationships/hyperlink" Target="https://github.com/Aravindh-18/Project1" TargetMode="External"/><Relationship Id="rId792" Type="http://schemas.openxmlformats.org/officeDocument/2006/relationships/hyperlink" Target="https://github.com/Hariomkr147/TDS_project1" TargetMode="External"/><Relationship Id="rId791" Type="http://schemas.openxmlformats.org/officeDocument/2006/relationships/hyperlink" Target="https://github.com/gittymadman/TDS_PROJECT_1" TargetMode="External"/><Relationship Id="rId790" Type="http://schemas.openxmlformats.org/officeDocument/2006/relationships/hyperlink" Target="https://github.com/Aniruddha017/TDSproject1" TargetMode="External"/><Relationship Id="rId312" Type="http://schemas.openxmlformats.org/officeDocument/2006/relationships/hyperlink" Target="https://github.com/JAISUBIKSHA/TDS_PROJECT1" TargetMode="External"/><Relationship Id="rId554" Type="http://schemas.openxmlformats.org/officeDocument/2006/relationships/hyperlink" Target="https://github.com/jahnavi-bd/Project_TDS" TargetMode="External"/><Relationship Id="rId796" Type="http://schemas.openxmlformats.org/officeDocument/2006/relationships/hyperlink" Target="https://github.com/Mahabodhi4652/tds_project1" TargetMode="External"/><Relationship Id="rId311" Type="http://schemas.openxmlformats.org/officeDocument/2006/relationships/hyperlink" Target="https://github.com/abhistjain/Project_tds" TargetMode="External"/><Relationship Id="rId553" Type="http://schemas.openxmlformats.org/officeDocument/2006/relationships/hyperlink" Target="https://github.com/PoornimaIITm/Tds_barcelona100" TargetMode="External"/><Relationship Id="rId795" Type="http://schemas.openxmlformats.org/officeDocument/2006/relationships/hyperlink" Target="https://github.com/UJJWALg-08/TDS-Project1" TargetMode="External"/><Relationship Id="rId310" Type="http://schemas.openxmlformats.org/officeDocument/2006/relationships/hyperlink" Target="https://github.com/tanishka-26saxena/Tokyo-200" TargetMode="External"/><Relationship Id="rId552" Type="http://schemas.openxmlformats.org/officeDocument/2006/relationships/hyperlink" Target="https://github.com/rajyalakshmijampani-iitm/tds-project1" TargetMode="External"/><Relationship Id="rId794" Type="http://schemas.openxmlformats.org/officeDocument/2006/relationships/hyperlink" Target="https://github.com/22f3002293/TDS-project1" TargetMode="External"/><Relationship Id="rId551" Type="http://schemas.openxmlformats.org/officeDocument/2006/relationships/hyperlink" Target="https://github.com/ShijuPJohn/tds_p1" TargetMode="External"/><Relationship Id="rId793" Type="http://schemas.openxmlformats.org/officeDocument/2006/relationships/hyperlink" Target="https://github.com/ranashakti7/Sydney_users" TargetMode="External"/><Relationship Id="rId297" Type="http://schemas.openxmlformats.org/officeDocument/2006/relationships/hyperlink" Target="https://github.com/GOPIKA178/github-data-london" TargetMode="External"/><Relationship Id="rId296" Type="http://schemas.openxmlformats.org/officeDocument/2006/relationships/hyperlink" Target="https://github.com/EnggAditya03/ds" TargetMode="External"/><Relationship Id="rId295" Type="http://schemas.openxmlformats.org/officeDocument/2006/relationships/hyperlink" Target="https://github.com/Gunjan-gif/tds_p1" TargetMode="External"/><Relationship Id="rId294" Type="http://schemas.openxmlformats.org/officeDocument/2006/relationships/hyperlink" Target="https://github.com/hack-sketch/tds-project" TargetMode="External"/><Relationship Id="rId299" Type="http://schemas.openxmlformats.org/officeDocument/2006/relationships/hyperlink" Target="https://github.com/Sahith200444/github-user-data" TargetMode="External"/><Relationship Id="rId298" Type="http://schemas.openxmlformats.org/officeDocument/2006/relationships/hyperlink" Target="https://github.com/hameed-student/tds-project-1" TargetMode="External"/><Relationship Id="rId271" Type="http://schemas.openxmlformats.org/officeDocument/2006/relationships/hyperlink" Target="https://github.com/ro-jc/tds-proj-1" TargetMode="External"/><Relationship Id="rId270" Type="http://schemas.openxmlformats.org/officeDocument/2006/relationships/hyperlink" Target="https://github.com/23f1001172/melbourne-users-data" TargetMode="External"/><Relationship Id="rId269" Type="http://schemas.openxmlformats.org/officeDocument/2006/relationships/hyperlink" Target="https://github.com/notnikita21/TDS-Project-1" TargetMode="External"/><Relationship Id="rId264" Type="http://schemas.openxmlformats.org/officeDocument/2006/relationships/hyperlink" Target="https://github.com/shivasanthosh0804/TDSProject-1" TargetMode="External"/><Relationship Id="rId263" Type="http://schemas.openxmlformats.org/officeDocument/2006/relationships/hyperlink" Target="https://github.com/Rivansh-Illika/TDS-ASSIGNMENT-P-1" TargetMode="External"/><Relationship Id="rId262" Type="http://schemas.openxmlformats.org/officeDocument/2006/relationships/hyperlink" Target="https://github.com/Jivraj-18/temp_repo_for_tds_project" TargetMode="External"/><Relationship Id="rId261" Type="http://schemas.openxmlformats.org/officeDocument/2006/relationships/hyperlink" Target="https://github.com/iitmanshi/tdsp1" TargetMode="External"/><Relationship Id="rId268" Type="http://schemas.openxmlformats.org/officeDocument/2006/relationships/hyperlink" Target="https://github.com/itsrohithreddy/TDS_Project1" TargetMode="External"/><Relationship Id="rId267" Type="http://schemas.openxmlformats.org/officeDocument/2006/relationships/hyperlink" Target="https://github.com/Mr-GauravKumar/TDS-P1" TargetMode="External"/><Relationship Id="rId266" Type="http://schemas.openxmlformats.org/officeDocument/2006/relationships/hyperlink" Target="https://github.com/22f3001905/tds-project-1-github-users-repos" TargetMode="External"/><Relationship Id="rId265" Type="http://schemas.openxmlformats.org/officeDocument/2006/relationships/hyperlink" Target="https://github.com/hsnak2245/tds_p1" TargetMode="External"/><Relationship Id="rId260" Type="http://schemas.openxmlformats.org/officeDocument/2006/relationships/hyperlink" Target="https://github.com/irabi111/TDSPROJ1" TargetMode="External"/><Relationship Id="rId259" Type="http://schemas.openxmlformats.org/officeDocument/2006/relationships/hyperlink" Target="https://github.com/Amarks14/TDS_P1" TargetMode="External"/><Relationship Id="rId258" Type="http://schemas.openxmlformats.org/officeDocument/2006/relationships/hyperlink" Target="https://github.com/22f3002758/TDS-Project1" TargetMode="External"/><Relationship Id="rId253" Type="http://schemas.openxmlformats.org/officeDocument/2006/relationships/hyperlink" Target="https://github.com/gittymadman/TDS_PROJECT_1" TargetMode="External"/><Relationship Id="rId495" Type="http://schemas.openxmlformats.org/officeDocument/2006/relationships/hyperlink" Target="https://github.com/SidharthDahiya/Toronto-Analysis" TargetMode="External"/><Relationship Id="rId252" Type="http://schemas.openxmlformats.org/officeDocument/2006/relationships/hyperlink" Target="https://github.com/adityaraj2308/projeft1" TargetMode="External"/><Relationship Id="rId494" Type="http://schemas.openxmlformats.org/officeDocument/2006/relationships/hyperlink" Target="https://github.com/dhaanicodes/project1" TargetMode="External"/><Relationship Id="rId251" Type="http://schemas.openxmlformats.org/officeDocument/2006/relationships/hyperlink" Target="https://github.com/24f1002112/Project1TDS" TargetMode="External"/><Relationship Id="rId493" Type="http://schemas.openxmlformats.org/officeDocument/2006/relationships/hyperlink" Target="https://github.com/Kavya792/boston-github-users" TargetMode="External"/><Relationship Id="rId250" Type="http://schemas.openxmlformats.org/officeDocument/2006/relationships/hyperlink" Target="https://github.com/Anvitha-Reddy-132218/TDS_Assignment" TargetMode="External"/><Relationship Id="rId492" Type="http://schemas.openxmlformats.org/officeDocument/2006/relationships/hyperlink" Target="https://github.com/ramyaarorra/tdsprojectuno" TargetMode="External"/><Relationship Id="rId257" Type="http://schemas.openxmlformats.org/officeDocument/2006/relationships/hyperlink" Target="https://github.com/21f2001136/tds_1" TargetMode="External"/><Relationship Id="rId499" Type="http://schemas.openxmlformats.org/officeDocument/2006/relationships/hyperlink" Target="https://github.com/23f1003016/TDS-Project1" TargetMode="External"/><Relationship Id="rId256" Type="http://schemas.openxmlformats.org/officeDocument/2006/relationships/hyperlink" Target="https://github.com/Anirudh-starhash/TDS-Project-1" TargetMode="External"/><Relationship Id="rId498" Type="http://schemas.openxmlformats.org/officeDocument/2006/relationships/hyperlink" Target="https://github.com/HaifaAbdulSathar/TDS-Project1" TargetMode="External"/><Relationship Id="rId255" Type="http://schemas.openxmlformats.org/officeDocument/2006/relationships/hyperlink" Target="https://github.com/Avinash94567/tdsp1" TargetMode="External"/><Relationship Id="rId497" Type="http://schemas.openxmlformats.org/officeDocument/2006/relationships/hyperlink" Target="https://github.com/23f1003016/TDS-Project1" TargetMode="External"/><Relationship Id="rId254" Type="http://schemas.openxmlformats.org/officeDocument/2006/relationships/hyperlink" Target="https://github.com/Hariomkr147/TDS_project1" TargetMode="External"/><Relationship Id="rId496" Type="http://schemas.openxmlformats.org/officeDocument/2006/relationships/hyperlink" Target="https://github.com/fahmeed1713/fahmeed" TargetMode="External"/><Relationship Id="rId293" Type="http://schemas.openxmlformats.org/officeDocument/2006/relationships/hyperlink" Target="https://github.com/amitkrajput08/IITM_TDS_PROJECT1" TargetMode="External"/><Relationship Id="rId292" Type="http://schemas.openxmlformats.org/officeDocument/2006/relationships/hyperlink" Target="https://github.com/QuixoticPsyche/tds-project-1" TargetMode="External"/><Relationship Id="rId291" Type="http://schemas.openxmlformats.org/officeDocument/2006/relationships/hyperlink" Target="https://github.com/vivek-2028/TDS-Project-1" TargetMode="External"/><Relationship Id="rId290" Type="http://schemas.openxmlformats.org/officeDocument/2006/relationships/hyperlink" Target="https://github.com/surbhi553/Toronto100" TargetMode="External"/><Relationship Id="rId286" Type="http://schemas.openxmlformats.org/officeDocument/2006/relationships/hyperlink" Target="https://github.com/AbhimanyuDwivedi282/TDS-Project_1" TargetMode="External"/><Relationship Id="rId285" Type="http://schemas.openxmlformats.org/officeDocument/2006/relationships/hyperlink" Target="https://github.com/myGreatLoveM/tds-project-1" TargetMode="External"/><Relationship Id="rId284" Type="http://schemas.openxmlformats.org/officeDocument/2006/relationships/hyperlink" Target="https://github.com/Anvitha-Reddy-132218/TDS_Assignment" TargetMode="External"/><Relationship Id="rId283" Type="http://schemas.openxmlformats.org/officeDocument/2006/relationships/hyperlink" Target="https://github.com/KrishnaDhankar/Project_TDS" TargetMode="External"/><Relationship Id="rId289" Type="http://schemas.openxmlformats.org/officeDocument/2006/relationships/hyperlink" Target="https://github.com/22f1001786-iitm/-Shanghai-200" TargetMode="External"/><Relationship Id="rId288" Type="http://schemas.openxmlformats.org/officeDocument/2006/relationships/hyperlink" Target="https://github.com/23f2004165/Scraping-GitHub-Users-And-Their-Repos-TDS-Project1-" TargetMode="External"/><Relationship Id="rId287" Type="http://schemas.openxmlformats.org/officeDocument/2006/relationships/hyperlink" Target="https://github.com/Param302/TDS-Project1" TargetMode="External"/><Relationship Id="rId282" Type="http://schemas.openxmlformats.org/officeDocument/2006/relationships/hyperlink" Target="https://github.com/foriitm/p01" TargetMode="External"/><Relationship Id="rId281" Type="http://schemas.openxmlformats.org/officeDocument/2006/relationships/hyperlink" Target="https://github.com/bhupendra1008/tds_project_1" TargetMode="External"/><Relationship Id="rId280" Type="http://schemas.openxmlformats.org/officeDocument/2006/relationships/hyperlink" Target="https://github.com/kdiitm99/tds-project1" TargetMode="External"/><Relationship Id="rId275" Type="http://schemas.openxmlformats.org/officeDocument/2006/relationships/hyperlink" Target="https://github.com/navuexists/tds-project-1-navya" TargetMode="External"/><Relationship Id="rId274" Type="http://schemas.openxmlformats.org/officeDocument/2006/relationships/hyperlink" Target="https://github.com/22f3001673/TDS-Project1" TargetMode="External"/><Relationship Id="rId273" Type="http://schemas.openxmlformats.org/officeDocument/2006/relationships/hyperlink" Target="https://github.com/23f2004527/TDS_Project1" TargetMode="External"/><Relationship Id="rId272" Type="http://schemas.openxmlformats.org/officeDocument/2006/relationships/hyperlink" Target="https://github.com/anivenk25/TDS_project1_Seattle200" TargetMode="External"/><Relationship Id="rId279" Type="http://schemas.openxmlformats.org/officeDocument/2006/relationships/hyperlink" Target="https://github.com/harikrishnajiju/github-city-user-analyzer" TargetMode="External"/><Relationship Id="rId278" Type="http://schemas.openxmlformats.org/officeDocument/2006/relationships/hyperlink" Target="https://github.com/Sreekar-1804/Tds_Project_1" TargetMode="External"/><Relationship Id="rId277" Type="http://schemas.openxmlformats.org/officeDocument/2006/relationships/hyperlink" Target="https://github.com/22f2000784/basel-github-data-analysis" TargetMode="External"/><Relationship Id="rId276" Type="http://schemas.openxmlformats.org/officeDocument/2006/relationships/hyperlink" Target="https://github.com/afsi07/github-users-london/tree/main" TargetMode="External"/><Relationship Id="rId907" Type="http://schemas.openxmlformats.org/officeDocument/2006/relationships/hyperlink" Target="https://github.com/akshat-shethia/TDS-Project-1-Akshat-Shethia" TargetMode="External"/><Relationship Id="rId906" Type="http://schemas.openxmlformats.org/officeDocument/2006/relationships/hyperlink" Target="https://github.com/21f1006103/tds-1" TargetMode="External"/><Relationship Id="rId905" Type="http://schemas.openxmlformats.org/officeDocument/2006/relationships/hyperlink" Target="https://github.com/Amrutkar-Kavya/TDS-Project1" TargetMode="External"/><Relationship Id="rId904" Type="http://schemas.openxmlformats.org/officeDocument/2006/relationships/hyperlink" Target="https://github.com/Mimansa5227/project1" TargetMode="External"/><Relationship Id="rId909" Type="http://schemas.openxmlformats.org/officeDocument/2006/relationships/hyperlink" Target="https://github.com/yaqoob56/TDS_Project_1" TargetMode="External"/><Relationship Id="rId908" Type="http://schemas.openxmlformats.org/officeDocument/2006/relationships/hyperlink" Target="https://github.com/rrawatt/Melbourne-100" TargetMode="External"/><Relationship Id="rId903" Type="http://schemas.openxmlformats.org/officeDocument/2006/relationships/hyperlink" Target="https://github.com/adityach123/main" TargetMode="External"/><Relationship Id="rId902" Type="http://schemas.openxmlformats.org/officeDocument/2006/relationships/hyperlink" Target="https://github.com/anand-ballabh/TDS-Project-1" TargetMode="External"/><Relationship Id="rId901" Type="http://schemas.openxmlformats.org/officeDocument/2006/relationships/hyperlink" Target="https://github.com/abhinavsaxena277/Hyderabad-GitHub-Users" TargetMode="External"/><Relationship Id="rId900" Type="http://schemas.openxmlformats.org/officeDocument/2006/relationships/hyperlink" Target="https://github.com/jeelan-ds786/ToolsForDataScience" TargetMode="External"/><Relationship Id="rId929" Type="http://schemas.openxmlformats.org/officeDocument/2006/relationships/hyperlink" Target="https://github.com/2utkarsh2/TDS_Project1" TargetMode="External"/><Relationship Id="rId928" Type="http://schemas.openxmlformats.org/officeDocument/2006/relationships/hyperlink" Target="https://github.com/23f1001535/Melbourne_100" TargetMode="External"/><Relationship Id="rId927" Type="http://schemas.openxmlformats.org/officeDocument/2006/relationships/hyperlink" Target="https://github.com/anupam-21f2000522/Mumbai-50" TargetMode="External"/><Relationship Id="rId926" Type="http://schemas.openxmlformats.org/officeDocument/2006/relationships/hyperlink" Target="https://github.com/22f3000350/22f3000350-TDS-Project-1" TargetMode="External"/><Relationship Id="rId921" Type="http://schemas.openxmlformats.org/officeDocument/2006/relationships/hyperlink" Target="https://github.com/vath-21/tdsproject1" TargetMode="External"/><Relationship Id="rId920" Type="http://schemas.openxmlformats.org/officeDocument/2006/relationships/hyperlink" Target="https://github.com/SV-03/TDS-P1" TargetMode="External"/><Relationship Id="rId925" Type="http://schemas.openxmlformats.org/officeDocument/2006/relationships/hyperlink" Target="https://github.com/RK-Codes-IITMBS/TDS-Project-1" TargetMode="External"/><Relationship Id="rId924" Type="http://schemas.openxmlformats.org/officeDocument/2006/relationships/hyperlink" Target="https://github.com/Shiya-23/Project_-Stockholm" TargetMode="External"/><Relationship Id="rId923" Type="http://schemas.openxmlformats.org/officeDocument/2006/relationships/hyperlink" Target="https://github.com/pushpa761/TDS-project-1" TargetMode="External"/><Relationship Id="rId922" Type="http://schemas.openxmlformats.org/officeDocument/2006/relationships/hyperlink" Target="https://github.com/Kirthictrl/TDS-Project-1" TargetMode="External"/><Relationship Id="rId918" Type="http://schemas.openxmlformats.org/officeDocument/2006/relationships/hyperlink" Target="https://github.com/22f3000803/tds-project-1" TargetMode="External"/><Relationship Id="rId917" Type="http://schemas.openxmlformats.org/officeDocument/2006/relationships/hyperlink" Target="https://github.com/MaharajaMoorthy/tds_project1" TargetMode="External"/><Relationship Id="rId916" Type="http://schemas.openxmlformats.org/officeDocument/2006/relationships/hyperlink" Target="https://github.com/23f2004839/TDS-Project-1" TargetMode="External"/><Relationship Id="rId915" Type="http://schemas.openxmlformats.org/officeDocument/2006/relationships/hyperlink" Target="https://github.com/Ankurnathsingh/TDS_P1_MELBOURNE100" TargetMode="External"/><Relationship Id="rId919" Type="http://schemas.openxmlformats.org/officeDocument/2006/relationships/hyperlink" Target="https://github.com/jayandral/TDS_Project1" TargetMode="External"/><Relationship Id="rId910" Type="http://schemas.openxmlformats.org/officeDocument/2006/relationships/hyperlink" Target="https://github.com/Aravindh-18/Project1" TargetMode="External"/><Relationship Id="rId914" Type="http://schemas.openxmlformats.org/officeDocument/2006/relationships/hyperlink" Target="https://github.com/Gaurangi2712/TDS_proj1" TargetMode="External"/><Relationship Id="rId913" Type="http://schemas.openxmlformats.org/officeDocument/2006/relationships/hyperlink" Target="https://github.com/Lokith-sharan/GitHub-Scraper-Singapore" TargetMode="External"/><Relationship Id="rId912" Type="http://schemas.openxmlformats.org/officeDocument/2006/relationships/hyperlink" Target="https://github.com/RachitGupta4102/TDS-project" TargetMode="External"/><Relationship Id="rId911" Type="http://schemas.openxmlformats.org/officeDocument/2006/relationships/hyperlink" Target="https://github.com/Vanshika-tiwari98/Beijing-GitHub-Users" TargetMode="External"/><Relationship Id="rId629" Type="http://schemas.openxmlformats.org/officeDocument/2006/relationships/hyperlink" Target="https://github.com/vikashkj2024/tds-project-1" TargetMode="External"/><Relationship Id="rId624" Type="http://schemas.openxmlformats.org/officeDocument/2006/relationships/hyperlink" Target="https://github.com/singh-akhand/tds-project-1" TargetMode="External"/><Relationship Id="rId866" Type="http://schemas.openxmlformats.org/officeDocument/2006/relationships/hyperlink" Target="https://github.com/anshuraj007/22f3000757_TDS_Proj1" TargetMode="External"/><Relationship Id="rId623" Type="http://schemas.openxmlformats.org/officeDocument/2006/relationships/hyperlink" Target="https://github.com/Jayaraja-SK/TDS-Project1" TargetMode="External"/><Relationship Id="rId865" Type="http://schemas.openxmlformats.org/officeDocument/2006/relationships/hyperlink" Target="https://github.com/23f3002916/TDSProject1" TargetMode="External"/><Relationship Id="rId622" Type="http://schemas.openxmlformats.org/officeDocument/2006/relationships/hyperlink" Target="https://github.com/Abhinandan-IIT-M/austin-github-users.git" TargetMode="External"/><Relationship Id="rId864" Type="http://schemas.openxmlformats.org/officeDocument/2006/relationships/hyperlink" Target="https://github.com/Harshachowdary2012/Berlin-200-Analysis-TDS" TargetMode="External"/><Relationship Id="rId621" Type="http://schemas.openxmlformats.org/officeDocument/2006/relationships/hyperlink" Target="https://github.com/bhumi-gupta2201/Austin100.git" TargetMode="External"/><Relationship Id="rId863" Type="http://schemas.openxmlformats.org/officeDocument/2006/relationships/hyperlink" Target="https://github.com/SohamGhosh2510/Project" TargetMode="External"/><Relationship Id="rId628" Type="http://schemas.openxmlformats.org/officeDocument/2006/relationships/hyperlink" Target="https://github.com/akulbansal1/TDS_Project_1" TargetMode="External"/><Relationship Id="rId627" Type="http://schemas.openxmlformats.org/officeDocument/2006/relationships/hyperlink" Target="https://github.com/Saagar-22/Hyderabad_50" TargetMode="External"/><Relationship Id="rId869" Type="http://schemas.openxmlformats.org/officeDocument/2006/relationships/hyperlink" Target="https://github.com/drashtish/TDS-Project1" TargetMode="External"/><Relationship Id="rId626" Type="http://schemas.openxmlformats.org/officeDocument/2006/relationships/hyperlink" Target="https://github.com/sn1411/chicago-github-users" TargetMode="External"/><Relationship Id="rId868" Type="http://schemas.openxmlformats.org/officeDocument/2006/relationships/hyperlink" Target="https://github.com/AllyNav/tds_project_1" TargetMode="External"/><Relationship Id="rId625" Type="http://schemas.openxmlformats.org/officeDocument/2006/relationships/hyperlink" Target="https://github.com/jalajverma007/tds-pj1" TargetMode="External"/><Relationship Id="rId867" Type="http://schemas.openxmlformats.org/officeDocument/2006/relationships/hyperlink" Target="https://github.com/azh-py/london-github-users" TargetMode="External"/><Relationship Id="rId620" Type="http://schemas.openxmlformats.org/officeDocument/2006/relationships/hyperlink" Target="https://github.com/Madhav-Sanjay-Patil/TDS_23f1002049" TargetMode="External"/><Relationship Id="rId862" Type="http://schemas.openxmlformats.org/officeDocument/2006/relationships/hyperlink" Target="https://github.com/KanishkarIITM/Proj1" TargetMode="External"/><Relationship Id="rId861" Type="http://schemas.openxmlformats.org/officeDocument/2006/relationships/hyperlink" Target="https://github.com/tanmay8542/project1" TargetMode="External"/><Relationship Id="rId860" Type="http://schemas.openxmlformats.org/officeDocument/2006/relationships/hyperlink" Target="https://github.com/shobhit8948/TDA-Project1" TargetMode="External"/><Relationship Id="rId619" Type="http://schemas.openxmlformats.org/officeDocument/2006/relationships/hyperlink" Target="https://github.com/perceptron-01/project-1" TargetMode="External"/><Relationship Id="rId618" Type="http://schemas.openxmlformats.org/officeDocument/2006/relationships/hyperlink" Target="https://github.com/SANDESH9098/TDS-Project1" TargetMode="External"/><Relationship Id="rId613" Type="http://schemas.openxmlformats.org/officeDocument/2006/relationships/hyperlink" Target="https://github.com/karthikeyan456/tdsproject1" TargetMode="External"/><Relationship Id="rId855" Type="http://schemas.openxmlformats.org/officeDocument/2006/relationships/hyperlink" Target="https://github.com/RaghavKapil24/tds-project" TargetMode="External"/><Relationship Id="rId612" Type="http://schemas.openxmlformats.org/officeDocument/2006/relationships/hyperlink" Target="https://github.com/ishitabhalla16/TDS-Project-1" TargetMode="External"/><Relationship Id="rId854" Type="http://schemas.openxmlformats.org/officeDocument/2006/relationships/hyperlink" Target="https://github.com/23f3001726/p1-tds" TargetMode="External"/><Relationship Id="rId611" Type="http://schemas.openxmlformats.org/officeDocument/2006/relationships/hyperlink" Target="https://github.com/ManuIITM-Coder/MOSCOW-50" TargetMode="External"/><Relationship Id="rId853" Type="http://schemas.openxmlformats.org/officeDocument/2006/relationships/hyperlink" Target="https://github.com/AnvithaVarre7/Project-1" TargetMode="External"/><Relationship Id="rId610" Type="http://schemas.openxmlformats.org/officeDocument/2006/relationships/hyperlink" Target="https://github.com/tejasreematta/TDS-Project-1" TargetMode="External"/><Relationship Id="rId852" Type="http://schemas.openxmlformats.org/officeDocument/2006/relationships/hyperlink" Target="https://github.com/VaishHa/Delhi100_TDS" TargetMode="External"/><Relationship Id="rId617" Type="http://schemas.openxmlformats.org/officeDocument/2006/relationships/hyperlink" Target="https://github.com/21f1002976/tds_project_1" TargetMode="External"/><Relationship Id="rId859" Type="http://schemas.openxmlformats.org/officeDocument/2006/relationships/hyperlink" Target="https://github.com/manojpaul9986/tds_project1" TargetMode="External"/><Relationship Id="rId616" Type="http://schemas.openxmlformats.org/officeDocument/2006/relationships/hyperlink" Target="https://github.com/leyther5813/b100" TargetMode="External"/><Relationship Id="rId858" Type="http://schemas.openxmlformats.org/officeDocument/2006/relationships/hyperlink" Target="https://github.com/stu2262/IITM_TDS_Proj1" TargetMode="External"/><Relationship Id="rId615" Type="http://schemas.openxmlformats.org/officeDocument/2006/relationships/hyperlink" Target="https://github.com/KaustubhaRam/London_GitHub_Users" TargetMode="External"/><Relationship Id="rId857" Type="http://schemas.openxmlformats.org/officeDocument/2006/relationships/hyperlink" Target="https://github.com/21f3000177/tds_project1" TargetMode="External"/><Relationship Id="rId614" Type="http://schemas.openxmlformats.org/officeDocument/2006/relationships/hyperlink" Target="https://github.com/JaySoni77/Project-1" TargetMode="External"/><Relationship Id="rId856" Type="http://schemas.openxmlformats.org/officeDocument/2006/relationships/hyperlink" Target="https://github.com/DurgaPriyaY/proj1" TargetMode="External"/><Relationship Id="rId851" Type="http://schemas.openxmlformats.org/officeDocument/2006/relationships/hyperlink" Target="https://github.com/22f2001730/TDS_P1" TargetMode="External"/><Relationship Id="rId850" Type="http://schemas.openxmlformats.org/officeDocument/2006/relationships/hyperlink" Target="https://github.com/nitesh-Sharma-IITM/IITM_TDS" TargetMode="External"/><Relationship Id="rId409" Type="http://schemas.openxmlformats.org/officeDocument/2006/relationships/hyperlink" Target="https://github.com/veenas2024/TdsGA1" TargetMode="External"/><Relationship Id="rId404" Type="http://schemas.openxmlformats.org/officeDocument/2006/relationships/hyperlink" Target="https://github.com/SnehaKukrety/TDS_Project1/tree/main" TargetMode="External"/><Relationship Id="rId646" Type="http://schemas.openxmlformats.org/officeDocument/2006/relationships/hyperlink" Target="https://github.com/tuxdna/tds-project1" TargetMode="External"/><Relationship Id="rId888" Type="http://schemas.openxmlformats.org/officeDocument/2006/relationships/hyperlink" Target="https://github.com/ankit-ksh/tds_mini_project_i" TargetMode="External"/><Relationship Id="rId403" Type="http://schemas.openxmlformats.org/officeDocument/2006/relationships/hyperlink" Target="https://github.com/randomuser438/TDS_proj" TargetMode="External"/><Relationship Id="rId645" Type="http://schemas.openxmlformats.org/officeDocument/2006/relationships/hyperlink" Target="https://github.com/regisprabha/TDS-Project1" TargetMode="External"/><Relationship Id="rId887" Type="http://schemas.openxmlformats.org/officeDocument/2006/relationships/hyperlink" Target="https://github.com/palavallichaitanya/TDS-Project-1" TargetMode="External"/><Relationship Id="rId402" Type="http://schemas.openxmlformats.org/officeDocument/2006/relationships/hyperlink" Target="https://github.com/Happytth/tds-project1" TargetMode="External"/><Relationship Id="rId644" Type="http://schemas.openxmlformats.org/officeDocument/2006/relationships/hyperlink" Target="https://github.com/Ajmalkajm/TDS-Project_1" TargetMode="External"/><Relationship Id="rId886" Type="http://schemas.openxmlformats.org/officeDocument/2006/relationships/hyperlink" Target="https://github.com/Reena-Ydv/TDS" TargetMode="External"/><Relationship Id="rId401" Type="http://schemas.openxmlformats.org/officeDocument/2006/relationships/hyperlink" Target="https://github.com/23ds3000059/tds_project_1" TargetMode="External"/><Relationship Id="rId643" Type="http://schemas.openxmlformats.org/officeDocument/2006/relationships/hyperlink" Target="https://github.com/Saradha24ds1000095/TDS_Project1/" TargetMode="External"/><Relationship Id="rId885" Type="http://schemas.openxmlformats.org/officeDocument/2006/relationships/hyperlink" Target="https://github.com/LakshayB05/tds_project1" TargetMode="External"/><Relationship Id="rId408" Type="http://schemas.openxmlformats.org/officeDocument/2006/relationships/hyperlink" Target="https://github.com/swalihaattar/IITM_TDS_P1" TargetMode="External"/><Relationship Id="rId407" Type="http://schemas.openxmlformats.org/officeDocument/2006/relationships/hyperlink" Target="https://github.com/21f3000177/tds_project1" TargetMode="External"/><Relationship Id="rId649" Type="http://schemas.openxmlformats.org/officeDocument/2006/relationships/hyperlink" Target="https://github.com/vilas-007/TDS-project1" TargetMode="External"/><Relationship Id="rId406" Type="http://schemas.openxmlformats.org/officeDocument/2006/relationships/hyperlink" Target="https://github.com/22f3001738/tds-project-1" TargetMode="External"/><Relationship Id="rId648" Type="http://schemas.openxmlformats.org/officeDocument/2006/relationships/hyperlink" Target="https://github.com/heyitsshreya/Austin-GitHub-Users-Analysis" TargetMode="External"/><Relationship Id="rId405" Type="http://schemas.openxmlformats.org/officeDocument/2006/relationships/hyperlink" Target="https://github.com/ShashanksriIITM/MLT_Project1" TargetMode="External"/><Relationship Id="rId647" Type="http://schemas.openxmlformats.org/officeDocument/2006/relationships/hyperlink" Target="https://github.com/Rajalakshmi12/IITM_Tds_Project1" TargetMode="External"/><Relationship Id="rId889" Type="http://schemas.openxmlformats.org/officeDocument/2006/relationships/hyperlink" Target="https://github.com/Swag2002/TDS_Main_Project" TargetMode="External"/><Relationship Id="rId880" Type="http://schemas.openxmlformats.org/officeDocument/2006/relationships/hyperlink" Target="https://github.com/Harini-RAJ/tdsproj" TargetMode="External"/><Relationship Id="rId400" Type="http://schemas.openxmlformats.org/officeDocument/2006/relationships/hyperlink" Target="https://github.com/Sa007tish/hyd-gitanalysis" TargetMode="External"/><Relationship Id="rId642" Type="http://schemas.openxmlformats.org/officeDocument/2006/relationships/hyperlink" Target="https://github.com/21f2001015/tds-project-1" TargetMode="External"/><Relationship Id="rId884" Type="http://schemas.openxmlformats.org/officeDocument/2006/relationships/hyperlink" Target="https://github.com/pkala7968/TDS-PROJECT-1-IITM" TargetMode="External"/><Relationship Id="rId641" Type="http://schemas.openxmlformats.org/officeDocument/2006/relationships/hyperlink" Target="https://github.com/VijeethC300/BangaloreGitHubUsers" TargetMode="External"/><Relationship Id="rId883" Type="http://schemas.openxmlformats.org/officeDocument/2006/relationships/hyperlink" Target="https://github.com/arya-v-iitm/TDS-Project1" TargetMode="External"/><Relationship Id="rId640" Type="http://schemas.openxmlformats.org/officeDocument/2006/relationships/hyperlink" Target="https://github.com/ml1608/TDS-Project1" TargetMode="External"/><Relationship Id="rId882" Type="http://schemas.openxmlformats.org/officeDocument/2006/relationships/hyperlink" Target="https://github.com/GeekAnanya21/TDS_project1" TargetMode="External"/><Relationship Id="rId881" Type="http://schemas.openxmlformats.org/officeDocument/2006/relationships/hyperlink" Target="https://github.com/23f1000647/tds-project-1" TargetMode="External"/><Relationship Id="rId635" Type="http://schemas.openxmlformats.org/officeDocument/2006/relationships/hyperlink" Target="https://github.com/Rxhit1/TDSproj1/tree/main" TargetMode="External"/><Relationship Id="rId877" Type="http://schemas.openxmlformats.org/officeDocument/2006/relationships/hyperlink" Target="https://github.com/Logikos1/iitm-tds-project1-berlin200" TargetMode="External"/><Relationship Id="rId634" Type="http://schemas.openxmlformats.org/officeDocument/2006/relationships/hyperlink" Target="https://github.com/joy-pro26/TDSProject1" TargetMode="External"/><Relationship Id="rId876" Type="http://schemas.openxmlformats.org/officeDocument/2006/relationships/hyperlink" Target="https://github.com/febixcf/tds-project1" TargetMode="External"/><Relationship Id="rId633" Type="http://schemas.openxmlformats.org/officeDocument/2006/relationships/hyperlink" Target="https://github.com/infamous-01/TDS-Project-1" TargetMode="External"/><Relationship Id="rId875" Type="http://schemas.openxmlformats.org/officeDocument/2006/relationships/hyperlink" Target="https://github.com/Prajchin/TDS_P1" TargetMode="External"/><Relationship Id="rId632" Type="http://schemas.openxmlformats.org/officeDocument/2006/relationships/hyperlink" Target="https://github.com/rishikarai23/TDS-PROJECT" TargetMode="External"/><Relationship Id="rId874" Type="http://schemas.openxmlformats.org/officeDocument/2006/relationships/hyperlink" Target="https://github.com/Alizalily/TDS_Project1" TargetMode="External"/><Relationship Id="rId639" Type="http://schemas.openxmlformats.org/officeDocument/2006/relationships/hyperlink" Target="https://github.com/Prajwalit-Tiwari/TDS_Project1" TargetMode="External"/><Relationship Id="rId638" Type="http://schemas.openxmlformats.org/officeDocument/2006/relationships/hyperlink" Target="https://github.com/Rosh-10/tds-project-1" TargetMode="External"/><Relationship Id="rId637" Type="http://schemas.openxmlformats.org/officeDocument/2006/relationships/hyperlink" Target="https://github.com/vaibhavgupta-iitm/TDS-Project-1" TargetMode="External"/><Relationship Id="rId879" Type="http://schemas.openxmlformats.org/officeDocument/2006/relationships/hyperlink" Target="https://github.com/22f2001300/TDS-P1" TargetMode="External"/><Relationship Id="rId636" Type="http://schemas.openxmlformats.org/officeDocument/2006/relationships/hyperlink" Target="https://github.com/Jayaprakash1710/TDS-Project-1" TargetMode="External"/><Relationship Id="rId878" Type="http://schemas.openxmlformats.org/officeDocument/2006/relationships/hyperlink" Target="https://github.com/SharmilSrivathsa/TDS-Project-1" TargetMode="External"/><Relationship Id="rId631" Type="http://schemas.openxmlformats.org/officeDocument/2006/relationships/hyperlink" Target="https://github.com/sneh2105/tds_proj1" TargetMode="External"/><Relationship Id="rId873" Type="http://schemas.openxmlformats.org/officeDocument/2006/relationships/hyperlink" Target="https://github.com/namish18/TDSP1" TargetMode="External"/><Relationship Id="rId630" Type="http://schemas.openxmlformats.org/officeDocument/2006/relationships/hyperlink" Target="https://github.com/PradeepIITMBS/TDS-PROJECT-1" TargetMode="External"/><Relationship Id="rId872" Type="http://schemas.openxmlformats.org/officeDocument/2006/relationships/hyperlink" Target="https://github.com/Avisiingh/tdsproject1/tree/main" TargetMode="External"/><Relationship Id="rId871" Type="http://schemas.openxmlformats.org/officeDocument/2006/relationships/hyperlink" Target="https://github.com/aksarwar/tds-project/blob/main/project1.ipynb" TargetMode="External"/><Relationship Id="rId870" Type="http://schemas.openxmlformats.org/officeDocument/2006/relationships/hyperlink" Target="https://github.com/Bhaargavi29/Moscow-50-repo" TargetMode="External"/><Relationship Id="rId829" Type="http://schemas.openxmlformats.org/officeDocument/2006/relationships/hyperlink" Target="https://github.com/bl00m-byte/TDS-Project-1" TargetMode="External"/><Relationship Id="rId828" Type="http://schemas.openxmlformats.org/officeDocument/2006/relationships/hyperlink" Target="https://github.com/himanshu-IIT-M/project1/blob/main/repositories.csvlob/main/repositories.csv" TargetMode="External"/><Relationship Id="rId827" Type="http://schemas.openxmlformats.org/officeDocument/2006/relationships/hyperlink" Target="https://github.com/deepika4786/tools-for-data-science-project---1/blob/main/repositories.csv" TargetMode="External"/><Relationship Id="rId822" Type="http://schemas.openxmlformats.org/officeDocument/2006/relationships/hyperlink" Target="https://github.com/Madhu1005/tds-project1" TargetMode="External"/><Relationship Id="rId821" Type="http://schemas.openxmlformats.org/officeDocument/2006/relationships/hyperlink" Target="https://github.com/Ankit972-dotcom/sydney-github-users" TargetMode="External"/><Relationship Id="rId820" Type="http://schemas.openxmlformats.org/officeDocument/2006/relationships/hyperlink" Target="https://github.com/sashank-e/TDS_P1" TargetMode="External"/><Relationship Id="rId826" Type="http://schemas.openxmlformats.org/officeDocument/2006/relationships/hyperlink" Target="https://github.com/23f2003488/dublin_users" TargetMode="External"/><Relationship Id="rId825" Type="http://schemas.openxmlformats.org/officeDocument/2006/relationships/hyperlink" Target="https://github.com/Saravanan1508/IITM_TDS_Project_1" TargetMode="External"/><Relationship Id="rId824" Type="http://schemas.openxmlformats.org/officeDocument/2006/relationships/hyperlink" Target="https://github.com/namish18/TDSP1" TargetMode="External"/><Relationship Id="rId823" Type="http://schemas.openxmlformats.org/officeDocument/2006/relationships/hyperlink" Target="https://github.com/Avisiingh/tdsproject1/tree/main" TargetMode="External"/><Relationship Id="rId819" Type="http://schemas.openxmlformats.org/officeDocument/2006/relationships/hyperlink" Target="https://github.com/AbdulHadiCreator/TDSproject1" TargetMode="External"/><Relationship Id="rId818" Type="http://schemas.openxmlformats.org/officeDocument/2006/relationships/hyperlink" Target="https://github.com/ekxnsh22005/TDS-Project" TargetMode="External"/><Relationship Id="rId817" Type="http://schemas.openxmlformats.org/officeDocument/2006/relationships/hyperlink" Target="https://github.com/harshx45/tdsproj1" TargetMode="External"/><Relationship Id="rId816" Type="http://schemas.openxmlformats.org/officeDocument/2006/relationships/hyperlink" Target="https://github.com/aniko1806/GitHub_API_Analysis_Boston" TargetMode="External"/><Relationship Id="rId811" Type="http://schemas.openxmlformats.org/officeDocument/2006/relationships/hyperlink" Target="https://github.com/24f1002112/Project1TDS" TargetMode="External"/><Relationship Id="rId810" Type="http://schemas.openxmlformats.org/officeDocument/2006/relationships/hyperlink" Target="https://github.com/Me-dev-commits/project-1" TargetMode="External"/><Relationship Id="rId815" Type="http://schemas.openxmlformats.org/officeDocument/2006/relationships/hyperlink" Target="https://github.com/NandhaaKishore-10/TDS-PROJECT-1" TargetMode="External"/><Relationship Id="rId814" Type="http://schemas.openxmlformats.org/officeDocument/2006/relationships/hyperlink" Target="https://github.com/Varun-K34/github-users-toronto" TargetMode="External"/><Relationship Id="rId813" Type="http://schemas.openxmlformats.org/officeDocument/2006/relationships/hyperlink" Target="https://github.com/himanesh21/GithubUserDataAnalysis" TargetMode="External"/><Relationship Id="rId812" Type="http://schemas.openxmlformats.org/officeDocument/2006/relationships/hyperlink" Target="https://github.com/adityaraj2308/projeft1/blob/main/README.md" TargetMode="External"/><Relationship Id="rId609" Type="http://schemas.openxmlformats.org/officeDocument/2006/relationships/hyperlink" Target="https://github.com/bhavikasharma999/project1-tokyo-follower" TargetMode="External"/><Relationship Id="rId608" Type="http://schemas.openxmlformats.org/officeDocument/2006/relationships/hyperlink" Target="https://github.com/lakshyaonweb22/TDS_Project1" TargetMode="External"/><Relationship Id="rId607" Type="http://schemas.openxmlformats.org/officeDocument/2006/relationships/hyperlink" Target="https://github.com/22f3001059/TDS-project1" TargetMode="External"/><Relationship Id="rId849" Type="http://schemas.openxmlformats.org/officeDocument/2006/relationships/hyperlink" Target="https://github.com/Keshav22f2001196/TDS-project1" TargetMode="External"/><Relationship Id="rId602" Type="http://schemas.openxmlformats.org/officeDocument/2006/relationships/hyperlink" Target="https://github.com/SravanVullanki/TDSPROJECT1" TargetMode="External"/><Relationship Id="rId844" Type="http://schemas.openxmlformats.org/officeDocument/2006/relationships/hyperlink" Target="https://github.com/404aalu/tds-project1/tree/main" TargetMode="External"/><Relationship Id="rId601" Type="http://schemas.openxmlformats.org/officeDocument/2006/relationships/hyperlink" Target="https://github.com/harinivas21/tds" TargetMode="External"/><Relationship Id="rId843" Type="http://schemas.openxmlformats.org/officeDocument/2006/relationships/hyperlink" Target="https://github.com/SaarthakMaini/tds_project_1/" TargetMode="External"/><Relationship Id="rId600" Type="http://schemas.openxmlformats.org/officeDocument/2006/relationships/hyperlink" Target="https://github.com/AnantLuthra/tds-project1" TargetMode="External"/><Relationship Id="rId842" Type="http://schemas.openxmlformats.org/officeDocument/2006/relationships/hyperlink" Target="https://github.com/Karanshrivastav/tds_project_1" TargetMode="External"/><Relationship Id="rId841" Type="http://schemas.openxmlformats.org/officeDocument/2006/relationships/hyperlink" Target="https://github.com/Yashi-code/dublin-developer-data/tree/main" TargetMode="External"/><Relationship Id="rId606" Type="http://schemas.openxmlformats.org/officeDocument/2006/relationships/hyperlink" Target="https://github.com/kasturi190602/TDSProject" TargetMode="External"/><Relationship Id="rId848" Type="http://schemas.openxmlformats.org/officeDocument/2006/relationships/hyperlink" Target="https://github.com/harini-perumandla/TDS-P1" TargetMode="External"/><Relationship Id="rId605" Type="http://schemas.openxmlformats.org/officeDocument/2006/relationships/hyperlink" Target="https://github.com/jeevan-yohan-varghese/tds-project1" TargetMode="External"/><Relationship Id="rId847" Type="http://schemas.openxmlformats.org/officeDocument/2006/relationships/hyperlink" Target="https://github.com/so-what-ik/TDS_Project1" TargetMode="External"/><Relationship Id="rId604" Type="http://schemas.openxmlformats.org/officeDocument/2006/relationships/hyperlink" Target="https://github.com/AnkitaDev05/TDS-Project1" TargetMode="External"/><Relationship Id="rId846" Type="http://schemas.openxmlformats.org/officeDocument/2006/relationships/hyperlink" Target="https://github.com/anshulbaliga7/iitm-tds-project1" TargetMode="External"/><Relationship Id="rId603" Type="http://schemas.openxmlformats.org/officeDocument/2006/relationships/hyperlink" Target="https://github.com/k121mayur/TDA_PROJECT_1" TargetMode="External"/><Relationship Id="rId845" Type="http://schemas.openxmlformats.org/officeDocument/2006/relationships/hyperlink" Target="https://github.com/harrycode54/Stockholm100" TargetMode="External"/><Relationship Id="rId840" Type="http://schemas.openxmlformats.org/officeDocument/2006/relationships/hyperlink" Target="https://github.com/PRAVINKUMAR99/mywebsite" TargetMode="External"/><Relationship Id="rId839" Type="http://schemas.openxmlformats.org/officeDocument/2006/relationships/hyperlink" Target="https://github.com/anjupbse91/TDS-Project1" TargetMode="External"/><Relationship Id="rId838" Type="http://schemas.openxmlformats.org/officeDocument/2006/relationships/hyperlink" Target="https://github.com/nightcoder358/TDS-Project-1" TargetMode="External"/><Relationship Id="rId833" Type="http://schemas.openxmlformats.org/officeDocument/2006/relationships/hyperlink" Target="https://github.com/23f2004839/TDS-Project-1" TargetMode="External"/><Relationship Id="rId832" Type="http://schemas.openxmlformats.org/officeDocument/2006/relationships/hyperlink" Target="https://github.com/samikb07/tds-project-1" TargetMode="External"/><Relationship Id="rId831" Type="http://schemas.openxmlformats.org/officeDocument/2006/relationships/hyperlink" Target="https://github.com/SaicharanRitwik39/TDSProject1_TermSepDec2024" TargetMode="External"/><Relationship Id="rId830" Type="http://schemas.openxmlformats.org/officeDocument/2006/relationships/hyperlink" Target="https://github.com/shanky999/TDS_Project1" TargetMode="External"/><Relationship Id="rId837" Type="http://schemas.openxmlformats.org/officeDocument/2006/relationships/hyperlink" Target="https://github.com/21f1004430/TDS-Project_1" TargetMode="External"/><Relationship Id="rId836" Type="http://schemas.openxmlformats.org/officeDocument/2006/relationships/hyperlink" Target="https://github.com/Aadil-Iqbal1729/TDS_Project-1" TargetMode="External"/><Relationship Id="rId835" Type="http://schemas.openxmlformats.org/officeDocument/2006/relationships/hyperlink" Target="https://github.com/mailkharshvardhan/chicago-developers-data" TargetMode="External"/><Relationship Id="rId834" Type="http://schemas.openxmlformats.org/officeDocument/2006/relationships/hyperlink" Target="https://github.com/MaharajaMoorthy/tds_project1" TargetMode="External"/><Relationship Id="rId1059" Type="http://schemas.openxmlformats.org/officeDocument/2006/relationships/hyperlink" Target="https://github.com/kamalesh-79/tdsproj/tree/main" TargetMode="External"/><Relationship Id="rId228" Type="http://schemas.openxmlformats.org/officeDocument/2006/relationships/hyperlink" Target="https://github.com/YASH-MAHESHWAR1/TDS_Project1" TargetMode="External"/><Relationship Id="rId227" Type="http://schemas.openxmlformats.org/officeDocument/2006/relationships/hyperlink" Target="https://github.com/tanyakamboj123/TDS-project1" TargetMode="External"/><Relationship Id="rId469" Type="http://schemas.openxmlformats.org/officeDocument/2006/relationships/hyperlink" Target="https://github.com/IITMSAPNA/Sapna_tds_proj_1" TargetMode="External"/><Relationship Id="rId226" Type="http://schemas.openxmlformats.org/officeDocument/2006/relationships/hyperlink" Target="https://github.com/pushpa761/TDS-project-1" TargetMode="External"/><Relationship Id="rId468" Type="http://schemas.openxmlformats.org/officeDocument/2006/relationships/hyperlink" Target="https://github.com/22f1000259/TDS-PROJECT-1" TargetMode="External"/><Relationship Id="rId225" Type="http://schemas.openxmlformats.org/officeDocument/2006/relationships/hyperlink" Target="https://github.com/Kirthictrl/TDS-Project-1" TargetMode="External"/><Relationship Id="rId467" Type="http://schemas.openxmlformats.org/officeDocument/2006/relationships/hyperlink" Target="https://github.com/subhash2IIT/tds-project1-scrapping/" TargetMode="External"/><Relationship Id="rId229" Type="http://schemas.openxmlformats.org/officeDocument/2006/relationships/hyperlink" Target="https://github.com/DevanshA1105/Project_1_TDS" TargetMode="External"/><Relationship Id="rId1050" Type="http://schemas.openxmlformats.org/officeDocument/2006/relationships/hyperlink" Target="https://github.com/OmkarShekharRaut/datasciencetoolsproject1" TargetMode="External"/><Relationship Id="rId220" Type="http://schemas.openxmlformats.org/officeDocument/2006/relationships/hyperlink" Target="https://github.com/AvinashRajender/tdsproject1" TargetMode="External"/><Relationship Id="rId462" Type="http://schemas.openxmlformats.org/officeDocument/2006/relationships/hyperlink" Target="https://github.com/jaideepS04/project_tds-p" TargetMode="External"/><Relationship Id="rId1051" Type="http://schemas.openxmlformats.org/officeDocument/2006/relationships/hyperlink" Target="https://github.com/Skyehackerdoge/github-london-users" TargetMode="External"/><Relationship Id="rId461" Type="http://schemas.openxmlformats.org/officeDocument/2006/relationships/hyperlink" Target="https://github.com/Ayushsinha106/TDSProject1" TargetMode="External"/><Relationship Id="rId1052" Type="http://schemas.openxmlformats.org/officeDocument/2006/relationships/hyperlink" Target="https://github.com/23f2004408/tds-p1" TargetMode="External"/><Relationship Id="rId460" Type="http://schemas.openxmlformats.org/officeDocument/2006/relationships/hyperlink" Target="https://github.com/Sakthi-Balan-B/project1" TargetMode="External"/><Relationship Id="rId1053" Type="http://schemas.openxmlformats.org/officeDocument/2006/relationships/hyperlink" Target="https://github.com/ashuiitm/tdsproject1/" TargetMode="External"/><Relationship Id="rId1054" Type="http://schemas.openxmlformats.org/officeDocument/2006/relationships/hyperlink" Target="https://github.com/22f2001730/TDS_P1" TargetMode="External"/><Relationship Id="rId224" Type="http://schemas.openxmlformats.org/officeDocument/2006/relationships/hyperlink" Target="https://github.com/iitmgito/project1" TargetMode="External"/><Relationship Id="rId466" Type="http://schemas.openxmlformats.org/officeDocument/2006/relationships/hyperlink" Target="https://github.com/shramadeepd/TDS_1" TargetMode="External"/><Relationship Id="rId1055" Type="http://schemas.openxmlformats.org/officeDocument/2006/relationships/hyperlink" Target="https://github.com/VaishHa/Delhi100_TDS" TargetMode="External"/><Relationship Id="rId223" Type="http://schemas.openxmlformats.org/officeDocument/2006/relationships/hyperlink" Target="https://github.com/shriman-narayan-iitm/Barcelona" TargetMode="External"/><Relationship Id="rId465" Type="http://schemas.openxmlformats.org/officeDocument/2006/relationships/hyperlink" Target="https://github.com/kuldeepchavda/tds_project_1" TargetMode="External"/><Relationship Id="rId1056" Type="http://schemas.openxmlformats.org/officeDocument/2006/relationships/hyperlink" Target="https://github.com/n3055/Chennai-50_223f3004177" TargetMode="External"/><Relationship Id="rId222" Type="http://schemas.openxmlformats.org/officeDocument/2006/relationships/hyperlink" Target="https://github.com/AnshikaSinha2005/Anshika-project" TargetMode="External"/><Relationship Id="rId464" Type="http://schemas.openxmlformats.org/officeDocument/2006/relationships/hyperlink" Target="https://github.com/Pkant-b/TDS-Proj1/tree/main" TargetMode="External"/><Relationship Id="rId1057" Type="http://schemas.openxmlformats.org/officeDocument/2006/relationships/hyperlink" Target="https://github.com/gadilashashank/tds_p1" TargetMode="External"/><Relationship Id="rId221" Type="http://schemas.openxmlformats.org/officeDocument/2006/relationships/hyperlink" Target="https://github.com/pittu0802/Myfirstrepo" TargetMode="External"/><Relationship Id="rId463" Type="http://schemas.openxmlformats.org/officeDocument/2006/relationships/hyperlink" Target="https://github.com/Yasaswini117/Project_1" TargetMode="External"/><Relationship Id="rId1058" Type="http://schemas.openxmlformats.org/officeDocument/2006/relationships/hyperlink" Target="https://github.com/SarveshMSIITM/TDS-P1" TargetMode="External"/><Relationship Id="rId1048" Type="http://schemas.openxmlformats.org/officeDocument/2006/relationships/hyperlink" Target="https://github.com/bl00m-byte/TDS-Project-1" TargetMode="External"/><Relationship Id="rId1049" Type="http://schemas.openxmlformats.org/officeDocument/2006/relationships/hyperlink" Target="https://github.com/shanky999/TDS_Project1" TargetMode="External"/><Relationship Id="rId217" Type="http://schemas.openxmlformats.org/officeDocument/2006/relationships/hyperlink" Target="https://github.com/ragavkish/tds-sg-analysis" TargetMode="External"/><Relationship Id="rId459" Type="http://schemas.openxmlformats.org/officeDocument/2006/relationships/hyperlink" Target="https://github.com/ramees-thattarath/TDS-proj-1" TargetMode="External"/><Relationship Id="rId216" Type="http://schemas.openxmlformats.org/officeDocument/2006/relationships/hyperlink" Target="https://github.com/gadilashashank/tds_p1" TargetMode="External"/><Relationship Id="rId458" Type="http://schemas.openxmlformats.org/officeDocument/2006/relationships/hyperlink" Target="https://github.com/sidg75/tds-project1" TargetMode="External"/><Relationship Id="rId215" Type="http://schemas.openxmlformats.org/officeDocument/2006/relationships/hyperlink" Target="https://github.com/n3055/Chennai-50_223f3004177" TargetMode="External"/><Relationship Id="rId457" Type="http://schemas.openxmlformats.org/officeDocument/2006/relationships/hyperlink" Target="https://github.com/satya140519/TDS_project_1" TargetMode="External"/><Relationship Id="rId699" Type="http://schemas.openxmlformats.org/officeDocument/2006/relationships/hyperlink" Target="https://github.com/Saransh1329/main" TargetMode="External"/><Relationship Id="rId214" Type="http://schemas.openxmlformats.org/officeDocument/2006/relationships/hyperlink" Target="https://github.com/Aadi0703/TDS-project1" TargetMode="External"/><Relationship Id="rId456" Type="http://schemas.openxmlformats.org/officeDocument/2006/relationships/hyperlink" Target="https://github.com/nightcoder358/TDS-Project-1" TargetMode="External"/><Relationship Id="rId698" Type="http://schemas.openxmlformats.org/officeDocument/2006/relationships/hyperlink" Target="https://github.com/23f1000647/tds-project-1" TargetMode="External"/><Relationship Id="rId219" Type="http://schemas.openxmlformats.org/officeDocument/2006/relationships/hyperlink" Target="https://github.com/Tarun-Kandarpa/Beijing-Github-Users" TargetMode="External"/><Relationship Id="rId218" Type="http://schemas.openxmlformats.org/officeDocument/2006/relationships/hyperlink" Target="https://github.com/tarunarora6029/tdsgit" TargetMode="External"/><Relationship Id="rId451" Type="http://schemas.openxmlformats.org/officeDocument/2006/relationships/hyperlink" Target="https://github.com/DSharanya07/ZurichUsers" TargetMode="External"/><Relationship Id="rId693" Type="http://schemas.openxmlformats.org/officeDocument/2006/relationships/hyperlink" Target="https://github.com/Thanhanoorudheen/proj1" TargetMode="External"/><Relationship Id="rId1040" Type="http://schemas.openxmlformats.org/officeDocument/2006/relationships/hyperlink" Target="https://github.com/Madras-protagonist/Bangalore-GitHub-Users-Project" TargetMode="External"/><Relationship Id="rId450" Type="http://schemas.openxmlformats.org/officeDocument/2006/relationships/hyperlink" Target="https://github.com/Happytth/tds-project1" TargetMode="External"/><Relationship Id="rId692" Type="http://schemas.openxmlformats.org/officeDocument/2006/relationships/hyperlink" Target="https://github.com/azh-py/london-github-users" TargetMode="External"/><Relationship Id="rId1041" Type="http://schemas.openxmlformats.org/officeDocument/2006/relationships/hyperlink" Target="https://github.com/siddhant-bapna/TDSP1" TargetMode="External"/><Relationship Id="rId691" Type="http://schemas.openxmlformats.org/officeDocument/2006/relationships/hyperlink" Target="https://github.com/anshuraj007/22f3000757_TDS_Proj1" TargetMode="External"/><Relationship Id="rId1042" Type="http://schemas.openxmlformats.org/officeDocument/2006/relationships/hyperlink" Target="https://github.com/Jatendra/iitm_project1" TargetMode="External"/><Relationship Id="rId690" Type="http://schemas.openxmlformats.org/officeDocument/2006/relationships/hyperlink" Target="https://github.com/shwetavyas12/Zurich-50" TargetMode="External"/><Relationship Id="rId1043" Type="http://schemas.openxmlformats.org/officeDocument/2006/relationships/hyperlink" Target="https://github.com/jhaaj08/TDS_project1" TargetMode="External"/><Relationship Id="rId213" Type="http://schemas.openxmlformats.org/officeDocument/2006/relationships/hyperlink" Target="https://github.com/shinadeveloper/TDS-Project-1" TargetMode="External"/><Relationship Id="rId455" Type="http://schemas.openxmlformats.org/officeDocument/2006/relationships/hyperlink" Target="https://github.com/21f1004430/TDS-Project_1" TargetMode="External"/><Relationship Id="rId697" Type="http://schemas.openxmlformats.org/officeDocument/2006/relationships/hyperlink" Target="https://github.com/Harini-RAJ/tdsproj" TargetMode="External"/><Relationship Id="rId1044" Type="http://schemas.openxmlformats.org/officeDocument/2006/relationships/hyperlink" Target="https://github.com/rharini1402/mumbai50" TargetMode="External"/><Relationship Id="rId212" Type="http://schemas.openxmlformats.org/officeDocument/2006/relationships/hyperlink" Target="https://github.com/Sh1617/Project1" TargetMode="External"/><Relationship Id="rId454" Type="http://schemas.openxmlformats.org/officeDocument/2006/relationships/hyperlink" Target="https://github.com/bhavin-iitm/tds-project1" TargetMode="External"/><Relationship Id="rId696" Type="http://schemas.openxmlformats.org/officeDocument/2006/relationships/hyperlink" Target="https://github.com/indalbind/tds_project_first" TargetMode="External"/><Relationship Id="rId1045" Type="http://schemas.openxmlformats.org/officeDocument/2006/relationships/hyperlink" Target="https://github.com/ArnoldMathew1998/TDS-project" TargetMode="External"/><Relationship Id="rId211" Type="http://schemas.openxmlformats.org/officeDocument/2006/relationships/hyperlink" Target="https://github.com/Saransh1329/main" TargetMode="External"/><Relationship Id="rId453" Type="http://schemas.openxmlformats.org/officeDocument/2006/relationships/hyperlink" Target="https://github.com/KK17811/Github-repo" TargetMode="External"/><Relationship Id="rId695" Type="http://schemas.openxmlformats.org/officeDocument/2006/relationships/hyperlink" Target="https://github.com/manjuiitm/Dublin1" TargetMode="External"/><Relationship Id="rId1046" Type="http://schemas.openxmlformats.org/officeDocument/2006/relationships/hyperlink" Target="https://github.com/AbdulHadiCreator/TDSproject1" TargetMode="External"/><Relationship Id="rId210" Type="http://schemas.openxmlformats.org/officeDocument/2006/relationships/hyperlink" Target="https://github.com/AlgoPenguin/tds-project-1/blob/main/README.md" TargetMode="External"/><Relationship Id="rId452" Type="http://schemas.openxmlformats.org/officeDocument/2006/relationships/hyperlink" Target="https://github.com/sg-sparsh-goyal/TDS-project1-22f1000693" TargetMode="External"/><Relationship Id="rId694" Type="http://schemas.openxmlformats.org/officeDocument/2006/relationships/hyperlink" Target="https://github.com/kabir2505/zurich_scraping-tds" TargetMode="External"/><Relationship Id="rId1047" Type="http://schemas.openxmlformats.org/officeDocument/2006/relationships/hyperlink" Target="https://github.com/sashank-e/TDS_P1" TargetMode="External"/><Relationship Id="rId491" Type="http://schemas.openxmlformats.org/officeDocument/2006/relationships/hyperlink" Target="https://github.com/r02ajat08/projtds" TargetMode="External"/><Relationship Id="rId490" Type="http://schemas.openxmlformats.org/officeDocument/2006/relationships/hyperlink" Target="https://github.com/KD-kaustubh/Tds-project-1" TargetMode="External"/><Relationship Id="rId249" Type="http://schemas.openxmlformats.org/officeDocument/2006/relationships/hyperlink" Target="https://github.com/KrishnaDhankar/Project_TDS" TargetMode="External"/><Relationship Id="rId248" Type="http://schemas.openxmlformats.org/officeDocument/2006/relationships/hyperlink" Target="https://github.com/22f3001914/TDS_Project1/blob/main/README.md" TargetMode="External"/><Relationship Id="rId247" Type="http://schemas.openxmlformats.org/officeDocument/2006/relationships/hyperlink" Target="https://github.com/AlakhyaIITM/proj1/blob/main/README.md" TargetMode="External"/><Relationship Id="rId489" Type="http://schemas.openxmlformats.org/officeDocument/2006/relationships/hyperlink" Target="https://github.com/Rishitahazra/berlin200" TargetMode="External"/><Relationship Id="rId1070" Type="http://schemas.openxmlformats.org/officeDocument/2006/relationships/hyperlink" Target="https://github.com/sourav08nitp/tds-project-1" TargetMode="External"/><Relationship Id="rId1071" Type="http://schemas.openxmlformats.org/officeDocument/2006/relationships/hyperlink" Target="https://github.com/Jahnavi530/TDS-Project-1" TargetMode="External"/><Relationship Id="rId1072" Type="http://schemas.openxmlformats.org/officeDocument/2006/relationships/hyperlink" Target="https://github.com/Mv98dell/Mv/blob/33999fa40510af74122c53f73c6b8df2b53129c9/repositories.csv" TargetMode="External"/><Relationship Id="rId242" Type="http://schemas.openxmlformats.org/officeDocument/2006/relationships/hyperlink" Target="https://github.com/DivyanshuGupta2000129/TDS_Project_1" TargetMode="External"/><Relationship Id="rId484" Type="http://schemas.openxmlformats.org/officeDocument/2006/relationships/hyperlink" Target="https://github.com/21f3003136/TokyoScrape" TargetMode="External"/><Relationship Id="rId1073" Type="http://schemas.openxmlformats.org/officeDocument/2006/relationships/hyperlink" Target="https://github.com/anshikaatiwari/tdsp1" TargetMode="External"/><Relationship Id="rId241" Type="http://schemas.openxmlformats.org/officeDocument/2006/relationships/hyperlink" Target="https://github.com/MAUK9086/TDS_Project1" TargetMode="External"/><Relationship Id="rId483" Type="http://schemas.openxmlformats.org/officeDocument/2006/relationships/hyperlink" Target="https://github.com/mohitbakshi04/tds-project-1" TargetMode="External"/><Relationship Id="rId1074" Type="http://schemas.openxmlformats.org/officeDocument/2006/relationships/hyperlink" Target="https://github.com/22f3000190/Seattle-200---TDM" TargetMode="External"/><Relationship Id="rId240" Type="http://schemas.openxmlformats.org/officeDocument/2006/relationships/hyperlink" Target="https://github.com/IIT-JRV/IIT/tree/main" TargetMode="External"/><Relationship Id="rId482" Type="http://schemas.openxmlformats.org/officeDocument/2006/relationships/hyperlink" Target="https://github.com/Sunidhi912/TDSProject1" TargetMode="External"/><Relationship Id="rId1075" Type="http://schemas.openxmlformats.org/officeDocument/2006/relationships/hyperlink" Target="https://github.com/RishabhBarthwal28/TDS-PROJECT-1" TargetMode="External"/><Relationship Id="rId481" Type="http://schemas.openxmlformats.org/officeDocument/2006/relationships/hyperlink" Target="https://github.com/UrielKAlistair/TDS_P1" TargetMode="External"/><Relationship Id="rId1076" Type="http://schemas.openxmlformats.org/officeDocument/2006/relationships/hyperlink" Target="https://github.com/Yashi-code/dublin-developer-data/tree/main" TargetMode="External"/><Relationship Id="rId246" Type="http://schemas.openxmlformats.org/officeDocument/2006/relationships/hyperlink" Target="https://github.com/23f2004417/23f2004417_TDS_Project1" TargetMode="External"/><Relationship Id="rId488" Type="http://schemas.openxmlformats.org/officeDocument/2006/relationships/hyperlink" Target="https://github.com/AaryNimje/22f3001836-ds.study.iitm.ac.in-Bangalore-100" TargetMode="External"/><Relationship Id="rId1077" Type="http://schemas.openxmlformats.org/officeDocument/2006/relationships/hyperlink" Target="https://github.com/Karanshrivastav/tds_project_1" TargetMode="External"/><Relationship Id="rId245" Type="http://schemas.openxmlformats.org/officeDocument/2006/relationships/hyperlink" Target="https://github.com/mehuljun09/TDS_IITM" TargetMode="External"/><Relationship Id="rId487" Type="http://schemas.openxmlformats.org/officeDocument/2006/relationships/hyperlink" Target="https://github.com/ManjulaVK/TDS_P1" TargetMode="External"/><Relationship Id="rId1078" Type="http://schemas.openxmlformats.org/officeDocument/2006/relationships/hyperlink" Target="https://github.com/manojp23/TDS-Project-1" TargetMode="External"/><Relationship Id="rId244" Type="http://schemas.openxmlformats.org/officeDocument/2006/relationships/hyperlink" Target="https://github.com/lakshyaonweb22/TDS_Project1" TargetMode="External"/><Relationship Id="rId486" Type="http://schemas.openxmlformats.org/officeDocument/2006/relationships/hyperlink" Target="https://github.com/kunj-10/TDS-IITM-Project1" TargetMode="External"/><Relationship Id="rId1079" Type="http://schemas.openxmlformats.org/officeDocument/2006/relationships/hyperlink" Target="https://github.com/IITM-007/Project1/tree/main" TargetMode="External"/><Relationship Id="rId243" Type="http://schemas.openxmlformats.org/officeDocument/2006/relationships/hyperlink" Target="https://github.com/22f3001059/TDS-project1" TargetMode="External"/><Relationship Id="rId485" Type="http://schemas.openxmlformats.org/officeDocument/2006/relationships/hyperlink" Target="https://github.com/Naveenkumaar/Project1_TDS" TargetMode="External"/><Relationship Id="rId480" Type="http://schemas.openxmlformats.org/officeDocument/2006/relationships/hyperlink" Target="https://github.com/Vish2BDev/tds-project1-Barcelona" TargetMode="External"/><Relationship Id="rId239" Type="http://schemas.openxmlformats.org/officeDocument/2006/relationships/hyperlink" Target="https://github.com/Ashly-06/project-1" TargetMode="External"/><Relationship Id="rId238" Type="http://schemas.openxmlformats.org/officeDocument/2006/relationships/hyperlink" Target="https://github.com/shamanthakiitm/TDS-Project-1" TargetMode="External"/><Relationship Id="rId237" Type="http://schemas.openxmlformats.org/officeDocument/2006/relationships/hyperlink" Target="https://github.com/theiitman/tds_project_1_03777" TargetMode="External"/><Relationship Id="rId479" Type="http://schemas.openxmlformats.org/officeDocument/2006/relationships/hyperlink" Target="https://github.com/22f1000144/TDS_project_1" TargetMode="External"/><Relationship Id="rId236" Type="http://schemas.openxmlformats.org/officeDocument/2006/relationships/hyperlink" Target="https://github.com/kneedheeee/proj1" TargetMode="External"/><Relationship Id="rId478" Type="http://schemas.openxmlformats.org/officeDocument/2006/relationships/hyperlink" Target="https://github.com/CaptPeroxide7/TDS-Proj1" TargetMode="External"/><Relationship Id="rId1060" Type="http://schemas.openxmlformats.org/officeDocument/2006/relationships/hyperlink" Target="https://github.com/venkatsaivikram-iitm/tds-project1/" TargetMode="External"/><Relationship Id="rId1061" Type="http://schemas.openxmlformats.org/officeDocument/2006/relationships/hyperlink" Target="https://github.com/Rishi-Bhatt/TDS-Project1-Sept2024" TargetMode="External"/><Relationship Id="rId231" Type="http://schemas.openxmlformats.org/officeDocument/2006/relationships/hyperlink" Target="https://github.com/manoharvvs/BarcelonaTDS" TargetMode="External"/><Relationship Id="rId473" Type="http://schemas.openxmlformats.org/officeDocument/2006/relationships/hyperlink" Target="https://github.com/Biray143/Project-1" TargetMode="External"/><Relationship Id="rId1062" Type="http://schemas.openxmlformats.org/officeDocument/2006/relationships/hyperlink" Target="https://github.com/RealFalseGod/Project1" TargetMode="External"/><Relationship Id="rId230" Type="http://schemas.openxmlformats.org/officeDocument/2006/relationships/hyperlink" Target="https://github.com/TheMHarsh/TDS_P1" TargetMode="External"/><Relationship Id="rId472" Type="http://schemas.openxmlformats.org/officeDocument/2006/relationships/hyperlink" Target="https://github.com/mdnabeelmn10/TDS_Project1_23f1001173" TargetMode="External"/><Relationship Id="rId1063" Type="http://schemas.openxmlformats.org/officeDocument/2006/relationships/hyperlink" Target="https://github.com/Anburajasp/TDS-PROJECT-1" TargetMode="External"/><Relationship Id="rId471" Type="http://schemas.openxmlformats.org/officeDocument/2006/relationships/hyperlink" Target="https://github.com/KSoham-dev/TDS-Project-I" TargetMode="External"/><Relationship Id="rId1064" Type="http://schemas.openxmlformats.org/officeDocument/2006/relationships/hyperlink" Target="https://github.com/Thanvish07/TDS_Project-1" TargetMode="External"/><Relationship Id="rId470" Type="http://schemas.openxmlformats.org/officeDocument/2006/relationships/hyperlink" Target="https://github.com/vazemon/TDS_Project1/tree/main" TargetMode="External"/><Relationship Id="rId1065" Type="http://schemas.openxmlformats.org/officeDocument/2006/relationships/hyperlink" Target="https://github.com/AMIRTHAKATESAN-M/TDS-PROJECT-1" TargetMode="External"/><Relationship Id="rId235" Type="http://schemas.openxmlformats.org/officeDocument/2006/relationships/hyperlink" Target="https://github.com/Codephile14/TDS_Project1" TargetMode="External"/><Relationship Id="rId477" Type="http://schemas.openxmlformats.org/officeDocument/2006/relationships/hyperlink" Target="https://github.com/SonaliDuvesh/project1" TargetMode="External"/><Relationship Id="rId1066" Type="http://schemas.openxmlformats.org/officeDocument/2006/relationships/hyperlink" Target="https://github.com/Anish071105/TDS-project1" TargetMode="External"/><Relationship Id="rId234" Type="http://schemas.openxmlformats.org/officeDocument/2006/relationships/hyperlink" Target="https://github.com/imposter7/seattle-github-users" TargetMode="External"/><Relationship Id="rId476" Type="http://schemas.openxmlformats.org/officeDocument/2006/relationships/hyperlink" Target="https://github.com/tiwariannanya/TDS_Project_1_Berlin" TargetMode="External"/><Relationship Id="rId1067" Type="http://schemas.openxmlformats.org/officeDocument/2006/relationships/hyperlink" Target="https://github.com/MANAV-py/tds_project1" TargetMode="External"/><Relationship Id="rId233" Type="http://schemas.openxmlformats.org/officeDocument/2006/relationships/hyperlink" Target="https://github.com/harshithbabu-git/Tools-in-DS-Project-1" TargetMode="External"/><Relationship Id="rId475" Type="http://schemas.openxmlformats.org/officeDocument/2006/relationships/hyperlink" Target="https://github.com/vasanth-svb-1/iitm-syscmd-project-1" TargetMode="External"/><Relationship Id="rId1068" Type="http://schemas.openxmlformats.org/officeDocument/2006/relationships/hyperlink" Target="https://github.com/ViratJinjala/TDS-project-1" TargetMode="External"/><Relationship Id="rId232" Type="http://schemas.openxmlformats.org/officeDocument/2006/relationships/hyperlink" Target="https://github.com/LuckyArya27/tds-project1" TargetMode="External"/><Relationship Id="rId474" Type="http://schemas.openxmlformats.org/officeDocument/2006/relationships/hyperlink" Target="https://github.com/AlexStark110/MELB_USERS" TargetMode="External"/><Relationship Id="rId1069" Type="http://schemas.openxmlformats.org/officeDocument/2006/relationships/hyperlink" Target="https://github.com/anantdev123/Project1" TargetMode="External"/><Relationship Id="rId1015" Type="http://schemas.openxmlformats.org/officeDocument/2006/relationships/hyperlink" Target="https://github.com/sneha-singh-12345578998/TDSProj-1" TargetMode="External"/><Relationship Id="rId1016" Type="http://schemas.openxmlformats.org/officeDocument/2006/relationships/hyperlink" Target="https://github.com/sanskar-gupta206/TDS_P1" TargetMode="External"/><Relationship Id="rId1017" Type="http://schemas.openxmlformats.org/officeDocument/2006/relationships/hyperlink" Target="https://github.com/NewDaci/tds-project1" TargetMode="External"/><Relationship Id="rId1018" Type="http://schemas.openxmlformats.org/officeDocument/2006/relationships/hyperlink" Target="https://github.com/22f3000350/22f3000350-TDS-Project-1" TargetMode="External"/><Relationship Id="rId1019" Type="http://schemas.openxmlformats.org/officeDocument/2006/relationships/hyperlink" Target="https://github.com/anupam-21f2000522/Mumbai-50" TargetMode="External"/><Relationship Id="rId426" Type="http://schemas.openxmlformats.org/officeDocument/2006/relationships/hyperlink" Target="https://github.com/meyywwg/tds_project1" TargetMode="External"/><Relationship Id="rId668" Type="http://schemas.openxmlformats.org/officeDocument/2006/relationships/hyperlink" Target="https://github.com/ARUNIMADILEEPK/TDS_Project_1" TargetMode="External"/><Relationship Id="rId425" Type="http://schemas.openxmlformats.org/officeDocument/2006/relationships/hyperlink" Target="https://github.com/RAGHAV-0202/TDS-IITM" TargetMode="External"/><Relationship Id="rId667" Type="http://schemas.openxmlformats.org/officeDocument/2006/relationships/hyperlink" Target="https://github.com/arshadnit/TDSP1" TargetMode="External"/><Relationship Id="rId424" Type="http://schemas.openxmlformats.org/officeDocument/2006/relationships/hyperlink" Target="https://github.com/DSAshv/TDS-Project1" TargetMode="External"/><Relationship Id="rId666" Type="http://schemas.openxmlformats.org/officeDocument/2006/relationships/hyperlink" Target="https://github.com/deep2003tds/project1/blob/main/repositories.csv" TargetMode="External"/><Relationship Id="rId423" Type="http://schemas.openxmlformats.org/officeDocument/2006/relationships/hyperlink" Target="https://github.com/harshshah-codes/TDS-project-1" TargetMode="External"/><Relationship Id="rId665" Type="http://schemas.openxmlformats.org/officeDocument/2006/relationships/hyperlink" Target="https://github.com/Utkarsh002-winner/TDS_P1" TargetMode="External"/><Relationship Id="rId429" Type="http://schemas.openxmlformats.org/officeDocument/2006/relationships/hyperlink" Target="https://github.com/Giri-Subrahmanya/23f2000573-TDS-P1" TargetMode="External"/><Relationship Id="rId428" Type="http://schemas.openxmlformats.org/officeDocument/2006/relationships/hyperlink" Target="https://github.com/Abhishek-IITM2026/TDS-Project-1" TargetMode="External"/><Relationship Id="rId427" Type="http://schemas.openxmlformats.org/officeDocument/2006/relationships/hyperlink" Target="https://github.com/Shanu48/TDS_Project1" TargetMode="External"/><Relationship Id="rId669" Type="http://schemas.openxmlformats.org/officeDocument/2006/relationships/hyperlink" Target="https://github.com/23ds1000051/tds_project_1" TargetMode="External"/><Relationship Id="rId660" Type="http://schemas.openxmlformats.org/officeDocument/2006/relationships/hyperlink" Target="https://github.com/Varun-K34/github-users-toronto" TargetMode="External"/><Relationship Id="rId1010" Type="http://schemas.openxmlformats.org/officeDocument/2006/relationships/hyperlink" Target="https://github.com/Lakshay777s/TDS-project" TargetMode="External"/><Relationship Id="rId422" Type="http://schemas.openxmlformats.org/officeDocument/2006/relationships/hyperlink" Target="https://github.com/sumitt2408/github-users-london" TargetMode="External"/><Relationship Id="rId664" Type="http://schemas.openxmlformats.org/officeDocument/2006/relationships/hyperlink" Target="https://github.com/raunak-kumar800/tds-project" TargetMode="External"/><Relationship Id="rId1011" Type="http://schemas.openxmlformats.org/officeDocument/2006/relationships/hyperlink" Target="https://github.com/rahulyadav46691499/TDS_project" TargetMode="External"/><Relationship Id="rId421" Type="http://schemas.openxmlformats.org/officeDocument/2006/relationships/hyperlink" Target="https://github.com/iitmadvaith/tds" TargetMode="External"/><Relationship Id="rId663" Type="http://schemas.openxmlformats.org/officeDocument/2006/relationships/hyperlink" Target="https://github.com/ayushiprajapti/TDS-PROJECT" TargetMode="External"/><Relationship Id="rId1012" Type="http://schemas.openxmlformats.org/officeDocument/2006/relationships/hyperlink" Target="https://github.com/raghu5427/TDS_Proj_1" TargetMode="External"/><Relationship Id="rId420" Type="http://schemas.openxmlformats.org/officeDocument/2006/relationships/hyperlink" Target="https://github.com/S23fVK" TargetMode="External"/><Relationship Id="rId662" Type="http://schemas.openxmlformats.org/officeDocument/2006/relationships/hyperlink" Target="https://github.com/AlexStark110/MELB_USERS" TargetMode="External"/><Relationship Id="rId1013" Type="http://schemas.openxmlformats.org/officeDocument/2006/relationships/hyperlink" Target="https://github.com/ThePenguin12345/TDS_Project1" TargetMode="External"/><Relationship Id="rId661" Type="http://schemas.openxmlformats.org/officeDocument/2006/relationships/hyperlink" Target="https://github.com/Biray143/Project-1" TargetMode="External"/><Relationship Id="rId1014" Type="http://schemas.openxmlformats.org/officeDocument/2006/relationships/hyperlink" Target="https://github.com/S-Prasad-M/tds_proj1/" TargetMode="External"/><Relationship Id="rId1004" Type="http://schemas.openxmlformats.org/officeDocument/2006/relationships/hyperlink" Target="https://github.com/anjupbse91/TDS-Project1" TargetMode="External"/><Relationship Id="rId1005" Type="http://schemas.openxmlformats.org/officeDocument/2006/relationships/hyperlink" Target="https://github.com/PRAVINKUMAR99/mywebsite" TargetMode="External"/><Relationship Id="rId1006" Type="http://schemas.openxmlformats.org/officeDocument/2006/relationships/hyperlink" Target="https://github.com/ayushiprajapti/TDS-PROJECT" TargetMode="External"/><Relationship Id="rId1007" Type="http://schemas.openxmlformats.org/officeDocument/2006/relationships/hyperlink" Target="https://github.com/raunak-kumar800/tds-project" TargetMode="External"/><Relationship Id="rId1008" Type="http://schemas.openxmlformats.org/officeDocument/2006/relationships/hyperlink" Target="https://github.com/ManuIITM-Coder/MOSCOW-50" TargetMode="External"/><Relationship Id="rId1009" Type="http://schemas.openxmlformats.org/officeDocument/2006/relationships/hyperlink" Target="https://github.com/ishitabhalla16/TDS-Project-1" TargetMode="External"/><Relationship Id="rId415" Type="http://schemas.openxmlformats.org/officeDocument/2006/relationships/hyperlink" Target="https://github.com/22f3000803/tds-project-1" TargetMode="External"/><Relationship Id="rId657" Type="http://schemas.openxmlformats.org/officeDocument/2006/relationships/hyperlink" Target="https://github.com/iitmrs/Project1" TargetMode="External"/><Relationship Id="rId899" Type="http://schemas.openxmlformats.org/officeDocument/2006/relationships/hyperlink" Target="https://github.com/phanthomx/TDS_PROJECT" TargetMode="External"/><Relationship Id="rId414" Type="http://schemas.openxmlformats.org/officeDocument/2006/relationships/hyperlink" Target="https://github.co22f2001193-neeraj-menon-iitm/TDS_Project_1" TargetMode="External"/><Relationship Id="rId656" Type="http://schemas.openxmlformats.org/officeDocument/2006/relationships/hyperlink" Target="https://github.com/mayanktripathii/TDS-Project-1" TargetMode="External"/><Relationship Id="rId898" Type="http://schemas.openxmlformats.org/officeDocument/2006/relationships/hyperlink" Target="https://github.com/22f2000894/tds-project-1" TargetMode="External"/><Relationship Id="rId413" Type="http://schemas.openxmlformats.org/officeDocument/2006/relationships/hyperlink" Target="https://github.com/ak5h1ta/tds-project1" TargetMode="External"/><Relationship Id="rId655" Type="http://schemas.openxmlformats.org/officeDocument/2006/relationships/hyperlink" Target="https://github.com/Rajnish2899/Mynewproject" TargetMode="External"/><Relationship Id="rId897" Type="http://schemas.openxmlformats.org/officeDocument/2006/relationships/hyperlink" Target="https://github.com/kashishbansal920/Project-TDS" TargetMode="External"/><Relationship Id="rId412" Type="http://schemas.openxmlformats.org/officeDocument/2006/relationships/hyperlink" Target="https://github.com/vanshikaaraisinghani/TDSProjectt" TargetMode="External"/><Relationship Id="rId654" Type="http://schemas.openxmlformats.org/officeDocument/2006/relationships/hyperlink" Target="https://github.com/itsrohithreddy/TDS_Project1" TargetMode="External"/><Relationship Id="rId896" Type="http://schemas.openxmlformats.org/officeDocument/2006/relationships/hyperlink" Target="https://github.com/AbayNandhiga-iitm/tokyo-github-users" TargetMode="External"/><Relationship Id="rId419" Type="http://schemas.openxmlformats.org/officeDocument/2006/relationships/hyperlink" Target="https://github.com/ritikjha7" TargetMode="External"/><Relationship Id="rId418" Type="http://schemas.openxmlformats.org/officeDocument/2006/relationships/hyperlink" Target="https://github.com/virajjdm1/TDS-Project-1" TargetMode="External"/><Relationship Id="rId417" Type="http://schemas.openxmlformats.org/officeDocument/2006/relationships/hyperlink" Target="https://github.com/Wamikmk/My-tds-Project-1" TargetMode="External"/><Relationship Id="rId659" Type="http://schemas.openxmlformats.org/officeDocument/2006/relationships/hyperlink" Target="https://github.com/himanesh21/GithubUserDataAnalysis" TargetMode="External"/><Relationship Id="rId416" Type="http://schemas.openxmlformats.org/officeDocument/2006/relationships/hyperlink" Target="https://github.com/jayandral/TDS_Project1" TargetMode="External"/><Relationship Id="rId658" Type="http://schemas.openxmlformats.org/officeDocument/2006/relationships/hyperlink" Target="https://github.com/KRISHBORANA/Sydney-100" TargetMode="External"/><Relationship Id="rId891" Type="http://schemas.openxmlformats.org/officeDocument/2006/relationships/hyperlink" Target="https://github.com/Vishu-Ahlawat/tds_p1" TargetMode="External"/><Relationship Id="rId890" Type="http://schemas.openxmlformats.org/officeDocument/2006/relationships/hyperlink" Target="https://github.com/hardikshub01/TDS-Project-1" TargetMode="External"/><Relationship Id="rId411" Type="http://schemas.openxmlformats.org/officeDocument/2006/relationships/hyperlink" Target="https://github.com/Gajanan09/GithubAustinUsers" TargetMode="External"/><Relationship Id="rId653" Type="http://schemas.openxmlformats.org/officeDocument/2006/relationships/hyperlink" Target="https://github.com/Mr-GauravKumar/TDS-P1" TargetMode="External"/><Relationship Id="rId895" Type="http://schemas.openxmlformats.org/officeDocument/2006/relationships/hyperlink" Target="https://github.com/Chinni1904/TDS_Proj1" TargetMode="External"/><Relationship Id="rId1000" Type="http://schemas.openxmlformats.org/officeDocument/2006/relationships/hyperlink" Target="https://github.com/yuviiitm26/TDS_PRO_1" TargetMode="External"/><Relationship Id="rId410" Type="http://schemas.openxmlformats.org/officeDocument/2006/relationships/hyperlink" Target="https://github.com/madhavdasm/tdsproject" TargetMode="External"/><Relationship Id="rId652" Type="http://schemas.openxmlformats.org/officeDocument/2006/relationships/hyperlink" Target="https://github.com/22f3000398/TDS-Project" TargetMode="External"/><Relationship Id="rId894" Type="http://schemas.openxmlformats.org/officeDocument/2006/relationships/hyperlink" Target="https://github.com/m55d/P1_md" TargetMode="External"/><Relationship Id="rId1001" Type="http://schemas.openxmlformats.org/officeDocument/2006/relationships/hyperlink" Target="https://github.com/Irshadanwar/berlin-200-users-repositories" TargetMode="External"/><Relationship Id="rId651" Type="http://schemas.openxmlformats.org/officeDocument/2006/relationships/hyperlink" Target="https://github.com/23ds1000051/tds_project_1" TargetMode="External"/><Relationship Id="rId893" Type="http://schemas.openxmlformats.org/officeDocument/2006/relationships/hyperlink" Target="https://github.com/NewDaci/tds-project1" TargetMode="External"/><Relationship Id="rId1002" Type="http://schemas.openxmlformats.org/officeDocument/2006/relationships/hyperlink" Target="https://github.com/AjithSaiCh/tds_project1" TargetMode="External"/><Relationship Id="rId650" Type="http://schemas.openxmlformats.org/officeDocument/2006/relationships/hyperlink" Target="https://github.com/suryadhn/boston_user_repo" TargetMode="External"/><Relationship Id="rId892" Type="http://schemas.openxmlformats.org/officeDocument/2006/relationships/hyperlink" Target="https://github.com/sanskar-gupta206/TDS_P1" TargetMode="External"/><Relationship Id="rId1003" Type="http://schemas.openxmlformats.org/officeDocument/2006/relationships/hyperlink" Target="https://github.com/Navreet5002/tds_proj1" TargetMode="External"/><Relationship Id="rId1037" Type="http://schemas.openxmlformats.org/officeDocument/2006/relationships/hyperlink" Target="https://github.com/terminator7x/tds-project/tree/main" TargetMode="External"/><Relationship Id="rId1038" Type="http://schemas.openxmlformats.org/officeDocument/2006/relationships/hyperlink" Target="https://github.com/DSharanya07/ZurichUsers" TargetMode="External"/><Relationship Id="rId1039" Type="http://schemas.openxmlformats.org/officeDocument/2006/relationships/hyperlink" Target="https://github.com/sg-sparsh-goyal/TDS-project1-22f1000693" TargetMode="External"/><Relationship Id="rId206" Type="http://schemas.openxmlformats.org/officeDocument/2006/relationships/hyperlink" Target="https://github.com/Navreet5002/tds_proj1" TargetMode="External"/><Relationship Id="rId448" Type="http://schemas.openxmlformats.org/officeDocument/2006/relationships/hyperlink" Target="https://github.com/saritakumari23/proj1" TargetMode="External"/><Relationship Id="rId205" Type="http://schemas.openxmlformats.org/officeDocument/2006/relationships/hyperlink" Target="https://github.com/AjithSaiCh/tds_project1/tree/main" TargetMode="External"/><Relationship Id="rId447" Type="http://schemas.openxmlformats.org/officeDocument/2006/relationships/hyperlink" Target="https://github.com/nishant1909/TDS-Project-1" TargetMode="External"/><Relationship Id="rId689" Type="http://schemas.openxmlformats.org/officeDocument/2006/relationships/hyperlink" Target="https://github.com/aliabidi00/tds-project-1" TargetMode="External"/><Relationship Id="rId204" Type="http://schemas.openxmlformats.org/officeDocument/2006/relationships/hyperlink" Target="https://github.com/DurgaPriyaY/proj1" TargetMode="External"/><Relationship Id="rId446" Type="http://schemas.openxmlformats.org/officeDocument/2006/relationships/hyperlink" Target="https://github.com/DivyanshuGupta2000129/TDS_Project_1" TargetMode="External"/><Relationship Id="rId688" Type="http://schemas.openxmlformats.org/officeDocument/2006/relationships/hyperlink" Target="https://github.com/22f3002094/Tds-project-1" TargetMode="External"/><Relationship Id="rId203" Type="http://schemas.openxmlformats.org/officeDocument/2006/relationships/hyperlink" Target="https://github.com/RaghavKapil24/tds-project" TargetMode="External"/><Relationship Id="rId445" Type="http://schemas.openxmlformats.org/officeDocument/2006/relationships/hyperlink" Target="https://github.com/MAUK9086/TDS_Project1" TargetMode="External"/><Relationship Id="rId687" Type="http://schemas.openxmlformats.org/officeDocument/2006/relationships/hyperlink" Target="https://github.com/DisRajeeth/proj-1-tds" TargetMode="External"/><Relationship Id="rId209" Type="http://schemas.openxmlformats.org/officeDocument/2006/relationships/hyperlink" Target="https://github.com/loki1512/TDS-Project-1/blob/main/README.md" TargetMode="External"/><Relationship Id="rId208" Type="http://schemas.openxmlformats.org/officeDocument/2006/relationships/hyperlink" Target="https://github.com/Ajmalkajm/TDS-Project_1" TargetMode="External"/><Relationship Id="rId207" Type="http://schemas.openxmlformats.org/officeDocument/2006/relationships/hyperlink" Target="https://github.com/Saradha24ds1000095/TDS_Project1/" TargetMode="External"/><Relationship Id="rId449" Type="http://schemas.openxmlformats.org/officeDocument/2006/relationships/hyperlink" Target="https://github.com/23ds3000059/tds_project_1" TargetMode="External"/><Relationship Id="rId440" Type="http://schemas.openxmlformats.org/officeDocument/2006/relationships/hyperlink" Target="https://github.com/virajkingmaker/project1" TargetMode="External"/><Relationship Id="rId682" Type="http://schemas.openxmlformats.org/officeDocument/2006/relationships/hyperlink" Target="https://github.com/chandrabs25/tds_project1" TargetMode="External"/><Relationship Id="rId681" Type="http://schemas.openxmlformats.org/officeDocument/2006/relationships/hyperlink" Target="https://github.com/51Hypers/TDS_Project_1" TargetMode="External"/><Relationship Id="rId1030" Type="http://schemas.openxmlformats.org/officeDocument/2006/relationships/hyperlink" Target="https://github.com/BOBandNODDY/SquashDaw" TargetMode="External"/><Relationship Id="rId680" Type="http://schemas.openxmlformats.org/officeDocument/2006/relationships/hyperlink" Target="https://github.com/leyther5813/b100" TargetMode="External"/><Relationship Id="rId1031" Type="http://schemas.openxmlformats.org/officeDocument/2006/relationships/hyperlink" Target="https://github.com/divyanshdixit09/tds_project1" TargetMode="External"/><Relationship Id="rId1032" Type="http://schemas.openxmlformats.org/officeDocument/2006/relationships/hyperlink" Target="https://github.com/22f2000809/project_1" TargetMode="External"/><Relationship Id="rId202" Type="http://schemas.openxmlformats.org/officeDocument/2006/relationships/hyperlink" Target="https://github.com/Meet-XML/Tds_pro1" TargetMode="External"/><Relationship Id="rId444" Type="http://schemas.openxmlformats.org/officeDocument/2006/relationships/hyperlink" Target="https://github.com/QuixoticPsyche/tds-project-1" TargetMode="External"/><Relationship Id="rId686" Type="http://schemas.openxmlformats.org/officeDocument/2006/relationships/hyperlink" Target="https://github.com/Jivraj-18/temp_repo_for_tds_project" TargetMode="External"/><Relationship Id="rId1033" Type="http://schemas.openxmlformats.org/officeDocument/2006/relationships/hyperlink" Target="https://github.com/23ds3000139/my_TDS_P1_submission" TargetMode="External"/><Relationship Id="rId201" Type="http://schemas.openxmlformats.org/officeDocument/2006/relationships/hyperlink" Target="https://github.com/GauriTr/TDS_project_1" TargetMode="External"/><Relationship Id="rId443" Type="http://schemas.openxmlformats.org/officeDocument/2006/relationships/hyperlink" Target="https://github.com/vivek-2028/TDS-Project-1" TargetMode="External"/><Relationship Id="rId685" Type="http://schemas.openxmlformats.org/officeDocument/2006/relationships/hyperlink" Target="https://github.com/iitmanshi/tdsp1" TargetMode="External"/><Relationship Id="rId1034" Type="http://schemas.openxmlformats.org/officeDocument/2006/relationships/hyperlink" Target="https://github.com/Shivam-IITM-DS/banglore-users" TargetMode="External"/><Relationship Id="rId200" Type="http://schemas.openxmlformats.org/officeDocument/2006/relationships/hyperlink" Target="https://github.com/22f3000130/TDS_PROJECT_1" TargetMode="External"/><Relationship Id="rId442" Type="http://schemas.openxmlformats.org/officeDocument/2006/relationships/hyperlink" Target="https://github.com/Sakthi-Balan-B/project1" TargetMode="External"/><Relationship Id="rId684" Type="http://schemas.openxmlformats.org/officeDocument/2006/relationships/hyperlink" Target="https://github.com/AnkitaDev05/TDS-Project1" TargetMode="External"/><Relationship Id="rId1035" Type="http://schemas.openxmlformats.org/officeDocument/2006/relationships/hyperlink" Target="https://github.com/ajay-iit/TDS-Project-1" TargetMode="External"/><Relationship Id="rId441" Type="http://schemas.openxmlformats.org/officeDocument/2006/relationships/hyperlink" Target="https://github.com/ramees-thattarath/TDS-proj-1" TargetMode="External"/><Relationship Id="rId683" Type="http://schemas.openxmlformats.org/officeDocument/2006/relationships/hyperlink" Target="https://github.com/k121mayur/TDA_PROJECT_1" TargetMode="External"/><Relationship Id="rId1036" Type="http://schemas.openxmlformats.org/officeDocument/2006/relationships/hyperlink" Target="https://github.com/Aakash-Prime/github-users-chennai" TargetMode="External"/><Relationship Id="rId1026" Type="http://schemas.openxmlformats.org/officeDocument/2006/relationships/hyperlink" Target="https://github.com/21f2001136/tds_1" TargetMode="External"/><Relationship Id="rId1027" Type="http://schemas.openxmlformats.org/officeDocument/2006/relationships/hyperlink" Target="https://github.com/22f3002758/TDS-Project1" TargetMode="External"/><Relationship Id="rId1028" Type="http://schemas.openxmlformats.org/officeDocument/2006/relationships/hyperlink" Target="https://github.com/ratantiwaridev/tds_project1" TargetMode="External"/><Relationship Id="rId1029" Type="http://schemas.openxmlformats.org/officeDocument/2006/relationships/hyperlink" Target="https://github.com/samreen-fathima-s/tds" TargetMode="External"/><Relationship Id="rId437" Type="http://schemas.openxmlformats.org/officeDocument/2006/relationships/hyperlink" Target="https://github.com/mohitbakshi04/tds-project-1" TargetMode="External"/><Relationship Id="rId679" Type="http://schemas.openxmlformats.org/officeDocument/2006/relationships/hyperlink" Target="https://github.com/KaustubhaRam/London_GitHub_Users" TargetMode="External"/><Relationship Id="rId436" Type="http://schemas.openxmlformats.org/officeDocument/2006/relationships/hyperlink" Target="https://github.com/23f2003986/Boston100_Users" TargetMode="External"/><Relationship Id="rId678" Type="http://schemas.openxmlformats.org/officeDocument/2006/relationships/hyperlink" Target="https://github.com/vinaysurya1505/TDS-project-1" TargetMode="External"/><Relationship Id="rId435" Type="http://schemas.openxmlformats.org/officeDocument/2006/relationships/hyperlink" Target="https://github.com/Raksha120799/tds-proj-1" TargetMode="External"/><Relationship Id="rId677" Type="http://schemas.openxmlformats.org/officeDocument/2006/relationships/hyperlink" Target="https://github.com/salmanulfaris/tds-project" TargetMode="External"/><Relationship Id="rId434" Type="http://schemas.openxmlformats.org/officeDocument/2006/relationships/hyperlink" Target="https://github.com/abhinavsaxena277/Hyderabad-GitHub-Users" TargetMode="External"/><Relationship Id="rId676" Type="http://schemas.openxmlformats.org/officeDocument/2006/relationships/hyperlink" Target="https://github.com/RK-Codes-IITMBS/TDS-Project-1" TargetMode="External"/><Relationship Id="rId439" Type="http://schemas.openxmlformats.org/officeDocument/2006/relationships/hyperlink" Target="https://github.com/IRONalways17/TDS-Project1" TargetMode="External"/><Relationship Id="rId438" Type="http://schemas.openxmlformats.org/officeDocument/2006/relationships/hyperlink" Target="https://github.com/21f3003136/TokyoScrape" TargetMode="External"/><Relationship Id="rId671" Type="http://schemas.openxmlformats.org/officeDocument/2006/relationships/hyperlink" Target="https://github.com/Yogesh-005/pro1" TargetMode="External"/><Relationship Id="rId670" Type="http://schemas.openxmlformats.org/officeDocument/2006/relationships/hyperlink" Target="https://github.com/22f3000398/TDS-Project" TargetMode="External"/><Relationship Id="rId1020" Type="http://schemas.openxmlformats.org/officeDocument/2006/relationships/hyperlink" Target="https://github.com/jagrutiitm/tdsproject1" TargetMode="External"/><Relationship Id="rId1021" Type="http://schemas.openxmlformats.org/officeDocument/2006/relationships/hyperlink" Target="https://github.com/Harini-commits/stockholm-github-users" TargetMode="External"/><Relationship Id="rId433" Type="http://schemas.openxmlformats.org/officeDocument/2006/relationships/hyperlink" Target="https://github.com/jeelan-ds786/ToolsForDataScience" TargetMode="External"/><Relationship Id="rId675" Type="http://schemas.openxmlformats.org/officeDocument/2006/relationships/hyperlink" Target="https://github.com/Shiya-23/Project_-Stockholm" TargetMode="External"/><Relationship Id="rId1022" Type="http://schemas.openxmlformats.org/officeDocument/2006/relationships/hyperlink" Target="https://github.com/Ankurnathsingh/TDS_P1_MELBOURNE100" TargetMode="External"/><Relationship Id="rId432" Type="http://schemas.openxmlformats.org/officeDocument/2006/relationships/hyperlink" Target="https://github.com/foriitm/p01" TargetMode="External"/><Relationship Id="rId674" Type="http://schemas.openxmlformats.org/officeDocument/2006/relationships/hyperlink" Target="https://github.com/gyanesh-iitmiimb/TDSProject1/blob" TargetMode="External"/><Relationship Id="rId1023" Type="http://schemas.openxmlformats.org/officeDocument/2006/relationships/hyperlink" Target="https://github.com/Gaurangi2712/TDS_proj1" TargetMode="External"/><Relationship Id="rId431" Type="http://schemas.openxmlformats.org/officeDocument/2006/relationships/hyperlink" Target="https://github.com/bhupendra1008/tds_project_1" TargetMode="External"/><Relationship Id="rId673" Type="http://schemas.openxmlformats.org/officeDocument/2006/relationships/hyperlink" Target="https://github.com/Udita1122/23f1000092" TargetMode="External"/><Relationship Id="rId1024" Type="http://schemas.openxmlformats.org/officeDocument/2006/relationships/hyperlink" Target="https://github.com/SonaliDuvesh/project1" TargetMode="External"/><Relationship Id="rId430" Type="http://schemas.openxmlformats.org/officeDocument/2006/relationships/hyperlink" Target="https://github.com/Anupama-Manjunath/22f3003253_tdsPA1" TargetMode="External"/><Relationship Id="rId672" Type="http://schemas.openxmlformats.org/officeDocument/2006/relationships/hyperlink" Target="https://github.com/20vishnu27/TDS_Project-1" TargetMode="External"/><Relationship Id="rId1025" Type="http://schemas.openxmlformats.org/officeDocument/2006/relationships/hyperlink" Target="https://github.com/CaptPeroxide7/TDS-Proj1"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github.com/21f1004430/TDS-Project_1" TargetMode="External"/><Relationship Id="rId391" Type="http://schemas.openxmlformats.org/officeDocument/2006/relationships/hyperlink" Target="https://github.com/KK17811/Github-repo" TargetMode="External"/><Relationship Id="rId390" Type="http://schemas.openxmlformats.org/officeDocument/2006/relationships/hyperlink" Target="https://github.com/uma1979/github-api-analysis" TargetMode="External"/><Relationship Id="rId1" Type="http://schemas.openxmlformats.org/officeDocument/2006/relationships/hyperlink" Target="https://github.com/22f1001786-iitm/-Shanghai-200" TargetMode="External"/><Relationship Id="rId2" Type="http://schemas.openxmlformats.org/officeDocument/2006/relationships/hyperlink" Target="https://github.com/22f1001786-iitm/-Shanghai-200" TargetMode="External"/><Relationship Id="rId3" Type="http://schemas.openxmlformats.org/officeDocument/2006/relationships/hyperlink" Target="https://github.com/jarin2503/tds-project-1" TargetMode="External"/><Relationship Id="rId4" Type="http://schemas.openxmlformats.org/officeDocument/2006/relationships/hyperlink" Target="https://github.com/jarin2503/tds-project-1" TargetMode="External"/><Relationship Id="rId9" Type="http://schemas.openxmlformats.org/officeDocument/2006/relationships/hyperlink" Target="https://github.com/sh-yamm/TDS-1" TargetMode="External"/><Relationship Id="rId385" Type="http://schemas.openxmlformats.org/officeDocument/2006/relationships/hyperlink" Target="https://github.com/Atharva-Garajkar/TDS" TargetMode="External"/><Relationship Id="rId384" Type="http://schemas.openxmlformats.org/officeDocument/2006/relationships/hyperlink" Target="https://github.com/mohitbakshi04/tds-project-1" TargetMode="External"/><Relationship Id="rId383" Type="http://schemas.openxmlformats.org/officeDocument/2006/relationships/hyperlink" Target="https://github.com/srch887/tds_sep2024_project1" TargetMode="External"/><Relationship Id="rId382" Type="http://schemas.openxmlformats.org/officeDocument/2006/relationships/hyperlink" Target="https://github.com/Raksha120799/tds-proj-1" TargetMode="External"/><Relationship Id="rId5" Type="http://schemas.openxmlformats.org/officeDocument/2006/relationships/hyperlink" Target="https://github.com/budhilnigam/TDS-Project1" TargetMode="External"/><Relationship Id="rId389" Type="http://schemas.openxmlformats.org/officeDocument/2006/relationships/hyperlink" Target="https://github.com/DSharanya07/ZurichUsers" TargetMode="External"/><Relationship Id="rId6" Type="http://schemas.openxmlformats.org/officeDocument/2006/relationships/hyperlink" Target="https://github.com/budhilnigam/TDS-Project1" TargetMode="External"/><Relationship Id="rId388" Type="http://schemas.openxmlformats.org/officeDocument/2006/relationships/hyperlink" Target="https://github.com/ramees-thattarath/TDS-proj-1" TargetMode="External"/><Relationship Id="rId7" Type="http://schemas.openxmlformats.org/officeDocument/2006/relationships/hyperlink" Target="https://github.com/IIT-JRV/IIT/tree/main" TargetMode="External"/><Relationship Id="rId387" Type="http://schemas.openxmlformats.org/officeDocument/2006/relationships/hyperlink" Target="https://github.com/MeenakshiIIT/Project1" TargetMode="External"/><Relationship Id="rId8" Type="http://schemas.openxmlformats.org/officeDocument/2006/relationships/hyperlink" Target="https://github.com/IIT-JRV/IIT/tree/main" TargetMode="External"/><Relationship Id="rId386" Type="http://schemas.openxmlformats.org/officeDocument/2006/relationships/hyperlink" Target="https://github.com/IRONalways17/TDS-Project1" TargetMode="External"/><Relationship Id="rId381" Type="http://schemas.openxmlformats.org/officeDocument/2006/relationships/hyperlink" Target="https://github.com/21f3000105/Basel-10_TDS-Project-1/" TargetMode="External"/><Relationship Id="rId380" Type="http://schemas.openxmlformats.org/officeDocument/2006/relationships/hyperlink" Target="https://github.com/jeelan-ds786/ToolsForDataScience" TargetMode="External"/><Relationship Id="rId379" Type="http://schemas.openxmlformats.org/officeDocument/2006/relationships/hyperlink" Target="https://github.com/gotherwal/TDS_Project1/blob/main/README.md" TargetMode="External"/><Relationship Id="rId374" Type="http://schemas.openxmlformats.org/officeDocument/2006/relationships/hyperlink" Target="https://github.com/RAGHAV-0202/TDS-IITM" TargetMode="External"/><Relationship Id="rId373" Type="http://schemas.openxmlformats.org/officeDocument/2006/relationships/hyperlink" Target="https://github.com/r4mbhardwaj/toronto100" TargetMode="External"/><Relationship Id="rId372" Type="http://schemas.openxmlformats.org/officeDocument/2006/relationships/hyperlink" Target="https://github.com/ritikjha7" TargetMode="External"/><Relationship Id="rId371" Type="http://schemas.openxmlformats.org/officeDocument/2006/relationships/hyperlink" Target="https://github.com/deepika4786/tools-for-data-science-project---1" TargetMode="External"/><Relationship Id="rId378" Type="http://schemas.openxmlformats.org/officeDocument/2006/relationships/hyperlink" Target="https://github.com/Giri-Subrahmanya/23f2000573-TDS-P1" TargetMode="External"/><Relationship Id="rId377" Type="http://schemas.openxmlformats.org/officeDocument/2006/relationships/hyperlink" Target="https://github.com/Danniiiaaaa/TDS-proj-1" TargetMode="External"/><Relationship Id="rId376" Type="http://schemas.openxmlformats.org/officeDocument/2006/relationships/hyperlink" Target="https://github.com/Shanu48/TDS_Project1" TargetMode="External"/><Relationship Id="rId375" Type="http://schemas.openxmlformats.org/officeDocument/2006/relationships/hyperlink" Target="https://github.com/umeshrai01/web_scraping" TargetMode="External"/><Relationship Id="rId396" Type="http://schemas.openxmlformats.org/officeDocument/2006/relationships/hyperlink" Target="https://github.com/Ayushsinha106/TDSProject1" TargetMode="External"/><Relationship Id="rId395" Type="http://schemas.openxmlformats.org/officeDocument/2006/relationships/hyperlink" Target="https://github.com/StuteeP/Project_1" TargetMode="External"/><Relationship Id="rId394" Type="http://schemas.openxmlformats.org/officeDocument/2006/relationships/hyperlink" Target="https://github.com/satya140519/TDS_project_1" TargetMode="External"/><Relationship Id="rId393" Type="http://schemas.openxmlformats.org/officeDocument/2006/relationships/hyperlink" Target="https://github.com/jeevan-yohan-varghese/tds-project1" TargetMode="External"/><Relationship Id="rId399" Type="http://schemas.openxmlformats.org/officeDocument/2006/relationships/hyperlink" Target="https://github.com/pulkitsharmads/github-hyderabad-users-project" TargetMode="External"/><Relationship Id="rId398" Type="http://schemas.openxmlformats.org/officeDocument/2006/relationships/hyperlink" Target="https://github.com/Yasaswini117/Project_1" TargetMode="External"/><Relationship Id="rId397" Type="http://schemas.openxmlformats.org/officeDocument/2006/relationships/hyperlink" Target="https://github.com/21f3000105/Basel-10_TDS-Project-1/" TargetMode="External"/><Relationship Id="rId1730" Type="http://schemas.openxmlformats.org/officeDocument/2006/relationships/hyperlink" Target="https://github.com/RK-Codes-IITMBS/TDS-Project-1" TargetMode="External"/><Relationship Id="rId1731" Type="http://schemas.openxmlformats.org/officeDocument/2006/relationships/hyperlink" Target="https://github.com/anupam-21f2000522/Mumbai-50" TargetMode="External"/><Relationship Id="rId1732" Type="http://schemas.openxmlformats.org/officeDocument/2006/relationships/hyperlink" Target="https://github.com/2utkarsh2/TDS_Project1" TargetMode="External"/><Relationship Id="rId1733" Type="http://schemas.openxmlformats.org/officeDocument/2006/relationships/hyperlink" Target="https://github.com/IITM-AnandK/AK-Project-Shanghai-200-Followers" TargetMode="External"/><Relationship Id="rId1734" Type="http://schemas.openxmlformats.org/officeDocument/2006/relationships/hyperlink" Target="https://github.com/shramadeepd/TDS_1" TargetMode="External"/><Relationship Id="rId1735" Type="http://schemas.openxmlformats.org/officeDocument/2006/relationships/hyperlink" Target="https://github.com/24f1002325-Jagan/Project-1" TargetMode="External"/><Relationship Id="rId1736" Type="http://schemas.openxmlformats.org/officeDocument/2006/relationships/hyperlink" Target="https://github.com/vazemon/TDS_Project1" TargetMode="External"/><Relationship Id="rId1737" Type="http://schemas.openxmlformats.org/officeDocument/2006/relationships/hyperlink" Target="https://github.com/kthirumlaesh17/tdsproject-1" TargetMode="External"/><Relationship Id="rId1738" Type="http://schemas.openxmlformats.org/officeDocument/2006/relationships/hyperlink" Target="https://github.com/AmanManiTiwari/Tools-In-Data-Science-Project-1" TargetMode="External"/><Relationship Id="rId1739" Type="http://schemas.openxmlformats.org/officeDocument/2006/relationships/hyperlink" Target="https://github.com/UnfairFinish/TDS-Project-1" TargetMode="External"/><Relationship Id="rId1720" Type="http://schemas.openxmlformats.org/officeDocument/2006/relationships/hyperlink" Target="https://github.com/Amrutkar-Kavya/TDS-Project1" TargetMode="External"/><Relationship Id="rId1721" Type="http://schemas.openxmlformats.org/officeDocument/2006/relationships/hyperlink" Target="https://github.com/akshat-shethia/TDS-Project-1-Akshat-Shethia" TargetMode="External"/><Relationship Id="rId1722" Type="http://schemas.openxmlformats.org/officeDocument/2006/relationships/hyperlink" Target="https://github.com/yaqoob56/TDS_Project_1" TargetMode="External"/><Relationship Id="rId1723" Type="http://schemas.openxmlformats.org/officeDocument/2006/relationships/hyperlink" Target="https://github.com/Vanshika-tiwari98/Beijing-GitHub-Users" TargetMode="External"/><Relationship Id="rId1724" Type="http://schemas.openxmlformats.org/officeDocument/2006/relationships/hyperlink" Target="https://github.com/Lokith-sharan/GitHub-Scraper-Singapore" TargetMode="External"/><Relationship Id="rId1725" Type="http://schemas.openxmlformats.org/officeDocument/2006/relationships/hyperlink" Target="https://github.com/Ankurnathsingh/TDS_P1_MELBOURNE100" TargetMode="External"/><Relationship Id="rId1726" Type="http://schemas.openxmlformats.org/officeDocument/2006/relationships/hyperlink" Target="https://github.com/MaharajaMoorthy/tds_project1" TargetMode="External"/><Relationship Id="rId1727" Type="http://schemas.openxmlformats.org/officeDocument/2006/relationships/hyperlink" Target="https://github.com/jayandral/TDS_Project1" TargetMode="External"/><Relationship Id="rId1728" Type="http://schemas.openxmlformats.org/officeDocument/2006/relationships/hyperlink" Target="https://github.com/vath-21/tdsproject1" TargetMode="External"/><Relationship Id="rId1729" Type="http://schemas.openxmlformats.org/officeDocument/2006/relationships/hyperlink" Target="https://github.com/pushpa761/TDS-project-1" TargetMode="External"/><Relationship Id="rId1752" Type="http://schemas.openxmlformats.org/officeDocument/2006/relationships/hyperlink" Target="https://github.com/importAmmar/TDS-Project-1" TargetMode="External"/><Relationship Id="rId1753" Type="http://schemas.openxmlformats.org/officeDocument/2006/relationships/hyperlink" Target="https://github.com/nemo0002/Tds_proj_1" TargetMode="External"/><Relationship Id="rId1754" Type="http://schemas.openxmlformats.org/officeDocument/2006/relationships/hyperlink" Target="https://github.com/sanchit-in/sydney-github-users" TargetMode="External"/><Relationship Id="rId1755" Type="http://schemas.openxmlformats.org/officeDocument/2006/relationships/hyperlink" Target="https://github.com/basubinayak/tds-project-1" TargetMode="External"/><Relationship Id="rId1756" Type="http://schemas.openxmlformats.org/officeDocument/2006/relationships/hyperlink" Target="https://github.com/22f3002293/TDS-project1" TargetMode="External"/><Relationship Id="rId1757" Type="http://schemas.openxmlformats.org/officeDocument/2006/relationships/hyperlink" Target="https://github.com/Mv98dell/Mv/tree/33999fa40510af74122c53f73c6b8df2b53129c9" TargetMode="External"/><Relationship Id="rId1758" Type="http://schemas.openxmlformats.org/officeDocument/2006/relationships/hyperlink" Target="https://github.com/Anas007-lab/Toronto_Scraper" TargetMode="External"/><Relationship Id="rId1759" Type="http://schemas.openxmlformats.org/officeDocument/2006/relationships/hyperlink" Target="https://github.com/sunnykumardangi/TDS_project-1" TargetMode="External"/><Relationship Id="rId808" Type="http://schemas.openxmlformats.org/officeDocument/2006/relationships/hyperlink" Target="https://github.com/saritakumari23/proj1" TargetMode="External"/><Relationship Id="rId807" Type="http://schemas.openxmlformats.org/officeDocument/2006/relationships/hyperlink" Target="https://github.com/shinadeveloper/TDS-Project-1" TargetMode="External"/><Relationship Id="rId806" Type="http://schemas.openxmlformats.org/officeDocument/2006/relationships/hyperlink" Target="https://github.com/pranjal300799/TDS-proj1" TargetMode="External"/><Relationship Id="rId805" Type="http://schemas.openxmlformats.org/officeDocument/2006/relationships/hyperlink" Target="https://github.com/22f1000952/basel-users-analysis" TargetMode="External"/><Relationship Id="rId809" Type="http://schemas.openxmlformats.org/officeDocument/2006/relationships/hyperlink" Target="https://github.com/narendrabissu/TDS_21F1000753_P1" TargetMode="External"/><Relationship Id="rId800" Type="http://schemas.openxmlformats.org/officeDocument/2006/relationships/hyperlink" Target="https://github.com/mfzlur/tds-iitm-project1" TargetMode="External"/><Relationship Id="rId804" Type="http://schemas.openxmlformats.org/officeDocument/2006/relationships/hyperlink" Target="https://github.com/kamalesh-79/tdsproj/tree/main1" TargetMode="External"/><Relationship Id="rId803" Type="http://schemas.openxmlformats.org/officeDocument/2006/relationships/hyperlink" Target="https://github.com/Kushagra-IITM/TDS1_23f1001963" TargetMode="External"/><Relationship Id="rId802" Type="http://schemas.openxmlformats.org/officeDocument/2006/relationships/hyperlink" Target="https://forms.gle/qjSEztCfP6oG65gp8" TargetMode="External"/><Relationship Id="rId801" Type="http://schemas.openxmlformats.org/officeDocument/2006/relationships/hyperlink" Target="https://github.com/narendrabissu/TDS_21F1000753_P1" TargetMode="External"/><Relationship Id="rId1750" Type="http://schemas.openxmlformats.org/officeDocument/2006/relationships/hyperlink" Target="https://github.com/nitesh-Sharma-IITM/IITM_TDS" TargetMode="External"/><Relationship Id="rId1751" Type="http://schemas.openxmlformats.org/officeDocument/2006/relationships/hyperlink" Target="https://github.com/Amankumar0017/TDS-Project-1" TargetMode="External"/><Relationship Id="rId1741" Type="http://schemas.openxmlformats.org/officeDocument/2006/relationships/hyperlink" Target="https://github.com/regisprabha/TDS-Project1" TargetMode="External"/><Relationship Id="rId1742" Type="http://schemas.openxmlformats.org/officeDocument/2006/relationships/hyperlink" Target="https://github.com/Imranrasheedpm/tds_proj_1" TargetMode="External"/><Relationship Id="rId1743" Type="http://schemas.openxmlformats.org/officeDocument/2006/relationships/hyperlink" Target="https://github.com/23f2003488/dublin_users" TargetMode="External"/><Relationship Id="rId1744" Type="http://schemas.openxmlformats.org/officeDocument/2006/relationships/hyperlink" Target="https://github.com/hamees-sayed/tds-project" TargetMode="External"/><Relationship Id="rId1745" Type="http://schemas.openxmlformats.org/officeDocument/2006/relationships/hyperlink" Target="https://github.com/Praviniitm/Project_Moscow" TargetMode="External"/><Relationship Id="rId1746" Type="http://schemas.openxmlformats.org/officeDocument/2006/relationships/hyperlink" Target="https://github.com/sunnykumardangi/TDS_project-1" TargetMode="External"/><Relationship Id="rId1747" Type="http://schemas.openxmlformats.org/officeDocument/2006/relationships/hyperlink" Target="https://github.com/Priyam4437/barcelona-github-scrape" TargetMode="External"/><Relationship Id="rId1748" Type="http://schemas.openxmlformats.org/officeDocument/2006/relationships/hyperlink" Target="https://github.com/Nandhini-Ammaiappan/Project1" TargetMode="External"/><Relationship Id="rId1749" Type="http://schemas.openxmlformats.org/officeDocument/2006/relationships/hyperlink" Target="https://github.com/Ganesh002005/data_analysis_boostan" TargetMode="External"/><Relationship Id="rId1740" Type="http://schemas.openxmlformats.org/officeDocument/2006/relationships/hyperlink" Target="https://github.com/irabi111/TDSPROJ1" TargetMode="External"/><Relationship Id="rId1710" Type="http://schemas.openxmlformats.org/officeDocument/2006/relationships/hyperlink" Target="https://github.com/LakshayB05/tds_project1" TargetMode="External"/><Relationship Id="rId1711" Type="http://schemas.openxmlformats.org/officeDocument/2006/relationships/hyperlink" Target="https://github.com/palavallichaitanya/TDS-Project-1" TargetMode="External"/><Relationship Id="rId1712" Type="http://schemas.openxmlformats.org/officeDocument/2006/relationships/hyperlink" Target="https://github.com/Swag2002/TDS_Main_Project" TargetMode="External"/><Relationship Id="rId1713" Type="http://schemas.openxmlformats.org/officeDocument/2006/relationships/hyperlink" Target="https://github.com/Vishu-Ahlawat/tds_p1" TargetMode="External"/><Relationship Id="rId1714" Type="http://schemas.openxmlformats.org/officeDocument/2006/relationships/hyperlink" Target="https://github.com/NewDaci/tds-project1" TargetMode="External"/><Relationship Id="rId1715" Type="http://schemas.openxmlformats.org/officeDocument/2006/relationships/hyperlink" Target="https://github.com/Chinni1904/TDS_Proj1" TargetMode="External"/><Relationship Id="rId1716" Type="http://schemas.openxmlformats.org/officeDocument/2006/relationships/hyperlink" Target="https://github.com/kashishbansal920/Project-TDS" TargetMode="External"/><Relationship Id="rId1717" Type="http://schemas.openxmlformats.org/officeDocument/2006/relationships/hyperlink" Target="https://github.com/phanthomx/TDS_PROJECT" TargetMode="External"/><Relationship Id="rId1718" Type="http://schemas.openxmlformats.org/officeDocument/2006/relationships/hyperlink" Target="https://github.com/abhinavsaxena277/Hyderabad-GitHub-Users" TargetMode="External"/><Relationship Id="rId1719" Type="http://schemas.openxmlformats.org/officeDocument/2006/relationships/hyperlink" Target="https://github.com/adityach123/main" TargetMode="External"/><Relationship Id="rId1700" Type="http://schemas.openxmlformats.org/officeDocument/2006/relationships/hyperlink" Target="https://github.com/23f3002916/TDSProject1" TargetMode="External"/><Relationship Id="rId1701" Type="http://schemas.openxmlformats.org/officeDocument/2006/relationships/hyperlink" Target="https://github.com/azh-py/london-github-users" TargetMode="External"/><Relationship Id="rId1702" Type="http://schemas.openxmlformats.org/officeDocument/2006/relationships/hyperlink" Target="https://github.com/drashtish/TDS-Project1" TargetMode="External"/><Relationship Id="rId1703" Type="http://schemas.openxmlformats.org/officeDocument/2006/relationships/hyperlink" Target="https://github.com/aksarwar/tds-project/blob/main/project1.ipynb" TargetMode="External"/><Relationship Id="rId1704" Type="http://schemas.openxmlformats.org/officeDocument/2006/relationships/hyperlink" Target="https://github.com/namish18/TDSP1" TargetMode="External"/><Relationship Id="rId1705" Type="http://schemas.openxmlformats.org/officeDocument/2006/relationships/hyperlink" Target="https://github.com/Prajchin/TDS_P1" TargetMode="External"/><Relationship Id="rId1706" Type="http://schemas.openxmlformats.org/officeDocument/2006/relationships/hyperlink" Target="https://github.com/Logikos1/iitm-tds-project1-berlin200" TargetMode="External"/><Relationship Id="rId1707" Type="http://schemas.openxmlformats.org/officeDocument/2006/relationships/hyperlink" Target="https://github.com/22f2001300/TDS-P1" TargetMode="External"/><Relationship Id="rId1708" Type="http://schemas.openxmlformats.org/officeDocument/2006/relationships/hyperlink" Target="https://github.com/23f1000647/tds-project-1" TargetMode="External"/><Relationship Id="rId1709" Type="http://schemas.openxmlformats.org/officeDocument/2006/relationships/hyperlink" Target="https://github.com/arya-v-iitm/TDS-Project1" TargetMode="External"/><Relationship Id="rId40" Type="http://schemas.openxmlformats.org/officeDocument/2006/relationships/hyperlink" Target="https://github.com/shivyatripathi2604/TDS" TargetMode="External"/><Relationship Id="rId1334" Type="http://schemas.openxmlformats.org/officeDocument/2006/relationships/hyperlink" Target="https://github.com/23f3002916/TDSProject1" TargetMode="External"/><Relationship Id="rId1335" Type="http://schemas.openxmlformats.org/officeDocument/2006/relationships/hyperlink" Target="https://github.com/Sh1617/Project1" TargetMode="External"/><Relationship Id="rId42" Type="http://schemas.openxmlformats.org/officeDocument/2006/relationships/hyperlink" Target="https://github.com/harikrishnajiju/github-city-user-analyzer" TargetMode="External"/><Relationship Id="rId1336" Type="http://schemas.openxmlformats.org/officeDocument/2006/relationships/hyperlink" Target="https://github.com/aksarwar/tds-project/blob/main/project1.ipynb" TargetMode="External"/><Relationship Id="rId41" Type="http://schemas.openxmlformats.org/officeDocument/2006/relationships/hyperlink" Target="https://github.com/harikrishnajiju/github-city-user-analyzer" TargetMode="External"/><Relationship Id="rId1337" Type="http://schemas.openxmlformats.org/officeDocument/2006/relationships/hyperlink" Target="https://github.com/Aadi0703/TDS-project1" TargetMode="External"/><Relationship Id="rId44" Type="http://schemas.openxmlformats.org/officeDocument/2006/relationships/hyperlink" Target="https://github.com/dhirajp1603/IITM-TDS" TargetMode="External"/><Relationship Id="rId1338" Type="http://schemas.openxmlformats.org/officeDocument/2006/relationships/hyperlink" Target="https://github.com/Logikos1/iitm-tds-project1-berlin200" TargetMode="External"/><Relationship Id="rId43" Type="http://schemas.openxmlformats.org/officeDocument/2006/relationships/hyperlink" Target="https://github.com/dhirajp1603/IITM-TDS" TargetMode="External"/><Relationship Id="rId1339" Type="http://schemas.openxmlformats.org/officeDocument/2006/relationships/hyperlink" Target="https://github.com/gadilashashank/tds_p1" TargetMode="External"/><Relationship Id="rId46" Type="http://schemas.openxmlformats.org/officeDocument/2006/relationships/hyperlink" Target="https://github.com/DisRajeeth/proj-1-tds" TargetMode="External"/><Relationship Id="rId45" Type="http://schemas.openxmlformats.org/officeDocument/2006/relationships/hyperlink" Target="https://github.com/DisRajeeth/proj-1-tds" TargetMode="External"/><Relationship Id="rId745" Type="http://schemas.openxmlformats.org/officeDocument/2006/relationships/hyperlink" Target="https://github.com/yuviiitm26/TDS_PRO_1" TargetMode="External"/><Relationship Id="rId744" Type="http://schemas.openxmlformats.org/officeDocument/2006/relationships/hyperlink" Target="https://github.com/shwetavyas12/Zurich-50" TargetMode="External"/><Relationship Id="rId743" Type="http://schemas.openxmlformats.org/officeDocument/2006/relationships/hyperlink" Target="https://github.com/Anustup24/TDS/blob/main/README.md" TargetMode="External"/><Relationship Id="rId742" Type="http://schemas.openxmlformats.org/officeDocument/2006/relationships/hyperlink" Target="https://github.com/rohit0490/tdsp1" TargetMode="External"/><Relationship Id="rId749" Type="http://schemas.openxmlformats.org/officeDocument/2006/relationships/hyperlink" Target="https://github.com/Chinni1904/TDS_Proj1" TargetMode="External"/><Relationship Id="rId748" Type="http://schemas.openxmlformats.org/officeDocument/2006/relationships/hyperlink" Target="https://github.com/SINGHALSAJAL/github_scrapped_iitm" TargetMode="External"/><Relationship Id="rId747" Type="http://schemas.openxmlformats.org/officeDocument/2006/relationships/hyperlink" Target="https://github.com/keertidamani/TorontoAnalysisProject" TargetMode="External"/><Relationship Id="rId746" Type="http://schemas.openxmlformats.org/officeDocument/2006/relationships/hyperlink" Target="https://github.com/Anantvats7/Tdsproject1" TargetMode="External"/><Relationship Id="rId48" Type="http://schemas.openxmlformats.org/officeDocument/2006/relationships/hyperlink" Target="https://github.com/arshadnit/TDSP1" TargetMode="External"/><Relationship Id="rId47" Type="http://schemas.openxmlformats.org/officeDocument/2006/relationships/hyperlink" Target="https://github.com/arshadnit/TDSP1" TargetMode="External"/><Relationship Id="rId49" Type="http://schemas.openxmlformats.org/officeDocument/2006/relationships/hyperlink" Target="https://github.com/AnvithaVarre7/Project-1" TargetMode="External"/><Relationship Id="rId741" Type="http://schemas.openxmlformats.org/officeDocument/2006/relationships/hyperlink" Target="https://github.com/titan-adi/Zurich-data-analysis" TargetMode="External"/><Relationship Id="rId1330" Type="http://schemas.openxmlformats.org/officeDocument/2006/relationships/hyperlink" Target="https://github.com/tanmay8542/project1" TargetMode="External"/><Relationship Id="rId740" Type="http://schemas.openxmlformats.org/officeDocument/2006/relationships/hyperlink" Target="https://github.com/anantdev123/Project1" TargetMode="External"/><Relationship Id="rId1331" Type="http://schemas.openxmlformats.org/officeDocument/2006/relationships/hyperlink" Target="https://github.com/Ajmalkajm/TDS-Project_1" TargetMode="External"/><Relationship Id="rId1332" Type="http://schemas.openxmlformats.org/officeDocument/2006/relationships/hyperlink" Target="https://github.com/SohamGhosh2510/Project" TargetMode="External"/><Relationship Id="rId1333" Type="http://schemas.openxmlformats.org/officeDocument/2006/relationships/hyperlink" Target="https://github.com/AlgoPenguin/tds-project-1/blob/main/README.md" TargetMode="External"/><Relationship Id="rId1323" Type="http://schemas.openxmlformats.org/officeDocument/2006/relationships/hyperlink" Target="https://github.com/anshulbaliga7/iitm-tds-project1" TargetMode="External"/><Relationship Id="rId1324" Type="http://schemas.openxmlformats.org/officeDocument/2006/relationships/hyperlink" Target="https://github.com/22f3000130/TDS_PROJECT_1" TargetMode="External"/><Relationship Id="rId31" Type="http://schemas.openxmlformats.org/officeDocument/2006/relationships/hyperlink" Target="https://github.com/S23fVK/tdsProj1" TargetMode="External"/><Relationship Id="rId1325" Type="http://schemas.openxmlformats.org/officeDocument/2006/relationships/hyperlink" Target="https://github.com/nitesh-Sharma-IITM/IITM_TDS" TargetMode="External"/><Relationship Id="rId30" Type="http://schemas.openxmlformats.org/officeDocument/2006/relationships/hyperlink" Target="https://github.com/IITM-AnandK/AK-Project-Shanghai-200-Followers" TargetMode="External"/><Relationship Id="rId1326" Type="http://schemas.openxmlformats.org/officeDocument/2006/relationships/hyperlink" Target="https://github.com/Meet-XML/Tds_pro1" TargetMode="External"/><Relationship Id="rId33" Type="http://schemas.openxmlformats.org/officeDocument/2006/relationships/hyperlink" Target="https://github.com/SaarthakMaini/tds_project_1/" TargetMode="External"/><Relationship Id="rId1327" Type="http://schemas.openxmlformats.org/officeDocument/2006/relationships/hyperlink" Target="https://github.com/VaishHa/Delhi100_TDS" TargetMode="External"/><Relationship Id="rId32" Type="http://schemas.openxmlformats.org/officeDocument/2006/relationships/hyperlink" Target="https://github.com/S23fVK/tdsProj1" TargetMode="External"/><Relationship Id="rId1328" Type="http://schemas.openxmlformats.org/officeDocument/2006/relationships/hyperlink" Target="https://github.com/DurgaPriyaY/proj1" TargetMode="External"/><Relationship Id="rId35" Type="http://schemas.openxmlformats.org/officeDocument/2006/relationships/hyperlink" Target="https://github.com/loki1512/TDS-Project-1" TargetMode="External"/><Relationship Id="rId1329" Type="http://schemas.openxmlformats.org/officeDocument/2006/relationships/hyperlink" Target="https://github.com/Navreet5002/tds_proj1" TargetMode="External"/><Relationship Id="rId34" Type="http://schemas.openxmlformats.org/officeDocument/2006/relationships/hyperlink" Target="https://github.com/SaarthakMaini/tds_project_1/" TargetMode="External"/><Relationship Id="rId739" Type="http://schemas.openxmlformats.org/officeDocument/2006/relationships/hyperlink" Target="https://github.com/Akif29/TDS-Project-1" TargetMode="External"/><Relationship Id="rId734" Type="http://schemas.openxmlformats.org/officeDocument/2006/relationships/hyperlink" Target="https://github.com/Synchrotron-21/tds-project-1" TargetMode="External"/><Relationship Id="rId733" Type="http://schemas.openxmlformats.org/officeDocument/2006/relationships/hyperlink" Target="https://github.com/techshad/TDS-Project" TargetMode="External"/><Relationship Id="rId732" Type="http://schemas.openxmlformats.org/officeDocument/2006/relationships/hyperlink" Target="https://github.com/Akashkansal/TDS_Project1" TargetMode="External"/><Relationship Id="rId731" Type="http://schemas.openxmlformats.org/officeDocument/2006/relationships/hyperlink" Target="https://github.com/Rivansh-Illika/TDS-ASSIGNMENT-P-1" TargetMode="External"/><Relationship Id="rId738" Type="http://schemas.openxmlformats.org/officeDocument/2006/relationships/hyperlink" Target="https://github.com/Prajchin/TDS_P1" TargetMode="External"/><Relationship Id="rId737" Type="http://schemas.openxmlformats.org/officeDocument/2006/relationships/hyperlink" Target="https://github.com/sky-m1618/TDS_project_1" TargetMode="External"/><Relationship Id="rId736" Type="http://schemas.openxmlformats.org/officeDocument/2006/relationships/hyperlink" Target="https://github.com/sage-devv/TDS-Project-1" TargetMode="External"/><Relationship Id="rId735" Type="http://schemas.openxmlformats.org/officeDocument/2006/relationships/hyperlink" Target="https://github.com/dhirajp1603/IITM-TDS" TargetMode="External"/><Relationship Id="rId37" Type="http://schemas.openxmlformats.org/officeDocument/2006/relationships/hyperlink" Target="https://github.com/Ananya200314/IITM_TDS_P1" TargetMode="External"/><Relationship Id="rId36" Type="http://schemas.openxmlformats.org/officeDocument/2006/relationships/hyperlink" Target="https://github.com/loki1512/TDS-Project-1" TargetMode="External"/><Relationship Id="rId39" Type="http://schemas.openxmlformats.org/officeDocument/2006/relationships/hyperlink" Target="https://github.com/shivyatripathi2604/TDS" TargetMode="External"/><Relationship Id="rId38" Type="http://schemas.openxmlformats.org/officeDocument/2006/relationships/hyperlink" Target="https://github.com/Ananya200314/IITM_TDS_P1" TargetMode="External"/><Relationship Id="rId730" Type="http://schemas.openxmlformats.org/officeDocument/2006/relationships/hyperlink" Target="https://github.com/surbhi553/Toronto100" TargetMode="External"/><Relationship Id="rId1320" Type="http://schemas.openxmlformats.org/officeDocument/2006/relationships/hyperlink" Target="https://github.com/ayushi-006/TDS_project_1" TargetMode="External"/><Relationship Id="rId1321" Type="http://schemas.openxmlformats.org/officeDocument/2006/relationships/hyperlink" Target="https://github.com/404aalu/tds-project1/tree/main" TargetMode="External"/><Relationship Id="rId1322" Type="http://schemas.openxmlformats.org/officeDocument/2006/relationships/hyperlink" Target="https://github.com/adith-ds/project1" TargetMode="External"/><Relationship Id="rId1356" Type="http://schemas.openxmlformats.org/officeDocument/2006/relationships/hyperlink" Target="https://github.com/anupam-21f2000522/Mumbai-50" TargetMode="External"/><Relationship Id="rId1357" Type="http://schemas.openxmlformats.org/officeDocument/2006/relationships/hyperlink" Target="https://github.com/imposter7/seattle-github-users" TargetMode="External"/><Relationship Id="rId20" Type="http://schemas.openxmlformats.org/officeDocument/2006/relationships/hyperlink" Target="https://github.com/aliabidi00/tds-project-1" TargetMode="External"/><Relationship Id="rId1358" Type="http://schemas.openxmlformats.org/officeDocument/2006/relationships/hyperlink" Target="https://github.com/2utkarsh2/TDS_Project1" TargetMode="External"/><Relationship Id="rId1359" Type="http://schemas.openxmlformats.org/officeDocument/2006/relationships/hyperlink" Target="https://github.com/kneedheeee/proj1" TargetMode="External"/><Relationship Id="rId22" Type="http://schemas.openxmlformats.org/officeDocument/2006/relationships/hyperlink" Target="https://github.com/SAM8402/tds-project1" TargetMode="External"/><Relationship Id="rId21" Type="http://schemas.openxmlformats.org/officeDocument/2006/relationships/hyperlink" Target="https://github.com/SAM8402/tds-project1" TargetMode="External"/><Relationship Id="rId24" Type="http://schemas.openxmlformats.org/officeDocument/2006/relationships/hyperlink" Target="https://github.com/Aishwarya-V-K/Sydney_Github_User" TargetMode="External"/><Relationship Id="rId23" Type="http://schemas.openxmlformats.org/officeDocument/2006/relationships/hyperlink" Target="https://github.com/Aishwarya-V-K/Sydney_Github_User" TargetMode="External"/><Relationship Id="rId767" Type="http://schemas.openxmlformats.org/officeDocument/2006/relationships/hyperlink" Target="https://github.com/bhumi-gupta2201/Austin100" TargetMode="External"/><Relationship Id="rId766" Type="http://schemas.openxmlformats.org/officeDocument/2006/relationships/hyperlink" Target="https://github.com/spideysanjay007/sanjay_tds_project_1" TargetMode="External"/><Relationship Id="rId765" Type="http://schemas.openxmlformats.org/officeDocument/2006/relationships/hyperlink" Target="https://github.com/231fiitm/tdsproject" TargetMode="External"/><Relationship Id="rId764" Type="http://schemas.openxmlformats.org/officeDocument/2006/relationships/hyperlink" Target="https://github.com/kdiitm99/tds-project1" TargetMode="External"/><Relationship Id="rId769" Type="http://schemas.openxmlformats.org/officeDocument/2006/relationships/hyperlink" Target="https://github.com/Akif29/TDS-Project-1" TargetMode="External"/><Relationship Id="rId768" Type="http://schemas.openxmlformats.org/officeDocument/2006/relationships/hyperlink" Target="https://github.com/22f3002094/Tds-project-1" TargetMode="External"/><Relationship Id="rId26" Type="http://schemas.openxmlformats.org/officeDocument/2006/relationships/hyperlink" Target="https://github.com/yyyzznnn/TDS-Project1" TargetMode="External"/><Relationship Id="rId25" Type="http://schemas.openxmlformats.org/officeDocument/2006/relationships/hyperlink" Target="https://github.com/yyyzznnn/TDS-Project1" TargetMode="External"/><Relationship Id="rId28" Type="http://schemas.openxmlformats.org/officeDocument/2006/relationships/hyperlink" Target="https://github.com/21f1006103/tds-1" TargetMode="External"/><Relationship Id="rId1350" Type="http://schemas.openxmlformats.org/officeDocument/2006/relationships/hyperlink" Target="https://github.com/Amrutkar-Kavya/TDS-Project1" TargetMode="External"/><Relationship Id="rId27" Type="http://schemas.openxmlformats.org/officeDocument/2006/relationships/hyperlink" Target="https://github.com/21f1006103/tds-1" TargetMode="External"/><Relationship Id="rId1351" Type="http://schemas.openxmlformats.org/officeDocument/2006/relationships/hyperlink" Target="https://github.com/YASH-MAHESHWAR1/TDS_Project1" TargetMode="External"/><Relationship Id="rId763" Type="http://schemas.openxmlformats.org/officeDocument/2006/relationships/hyperlink" Target="https://github.com/SakshamBindal07/github_sydney_users" TargetMode="External"/><Relationship Id="rId1352" Type="http://schemas.openxmlformats.org/officeDocument/2006/relationships/hyperlink" Target="https://github.com/yaqoob56/TDS_Project_1" TargetMode="External"/><Relationship Id="rId29" Type="http://schemas.openxmlformats.org/officeDocument/2006/relationships/hyperlink" Target="https://github.com/IITM-AnandK/AK-Project-Shanghai-200-Followers" TargetMode="External"/><Relationship Id="rId762" Type="http://schemas.openxmlformats.org/officeDocument/2006/relationships/hyperlink" Target="https://github.com/iambuhari/IITM/" TargetMode="External"/><Relationship Id="rId1353" Type="http://schemas.openxmlformats.org/officeDocument/2006/relationships/hyperlink" Target="https://github.com/TheMHarsh/TDS_P1" TargetMode="External"/><Relationship Id="rId761" Type="http://schemas.openxmlformats.org/officeDocument/2006/relationships/hyperlink" Target="https://github.com/ojast22/tds_proj1" TargetMode="External"/><Relationship Id="rId1354" Type="http://schemas.openxmlformats.org/officeDocument/2006/relationships/hyperlink" Target="https://github.com/Lokith-sharan/GitHub-Scraper-Singapore" TargetMode="External"/><Relationship Id="rId760" Type="http://schemas.openxmlformats.org/officeDocument/2006/relationships/hyperlink" Target="https://github.com/Shilajit04/TDS-Project-1" TargetMode="External"/><Relationship Id="rId1355" Type="http://schemas.openxmlformats.org/officeDocument/2006/relationships/hyperlink" Target="https://github.com/LuckyArya27/tds-project1" TargetMode="External"/><Relationship Id="rId1345" Type="http://schemas.openxmlformats.org/officeDocument/2006/relationships/hyperlink" Target="https://github.com/AnshikaSinha2005/Anshika-project" TargetMode="External"/><Relationship Id="rId1346" Type="http://schemas.openxmlformats.org/officeDocument/2006/relationships/hyperlink" Target="https://github.com/NewDaci/tds-project1" TargetMode="External"/><Relationship Id="rId1347" Type="http://schemas.openxmlformats.org/officeDocument/2006/relationships/hyperlink" Target="https://github.com/iitmgito/project1" TargetMode="External"/><Relationship Id="rId1348" Type="http://schemas.openxmlformats.org/officeDocument/2006/relationships/hyperlink" Target="https://github.com/kashishbansal920/Project-TDS" TargetMode="External"/><Relationship Id="rId11" Type="http://schemas.openxmlformats.org/officeDocument/2006/relationships/hyperlink" Target="https://github.com/Alizalily/TDS_Project1" TargetMode="External"/><Relationship Id="rId1349" Type="http://schemas.openxmlformats.org/officeDocument/2006/relationships/hyperlink" Target="https://github.com/pushpa761/TDS-project-1" TargetMode="External"/><Relationship Id="rId10" Type="http://schemas.openxmlformats.org/officeDocument/2006/relationships/hyperlink" Target="https://github.com/sh-yamm/TDS-1" TargetMode="External"/><Relationship Id="rId13" Type="http://schemas.openxmlformats.org/officeDocument/2006/relationships/hyperlink" Target="https://github.com/Aniruddha017/TDSproject1" TargetMode="External"/><Relationship Id="rId12" Type="http://schemas.openxmlformats.org/officeDocument/2006/relationships/hyperlink" Target="https://github.com/Alizalily/TDS_Project1" TargetMode="External"/><Relationship Id="rId756" Type="http://schemas.openxmlformats.org/officeDocument/2006/relationships/hyperlink" Target="https://github.com/404aalu/tds-project1" TargetMode="External"/><Relationship Id="rId755" Type="http://schemas.openxmlformats.org/officeDocument/2006/relationships/hyperlink" Target="https://github.com/pkala7968/TDS-PROJECT-1-IITM" TargetMode="External"/><Relationship Id="rId754" Type="http://schemas.openxmlformats.org/officeDocument/2006/relationships/hyperlink" Target="https://github.com/ritikjha7/tds-project-1" TargetMode="External"/><Relationship Id="rId753" Type="http://schemas.openxmlformats.org/officeDocument/2006/relationships/hyperlink" Target="https://github.com/GauriTr/TDS_project_1" TargetMode="External"/><Relationship Id="rId759" Type="http://schemas.openxmlformats.org/officeDocument/2006/relationships/hyperlink" Target="https://github.com/RealFalseGod/Project1" TargetMode="External"/><Relationship Id="rId758" Type="http://schemas.openxmlformats.org/officeDocument/2006/relationships/hyperlink" Target="https://github.com/AlgoPenguin/tds-project-1" TargetMode="External"/><Relationship Id="rId757" Type="http://schemas.openxmlformats.org/officeDocument/2006/relationships/hyperlink" Target="https://github.com/shekharkshitij/TDS_Project" TargetMode="External"/><Relationship Id="rId15" Type="http://schemas.openxmlformats.org/officeDocument/2006/relationships/hyperlink" Target="https://github.com/ViratJinjala/TDS-project-1" TargetMode="External"/><Relationship Id="rId14" Type="http://schemas.openxmlformats.org/officeDocument/2006/relationships/hyperlink" Target="https://github.com/Aniruddha017/TDSproject1" TargetMode="External"/><Relationship Id="rId17" Type="http://schemas.openxmlformats.org/officeDocument/2006/relationships/hyperlink" Target="https://github.com/niki7777777/TDS-Project-1" TargetMode="External"/><Relationship Id="rId16" Type="http://schemas.openxmlformats.org/officeDocument/2006/relationships/hyperlink" Target="https://github.com/ViratJinjala/TDS-project-1" TargetMode="External"/><Relationship Id="rId1340" Type="http://schemas.openxmlformats.org/officeDocument/2006/relationships/hyperlink" Target="https://github.com/22f2001300/TDS-P1" TargetMode="External"/><Relationship Id="rId19" Type="http://schemas.openxmlformats.org/officeDocument/2006/relationships/hyperlink" Target="https://github.com/aliabidi00/tds-project-1" TargetMode="External"/><Relationship Id="rId752" Type="http://schemas.openxmlformats.org/officeDocument/2006/relationships/hyperlink" Target="https://github.com/akshat-shethia/TDS-Project-1-Akshat-Shethia" TargetMode="External"/><Relationship Id="rId1341" Type="http://schemas.openxmlformats.org/officeDocument/2006/relationships/hyperlink" Target="https://github.com/tarunarora6029/tdsgit" TargetMode="External"/><Relationship Id="rId18" Type="http://schemas.openxmlformats.org/officeDocument/2006/relationships/hyperlink" Target="https://github.com/niki7777777/TDS-Project-1" TargetMode="External"/><Relationship Id="rId751" Type="http://schemas.openxmlformats.org/officeDocument/2006/relationships/hyperlink" Target="https://github.com/keertidamani/TorontoAnalysisProject" TargetMode="External"/><Relationship Id="rId1342" Type="http://schemas.openxmlformats.org/officeDocument/2006/relationships/hyperlink" Target="https://github.com/palavallichaitanya/TDS-Project-1" TargetMode="External"/><Relationship Id="rId750" Type="http://schemas.openxmlformats.org/officeDocument/2006/relationships/hyperlink" Target="https://github.com/pavan-santhosh-iitm/Project1" TargetMode="External"/><Relationship Id="rId1343" Type="http://schemas.openxmlformats.org/officeDocument/2006/relationships/hyperlink" Target="https://github.com/AvinashRajender/tdsproject1" TargetMode="External"/><Relationship Id="rId1344" Type="http://schemas.openxmlformats.org/officeDocument/2006/relationships/hyperlink" Target="https://github.com/Swag2002/TDS_Main_Project" TargetMode="External"/><Relationship Id="rId84" Type="http://schemas.openxmlformats.org/officeDocument/2006/relationships/hyperlink" Target="https://github.com/febixcf/tds-project1" TargetMode="External"/><Relationship Id="rId1774" Type="http://schemas.openxmlformats.org/officeDocument/2006/relationships/hyperlink" Target="https://github.com/ThePenguin12345/TDS_Project1" TargetMode="External"/><Relationship Id="rId83" Type="http://schemas.openxmlformats.org/officeDocument/2006/relationships/hyperlink" Target="https://github.com/Sgytuy/Tools-in-Data-Science---Project-1/tree/main" TargetMode="External"/><Relationship Id="rId1775" Type="http://schemas.openxmlformats.org/officeDocument/2006/relationships/hyperlink" Target="https://github.com/sneha-singh-12345578998/TDSProj-1" TargetMode="External"/><Relationship Id="rId86" Type="http://schemas.openxmlformats.org/officeDocument/2006/relationships/hyperlink" Target="https://github.com/SarveshMSIITM/TDS-P1" TargetMode="External"/><Relationship Id="rId1776" Type="http://schemas.openxmlformats.org/officeDocument/2006/relationships/hyperlink" Target="https://github.com/NewDaci/tds-project1" TargetMode="External"/><Relationship Id="rId85" Type="http://schemas.openxmlformats.org/officeDocument/2006/relationships/hyperlink" Target="https://github.com/niki7777777/TDS-Project-1" TargetMode="External"/><Relationship Id="rId1777" Type="http://schemas.openxmlformats.org/officeDocument/2006/relationships/hyperlink" Target="https://github.com/anupam-21f2000522/Mumbai-50" TargetMode="External"/><Relationship Id="rId88" Type="http://schemas.openxmlformats.org/officeDocument/2006/relationships/hyperlink" Target="https://github.com/SrujanKVK/23f2003652-ds.study.iitm.ac.in__London-500" TargetMode="External"/><Relationship Id="rId1778" Type="http://schemas.openxmlformats.org/officeDocument/2006/relationships/hyperlink" Target="https://github.com/Harini-commits/stockholm-github-users" TargetMode="External"/><Relationship Id="rId87" Type="http://schemas.openxmlformats.org/officeDocument/2006/relationships/hyperlink" Target="https://github.com/febixcf/tds-project1" TargetMode="External"/><Relationship Id="rId1779" Type="http://schemas.openxmlformats.org/officeDocument/2006/relationships/hyperlink" Target="https://github.com/Gaurangi2712/TDS_proj1" TargetMode="External"/><Relationship Id="rId89" Type="http://schemas.openxmlformats.org/officeDocument/2006/relationships/hyperlink" Target="https://github.com/RutikaKanaujiya/barcelona_assignment" TargetMode="External"/><Relationship Id="rId709" Type="http://schemas.openxmlformats.org/officeDocument/2006/relationships/hyperlink" Target="https://github.com/Abimanyu-A-J/TDSProj1/tree/main" TargetMode="External"/><Relationship Id="rId708" Type="http://schemas.openxmlformats.org/officeDocument/2006/relationships/hyperlink" Target="https://github.com/rharini1402/mumbai50" TargetMode="External"/><Relationship Id="rId707" Type="http://schemas.openxmlformats.org/officeDocument/2006/relationships/hyperlink" Target="https://github.com/sky-m1618/TDS_project_1" TargetMode="External"/><Relationship Id="rId706" Type="http://schemas.openxmlformats.org/officeDocument/2006/relationships/hyperlink" Target="https://github.com/Madras-protagonist/Bangalore-GitHub-Users-Project" TargetMode="External"/><Relationship Id="rId80" Type="http://schemas.openxmlformats.org/officeDocument/2006/relationships/hyperlink" Target="https://github.com/RutikaKanaujiya/barcelona_assignment" TargetMode="External"/><Relationship Id="rId82" Type="http://schemas.openxmlformats.org/officeDocument/2006/relationships/hyperlink" Target="https://github.com/Sgytuy/Tools-in-Data-Science---Project-1/tree/main" TargetMode="External"/><Relationship Id="rId81" Type="http://schemas.openxmlformats.org/officeDocument/2006/relationships/hyperlink" Target="https://github.com/RutikaKanaujiya/barcelona_assignment" TargetMode="External"/><Relationship Id="rId701" Type="http://schemas.openxmlformats.org/officeDocument/2006/relationships/hyperlink" Target="https://github.com/dsenthilkumar95/TDS_P1_Barcelona100" TargetMode="External"/><Relationship Id="rId700" Type="http://schemas.openxmlformats.org/officeDocument/2006/relationships/hyperlink" Target="https://github.com/BOBandNODDY/SquashDaw" TargetMode="External"/><Relationship Id="rId705" Type="http://schemas.openxmlformats.org/officeDocument/2006/relationships/hyperlink" Target="https://github.com/22f2000784/basel-github-data-analysis" TargetMode="External"/><Relationship Id="rId704" Type="http://schemas.openxmlformats.org/officeDocument/2006/relationships/hyperlink" Target="https://github.com/Aakash-Prime/github-users-chennai" TargetMode="External"/><Relationship Id="rId703" Type="http://schemas.openxmlformats.org/officeDocument/2006/relationships/hyperlink" Target="https://github.com/Thanhanoorudheen/proj1" TargetMode="External"/><Relationship Id="rId702" Type="http://schemas.openxmlformats.org/officeDocument/2006/relationships/hyperlink" Target="https://github.com/Shivam-IITM-DS/banglore-users" TargetMode="External"/><Relationship Id="rId1770" Type="http://schemas.openxmlformats.org/officeDocument/2006/relationships/hyperlink" Target="https://github.com/PRAVINKUMAR99/mywebsite" TargetMode="External"/><Relationship Id="rId1771" Type="http://schemas.openxmlformats.org/officeDocument/2006/relationships/hyperlink" Target="https://github.com/raunak-kumar800/tds-project" TargetMode="External"/><Relationship Id="rId1772" Type="http://schemas.openxmlformats.org/officeDocument/2006/relationships/hyperlink" Target="https://github.com/ishitabhalla16/TDS-Project-1" TargetMode="External"/><Relationship Id="rId1773" Type="http://schemas.openxmlformats.org/officeDocument/2006/relationships/hyperlink" Target="https://github.com/rahulyadav46691499/TDS_project" TargetMode="External"/><Relationship Id="rId73" Type="http://schemas.openxmlformats.org/officeDocument/2006/relationships/hyperlink" Target="https://github.com/Chitraksha-Sharma/Project_1_TDS" TargetMode="External"/><Relationship Id="rId1763" Type="http://schemas.openxmlformats.org/officeDocument/2006/relationships/hyperlink" Target="https://github.com/virajjdm1/TDS-Project-1" TargetMode="External"/><Relationship Id="rId72" Type="http://schemas.openxmlformats.org/officeDocument/2006/relationships/hyperlink" Target="https://github.com/sujatrobhadra/TDS_Project_1" TargetMode="External"/><Relationship Id="rId1764" Type="http://schemas.openxmlformats.org/officeDocument/2006/relationships/hyperlink" Target="https://github.com/ThePenguin12345/TDS_Project1" TargetMode="External"/><Relationship Id="rId75" Type="http://schemas.openxmlformats.org/officeDocument/2006/relationships/hyperlink" Target="https://github.com/aarfeeniitm/TDS-Project-1" TargetMode="External"/><Relationship Id="rId1765" Type="http://schemas.openxmlformats.org/officeDocument/2006/relationships/hyperlink" Target="https://github.com/vijayabhaskar78/TDS-PROJECT-1" TargetMode="External"/><Relationship Id="rId74" Type="http://schemas.openxmlformats.org/officeDocument/2006/relationships/hyperlink" Target="https://github.com/Chitraksha-Sharma/Project_1_TDS" TargetMode="External"/><Relationship Id="rId1766" Type="http://schemas.openxmlformats.org/officeDocument/2006/relationships/hyperlink" Target="https://github.com/mfzlur/tds-iitm-project1" TargetMode="External"/><Relationship Id="rId77" Type="http://schemas.openxmlformats.org/officeDocument/2006/relationships/hyperlink" Target="https://github.com/sufyan-12/TDS-PR1" TargetMode="External"/><Relationship Id="rId1767" Type="http://schemas.openxmlformats.org/officeDocument/2006/relationships/hyperlink" Target="https://github.com/imstrk04/TDSProject_1" TargetMode="External"/><Relationship Id="rId76" Type="http://schemas.openxmlformats.org/officeDocument/2006/relationships/hyperlink" Target="https://github.com/aarfeeniitm/TDS-Project-1" TargetMode="External"/><Relationship Id="rId1768" Type="http://schemas.openxmlformats.org/officeDocument/2006/relationships/hyperlink" Target="https://github.com/Irshadanwar/berlin-200-users-repositories" TargetMode="External"/><Relationship Id="rId79" Type="http://schemas.openxmlformats.org/officeDocument/2006/relationships/hyperlink" Target="https://github.com/22f3001377/Pro1" TargetMode="External"/><Relationship Id="rId1769" Type="http://schemas.openxmlformats.org/officeDocument/2006/relationships/hyperlink" Target="https://github.com/Navreet5002/tds_proj1" TargetMode="External"/><Relationship Id="rId78" Type="http://schemas.openxmlformats.org/officeDocument/2006/relationships/hyperlink" Target="https://github.com/sufyan-12/TDS-PR1" TargetMode="External"/><Relationship Id="rId71" Type="http://schemas.openxmlformats.org/officeDocument/2006/relationships/hyperlink" Target="https://github.com/sujatrobhadra/TDS_Project_1" TargetMode="External"/><Relationship Id="rId70" Type="http://schemas.openxmlformats.org/officeDocument/2006/relationships/hyperlink" Target="https://github.com/devp1866/tds_project_1" TargetMode="External"/><Relationship Id="rId1760" Type="http://schemas.openxmlformats.org/officeDocument/2006/relationships/hyperlink" Target="https://github.com/pranavdarak/TDS_P1" TargetMode="External"/><Relationship Id="rId1761" Type="http://schemas.openxmlformats.org/officeDocument/2006/relationships/hyperlink" Target="https://github.com/swaraj753/Project-1" TargetMode="External"/><Relationship Id="rId1762" Type="http://schemas.openxmlformats.org/officeDocument/2006/relationships/hyperlink" Target="https://github.com/Saba-Usman/TDS-Project-1" TargetMode="External"/><Relationship Id="rId62" Type="http://schemas.openxmlformats.org/officeDocument/2006/relationships/hyperlink" Target="https://github.com/22f3001377/Pro1" TargetMode="External"/><Relationship Id="rId1312" Type="http://schemas.openxmlformats.org/officeDocument/2006/relationships/hyperlink" Target="https://github.com/Aditya647bc/tds1" TargetMode="External"/><Relationship Id="rId1796" Type="http://schemas.openxmlformats.org/officeDocument/2006/relationships/hyperlink" Target="https://github.com/gadilashashank/tds_p1" TargetMode="External"/><Relationship Id="rId61" Type="http://schemas.openxmlformats.org/officeDocument/2006/relationships/hyperlink" Target="https://github.com/22f3001377/Pro1" TargetMode="External"/><Relationship Id="rId1313" Type="http://schemas.openxmlformats.org/officeDocument/2006/relationships/hyperlink" Target="https://github.com/MaharajaMoorthy/tds_project1" TargetMode="External"/><Relationship Id="rId1797" Type="http://schemas.openxmlformats.org/officeDocument/2006/relationships/hyperlink" Target="https://github.com/kamalesh-79/tdsproj/tree/main" TargetMode="External"/><Relationship Id="rId64" Type="http://schemas.openxmlformats.org/officeDocument/2006/relationships/hyperlink" Target="https://github.com/Udita1122/23f1000092" TargetMode="External"/><Relationship Id="rId1314" Type="http://schemas.openxmlformats.org/officeDocument/2006/relationships/hyperlink" Target="https://github.com/Srilekha-05/github-barcelona-users" TargetMode="External"/><Relationship Id="rId1798" Type="http://schemas.openxmlformats.org/officeDocument/2006/relationships/hyperlink" Target="https://github.com/Rishi-Bhatt/TDS-Project1-Sept2024" TargetMode="External"/><Relationship Id="rId63" Type="http://schemas.openxmlformats.org/officeDocument/2006/relationships/hyperlink" Target="https://github.com/Udita1122/23f1000092" TargetMode="External"/><Relationship Id="rId1315" Type="http://schemas.openxmlformats.org/officeDocument/2006/relationships/hyperlink" Target="https://github.com/Aadil-Iqbal1729/TDS_Project-1" TargetMode="External"/><Relationship Id="rId1799" Type="http://schemas.openxmlformats.org/officeDocument/2006/relationships/hyperlink" Target="https://github.com/Anburajasp/TDS-PROJECT-1" TargetMode="External"/><Relationship Id="rId66" Type="http://schemas.openxmlformats.org/officeDocument/2006/relationships/hyperlink" Target="https://github.com/dhaanicodes/project1" TargetMode="External"/><Relationship Id="rId1316" Type="http://schemas.openxmlformats.org/officeDocument/2006/relationships/hyperlink" Target="https://github.com/RishabhBarthwal28/TDS-PROJECT-1" TargetMode="External"/><Relationship Id="rId65" Type="http://schemas.openxmlformats.org/officeDocument/2006/relationships/hyperlink" Target="https://github.com/dhaanicodes/project1" TargetMode="External"/><Relationship Id="rId1317" Type="http://schemas.openxmlformats.org/officeDocument/2006/relationships/hyperlink" Target="https://github.com/PRAVINKUMAR99/mywebsite" TargetMode="External"/><Relationship Id="rId68" Type="http://schemas.openxmlformats.org/officeDocument/2006/relationships/hyperlink" Target="https://github.com/Karthikey2003/tdsproj1" TargetMode="External"/><Relationship Id="rId1318" Type="http://schemas.openxmlformats.org/officeDocument/2006/relationships/hyperlink" Target="https://github.com/Priyam4437/barcelona-github-scrape" TargetMode="External"/><Relationship Id="rId67" Type="http://schemas.openxmlformats.org/officeDocument/2006/relationships/hyperlink" Target="https://github.com/Karthikey2003/tdsproj1" TargetMode="External"/><Relationship Id="rId1319" Type="http://schemas.openxmlformats.org/officeDocument/2006/relationships/hyperlink" Target="https://github.com/Karanshrivastav/tds_project_1" TargetMode="External"/><Relationship Id="rId729" Type="http://schemas.openxmlformats.org/officeDocument/2006/relationships/hyperlink" Target="https://github.com/Devanshshukla090705/PRJ1_TDS" TargetMode="External"/><Relationship Id="rId728" Type="http://schemas.openxmlformats.org/officeDocument/2006/relationships/hyperlink" Target="https://github.com/Bhaargavi29/Moscow-50-repo" TargetMode="External"/><Relationship Id="rId60" Type="http://schemas.openxmlformats.org/officeDocument/2006/relationships/hyperlink" Target="https://github.com/Preena-iitmds/pree_ZurichProj1" TargetMode="External"/><Relationship Id="rId723" Type="http://schemas.openxmlformats.org/officeDocument/2006/relationships/hyperlink" Target="https://github.com/JS121000/BERLINPROJECT" TargetMode="External"/><Relationship Id="rId722" Type="http://schemas.openxmlformats.org/officeDocument/2006/relationships/hyperlink" Target="https://github.com/terminator7x/tds-project/tree/main" TargetMode="External"/><Relationship Id="rId721" Type="http://schemas.openxmlformats.org/officeDocument/2006/relationships/hyperlink" Target="https://github.com/rajakumari-sp/TDS_project1" TargetMode="External"/><Relationship Id="rId720" Type="http://schemas.openxmlformats.org/officeDocument/2006/relationships/hyperlink" Target="https://github.com/Mv98dell/Mv/blob/33999fa40510af74122c53f73c6b8df2b53129c9/repositories.csv" TargetMode="External"/><Relationship Id="rId727" Type="http://schemas.openxmlformats.org/officeDocument/2006/relationships/hyperlink" Target="https://github.com/Aryan0550p/LondonUsersRepo" TargetMode="External"/><Relationship Id="rId726" Type="http://schemas.openxmlformats.org/officeDocument/2006/relationships/hyperlink" Target="https://github.com/joshna-dhanokar/Stockholm-100" TargetMode="External"/><Relationship Id="rId725" Type="http://schemas.openxmlformats.org/officeDocument/2006/relationships/hyperlink" Target="https://github.com/Param302/TDS-Project1" TargetMode="External"/><Relationship Id="rId724" Type="http://schemas.openxmlformats.org/officeDocument/2006/relationships/hyperlink" Target="https://github.com/Viswa-iitm/TDS-project-1" TargetMode="External"/><Relationship Id="rId69" Type="http://schemas.openxmlformats.org/officeDocument/2006/relationships/hyperlink" Target="https://github.com/devp1866/tds_project_1" TargetMode="External"/><Relationship Id="rId1790" Type="http://schemas.openxmlformats.org/officeDocument/2006/relationships/hyperlink" Target="https://github.com/ArnoldMathew1998/TDS-project" TargetMode="External"/><Relationship Id="rId1791" Type="http://schemas.openxmlformats.org/officeDocument/2006/relationships/hyperlink" Target="https://github.com/sashank-e/TDS_P1" TargetMode="External"/><Relationship Id="rId1792" Type="http://schemas.openxmlformats.org/officeDocument/2006/relationships/hyperlink" Target="https://github.com/shanky999/TDS_Project1" TargetMode="External"/><Relationship Id="rId1793" Type="http://schemas.openxmlformats.org/officeDocument/2006/relationships/hyperlink" Target="https://github.com/Skyehackerdoge/github-london-users" TargetMode="External"/><Relationship Id="rId1310" Type="http://schemas.openxmlformats.org/officeDocument/2006/relationships/hyperlink" Target="https://github.com/imstrk04/TDSProject_1" TargetMode="External"/><Relationship Id="rId1794" Type="http://schemas.openxmlformats.org/officeDocument/2006/relationships/hyperlink" Target="https://github.com/ashuiitm/tdsproject1/" TargetMode="External"/><Relationship Id="rId1311" Type="http://schemas.openxmlformats.org/officeDocument/2006/relationships/hyperlink" Target="https://github.com/shanky999/TDS_Project1" TargetMode="External"/><Relationship Id="rId1795" Type="http://schemas.openxmlformats.org/officeDocument/2006/relationships/hyperlink" Target="https://github.com/VaishHa/Delhi100_TDS" TargetMode="External"/><Relationship Id="rId51" Type="http://schemas.openxmlformats.org/officeDocument/2006/relationships/hyperlink" Target="https://github.com/GIT1001082/TDS_project_1" TargetMode="External"/><Relationship Id="rId1301" Type="http://schemas.openxmlformats.org/officeDocument/2006/relationships/hyperlink" Target="https://github.com/ekxnsh22005/TDS-Project" TargetMode="External"/><Relationship Id="rId1785" Type="http://schemas.openxmlformats.org/officeDocument/2006/relationships/hyperlink" Target="https://github.com/ajay-iit/TDS-Project-1" TargetMode="External"/><Relationship Id="rId50" Type="http://schemas.openxmlformats.org/officeDocument/2006/relationships/hyperlink" Target="https://github.com/AnvithaVarre7/Project-1" TargetMode="External"/><Relationship Id="rId1302" Type="http://schemas.openxmlformats.org/officeDocument/2006/relationships/hyperlink" Target="https://github.com/samikb07/tds-project-1" TargetMode="External"/><Relationship Id="rId1786" Type="http://schemas.openxmlformats.org/officeDocument/2006/relationships/hyperlink" Target="https://github.com/terminator7x/tds-project/tree/main" TargetMode="External"/><Relationship Id="rId53" Type="http://schemas.openxmlformats.org/officeDocument/2006/relationships/hyperlink" Target="https://github.com/pratyushjdhv/iitm-tds" TargetMode="External"/><Relationship Id="rId1303" Type="http://schemas.openxmlformats.org/officeDocument/2006/relationships/hyperlink" Target="https://github.com/sashank-e/TDS_P1" TargetMode="External"/><Relationship Id="rId1787" Type="http://schemas.openxmlformats.org/officeDocument/2006/relationships/hyperlink" Target="https://github.com/sg-sparsh-goyal/TDS-project1-22f1000693" TargetMode="External"/><Relationship Id="rId52" Type="http://schemas.openxmlformats.org/officeDocument/2006/relationships/hyperlink" Target="https://github.com/GIT1001082/TDS_project_1" TargetMode="External"/><Relationship Id="rId1304" Type="http://schemas.openxmlformats.org/officeDocument/2006/relationships/hyperlink" Target="https://github.com/Srilekha-05/github-barcelona-users" TargetMode="External"/><Relationship Id="rId1788" Type="http://schemas.openxmlformats.org/officeDocument/2006/relationships/hyperlink" Target="https://github.com/siddhant-bapna/TDSP1" TargetMode="External"/><Relationship Id="rId55" Type="http://schemas.openxmlformats.org/officeDocument/2006/relationships/hyperlink" Target="https://github.com/rishikarai23/TDS-PROJECT" TargetMode="External"/><Relationship Id="rId1305" Type="http://schemas.openxmlformats.org/officeDocument/2006/relationships/hyperlink" Target="https://github.com/namish18/TDSP1" TargetMode="External"/><Relationship Id="rId1789" Type="http://schemas.openxmlformats.org/officeDocument/2006/relationships/hyperlink" Target="https://github.com/jhaaj08/TDS_project1" TargetMode="External"/><Relationship Id="rId54" Type="http://schemas.openxmlformats.org/officeDocument/2006/relationships/hyperlink" Target="https://github.com/pratyushjdhv/iitm-tds" TargetMode="External"/><Relationship Id="rId1306" Type="http://schemas.openxmlformats.org/officeDocument/2006/relationships/hyperlink" Target="https://github.com/pranavtiwari-this/tdm-project1" TargetMode="External"/><Relationship Id="rId57" Type="http://schemas.openxmlformats.org/officeDocument/2006/relationships/hyperlink" Target="https://github.com/bipkrsinghh/TDS-proj" TargetMode="External"/><Relationship Id="rId1307" Type="http://schemas.openxmlformats.org/officeDocument/2006/relationships/hyperlink" Target="https://github.com/23f2003488/dublin_users" TargetMode="External"/><Relationship Id="rId56" Type="http://schemas.openxmlformats.org/officeDocument/2006/relationships/hyperlink" Target="https://github.com/rishikarai23/TDS-PROJECT" TargetMode="External"/><Relationship Id="rId1308" Type="http://schemas.openxmlformats.org/officeDocument/2006/relationships/hyperlink" Target="https://github.com/ShivamAgrawal100/TDS-Project1" TargetMode="External"/><Relationship Id="rId1309" Type="http://schemas.openxmlformats.org/officeDocument/2006/relationships/hyperlink" Target="https://github.com/himanshu-IIT-M/project1/blob/main/repositories.csvlob/main/repositories.csv" TargetMode="External"/><Relationship Id="rId719" Type="http://schemas.openxmlformats.org/officeDocument/2006/relationships/hyperlink" Target="https://github.com/SV-03/TDS-P1" TargetMode="External"/><Relationship Id="rId718" Type="http://schemas.openxmlformats.org/officeDocument/2006/relationships/hyperlink" Target="https://github.com/sourav08nitp/tds-project-1" TargetMode="External"/><Relationship Id="rId717" Type="http://schemas.openxmlformats.org/officeDocument/2006/relationships/hyperlink" Target="https://github.com/kanha-00001/project-1-final" TargetMode="External"/><Relationship Id="rId712" Type="http://schemas.openxmlformats.org/officeDocument/2006/relationships/hyperlink" Target="https://github.com/23f2004408/tds-p1" TargetMode="External"/><Relationship Id="rId711" Type="http://schemas.openxmlformats.org/officeDocument/2006/relationships/hyperlink" Target="https://github.com/AllyNav/tds_project_1" TargetMode="External"/><Relationship Id="rId710" Type="http://schemas.openxmlformats.org/officeDocument/2006/relationships/hyperlink" Target="https://github.com/OmkarShekharRaut/datasciencetoolsproject1" TargetMode="External"/><Relationship Id="rId716" Type="http://schemas.openxmlformats.org/officeDocument/2006/relationships/hyperlink" Target="https://github.com/Thanvish07/TDS_Project-1" TargetMode="External"/><Relationship Id="rId715" Type="http://schemas.openxmlformats.org/officeDocument/2006/relationships/hyperlink" Target="https://github.com/saksham5555/project" TargetMode="External"/><Relationship Id="rId714" Type="http://schemas.openxmlformats.org/officeDocument/2006/relationships/hyperlink" Target="https://github.com/venkatsaivikram-iitm/tds-project1/" TargetMode="External"/><Relationship Id="rId713" Type="http://schemas.openxmlformats.org/officeDocument/2006/relationships/hyperlink" Target="https://github.com/rahul-jha-2001/TDS" TargetMode="External"/><Relationship Id="rId59" Type="http://schemas.openxmlformats.org/officeDocument/2006/relationships/hyperlink" Target="https://github.com/Preena-iitmds/pree_ZurichProj1" TargetMode="External"/><Relationship Id="rId58" Type="http://schemas.openxmlformats.org/officeDocument/2006/relationships/hyperlink" Target="https://github.com/bipkrsinghh/TDS-proj" TargetMode="External"/><Relationship Id="rId1780" Type="http://schemas.openxmlformats.org/officeDocument/2006/relationships/hyperlink" Target="https://github.com/CaptPeroxide7/TDS-Proj1" TargetMode="External"/><Relationship Id="rId1781" Type="http://schemas.openxmlformats.org/officeDocument/2006/relationships/hyperlink" Target="https://github.com/22f3002758/TDS-Project1" TargetMode="External"/><Relationship Id="rId1782" Type="http://schemas.openxmlformats.org/officeDocument/2006/relationships/hyperlink" Target="https://github.com/samreen-fathima-s/tds" TargetMode="External"/><Relationship Id="rId1783" Type="http://schemas.openxmlformats.org/officeDocument/2006/relationships/hyperlink" Target="https://github.com/divyanshdixit09/tds_project1" TargetMode="External"/><Relationship Id="rId1300" Type="http://schemas.openxmlformats.org/officeDocument/2006/relationships/hyperlink" Target="https://github.com/kp-bhara/tds_proj1_stockholm_100/tree/main" TargetMode="External"/><Relationship Id="rId1784" Type="http://schemas.openxmlformats.org/officeDocument/2006/relationships/hyperlink" Target="https://github.com/23ds3000139/my_TDS_P1_submission" TargetMode="External"/><Relationship Id="rId349" Type="http://schemas.openxmlformats.org/officeDocument/2006/relationships/hyperlink" Target="https://github.com/Jatendra/iitm_project1" TargetMode="External"/><Relationship Id="rId348" Type="http://schemas.openxmlformats.org/officeDocument/2006/relationships/hyperlink" Target="https://github.com/jeevan-yohan-varghese/tds-project1" TargetMode="External"/><Relationship Id="rId347" Type="http://schemas.openxmlformats.org/officeDocument/2006/relationships/hyperlink" Target="https://github.com/antareep18-geek/TDS-project1" TargetMode="External"/><Relationship Id="rId346" Type="http://schemas.openxmlformats.org/officeDocument/2006/relationships/hyperlink" Target="https://github.com/PavanKumar-KN/TDS_Project_1" TargetMode="External"/><Relationship Id="rId341" Type="http://schemas.openxmlformats.org/officeDocument/2006/relationships/hyperlink" Target="https://github.com/yali369/Boston" TargetMode="External"/><Relationship Id="rId340" Type="http://schemas.openxmlformats.org/officeDocument/2006/relationships/hyperlink" Target="https://github.com/srch887/tds_sep2024_project1" TargetMode="External"/><Relationship Id="rId345" Type="http://schemas.openxmlformats.org/officeDocument/2006/relationships/hyperlink" Target="https://github.com/karthikeyan456/tdsproject1" TargetMode="External"/><Relationship Id="rId344" Type="http://schemas.openxmlformats.org/officeDocument/2006/relationships/hyperlink" Target="https://github.com/MeenakshiIIT/Project1" TargetMode="External"/><Relationship Id="rId343" Type="http://schemas.openxmlformats.org/officeDocument/2006/relationships/hyperlink" Target="https://github.com/Giri-Subrahmanya/23f2000573-TDS-P1/tree/main" TargetMode="External"/><Relationship Id="rId342" Type="http://schemas.openxmlformats.org/officeDocument/2006/relationships/hyperlink" Target="https://github.com/Atharva-Garajkar/TDS" TargetMode="External"/><Relationship Id="rId338" Type="http://schemas.openxmlformats.org/officeDocument/2006/relationships/hyperlink" Target="https://github.com/21f3000105/Basel-10_TDS-Project-1/" TargetMode="External"/><Relationship Id="rId337" Type="http://schemas.openxmlformats.org/officeDocument/2006/relationships/hyperlink" Target="https://github.com/DevanshA1105/Project_1_TDS" TargetMode="External"/><Relationship Id="rId336" Type="http://schemas.openxmlformats.org/officeDocument/2006/relationships/hyperlink" Target="https://github.com/gotherwal/TDS_Project1/blob/main/README.md" TargetMode="External"/><Relationship Id="rId335" Type="http://schemas.openxmlformats.org/officeDocument/2006/relationships/hyperlink" Target="https://github.com/Rajalakshmi12/IITM_Tds_Project1" TargetMode="External"/><Relationship Id="rId339" Type="http://schemas.openxmlformats.org/officeDocument/2006/relationships/hyperlink" Target="https://github.com/Lakshay777s/TDS-project" TargetMode="External"/><Relationship Id="rId330" Type="http://schemas.openxmlformats.org/officeDocument/2006/relationships/hyperlink" Target="https://github.com/r4mbhardwaj/toronto100" TargetMode="External"/><Relationship Id="rId334" Type="http://schemas.openxmlformats.org/officeDocument/2006/relationships/hyperlink" Target="https://github.com/Danniiiaaaa/TDS-proj-1" TargetMode="External"/><Relationship Id="rId333" Type="http://schemas.openxmlformats.org/officeDocument/2006/relationships/hyperlink" Target="https://github.com/uma1979/github-api-analysis" TargetMode="External"/><Relationship Id="rId332" Type="http://schemas.openxmlformats.org/officeDocument/2006/relationships/hyperlink" Target="https://github.com/umeshrai01/web_scraping" TargetMode="External"/><Relationship Id="rId331" Type="http://schemas.openxmlformats.org/officeDocument/2006/relationships/hyperlink" Target="https://github.com/rishitaguptaaa/IITM_TDS_Project1" TargetMode="External"/><Relationship Id="rId370" Type="http://schemas.openxmlformats.org/officeDocument/2006/relationships/hyperlink" Target="https://github.com/Wamikmk/My-tds-Project-1" TargetMode="External"/><Relationship Id="rId369" Type="http://schemas.openxmlformats.org/officeDocument/2006/relationships/hyperlink" Target="https://github.com/22f1000998/TDS-Project-1" TargetMode="External"/><Relationship Id="rId368" Type="http://schemas.openxmlformats.org/officeDocument/2006/relationships/hyperlink" Target="https://github.com/22f3000803/tds-project-1" TargetMode="External"/><Relationship Id="rId363" Type="http://schemas.openxmlformats.org/officeDocument/2006/relationships/hyperlink" Target="https://github.com/Ankit972-dotcom/sydney-github-users" TargetMode="External"/><Relationship Id="rId362" Type="http://schemas.openxmlformats.org/officeDocument/2006/relationships/hyperlink" Target="https://github.com/veenas2024/TdsGA1" TargetMode="External"/><Relationship Id="rId361" Type="http://schemas.openxmlformats.org/officeDocument/2006/relationships/hyperlink" Target="https://github.com/kanha-00001/project-1-final" TargetMode="External"/><Relationship Id="rId360" Type="http://schemas.openxmlformats.org/officeDocument/2006/relationships/hyperlink" Target="https://github.com/21f3000177/tds_project1" TargetMode="External"/><Relationship Id="rId367" Type="http://schemas.openxmlformats.org/officeDocument/2006/relationships/hyperlink" Target="https://github.com/hdsawscloud/project1" TargetMode="External"/><Relationship Id="rId366" Type="http://schemas.openxmlformats.org/officeDocument/2006/relationships/hyperlink" Target="https://github.com/ak5h1ta/tds-project1" TargetMode="External"/><Relationship Id="rId365" Type="http://schemas.openxmlformats.org/officeDocument/2006/relationships/hyperlink" Target="https://github.com/iitmadvaith/tds" TargetMode="External"/><Relationship Id="rId364" Type="http://schemas.openxmlformats.org/officeDocument/2006/relationships/hyperlink" Target="https://github.com/Gajanan09/GithubAustinUsers" TargetMode="External"/><Relationship Id="rId95" Type="http://schemas.openxmlformats.org/officeDocument/2006/relationships/hyperlink" Target="https://github.com/nishant1909/TDS-Project-1" TargetMode="External"/><Relationship Id="rId94" Type="http://schemas.openxmlformats.org/officeDocument/2006/relationships/hyperlink" Target="https://github.com/rishitaguptaaa/IITM_TDS_Project1" TargetMode="External"/><Relationship Id="rId97" Type="http://schemas.openxmlformats.org/officeDocument/2006/relationships/hyperlink" Target="https://github.com/Gajanan09/GithubAustinUsers/blob/main/main.py" TargetMode="External"/><Relationship Id="rId96" Type="http://schemas.openxmlformats.org/officeDocument/2006/relationships/hyperlink" Target="https://github.com/harshshah-codes/TDS-project-1" TargetMode="External"/><Relationship Id="rId99" Type="http://schemas.openxmlformats.org/officeDocument/2006/relationships/hyperlink" Target="https://github.com/rishitaguptaaa/IITM_TDS_Project1" TargetMode="External"/><Relationship Id="rId98" Type="http://schemas.openxmlformats.org/officeDocument/2006/relationships/hyperlink" Target="https://github.com/Nimbus29/TDS-Project_1" TargetMode="External"/><Relationship Id="rId91" Type="http://schemas.openxmlformats.org/officeDocument/2006/relationships/hyperlink" Target="https://github.com/SarveshMSIITM/TDS-P1" TargetMode="External"/><Relationship Id="rId90" Type="http://schemas.openxmlformats.org/officeDocument/2006/relationships/hyperlink" Target="https://github.com/nishant1909/TDS-Project-1" TargetMode="External"/><Relationship Id="rId93" Type="http://schemas.openxmlformats.org/officeDocument/2006/relationships/hyperlink" Target="https://github.com/SrujanKVK/23f2003652-ds.study.iitm.ac.in__London-500" TargetMode="External"/><Relationship Id="rId92" Type="http://schemas.openxmlformats.org/officeDocument/2006/relationships/hyperlink" Target="https://github.com/Gajanan09/GithubAustinUsers/blob/main/main.py" TargetMode="External"/><Relationship Id="rId359" Type="http://schemas.openxmlformats.org/officeDocument/2006/relationships/hyperlink" Target="https://github.com/VishwasSaini2006/pro" TargetMode="External"/><Relationship Id="rId358" Type="http://schemas.openxmlformats.org/officeDocument/2006/relationships/hyperlink" Target="https://github.com/ShashanksriIITM/MLT_Project1" TargetMode="External"/><Relationship Id="rId357" Type="http://schemas.openxmlformats.org/officeDocument/2006/relationships/hyperlink" Target="https://github.com/harshithbabu-git/Tools-in-DS-Project-1" TargetMode="External"/><Relationship Id="rId352" Type="http://schemas.openxmlformats.org/officeDocument/2006/relationships/hyperlink" Target="https://github.com/pulkitsharmads/github-hyderabad-users-project" TargetMode="External"/><Relationship Id="rId351" Type="http://schemas.openxmlformats.org/officeDocument/2006/relationships/hyperlink" Target="https://github.com/Sahith200444/github-user-data" TargetMode="External"/><Relationship Id="rId350" Type="http://schemas.openxmlformats.org/officeDocument/2006/relationships/hyperlink" Target="https://github.com/StuteeP/Project_1" TargetMode="External"/><Relationship Id="rId356" Type="http://schemas.openxmlformats.org/officeDocument/2006/relationships/hyperlink" Target="https://github.com/randomuser438/TDS_proj" TargetMode="External"/><Relationship Id="rId355" Type="http://schemas.openxmlformats.org/officeDocument/2006/relationships/hyperlink" Target="https://github.com/22f1000998/TDS-Project-1" TargetMode="External"/><Relationship Id="rId354" Type="http://schemas.openxmlformats.org/officeDocument/2006/relationships/hyperlink" Target="https://github.com/23ds3000059/tds_project_1" TargetMode="External"/><Relationship Id="rId353" Type="http://schemas.openxmlformats.org/officeDocument/2006/relationships/hyperlink" Target="https://github.com/Ayushman-mukherjee/TDS-Project1" TargetMode="External"/><Relationship Id="rId1378" Type="http://schemas.openxmlformats.org/officeDocument/2006/relationships/hyperlink" Target="https://github.com/sanchit-in/sydney-github-users" TargetMode="External"/><Relationship Id="rId1379" Type="http://schemas.openxmlformats.org/officeDocument/2006/relationships/hyperlink" Target="https://github.com/Anirudh-starhash/TDS-Project-1" TargetMode="External"/><Relationship Id="rId305" Type="http://schemas.openxmlformats.org/officeDocument/2006/relationships/hyperlink" Target="https://github.com/Rajat1164/tdsproject" TargetMode="External"/><Relationship Id="rId789" Type="http://schemas.openxmlformats.org/officeDocument/2006/relationships/hyperlink" Target="https://github.com/23f1002051/TDS_Project_1" TargetMode="External"/><Relationship Id="rId304" Type="http://schemas.openxmlformats.org/officeDocument/2006/relationships/hyperlink" Target="https://github.com/Giri-Subrahmanya/23f2000573-TDS-P1/tree/main" TargetMode="External"/><Relationship Id="rId788" Type="http://schemas.openxmlformats.org/officeDocument/2006/relationships/hyperlink" Target="https://github.com/devishijain/TDS-Project-1" TargetMode="External"/><Relationship Id="rId303" Type="http://schemas.openxmlformats.org/officeDocument/2006/relationships/hyperlink" Target="https://github.com/Rajnish2899/Mynewproject" TargetMode="External"/><Relationship Id="rId787" Type="http://schemas.openxmlformats.org/officeDocument/2006/relationships/hyperlink" Target="https://github.com/Preetham15092004/Hyderabad-GitHub-Users" TargetMode="External"/><Relationship Id="rId302" Type="http://schemas.openxmlformats.org/officeDocument/2006/relationships/hyperlink" Target="https://github.com/Lakshay777s/TDS-project" TargetMode="External"/><Relationship Id="rId786" Type="http://schemas.openxmlformats.org/officeDocument/2006/relationships/hyperlink" Target="https://github.com/Viswa-iitm/TDS-project-1/" TargetMode="External"/><Relationship Id="rId309" Type="http://schemas.openxmlformats.org/officeDocument/2006/relationships/hyperlink" Target="https://github.com/gotherwal/TDS_Project1" TargetMode="External"/><Relationship Id="rId308" Type="http://schemas.openxmlformats.org/officeDocument/2006/relationships/hyperlink" Target="https://github.com/PavanKumar-KN/TDS_Project_1" TargetMode="External"/><Relationship Id="rId307" Type="http://schemas.openxmlformats.org/officeDocument/2006/relationships/hyperlink" Target="https://github.com/iitm-student/Project1" TargetMode="External"/><Relationship Id="rId306" Type="http://schemas.openxmlformats.org/officeDocument/2006/relationships/hyperlink" Target="https://github.com/karthikeyan456/tdsproject1" TargetMode="External"/><Relationship Id="rId781" Type="http://schemas.openxmlformats.org/officeDocument/2006/relationships/hyperlink" Target="https://github.com/Akash7190/TDS-Project-1" TargetMode="External"/><Relationship Id="rId1370" Type="http://schemas.openxmlformats.org/officeDocument/2006/relationships/hyperlink" Target="https://github.com/sunnykumardangi/TDS_project-1" TargetMode="External"/><Relationship Id="rId780" Type="http://schemas.openxmlformats.org/officeDocument/2006/relationships/hyperlink" Target="https://github.com/nihalkumar833/tds" TargetMode="External"/><Relationship Id="rId1371" Type="http://schemas.openxmlformats.org/officeDocument/2006/relationships/hyperlink" Target="https://github.com/22f3001914/TDS_Project1/blob/main/README.md" TargetMode="External"/><Relationship Id="rId1372" Type="http://schemas.openxmlformats.org/officeDocument/2006/relationships/hyperlink" Target="https://github.com/Nandhini-Ammaiappan/Project1" TargetMode="External"/><Relationship Id="rId1373" Type="http://schemas.openxmlformats.org/officeDocument/2006/relationships/hyperlink" Target="https://github.com/Anvitha-Reddy-132218/TDS_Assignment" TargetMode="External"/><Relationship Id="rId301" Type="http://schemas.openxmlformats.org/officeDocument/2006/relationships/hyperlink" Target="https://github.com/KSoham-dev/TDS-Project-I" TargetMode="External"/><Relationship Id="rId785" Type="http://schemas.openxmlformats.org/officeDocument/2006/relationships/hyperlink" Target="https://github.com/Rxhit1/TDSproj1/tree/main" TargetMode="External"/><Relationship Id="rId1374" Type="http://schemas.openxmlformats.org/officeDocument/2006/relationships/hyperlink" Target="https://github.com/Ganesh002005/data_analysis_boostan" TargetMode="External"/><Relationship Id="rId300" Type="http://schemas.openxmlformats.org/officeDocument/2006/relationships/hyperlink" Target="https://github.com/Rajalakshmi12/IITM_Tds_Project1" TargetMode="External"/><Relationship Id="rId784" Type="http://schemas.openxmlformats.org/officeDocument/2006/relationships/hyperlink" Target="https://github.com/gyanesh-iitmiimb/TDSProject1/blob" TargetMode="External"/><Relationship Id="rId1375" Type="http://schemas.openxmlformats.org/officeDocument/2006/relationships/hyperlink" Target="https://github.com/adityaraj2308/projeft1" TargetMode="External"/><Relationship Id="rId783" Type="http://schemas.openxmlformats.org/officeDocument/2006/relationships/hyperlink" Target="https://github.com/Bhavana2639/tds-proj-1" TargetMode="External"/><Relationship Id="rId1376" Type="http://schemas.openxmlformats.org/officeDocument/2006/relationships/hyperlink" Target="https://github.com/nemo0002/Tds_proj_1" TargetMode="External"/><Relationship Id="rId782" Type="http://schemas.openxmlformats.org/officeDocument/2006/relationships/hyperlink" Target="https://github.com/nirmaldeep-p/TDS-Project-1" TargetMode="External"/><Relationship Id="rId1377" Type="http://schemas.openxmlformats.org/officeDocument/2006/relationships/hyperlink" Target="https://github.com/Hariomkr147/TDS_project1" TargetMode="External"/><Relationship Id="rId1367" Type="http://schemas.openxmlformats.org/officeDocument/2006/relationships/hyperlink" Target="https://github.com/lakshyaonweb22/TDS_Project1" TargetMode="External"/><Relationship Id="rId1368" Type="http://schemas.openxmlformats.org/officeDocument/2006/relationships/hyperlink" Target="https://github.com/Imranrasheedpm/tds_proj_1" TargetMode="External"/><Relationship Id="rId1369" Type="http://schemas.openxmlformats.org/officeDocument/2006/relationships/hyperlink" Target="https://github.com/23f2004417/23f2004417_TDS_Project1" TargetMode="External"/><Relationship Id="rId778" Type="http://schemas.openxmlformats.org/officeDocument/2006/relationships/hyperlink" Target="https://github.com/Shre-2104/project1tds" TargetMode="External"/><Relationship Id="rId777" Type="http://schemas.openxmlformats.org/officeDocument/2006/relationships/hyperlink" Target="https://github.com/gokuls23f2001566/TDSpj1" TargetMode="External"/><Relationship Id="rId776" Type="http://schemas.openxmlformats.org/officeDocument/2006/relationships/hyperlink" Target="https://github.com/krishna1rpr/tds-project-1" TargetMode="External"/><Relationship Id="rId775" Type="http://schemas.openxmlformats.org/officeDocument/2006/relationships/hyperlink" Target="https://github.com/raj-jaiswal/TDS_Github_API" TargetMode="External"/><Relationship Id="rId779" Type="http://schemas.openxmlformats.org/officeDocument/2006/relationships/hyperlink" Target="https://github.com/pranay2k3/iitpro" TargetMode="External"/><Relationship Id="rId770" Type="http://schemas.openxmlformats.org/officeDocument/2006/relationships/hyperlink" Target="https://github.com/ARUNIMADILEEPK/TDS_Project_1" TargetMode="External"/><Relationship Id="rId1360" Type="http://schemas.openxmlformats.org/officeDocument/2006/relationships/hyperlink" Target="https://github.com/24f1002325-Jagan/Project-1" TargetMode="External"/><Relationship Id="rId1361" Type="http://schemas.openxmlformats.org/officeDocument/2006/relationships/hyperlink" Target="https://github.com/shamanthakiitm/TDS-Project-1" TargetMode="External"/><Relationship Id="rId1362" Type="http://schemas.openxmlformats.org/officeDocument/2006/relationships/hyperlink" Target="https://github.com/vazemon/TDS_Project1" TargetMode="External"/><Relationship Id="rId774" Type="http://schemas.openxmlformats.org/officeDocument/2006/relationships/hyperlink" Target="https://github.com/22f3001192/amitkumar" TargetMode="External"/><Relationship Id="rId1363" Type="http://schemas.openxmlformats.org/officeDocument/2006/relationships/hyperlink" Target="https://github.com/IIT-JRV/IIT/tree/main" TargetMode="External"/><Relationship Id="rId773" Type="http://schemas.openxmlformats.org/officeDocument/2006/relationships/hyperlink" Target="https://github.com/navuexists/tds-project-1-navya" TargetMode="External"/><Relationship Id="rId1364" Type="http://schemas.openxmlformats.org/officeDocument/2006/relationships/hyperlink" Target="https://github.com/kthirumlaesh17/tdsproject-1" TargetMode="External"/><Relationship Id="rId772" Type="http://schemas.openxmlformats.org/officeDocument/2006/relationships/hyperlink" Target="https://github.com/23f3001726/p1-tds" TargetMode="External"/><Relationship Id="rId1365" Type="http://schemas.openxmlformats.org/officeDocument/2006/relationships/hyperlink" Target="https://github.com/DivyanshuGupta2000129/TDS_Project_1" TargetMode="External"/><Relationship Id="rId771" Type="http://schemas.openxmlformats.org/officeDocument/2006/relationships/hyperlink" Target="https://github.com/reddevilrohith/TDS_PROJ1" TargetMode="External"/><Relationship Id="rId1366" Type="http://schemas.openxmlformats.org/officeDocument/2006/relationships/hyperlink" Target="https://github.com/UnfairFinish/TDS-Project-1" TargetMode="External"/><Relationship Id="rId327" Type="http://schemas.openxmlformats.org/officeDocument/2006/relationships/hyperlink" Target="https://github.com/BriIITM/Project1-TDS" TargetMode="External"/><Relationship Id="rId326" Type="http://schemas.openxmlformats.org/officeDocument/2006/relationships/hyperlink" Target="https://github.com/hdsawscloud/project1" TargetMode="External"/><Relationship Id="rId325" Type="http://schemas.openxmlformats.org/officeDocument/2006/relationships/hyperlink" Target="https://github.com/AdithyaLingam/tds_project_24f1002079" TargetMode="External"/><Relationship Id="rId324" Type="http://schemas.openxmlformats.org/officeDocument/2006/relationships/hyperlink" Target="https://github.com/iitmadvaith/tds" TargetMode="External"/><Relationship Id="rId329" Type="http://schemas.openxmlformats.org/officeDocument/2006/relationships/hyperlink" Target="https://github.com/sri-4122/TDS-PROJECT1-FINAL" TargetMode="External"/><Relationship Id="rId1390" Type="http://schemas.openxmlformats.org/officeDocument/2006/relationships/hyperlink" Target="https://github.com/divyanshdixit09/tds_project1" TargetMode="External"/><Relationship Id="rId328" Type="http://schemas.openxmlformats.org/officeDocument/2006/relationships/hyperlink" Target="https://github.com/deepika4786/tools-for-data-science-project---1" TargetMode="External"/><Relationship Id="rId1391" Type="http://schemas.openxmlformats.org/officeDocument/2006/relationships/hyperlink" Target="https://github.com/itsrohithreddy/TDS_Project1" TargetMode="External"/><Relationship Id="rId1392" Type="http://schemas.openxmlformats.org/officeDocument/2006/relationships/hyperlink" Target="https://github.com/ajay-iit/TDS-Project-1" TargetMode="External"/><Relationship Id="rId1393" Type="http://schemas.openxmlformats.org/officeDocument/2006/relationships/hyperlink" Target="https://github.com/23f1001172/melbourne-users-data" TargetMode="External"/><Relationship Id="rId1394" Type="http://schemas.openxmlformats.org/officeDocument/2006/relationships/hyperlink" Target="https://github.com/ArnoldMathew1998/TDS-project" TargetMode="External"/><Relationship Id="rId1395" Type="http://schemas.openxmlformats.org/officeDocument/2006/relationships/hyperlink" Target="https://github.com/anivenk25/TDS_project1_Seattle200" TargetMode="External"/><Relationship Id="rId323" Type="http://schemas.openxmlformats.org/officeDocument/2006/relationships/hyperlink" Target="https://github.com/akshaykashyap003/tds_project1" TargetMode="External"/><Relationship Id="rId1396" Type="http://schemas.openxmlformats.org/officeDocument/2006/relationships/hyperlink" Target="https://github.com/Skyehackerdoge/github-london-users" TargetMode="External"/><Relationship Id="rId322" Type="http://schemas.openxmlformats.org/officeDocument/2006/relationships/hyperlink" Target="https://github.com/Ankit972-dotcom/sydney-github-users" TargetMode="External"/><Relationship Id="rId1397" Type="http://schemas.openxmlformats.org/officeDocument/2006/relationships/hyperlink" Target="https://github.com/22f3001673/TDS-Project1" TargetMode="External"/><Relationship Id="rId321" Type="http://schemas.openxmlformats.org/officeDocument/2006/relationships/hyperlink" Target="https://github.com/Stephen-iitm/Melbourne-100" TargetMode="External"/><Relationship Id="rId1398" Type="http://schemas.openxmlformats.org/officeDocument/2006/relationships/hyperlink" Target="https://github.com/ashuiitm/tdsproject1/" TargetMode="External"/><Relationship Id="rId320" Type="http://schemas.openxmlformats.org/officeDocument/2006/relationships/hyperlink" Target="https://github.com/kanha-00001/project-1-final" TargetMode="External"/><Relationship Id="rId1399" Type="http://schemas.openxmlformats.org/officeDocument/2006/relationships/hyperlink" Target="https://github.com/afsi07/github-users-london/tree/main" TargetMode="External"/><Relationship Id="rId1389" Type="http://schemas.openxmlformats.org/officeDocument/2006/relationships/hyperlink" Target="https://github.com/22f3001905/tds-project-1-github-users-repos" TargetMode="External"/><Relationship Id="rId316" Type="http://schemas.openxmlformats.org/officeDocument/2006/relationships/hyperlink" Target="https://github.com/22f1000998/TDS-Project-1" TargetMode="External"/><Relationship Id="rId315" Type="http://schemas.openxmlformats.org/officeDocument/2006/relationships/hyperlink" Target="https://github.com/Bhavana2639/tds-proj-1" TargetMode="External"/><Relationship Id="rId799" Type="http://schemas.openxmlformats.org/officeDocument/2006/relationships/hyperlink" Target="https://github.com/AdityaGuptaVarshney/tds-project1-iitm" TargetMode="External"/><Relationship Id="rId314" Type="http://schemas.openxmlformats.org/officeDocument/2006/relationships/hyperlink" Target="https://github.com/Ayushman-mukherjee/TDS-Project1" TargetMode="External"/><Relationship Id="rId798" Type="http://schemas.openxmlformats.org/officeDocument/2006/relationships/hyperlink" Target="https://github.com/SiriusOrion0301/TDS-PROJECT-1" TargetMode="External"/><Relationship Id="rId313" Type="http://schemas.openxmlformats.org/officeDocument/2006/relationships/hyperlink" Target="https://github.com/Pragati2001589/my_repository" TargetMode="External"/><Relationship Id="rId797" Type="http://schemas.openxmlformats.org/officeDocument/2006/relationships/hyperlink" Target="https://github.com/jagrutiitm/tdsproject1" TargetMode="External"/><Relationship Id="rId319" Type="http://schemas.openxmlformats.org/officeDocument/2006/relationships/hyperlink" Target="https://github.com/shekharkshitij/TDS_Project" TargetMode="External"/><Relationship Id="rId318" Type="http://schemas.openxmlformats.org/officeDocument/2006/relationships/hyperlink" Target="https://github.com/VishwasSaini2006/pro" TargetMode="External"/><Relationship Id="rId317" Type="http://schemas.openxmlformats.org/officeDocument/2006/relationships/hyperlink" Target="https://github.com/infamous-01/TDS-Project-1" TargetMode="External"/><Relationship Id="rId1380" Type="http://schemas.openxmlformats.org/officeDocument/2006/relationships/hyperlink" Target="https://github.com/basubinayak/tds-project-1" TargetMode="External"/><Relationship Id="rId792" Type="http://schemas.openxmlformats.org/officeDocument/2006/relationships/hyperlink" Target="https://github.com/AmanManiTiwari/Tools-In-Data-Science-Project-1" TargetMode="External"/><Relationship Id="rId1381" Type="http://schemas.openxmlformats.org/officeDocument/2006/relationships/hyperlink" Target="https://github.com/22f3002758/TDS-Project1" TargetMode="External"/><Relationship Id="rId791" Type="http://schemas.openxmlformats.org/officeDocument/2006/relationships/hyperlink" Target="https://github.com/gittymadman/TDS_PROJECT_1" TargetMode="External"/><Relationship Id="rId1382" Type="http://schemas.openxmlformats.org/officeDocument/2006/relationships/hyperlink" Target="https://github.com/Mv98dell/Mv/tree/33999fa40510af74122c53f73c6b8df2b53129c9" TargetMode="External"/><Relationship Id="rId790" Type="http://schemas.openxmlformats.org/officeDocument/2006/relationships/hyperlink" Target="https://github.com/Nishtha65/TDS-Project1" TargetMode="External"/><Relationship Id="rId1383" Type="http://schemas.openxmlformats.org/officeDocument/2006/relationships/hyperlink" Target="https://github.com/irabi111/TDSPROJ1" TargetMode="External"/><Relationship Id="rId1384" Type="http://schemas.openxmlformats.org/officeDocument/2006/relationships/hyperlink" Target="https://github.com/Anas007-lab/Toronto_Scraper" TargetMode="External"/><Relationship Id="rId312" Type="http://schemas.openxmlformats.org/officeDocument/2006/relationships/hyperlink" Target="https://github.com/Jatendra/iitm_project1" TargetMode="External"/><Relationship Id="rId796" Type="http://schemas.openxmlformats.org/officeDocument/2006/relationships/hyperlink" Target="https://github.com/theduskyrobe/TDS1" TargetMode="External"/><Relationship Id="rId1385" Type="http://schemas.openxmlformats.org/officeDocument/2006/relationships/hyperlink" Target="https://github.com/Jivraj-18/temp_repo_for_tds_project" TargetMode="External"/><Relationship Id="rId311" Type="http://schemas.openxmlformats.org/officeDocument/2006/relationships/hyperlink" Target="https://github.com/abhistjain/Project_tds" TargetMode="External"/><Relationship Id="rId795" Type="http://schemas.openxmlformats.org/officeDocument/2006/relationships/hyperlink" Target="https://github.com/UJJWALg-08/TDS-Project1" TargetMode="External"/><Relationship Id="rId1386" Type="http://schemas.openxmlformats.org/officeDocument/2006/relationships/hyperlink" Target="https://github.com/ThePenguin12345/TDS_Project1" TargetMode="External"/><Relationship Id="rId310" Type="http://schemas.openxmlformats.org/officeDocument/2006/relationships/hyperlink" Target="https://github.com/antareep18-geek/TDS-project1" TargetMode="External"/><Relationship Id="rId794" Type="http://schemas.openxmlformats.org/officeDocument/2006/relationships/hyperlink" Target="https://github.com/srijan789/tdsproj1" TargetMode="External"/><Relationship Id="rId1387" Type="http://schemas.openxmlformats.org/officeDocument/2006/relationships/hyperlink" Target="https://github.com/shivasanthosh0804/TDSProject-1" TargetMode="External"/><Relationship Id="rId793" Type="http://schemas.openxmlformats.org/officeDocument/2006/relationships/hyperlink" Target="https://github.com/ranashakti7/Sydney_users" TargetMode="External"/><Relationship Id="rId1388" Type="http://schemas.openxmlformats.org/officeDocument/2006/relationships/hyperlink" Target="https://github.com/sneha-singh-12345578998/TDSProj-1" TargetMode="External"/><Relationship Id="rId297" Type="http://schemas.openxmlformats.org/officeDocument/2006/relationships/hyperlink" Target="https://github.com/GOPIKA178/github-data-london" TargetMode="External"/><Relationship Id="rId296" Type="http://schemas.openxmlformats.org/officeDocument/2006/relationships/hyperlink" Target="https://github.com/BriIITM/Project1-TDS" TargetMode="External"/><Relationship Id="rId295" Type="http://schemas.openxmlformats.org/officeDocument/2006/relationships/hyperlink" Target="https://github.com/Gunjan-gif/tds_p1" TargetMode="External"/><Relationship Id="rId294" Type="http://schemas.openxmlformats.org/officeDocument/2006/relationships/hyperlink" Target="https://github.com/Stephen-iitm/Melbourne-100" TargetMode="External"/><Relationship Id="rId299" Type="http://schemas.openxmlformats.org/officeDocument/2006/relationships/hyperlink" Target="https://github.com/Sahith200444/github-user-data" TargetMode="External"/><Relationship Id="rId298" Type="http://schemas.openxmlformats.org/officeDocument/2006/relationships/hyperlink" Target="https://github.com/uma1979/github-api-analysis" TargetMode="External"/><Relationship Id="rId271" Type="http://schemas.openxmlformats.org/officeDocument/2006/relationships/hyperlink" Target="https://github.com/ro-jc/tds-proj-1" TargetMode="External"/><Relationship Id="rId270" Type="http://schemas.openxmlformats.org/officeDocument/2006/relationships/hyperlink" Target="https://github.com/Gunjan-gif/tds_p1" TargetMode="External"/><Relationship Id="rId269" Type="http://schemas.openxmlformats.org/officeDocument/2006/relationships/hyperlink" Target="https://github.com/notnikita21/TDS-Project-1" TargetMode="External"/><Relationship Id="rId264" Type="http://schemas.openxmlformats.org/officeDocument/2006/relationships/hyperlink" Target="https://github.com/Param302/TDS-Project1" TargetMode="External"/><Relationship Id="rId263" Type="http://schemas.openxmlformats.org/officeDocument/2006/relationships/hyperlink" Target="https://github.com/Rivansh-Illika/TDS-ASSIGNMENT-P-1" TargetMode="External"/><Relationship Id="rId262" Type="http://schemas.openxmlformats.org/officeDocument/2006/relationships/hyperlink" Target="https://github.com/myGreatLoveM/tds-project-1" TargetMode="External"/><Relationship Id="rId261" Type="http://schemas.openxmlformats.org/officeDocument/2006/relationships/hyperlink" Target="https://github.com/iitmanshi/tdsp1" TargetMode="External"/><Relationship Id="rId268" Type="http://schemas.openxmlformats.org/officeDocument/2006/relationships/hyperlink" Target="https://github.com/amitkrajput08/IITM_TDS_PROJECT1" TargetMode="External"/><Relationship Id="rId267" Type="http://schemas.openxmlformats.org/officeDocument/2006/relationships/hyperlink" Target="https://github.com/Mr-GauravKumar/TDS-P1" TargetMode="External"/><Relationship Id="rId266" Type="http://schemas.openxmlformats.org/officeDocument/2006/relationships/hyperlink" Target="https://github.com/vivek-2028/TDS-Project-1" TargetMode="External"/><Relationship Id="rId265" Type="http://schemas.openxmlformats.org/officeDocument/2006/relationships/hyperlink" Target="https://github.com/hsnak2245/tds_p1" TargetMode="External"/><Relationship Id="rId260" Type="http://schemas.openxmlformats.org/officeDocument/2006/relationships/hyperlink" Target="https://github.com/bhupendra1008/tds_project_1" TargetMode="External"/><Relationship Id="rId259" Type="http://schemas.openxmlformats.org/officeDocument/2006/relationships/hyperlink" Target="https://github.com/Amarks14/TDS_P1" TargetMode="External"/><Relationship Id="rId258" Type="http://schemas.openxmlformats.org/officeDocument/2006/relationships/hyperlink" Target="https://github.com/22f2000784/basel-github-data-analysis" TargetMode="External"/><Relationship Id="rId253" Type="http://schemas.openxmlformats.org/officeDocument/2006/relationships/hyperlink" Target="https://github.com/gittymadman/TDS_PROJECT_1" TargetMode="External"/><Relationship Id="rId252" Type="http://schemas.openxmlformats.org/officeDocument/2006/relationships/hyperlink" Target="https://github.com/ro-jc/tds-proj-1" TargetMode="External"/><Relationship Id="rId251" Type="http://schemas.openxmlformats.org/officeDocument/2006/relationships/hyperlink" Target="https://github.com/24f1002112/Project1TDS" TargetMode="External"/><Relationship Id="rId250" Type="http://schemas.openxmlformats.org/officeDocument/2006/relationships/hyperlink" Target="https://github.com/Mr-GauravKumar/TDS-P1" TargetMode="External"/><Relationship Id="rId257" Type="http://schemas.openxmlformats.org/officeDocument/2006/relationships/hyperlink" Target="https://github.com/21f2001136/tds_1" TargetMode="External"/><Relationship Id="rId256" Type="http://schemas.openxmlformats.org/officeDocument/2006/relationships/hyperlink" Target="https://github.com/navuexists/tds-project-1-navya" TargetMode="External"/><Relationship Id="rId255" Type="http://schemas.openxmlformats.org/officeDocument/2006/relationships/hyperlink" Target="https://github.com/Avinash94567/tdsp1" TargetMode="External"/><Relationship Id="rId254" Type="http://schemas.openxmlformats.org/officeDocument/2006/relationships/hyperlink" Target="https://github.com/23f2004527/TDS_Project1" TargetMode="External"/><Relationship Id="rId293" Type="http://schemas.openxmlformats.org/officeDocument/2006/relationships/hyperlink" Target="https://github.com/amitkrajput08/IITM_TDS_PROJECT1" TargetMode="External"/><Relationship Id="rId292" Type="http://schemas.openxmlformats.org/officeDocument/2006/relationships/hyperlink" Target="https://github.com/shekharkshitij/TDS_Project" TargetMode="External"/><Relationship Id="rId291" Type="http://schemas.openxmlformats.org/officeDocument/2006/relationships/hyperlink" Target="https://github.com/vivek-2028/TDS-Project-1" TargetMode="External"/><Relationship Id="rId290" Type="http://schemas.openxmlformats.org/officeDocument/2006/relationships/hyperlink" Target="https://github.com/infamous-01/TDS-Project-1" TargetMode="External"/><Relationship Id="rId286" Type="http://schemas.openxmlformats.org/officeDocument/2006/relationships/hyperlink" Target="https://github.com/Pragati2001589/my_repository" TargetMode="External"/><Relationship Id="rId285" Type="http://schemas.openxmlformats.org/officeDocument/2006/relationships/hyperlink" Target="https://github.com/myGreatLoveM/tds-project-1" TargetMode="External"/><Relationship Id="rId284" Type="http://schemas.openxmlformats.org/officeDocument/2006/relationships/hyperlink" Target="https://github.com/abhistjain/Project_tds" TargetMode="External"/><Relationship Id="rId283" Type="http://schemas.openxmlformats.org/officeDocument/2006/relationships/hyperlink" Target="https://github.com/KrishnaDhankar/Project_TDS" TargetMode="External"/><Relationship Id="rId289" Type="http://schemas.openxmlformats.org/officeDocument/2006/relationships/hyperlink" Target="https://github.com/22f1001786-iitm/-Shanghai-200" TargetMode="External"/><Relationship Id="rId288" Type="http://schemas.openxmlformats.org/officeDocument/2006/relationships/hyperlink" Target="https://github.com/Bhavana2639/tds-proj-1" TargetMode="External"/><Relationship Id="rId287" Type="http://schemas.openxmlformats.org/officeDocument/2006/relationships/hyperlink" Target="https://github.com/Param302/TDS-Project1" TargetMode="External"/><Relationship Id="rId282" Type="http://schemas.openxmlformats.org/officeDocument/2006/relationships/hyperlink" Target="https://github.com/gotherwal/TDS_Project1" TargetMode="External"/><Relationship Id="rId281" Type="http://schemas.openxmlformats.org/officeDocument/2006/relationships/hyperlink" Target="https://github.com/bhupendra1008/tds_project_1" TargetMode="External"/><Relationship Id="rId280" Type="http://schemas.openxmlformats.org/officeDocument/2006/relationships/hyperlink" Target="https://github.com/iitm-student/Project1" TargetMode="External"/><Relationship Id="rId275" Type="http://schemas.openxmlformats.org/officeDocument/2006/relationships/hyperlink" Target="https://github.com/navuexists/tds-project-1-navya" TargetMode="External"/><Relationship Id="rId274" Type="http://schemas.openxmlformats.org/officeDocument/2006/relationships/hyperlink" Target="https://github.com/Sahith200444/github-user-data" TargetMode="External"/><Relationship Id="rId273" Type="http://schemas.openxmlformats.org/officeDocument/2006/relationships/hyperlink" Target="https://github.com/23f2004527/TDS_Project1" TargetMode="External"/><Relationship Id="rId272" Type="http://schemas.openxmlformats.org/officeDocument/2006/relationships/hyperlink" Target="https://github.com/GOPIKA178/github-data-london" TargetMode="External"/><Relationship Id="rId279" Type="http://schemas.openxmlformats.org/officeDocument/2006/relationships/hyperlink" Target="https://github.com/harikrishnajiju/github-city-user-analyzer" TargetMode="External"/><Relationship Id="rId278" Type="http://schemas.openxmlformats.org/officeDocument/2006/relationships/hyperlink" Target="https://github.com/Rajnish2899/Mynewproject" TargetMode="External"/><Relationship Id="rId277" Type="http://schemas.openxmlformats.org/officeDocument/2006/relationships/hyperlink" Target="https://github.com/22f2000784/basel-github-data-analysis" TargetMode="External"/><Relationship Id="rId276" Type="http://schemas.openxmlformats.org/officeDocument/2006/relationships/hyperlink" Target="https://github.com/KSoham-dev/TDS-Project-I" TargetMode="External"/><Relationship Id="rId1810" Type="http://schemas.openxmlformats.org/officeDocument/2006/relationships/hyperlink" Target="https://github.com/Tanuroy10/TdsProject" TargetMode="External"/><Relationship Id="rId1811" Type="http://schemas.openxmlformats.org/officeDocument/2006/relationships/hyperlink" Target="https://github.com/kashishbansal920/Project-TDS" TargetMode="External"/><Relationship Id="rId1812" Type="http://schemas.openxmlformats.org/officeDocument/2006/relationships/hyperlink" Target="https://github.com/anshulbaliga7/iitm-tds-project1" TargetMode="External"/><Relationship Id="rId1813" Type="http://schemas.openxmlformats.org/officeDocument/2006/relationships/hyperlink" Target="https://github.com/AbhimanyuDwivedi282/TDS-Project_1" TargetMode="External"/><Relationship Id="rId1814" Type="http://schemas.openxmlformats.org/officeDocument/2006/relationships/hyperlink" Target="https://github.com/fahmeed1713/GitHub-Users-and-Repositories-Data-Scraper" TargetMode="External"/><Relationship Id="rId1815" Type="http://schemas.openxmlformats.org/officeDocument/2006/relationships/hyperlink" Target="https://github.com/22f3001673/TDS-Project1" TargetMode="External"/><Relationship Id="rId1816" Type="http://schemas.openxmlformats.org/officeDocument/2006/relationships/hyperlink" Target="https://github.com/Nandhini-Ammaiappan/Project1" TargetMode="External"/><Relationship Id="rId1817" Type="http://schemas.openxmlformats.org/officeDocument/2006/relationships/hyperlink" Target="https://github.com/mdjawed372/tds-project1" TargetMode="External"/><Relationship Id="rId1818" Type="http://schemas.openxmlformats.org/officeDocument/2006/relationships/hyperlink" Target="https://github.com/Shilajit04/TDS-Project-1" TargetMode="External"/><Relationship Id="rId1819" Type="http://schemas.openxmlformats.org/officeDocument/2006/relationships/hyperlink" Target="https://github.com/SaloniSingh1254/seattle200" TargetMode="External"/><Relationship Id="rId1800" Type="http://schemas.openxmlformats.org/officeDocument/2006/relationships/hyperlink" Target="https://github.com/AMIRTHAKATESAN-M/TDS-PROJECT-1" TargetMode="External"/><Relationship Id="rId1801" Type="http://schemas.openxmlformats.org/officeDocument/2006/relationships/hyperlink" Target="https://github.com/MANAV-py/tds_project1" TargetMode="External"/><Relationship Id="rId1802" Type="http://schemas.openxmlformats.org/officeDocument/2006/relationships/hyperlink" Target="https://github.com/anantdev123/Project1" TargetMode="External"/><Relationship Id="rId1803" Type="http://schemas.openxmlformats.org/officeDocument/2006/relationships/hyperlink" Target="https://github.com/Jahnavi530/TDS-Project-1" TargetMode="External"/><Relationship Id="rId1804" Type="http://schemas.openxmlformats.org/officeDocument/2006/relationships/hyperlink" Target="https://github.com/anshikaatiwari/tdsp1" TargetMode="External"/><Relationship Id="rId1805" Type="http://schemas.openxmlformats.org/officeDocument/2006/relationships/hyperlink" Target="https://github.com/RishabhBarthwal28/TDS-PROJECT-1" TargetMode="External"/><Relationship Id="rId1806" Type="http://schemas.openxmlformats.org/officeDocument/2006/relationships/hyperlink" Target="https://github.com/Karanshrivastav/tds_project_1" TargetMode="External"/><Relationship Id="rId1807" Type="http://schemas.openxmlformats.org/officeDocument/2006/relationships/hyperlink" Target="https://github.com/IITM-007/Project1/tree/main" TargetMode="External"/><Relationship Id="rId1808" Type="http://schemas.openxmlformats.org/officeDocument/2006/relationships/hyperlink" Target="https://github.com/Anu-IITM/Tds_project1" TargetMode="External"/><Relationship Id="rId1809" Type="http://schemas.openxmlformats.org/officeDocument/2006/relationships/hyperlink" Target="https://github.com/ShivamAgrawal100/TDS-Project1" TargetMode="External"/><Relationship Id="rId1830" Type="http://schemas.openxmlformats.org/officeDocument/2006/relationships/hyperlink" Target="https://github.com/aksarwar/tds-project" TargetMode="External"/><Relationship Id="rId1831" Type="http://schemas.openxmlformats.org/officeDocument/2006/relationships/drawing" Target="../drawings/drawing3.xml"/><Relationship Id="rId1820" Type="http://schemas.openxmlformats.org/officeDocument/2006/relationships/hyperlink" Target="https://github.com/KD-kaustubh/Tds-project-1" TargetMode="External"/><Relationship Id="rId1821" Type="http://schemas.openxmlformats.org/officeDocument/2006/relationships/hyperlink" Target="https://github.com/23f2004417/23f2004417_TDS_Project1" TargetMode="External"/><Relationship Id="rId1822" Type="http://schemas.openxmlformats.org/officeDocument/2006/relationships/hyperlink" Target="https://github.com/theduskyrobe/TDS1" TargetMode="External"/><Relationship Id="rId1823" Type="http://schemas.openxmlformats.org/officeDocument/2006/relationships/hyperlink" Target="https://github.com/Anas007-lab/Toronto_Scraper" TargetMode="External"/><Relationship Id="rId1824" Type="http://schemas.openxmlformats.org/officeDocument/2006/relationships/hyperlink" Target="https://github.com/Aakash-Prime/github-users-chennai" TargetMode="External"/><Relationship Id="rId1825" Type="http://schemas.openxmlformats.org/officeDocument/2006/relationships/hyperlink" Target="https://github.com/Karthikey2003/tdsproj1" TargetMode="External"/><Relationship Id="rId1826" Type="http://schemas.openxmlformats.org/officeDocument/2006/relationships/hyperlink" Target="https://github.com/RITIK-CHAUDHRY/project-1" TargetMode="External"/><Relationship Id="rId1827" Type="http://schemas.openxmlformats.org/officeDocument/2006/relationships/hyperlink" Target="https://github.com/spacetime177/tds_proj" TargetMode="External"/><Relationship Id="rId1828" Type="http://schemas.openxmlformats.org/officeDocument/2006/relationships/hyperlink" Target="https://github.com/tiwariannanya/TDS_Project_1_Berlin" TargetMode="External"/><Relationship Id="rId1829" Type="http://schemas.openxmlformats.org/officeDocument/2006/relationships/hyperlink" Target="https://github.com/akulbansal1/TDS_Project_1" TargetMode="External"/><Relationship Id="rId1455" Type="http://schemas.openxmlformats.org/officeDocument/2006/relationships/hyperlink" Target="https://github.com/himanshu-IIT-M/project1" TargetMode="External"/><Relationship Id="rId1456" Type="http://schemas.openxmlformats.org/officeDocument/2006/relationships/hyperlink" Target="https://github.com/Kabilan-18/TDS-Project1/" TargetMode="External"/><Relationship Id="rId1457" Type="http://schemas.openxmlformats.org/officeDocument/2006/relationships/hyperlink" Target="https://github.com/a1zen77/tds_p1" TargetMode="External"/><Relationship Id="rId1458" Type="http://schemas.openxmlformats.org/officeDocument/2006/relationships/hyperlink" Target="https://github.com/mdjawed372/tds-project1" TargetMode="External"/><Relationship Id="rId1459" Type="http://schemas.openxmlformats.org/officeDocument/2006/relationships/hyperlink" Target="https://github.com/tanishka-26saxena/Tokyo-200" TargetMode="External"/><Relationship Id="rId629" Type="http://schemas.openxmlformats.org/officeDocument/2006/relationships/hyperlink" Target="https://github.com/vikashkj2024/tds-project-1" TargetMode="External"/><Relationship Id="rId624" Type="http://schemas.openxmlformats.org/officeDocument/2006/relationships/hyperlink" Target="https://github.com/Yashi-code/dublin-developer-data/tree/main" TargetMode="External"/><Relationship Id="rId623" Type="http://schemas.openxmlformats.org/officeDocument/2006/relationships/hyperlink" Target="https://github.com/Jayaraja-SK/TDS-Project1" TargetMode="External"/><Relationship Id="rId622" Type="http://schemas.openxmlformats.org/officeDocument/2006/relationships/hyperlink" Target="https://github.com/anjupbse91/TDS-Project1" TargetMode="External"/><Relationship Id="rId621" Type="http://schemas.openxmlformats.org/officeDocument/2006/relationships/hyperlink" Target="https://github.com/bhumi-gupta2201/Austin100.git" TargetMode="External"/><Relationship Id="rId628" Type="http://schemas.openxmlformats.org/officeDocument/2006/relationships/hyperlink" Target="https://github.com/Keshav22f2001196/TDS-project1" TargetMode="External"/><Relationship Id="rId627" Type="http://schemas.openxmlformats.org/officeDocument/2006/relationships/hyperlink" Target="https://github.com/Saagar-22/Hyderabad_50" TargetMode="External"/><Relationship Id="rId626" Type="http://schemas.openxmlformats.org/officeDocument/2006/relationships/hyperlink" Target="https://github.com/harrycode54/Stockholm100" TargetMode="External"/><Relationship Id="rId625" Type="http://schemas.openxmlformats.org/officeDocument/2006/relationships/hyperlink" Target="https://github.com/jalajverma007/tds-pj1" TargetMode="External"/><Relationship Id="rId1450" Type="http://schemas.openxmlformats.org/officeDocument/2006/relationships/hyperlink" Target="https://github.com/itznoor998/TDS_project1" TargetMode="External"/><Relationship Id="rId620" Type="http://schemas.openxmlformats.org/officeDocument/2006/relationships/hyperlink" Target="https://github.com/mailkharshvardhan/chicago-developers-data" TargetMode="External"/><Relationship Id="rId1451" Type="http://schemas.openxmlformats.org/officeDocument/2006/relationships/hyperlink" Target="https://github.com/Madhu1005/tds-project1" TargetMode="External"/><Relationship Id="rId1452" Type="http://schemas.openxmlformats.org/officeDocument/2006/relationships/hyperlink" Target="https://github.com/sumitt2408/github-users-london" TargetMode="External"/><Relationship Id="rId1453" Type="http://schemas.openxmlformats.org/officeDocument/2006/relationships/hyperlink" Target="https://github.com/vijayabhaskar78/TDS-PROJECT-1" TargetMode="External"/><Relationship Id="rId1454" Type="http://schemas.openxmlformats.org/officeDocument/2006/relationships/hyperlink" Target="https://github.com/psmidhunreddy/tdsp1" TargetMode="External"/><Relationship Id="rId1444" Type="http://schemas.openxmlformats.org/officeDocument/2006/relationships/hyperlink" Target="https://github.com/jhaaj08/TDS_project1" TargetMode="External"/><Relationship Id="rId1445" Type="http://schemas.openxmlformats.org/officeDocument/2006/relationships/hyperlink" Target="https://github.com/AryanThakur-123/TDS-Project-1" TargetMode="External"/><Relationship Id="rId1446" Type="http://schemas.openxmlformats.org/officeDocument/2006/relationships/hyperlink" Target="https://github.com/aerosibin/TDS_Pro-1" TargetMode="External"/><Relationship Id="rId1447" Type="http://schemas.openxmlformats.org/officeDocument/2006/relationships/hyperlink" Target="https://github.com/psmidhunreddy/tdsp1" TargetMode="External"/><Relationship Id="rId1448" Type="http://schemas.openxmlformats.org/officeDocument/2006/relationships/hyperlink" Target="https://github.com/imposter7/seattle-github-users" TargetMode="External"/><Relationship Id="rId1449" Type="http://schemas.openxmlformats.org/officeDocument/2006/relationships/hyperlink" Target="https://github.com/Amankumar0017/TDS-Project-1" TargetMode="External"/><Relationship Id="rId619" Type="http://schemas.openxmlformats.org/officeDocument/2006/relationships/hyperlink" Target="https://github.com/perceptron-01/project-1" TargetMode="External"/><Relationship Id="rId618" Type="http://schemas.openxmlformats.org/officeDocument/2006/relationships/hyperlink" Target="https://github.com/23f2004839/TDS-Project-1" TargetMode="External"/><Relationship Id="rId613" Type="http://schemas.openxmlformats.org/officeDocument/2006/relationships/hyperlink" Target="https://github.com/karthikeyan456/tdsproject1" TargetMode="External"/><Relationship Id="rId612" Type="http://schemas.openxmlformats.org/officeDocument/2006/relationships/hyperlink" Target="https://github.com/Saravanan1508/IITM_TDS_Project_1" TargetMode="External"/><Relationship Id="rId611" Type="http://schemas.openxmlformats.org/officeDocument/2006/relationships/hyperlink" Target="https://github.com/ManuIITM-Coder/MOSCOW-50" TargetMode="External"/><Relationship Id="rId610" Type="http://schemas.openxmlformats.org/officeDocument/2006/relationships/hyperlink" Target="https://github.com/Avisiingh/tdsproject1/tree/main" TargetMode="External"/><Relationship Id="rId617" Type="http://schemas.openxmlformats.org/officeDocument/2006/relationships/hyperlink" Target="https://github.com/21f1002976/tds_project_1" TargetMode="External"/><Relationship Id="rId616" Type="http://schemas.openxmlformats.org/officeDocument/2006/relationships/hyperlink" Target="https://github.com/bl00m-byte/TDS-Project-1" TargetMode="External"/><Relationship Id="rId615" Type="http://schemas.openxmlformats.org/officeDocument/2006/relationships/hyperlink" Target="https://github.com/KaustubhaRam/London_GitHub_Users" TargetMode="External"/><Relationship Id="rId614" Type="http://schemas.openxmlformats.org/officeDocument/2006/relationships/hyperlink" Target="https://github.com/deepika4786/tools-for-data-science-project---1/blob/main/repositories.csv" TargetMode="External"/><Relationship Id="rId1440" Type="http://schemas.openxmlformats.org/officeDocument/2006/relationships/hyperlink" Target="https://github.com/Anupama-Manjunath/22f3003253_tdsPA1" TargetMode="External"/><Relationship Id="rId1441" Type="http://schemas.openxmlformats.org/officeDocument/2006/relationships/hyperlink" Target="https://github.com/JaySoni77/Project-1" TargetMode="External"/><Relationship Id="rId1442" Type="http://schemas.openxmlformats.org/officeDocument/2006/relationships/hyperlink" Target="https://github.com/Praviniitm/Project_Moscow" TargetMode="External"/><Relationship Id="rId1443" Type="http://schemas.openxmlformats.org/officeDocument/2006/relationships/hyperlink" Target="https://github.com/AkshatGupta327/TDS_proj_1" TargetMode="External"/><Relationship Id="rId1477" Type="http://schemas.openxmlformats.org/officeDocument/2006/relationships/hyperlink" Target="https://github.com/virajjdm1/TDS-Project-1" TargetMode="External"/><Relationship Id="rId1478" Type="http://schemas.openxmlformats.org/officeDocument/2006/relationships/hyperlink" Target="https://github.com/S23fVK" TargetMode="External"/><Relationship Id="rId1479" Type="http://schemas.openxmlformats.org/officeDocument/2006/relationships/hyperlink" Target="https://github.com/sumitt2408/github-users-london" TargetMode="External"/><Relationship Id="rId646" Type="http://schemas.openxmlformats.org/officeDocument/2006/relationships/hyperlink" Target="https://github.com/sanskar-gupta206/TDS_P1" TargetMode="External"/><Relationship Id="rId645" Type="http://schemas.openxmlformats.org/officeDocument/2006/relationships/hyperlink" Target="https://github.com/regisprabha/TDS-Project1" TargetMode="External"/><Relationship Id="rId644" Type="http://schemas.openxmlformats.org/officeDocument/2006/relationships/hyperlink" Target="https://github.com/ankit-ksh/tds_mini_project_i" TargetMode="External"/><Relationship Id="rId643" Type="http://schemas.openxmlformats.org/officeDocument/2006/relationships/hyperlink" Target="https://github.com/Saradha24ds1000095/TDS_Project1/" TargetMode="External"/><Relationship Id="rId649" Type="http://schemas.openxmlformats.org/officeDocument/2006/relationships/hyperlink" Target="https://github.com/vilas-007/TDS-project1" TargetMode="External"/><Relationship Id="rId648" Type="http://schemas.openxmlformats.org/officeDocument/2006/relationships/hyperlink" Target="https://github.com/m55d/P1_md" TargetMode="External"/><Relationship Id="rId647" Type="http://schemas.openxmlformats.org/officeDocument/2006/relationships/hyperlink" Target="https://github.com/Rajalakshmi12/IITM_Tds_Project1" TargetMode="External"/><Relationship Id="rId1470" Type="http://schemas.openxmlformats.org/officeDocument/2006/relationships/hyperlink" Target="https://github.com/SnehaKukrety/TDS_Project1/tree/main" TargetMode="External"/><Relationship Id="rId1471" Type="http://schemas.openxmlformats.org/officeDocument/2006/relationships/hyperlink" Target="https://github.com/22f3001738/tds-project-1" TargetMode="External"/><Relationship Id="rId1472" Type="http://schemas.openxmlformats.org/officeDocument/2006/relationships/hyperlink" Target="https://github.com/swalihaattar/IITM_TDS_P1" TargetMode="External"/><Relationship Id="rId642" Type="http://schemas.openxmlformats.org/officeDocument/2006/relationships/hyperlink" Target="https://github.com/Reena-Ydv/TDS" TargetMode="External"/><Relationship Id="rId1473" Type="http://schemas.openxmlformats.org/officeDocument/2006/relationships/hyperlink" Target="https://github.com/madhavdasm/tdsproject" TargetMode="External"/><Relationship Id="rId641" Type="http://schemas.openxmlformats.org/officeDocument/2006/relationships/hyperlink" Target="https://github.com/VijeethC300/BangaloreGitHubUsers" TargetMode="External"/><Relationship Id="rId1474" Type="http://schemas.openxmlformats.org/officeDocument/2006/relationships/hyperlink" Target="https://github.com/vanshikaaraisinghani/TDSProjectt" TargetMode="External"/><Relationship Id="rId640" Type="http://schemas.openxmlformats.org/officeDocument/2006/relationships/hyperlink" Target="https://github.com/SharmilSrivathsa/TDS-Project-1" TargetMode="External"/><Relationship Id="rId1475" Type="http://schemas.openxmlformats.org/officeDocument/2006/relationships/hyperlink" Target="https://github.co22f2001193-neeraj-menon-iitm/TDS_Project_1" TargetMode="External"/><Relationship Id="rId1476" Type="http://schemas.openxmlformats.org/officeDocument/2006/relationships/hyperlink" Target="https://github.com/jayandral/TDS_Project1" TargetMode="External"/><Relationship Id="rId1466" Type="http://schemas.openxmlformats.org/officeDocument/2006/relationships/hyperlink" Target="https://github.com/Abhinav3499/TDS_Project_1" TargetMode="External"/><Relationship Id="rId1467" Type="http://schemas.openxmlformats.org/officeDocument/2006/relationships/hyperlink" Target="https://github.com/24f1002025/TDS-Project-1-User-Repository-Scrapping" TargetMode="External"/><Relationship Id="rId1468" Type="http://schemas.openxmlformats.org/officeDocument/2006/relationships/hyperlink" Target="https://github.com/Sa007tish/hyd-gitanalysis" TargetMode="External"/><Relationship Id="rId1469" Type="http://schemas.openxmlformats.org/officeDocument/2006/relationships/hyperlink" Target="https://github.com/Happytth/tds-project1" TargetMode="External"/><Relationship Id="rId635" Type="http://schemas.openxmlformats.org/officeDocument/2006/relationships/hyperlink" Target="https://github.com/Rxhit1/TDSproj1/tree/main" TargetMode="External"/><Relationship Id="rId634" Type="http://schemas.openxmlformats.org/officeDocument/2006/relationships/hyperlink" Target="https://github.com/KanishkarIITM/Proj1" TargetMode="External"/><Relationship Id="rId633" Type="http://schemas.openxmlformats.org/officeDocument/2006/relationships/hyperlink" Target="https://github.com/infamous-01/TDS-Project-1" TargetMode="External"/><Relationship Id="rId632" Type="http://schemas.openxmlformats.org/officeDocument/2006/relationships/hyperlink" Target="https://github.com/shobhit8948/TDA-Project1" TargetMode="External"/><Relationship Id="rId639" Type="http://schemas.openxmlformats.org/officeDocument/2006/relationships/hyperlink" Target="https://github.com/Prajwalit-Tiwari/TDS_Project1" TargetMode="External"/><Relationship Id="rId638" Type="http://schemas.openxmlformats.org/officeDocument/2006/relationships/hyperlink" Target="https://github.com/Bhaargavi29/Moscow-50-repo" TargetMode="External"/><Relationship Id="rId637" Type="http://schemas.openxmlformats.org/officeDocument/2006/relationships/hyperlink" Target="https://github.com/vaibhavgupta-iitm/TDS-Project-1" TargetMode="External"/><Relationship Id="rId636" Type="http://schemas.openxmlformats.org/officeDocument/2006/relationships/hyperlink" Target="https://github.com/Harshachowdary2012/Berlin-200-Analysis-TDS" TargetMode="External"/><Relationship Id="rId1460" Type="http://schemas.openxmlformats.org/officeDocument/2006/relationships/hyperlink" Target="https://github.com/24f1002025/TDS-Project-1-User-Repository-Scrapping" TargetMode="External"/><Relationship Id="rId1461" Type="http://schemas.openxmlformats.org/officeDocument/2006/relationships/hyperlink" Target="https://github.com/rishabh-iitm/project1" TargetMode="External"/><Relationship Id="rId631" Type="http://schemas.openxmlformats.org/officeDocument/2006/relationships/hyperlink" Target="https://github.com/sneh2105/tds_proj1" TargetMode="External"/><Relationship Id="rId1462" Type="http://schemas.openxmlformats.org/officeDocument/2006/relationships/hyperlink" Target="https://github.com/Ashiskushwaha/project-1" TargetMode="External"/><Relationship Id="rId630" Type="http://schemas.openxmlformats.org/officeDocument/2006/relationships/hyperlink" Target="https://github.com/22f2001730/TDS_P1" TargetMode="External"/><Relationship Id="rId1463" Type="http://schemas.openxmlformats.org/officeDocument/2006/relationships/hyperlink" Target="https://github.com/puneeth2907/TDS-Project-1" TargetMode="External"/><Relationship Id="rId1464" Type="http://schemas.openxmlformats.org/officeDocument/2006/relationships/hyperlink" Target="https://github.com/Chandra37918/IITM-TDS-Project1" TargetMode="External"/><Relationship Id="rId1465" Type="http://schemas.openxmlformats.org/officeDocument/2006/relationships/hyperlink" Target="https://github.com/kasturi190602/TDSProject" TargetMode="External"/><Relationship Id="rId1411" Type="http://schemas.openxmlformats.org/officeDocument/2006/relationships/hyperlink" Target="https://github.com/23f2004165/Scraping-GitHub-Users-And-Their-Repos-TDS-Project1-" TargetMode="External"/><Relationship Id="rId1412" Type="http://schemas.openxmlformats.org/officeDocument/2006/relationships/hyperlink" Target="https://github.com/aksarwar/tds-project" TargetMode="External"/><Relationship Id="rId1413" Type="http://schemas.openxmlformats.org/officeDocument/2006/relationships/hyperlink" Target="https://github.com/surbhi553/Toronto100" TargetMode="External"/><Relationship Id="rId1414" Type="http://schemas.openxmlformats.org/officeDocument/2006/relationships/hyperlink" Target="https://github.com/QuixoticPsyche/tds-project-1" TargetMode="External"/><Relationship Id="rId1415" Type="http://schemas.openxmlformats.org/officeDocument/2006/relationships/hyperlink" Target="https://github.com/hack-sketch/tds-project" TargetMode="External"/><Relationship Id="rId1416" Type="http://schemas.openxmlformats.org/officeDocument/2006/relationships/hyperlink" Target="https://github.com/EnggAditya03/ds" TargetMode="External"/><Relationship Id="rId1417" Type="http://schemas.openxmlformats.org/officeDocument/2006/relationships/hyperlink" Target="https://github.com/hameed-student/tds-project-1" TargetMode="External"/><Relationship Id="rId1418" Type="http://schemas.openxmlformats.org/officeDocument/2006/relationships/hyperlink" Target="https://github.com/AryanThakur-123/TDS-Project-1" TargetMode="External"/><Relationship Id="rId1419" Type="http://schemas.openxmlformats.org/officeDocument/2006/relationships/hyperlink" Target="https://github.com/mdnabeelmn10/TDS_Project1_23f1001173" TargetMode="External"/><Relationship Id="rId1410" Type="http://schemas.openxmlformats.org/officeDocument/2006/relationships/hyperlink" Target="https://github.com/RITIK-CHAUDHRY/project-1" TargetMode="External"/><Relationship Id="rId1400" Type="http://schemas.openxmlformats.org/officeDocument/2006/relationships/hyperlink" Target="https://github.com/kamalesh-79/tdsproj/tree/main" TargetMode="External"/><Relationship Id="rId1401" Type="http://schemas.openxmlformats.org/officeDocument/2006/relationships/hyperlink" Target="https://github.com/Sreekar-1804/Tds_Project_1" TargetMode="External"/><Relationship Id="rId1402" Type="http://schemas.openxmlformats.org/officeDocument/2006/relationships/hyperlink" Target="https://github.com/Rishi-Bhatt/TDS-Project1-Sept2024" TargetMode="External"/><Relationship Id="rId1403" Type="http://schemas.openxmlformats.org/officeDocument/2006/relationships/hyperlink" Target="https://github.com/kdiitm99/tds-project1" TargetMode="External"/><Relationship Id="rId1404" Type="http://schemas.openxmlformats.org/officeDocument/2006/relationships/hyperlink" Target="https://github.com/AMIRTHAKATESAN-M/TDS-PROJECT-1" TargetMode="External"/><Relationship Id="rId1405" Type="http://schemas.openxmlformats.org/officeDocument/2006/relationships/hyperlink" Target="https://github.com/foriitm/p01" TargetMode="External"/><Relationship Id="rId1406" Type="http://schemas.openxmlformats.org/officeDocument/2006/relationships/hyperlink" Target="https://github.com/Jahnavi530/TDS-Project-1" TargetMode="External"/><Relationship Id="rId1407" Type="http://schemas.openxmlformats.org/officeDocument/2006/relationships/hyperlink" Target="https://github.com/Anvitha-Reddy-132218/TDS_Assignment" TargetMode="External"/><Relationship Id="rId1408" Type="http://schemas.openxmlformats.org/officeDocument/2006/relationships/hyperlink" Target="https://github.com/fahmeed1713/GitHub-Users-and-Repositories-Data-Scraper" TargetMode="External"/><Relationship Id="rId1409" Type="http://schemas.openxmlformats.org/officeDocument/2006/relationships/hyperlink" Target="https://github.com/AbhimanyuDwivedi282/TDS-Project_1" TargetMode="External"/><Relationship Id="rId1433" Type="http://schemas.openxmlformats.org/officeDocument/2006/relationships/hyperlink" Target="https://github.com/jayasri-js/github-london-users" TargetMode="External"/><Relationship Id="rId1434" Type="http://schemas.openxmlformats.org/officeDocument/2006/relationships/hyperlink" Target="https://github.com/Vscode918/Moscow-users/" TargetMode="External"/><Relationship Id="rId1435" Type="http://schemas.openxmlformats.org/officeDocument/2006/relationships/hyperlink" Target="https://github.com/Chandra37918/IITM-TDS-Project1" TargetMode="External"/><Relationship Id="rId1436" Type="http://schemas.openxmlformats.org/officeDocument/2006/relationships/hyperlink" Target="https://github.com/heyitsshreya/Austin-GitHub-Users-Analysis" TargetMode="External"/><Relationship Id="rId1437" Type="http://schemas.openxmlformats.org/officeDocument/2006/relationships/hyperlink" Target="https://github.com/TheMHarsh/TDS_P1" TargetMode="External"/><Relationship Id="rId1438" Type="http://schemas.openxmlformats.org/officeDocument/2006/relationships/hyperlink" Target="https://github.com/rahulyadav46691499/TDS_project" TargetMode="External"/><Relationship Id="rId1439" Type="http://schemas.openxmlformats.org/officeDocument/2006/relationships/hyperlink" Target="https://github.com/microdev1/tds-p1" TargetMode="External"/><Relationship Id="rId609" Type="http://schemas.openxmlformats.org/officeDocument/2006/relationships/hyperlink" Target="https://github.com/bhavikasharma999/project1-tokyo-follower" TargetMode="External"/><Relationship Id="rId608" Type="http://schemas.openxmlformats.org/officeDocument/2006/relationships/hyperlink" Target="https://github.com/AbdulHadiCreator/TDSproject1" TargetMode="External"/><Relationship Id="rId607" Type="http://schemas.openxmlformats.org/officeDocument/2006/relationships/hyperlink" Target="https://github.com/22f3001059/TDS-project1" TargetMode="External"/><Relationship Id="rId602" Type="http://schemas.openxmlformats.org/officeDocument/2006/relationships/hyperlink" Target="https://github.com/Kushagra-IITM/TDS1_23f1001963" TargetMode="External"/><Relationship Id="rId601" Type="http://schemas.openxmlformats.org/officeDocument/2006/relationships/hyperlink" Target="https://github.com/harinivas21/tds" TargetMode="External"/><Relationship Id="rId600" Type="http://schemas.openxmlformats.org/officeDocument/2006/relationships/hyperlink" Target="https://github.com/narendrabissu/TDS_21F1000753_P1" TargetMode="External"/><Relationship Id="rId606" Type="http://schemas.openxmlformats.org/officeDocument/2006/relationships/hyperlink" Target="https://github.com/harshx45/tdsproj1" TargetMode="External"/><Relationship Id="rId605" Type="http://schemas.openxmlformats.org/officeDocument/2006/relationships/hyperlink" Target="https://github.com/jeevan-yohan-varghese/tds-project1" TargetMode="External"/><Relationship Id="rId604" Type="http://schemas.openxmlformats.org/officeDocument/2006/relationships/hyperlink" Target="https://github.com/22f1000952/basel-users-analysis" TargetMode="External"/><Relationship Id="rId603" Type="http://schemas.openxmlformats.org/officeDocument/2006/relationships/hyperlink" Target="https://github.com/k121mayur/TDA_PROJECT_1" TargetMode="External"/><Relationship Id="rId1430" Type="http://schemas.openxmlformats.org/officeDocument/2006/relationships/hyperlink" Target="https://github.com/kik893/Project-1" TargetMode="External"/><Relationship Id="rId1431" Type="http://schemas.openxmlformats.org/officeDocument/2006/relationships/hyperlink" Target="https://github.com/b-panda/Dublin-GitHub-Users" TargetMode="External"/><Relationship Id="rId1432" Type="http://schemas.openxmlformats.org/officeDocument/2006/relationships/hyperlink" Target="https://github.com/RiyaAgarwal22/TDS_Proj_1" TargetMode="External"/><Relationship Id="rId1422" Type="http://schemas.openxmlformats.org/officeDocument/2006/relationships/hyperlink" Target="https://github.com/hamees-sayed/tds-project" TargetMode="External"/><Relationship Id="rId1423" Type="http://schemas.openxmlformats.org/officeDocument/2006/relationships/hyperlink" Target="https://github.com/tanishka-26saxena/Tokyo-200" TargetMode="External"/><Relationship Id="rId1424" Type="http://schemas.openxmlformats.org/officeDocument/2006/relationships/hyperlink" Target="https://github.com/JAISUBIKSHA/TDS_PROJECT1" TargetMode="External"/><Relationship Id="rId1425" Type="http://schemas.openxmlformats.org/officeDocument/2006/relationships/hyperlink" Target="https://github.com/22f1000952/basel-users-analysis" TargetMode="External"/><Relationship Id="rId1426" Type="http://schemas.openxmlformats.org/officeDocument/2006/relationships/hyperlink" Target="https://github.com/edurelated2021/tds-proj1/tree/main" TargetMode="External"/><Relationship Id="rId1427" Type="http://schemas.openxmlformats.org/officeDocument/2006/relationships/hyperlink" Target="https://github.com/joy-pro26/TDSProject1" TargetMode="External"/><Relationship Id="rId1428" Type="http://schemas.openxmlformats.org/officeDocument/2006/relationships/hyperlink" Target="https://github.com/jyoti7398/TDS_proj1" TargetMode="External"/><Relationship Id="rId1429" Type="http://schemas.openxmlformats.org/officeDocument/2006/relationships/hyperlink" Target="https://github.com/RishitPant/tdsproject1" TargetMode="External"/><Relationship Id="rId1420" Type="http://schemas.openxmlformats.org/officeDocument/2006/relationships/hyperlink" Target="https://github.com/mayanktripathii/TDS-Project-1" TargetMode="External"/><Relationship Id="rId1421" Type="http://schemas.openxmlformats.org/officeDocument/2006/relationships/hyperlink" Target="https://github.com/payalggn/TDS_Project1" TargetMode="External"/><Relationship Id="rId1059" Type="http://schemas.openxmlformats.org/officeDocument/2006/relationships/hyperlink" Target="https://github.com/Sa007tish/hyd-gitanalysis" TargetMode="External"/><Relationship Id="rId228" Type="http://schemas.openxmlformats.org/officeDocument/2006/relationships/hyperlink" Target="https://github.com/mehuljun09/TDS_IITM" TargetMode="External"/><Relationship Id="rId227" Type="http://schemas.openxmlformats.org/officeDocument/2006/relationships/hyperlink" Target="https://github.com/tanyakamboj123/TDS-project1" TargetMode="External"/><Relationship Id="rId226" Type="http://schemas.openxmlformats.org/officeDocument/2006/relationships/hyperlink" Target="https://github.com/22f3001059/TDS-project1" TargetMode="External"/><Relationship Id="rId225" Type="http://schemas.openxmlformats.org/officeDocument/2006/relationships/hyperlink" Target="https://github.com/Kirthictrl/TDS-Project-1" TargetMode="External"/><Relationship Id="rId229" Type="http://schemas.openxmlformats.org/officeDocument/2006/relationships/hyperlink" Target="https://github.com/DevanshA1105/Project_1_TDS" TargetMode="External"/><Relationship Id="rId1050" Type="http://schemas.openxmlformats.org/officeDocument/2006/relationships/hyperlink" Target="https://github.com/Ashiskushwaha/project-1" TargetMode="External"/><Relationship Id="rId220" Type="http://schemas.openxmlformats.org/officeDocument/2006/relationships/hyperlink" Target="https://github.com/theiitman/tds_project_1_03777" TargetMode="External"/><Relationship Id="rId1051" Type="http://schemas.openxmlformats.org/officeDocument/2006/relationships/hyperlink" Target="https://github.com/OmkarShekharRaut/datasciencetoolsproject1" TargetMode="External"/><Relationship Id="rId1052" Type="http://schemas.openxmlformats.org/officeDocument/2006/relationships/hyperlink" Target="https://github.com/puneeth2907/TDS-Project-1" TargetMode="External"/><Relationship Id="rId1053" Type="http://schemas.openxmlformats.org/officeDocument/2006/relationships/hyperlink" Target="https://github.com/23f2004408/tds-p1" TargetMode="External"/><Relationship Id="rId1054" Type="http://schemas.openxmlformats.org/officeDocument/2006/relationships/hyperlink" Target="https://github.com/22f2001730/TDS_P1" TargetMode="External"/><Relationship Id="rId224" Type="http://schemas.openxmlformats.org/officeDocument/2006/relationships/hyperlink" Target="https://github.com/MAUK9086/TDS_Project1" TargetMode="External"/><Relationship Id="rId1055" Type="http://schemas.openxmlformats.org/officeDocument/2006/relationships/hyperlink" Target="https://github.com/kasturi190602/TDSProject" TargetMode="External"/><Relationship Id="rId223" Type="http://schemas.openxmlformats.org/officeDocument/2006/relationships/hyperlink" Target="https://github.com/shriman-narayan-iitm/Barcelona" TargetMode="External"/><Relationship Id="rId1056" Type="http://schemas.openxmlformats.org/officeDocument/2006/relationships/hyperlink" Target="https://github.com/n3055/Chennai-50_223f3004177" TargetMode="External"/><Relationship Id="rId222" Type="http://schemas.openxmlformats.org/officeDocument/2006/relationships/hyperlink" Target="https://github.com/Ashly-06/project-1" TargetMode="External"/><Relationship Id="rId1057" Type="http://schemas.openxmlformats.org/officeDocument/2006/relationships/hyperlink" Target="https://github.com/Abhinav3499/TDS_Project_1" TargetMode="External"/><Relationship Id="rId221" Type="http://schemas.openxmlformats.org/officeDocument/2006/relationships/hyperlink" Target="https://github.com/pittu0802/Myfirstrepo" TargetMode="External"/><Relationship Id="rId1058" Type="http://schemas.openxmlformats.org/officeDocument/2006/relationships/hyperlink" Target="https://github.com/SarveshMSIITM/TDS-P1" TargetMode="External"/><Relationship Id="rId1048" Type="http://schemas.openxmlformats.org/officeDocument/2006/relationships/hyperlink" Target="https://github.com/rishabh-iitm/project1" TargetMode="External"/><Relationship Id="rId1049" Type="http://schemas.openxmlformats.org/officeDocument/2006/relationships/hyperlink" Target="https://github.com/bl00m-byte/TDS-Project-1" TargetMode="External"/><Relationship Id="rId217" Type="http://schemas.openxmlformats.org/officeDocument/2006/relationships/hyperlink" Target="https://github.com/ragavkish/tds-sg-analysis" TargetMode="External"/><Relationship Id="rId216" Type="http://schemas.openxmlformats.org/officeDocument/2006/relationships/hyperlink" Target="https://github.com/harshithbabu-git/Tools-in-DS-Project-1" TargetMode="External"/><Relationship Id="rId215" Type="http://schemas.openxmlformats.org/officeDocument/2006/relationships/hyperlink" Target="https://github.com/n3055/Chennai-50_223f3004177" TargetMode="External"/><Relationship Id="rId699" Type="http://schemas.openxmlformats.org/officeDocument/2006/relationships/hyperlink" Target="https://github.com/Saransh1329/main" TargetMode="External"/><Relationship Id="rId214" Type="http://schemas.openxmlformats.org/officeDocument/2006/relationships/hyperlink" Target="https://github.com/manoharvvs/BarcelonaTDS" TargetMode="External"/><Relationship Id="rId698" Type="http://schemas.openxmlformats.org/officeDocument/2006/relationships/hyperlink" Target="https://github.com/Ankurnathsingh/TDS_P1_MELBOURNE100" TargetMode="External"/><Relationship Id="rId219" Type="http://schemas.openxmlformats.org/officeDocument/2006/relationships/hyperlink" Target="https://github.com/Tarun-Kandarpa/Beijing-Github-Users" TargetMode="External"/><Relationship Id="rId218" Type="http://schemas.openxmlformats.org/officeDocument/2006/relationships/hyperlink" Target="https://github.com/Codephile14/TDS_Project1" TargetMode="External"/><Relationship Id="rId693" Type="http://schemas.openxmlformats.org/officeDocument/2006/relationships/hyperlink" Target="https://github.com/Thanhanoorudheen/proj1" TargetMode="External"/><Relationship Id="rId1040" Type="http://schemas.openxmlformats.org/officeDocument/2006/relationships/hyperlink" Target="https://github.com/Kabilan-18/TDS-Project1/" TargetMode="External"/><Relationship Id="rId692" Type="http://schemas.openxmlformats.org/officeDocument/2006/relationships/hyperlink" Target="https://github.com/raghu5427/TDS_Proj_1" TargetMode="External"/><Relationship Id="rId1041" Type="http://schemas.openxmlformats.org/officeDocument/2006/relationships/hyperlink" Target="https://github.com/Madras-protagonist/Bangalore-GitHub-Users-Project" TargetMode="External"/><Relationship Id="rId691" Type="http://schemas.openxmlformats.org/officeDocument/2006/relationships/hyperlink" Target="https://github.com/anshuraj007/22f3000757_TDS_Proj1" TargetMode="External"/><Relationship Id="rId1042" Type="http://schemas.openxmlformats.org/officeDocument/2006/relationships/hyperlink" Target="https://github.com/a1zen77/tds_p1" TargetMode="External"/><Relationship Id="rId690" Type="http://schemas.openxmlformats.org/officeDocument/2006/relationships/hyperlink" Target="https://github.com/Amrendra-kumar7/API_Melburne" TargetMode="External"/><Relationship Id="rId1043" Type="http://schemas.openxmlformats.org/officeDocument/2006/relationships/hyperlink" Target="https://github.com/Jatendra/iitm_project1" TargetMode="External"/><Relationship Id="rId213" Type="http://schemas.openxmlformats.org/officeDocument/2006/relationships/hyperlink" Target="https://github.com/shinadeveloper/TDS-Project-1" TargetMode="External"/><Relationship Id="rId697" Type="http://schemas.openxmlformats.org/officeDocument/2006/relationships/hyperlink" Target="https://github.com/Harini-RAJ/tdsproj" TargetMode="External"/><Relationship Id="rId1044" Type="http://schemas.openxmlformats.org/officeDocument/2006/relationships/hyperlink" Target="https://github.com/mdjawed372/tds-project1" TargetMode="External"/><Relationship Id="rId212" Type="http://schemas.openxmlformats.org/officeDocument/2006/relationships/hyperlink" Target="https://github.com/DevanshA1105/Project_1_TDS" TargetMode="External"/><Relationship Id="rId696" Type="http://schemas.openxmlformats.org/officeDocument/2006/relationships/hyperlink" Target="https://github.com/S-Prasad-M/tds_proj1/" TargetMode="External"/><Relationship Id="rId1045" Type="http://schemas.openxmlformats.org/officeDocument/2006/relationships/hyperlink" Target="https://github.com/rharini1402/mumbai50" TargetMode="External"/><Relationship Id="rId211" Type="http://schemas.openxmlformats.org/officeDocument/2006/relationships/hyperlink" Target="https://github.com/Saransh1329/main" TargetMode="External"/><Relationship Id="rId695" Type="http://schemas.openxmlformats.org/officeDocument/2006/relationships/hyperlink" Target="https://github.com/manjuiitm/Dublin1" TargetMode="External"/><Relationship Id="rId1046" Type="http://schemas.openxmlformats.org/officeDocument/2006/relationships/hyperlink" Target="https://github.com/24f1002025/TDS-Project-1-User-Repository-Scrapping" TargetMode="External"/><Relationship Id="rId210" Type="http://schemas.openxmlformats.org/officeDocument/2006/relationships/hyperlink" Target="https://github.com/tanyakamboj123/TDS-project1" TargetMode="External"/><Relationship Id="rId694" Type="http://schemas.openxmlformats.org/officeDocument/2006/relationships/hyperlink" Target="https://github.com/AjithSaiCh/tds_project1" TargetMode="External"/><Relationship Id="rId1047" Type="http://schemas.openxmlformats.org/officeDocument/2006/relationships/hyperlink" Target="https://github.com/AbdulHadiCreator/TDSproject1" TargetMode="External"/><Relationship Id="rId249" Type="http://schemas.openxmlformats.org/officeDocument/2006/relationships/hyperlink" Target="https://github.com/KrishnaDhankar/Project_TDS" TargetMode="External"/><Relationship Id="rId248" Type="http://schemas.openxmlformats.org/officeDocument/2006/relationships/hyperlink" Target="https://github.com/hsnak2245/tds_p1" TargetMode="External"/><Relationship Id="rId247" Type="http://schemas.openxmlformats.org/officeDocument/2006/relationships/hyperlink" Target="https://github.com/AlakhyaIITM/proj1/blob/main/README.md" TargetMode="External"/><Relationship Id="rId1070" Type="http://schemas.openxmlformats.org/officeDocument/2006/relationships/hyperlink" Target="https://github.com/sourav08nitp/tds-project-1" TargetMode="External"/><Relationship Id="rId1071" Type="http://schemas.openxmlformats.org/officeDocument/2006/relationships/hyperlink" Target="https://github.co22f2001193-neeraj-menon-iitm/TDS_Project_1" TargetMode="External"/><Relationship Id="rId1072" Type="http://schemas.openxmlformats.org/officeDocument/2006/relationships/hyperlink" Target="https://github.com/Mv98dell/Mv/blob/33999fa40510af74122c53f73c6b8df2b53129c9/repositories.csv" TargetMode="External"/><Relationship Id="rId242" Type="http://schemas.openxmlformats.org/officeDocument/2006/relationships/hyperlink" Target="https://github.com/Amarks14/TDS_P1" TargetMode="External"/><Relationship Id="rId1073" Type="http://schemas.openxmlformats.org/officeDocument/2006/relationships/hyperlink" Target="https://github.com/jayandral/TDS_Project1" TargetMode="External"/><Relationship Id="rId241" Type="http://schemas.openxmlformats.org/officeDocument/2006/relationships/hyperlink" Target="https://github.com/MAUK9086/TDS_Project1" TargetMode="External"/><Relationship Id="rId1074" Type="http://schemas.openxmlformats.org/officeDocument/2006/relationships/hyperlink" Target="https://github.com/22f3000190/Seattle-200---TDM" TargetMode="External"/><Relationship Id="rId240" Type="http://schemas.openxmlformats.org/officeDocument/2006/relationships/hyperlink" Target="https://github.com/21f2001136/tds_1" TargetMode="External"/><Relationship Id="rId1075" Type="http://schemas.openxmlformats.org/officeDocument/2006/relationships/hyperlink" Target="https://github.com/virajjdm1/TDS-Project-1" TargetMode="External"/><Relationship Id="rId1076" Type="http://schemas.openxmlformats.org/officeDocument/2006/relationships/hyperlink" Target="https://github.com/Yashi-code/dublin-developer-data/tree/main" TargetMode="External"/><Relationship Id="rId246" Type="http://schemas.openxmlformats.org/officeDocument/2006/relationships/hyperlink" Target="https://github.com/Rivansh-Illika/TDS-ASSIGNMENT-P-1" TargetMode="External"/><Relationship Id="rId1077" Type="http://schemas.openxmlformats.org/officeDocument/2006/relationships/hyperlink" Target="https://github.com/S23fVK" TargetMode="External"/><Relationship Id="rId245" Type="http://schemas.openxmlformats.org/officeDocument/2006/relationships/hyperlink" Target="https://github.com/mehuljun09/TDS_IITM" TargetMode="External"/><Relationship Id="rId1078" Type="http://schemas.openxmlformats.org/officeDocument/2006/relationships/hyperlink" Target="https://github.com/manojp23/TDS-Project-1" TargetMode="External"/><Relationship Id="rId244" Type="http://schemas.openxmlformats.org/officeDocument/2006/relationships/hyperlink" Target="https://github.com/iitmanshi/tdsp1" TargetMode="External"/><Relationship Id="rId1079" Type="http://schemas.openxmlformats.org/officeDocument/2006/relationships/hyperlink" Target="https://github.com/meyywwg/tds_project1" TargetMode="External"/><Relationship Id="rId243" Type="http://schemas.openxmlformats.org/officeDocument/2006/relationships/hyperlink" Target="https://github.com/22f3001059/TDS-project1" TargetMode="External"/><Relationship Id="rId239" Type="http://schemas.openxmlformats.org/officeDocument/2006/relationships/hyperlink" Target="https://github.com/Ashly-06/project-1" TargetMode="External"/><Relationship Id="rId238" Type="http://schemas.openxmlformats.org/officeDocument/2006/relationships/hyperlink" Target="https://github.com/Avinash94567/tdsp1" TargetMode="External"/><Relationship Id="rId237" Type="http://schemas.openxmlformats.org/officeDocument/2006/relationships/hyperlink" Target="https://github.com/theiitman/tds_project_1_03777" TargetMode="External"/><Relationship Id="rId236" Type="http://schemas.openxmlformats.org/officeDocument/2006/relationships/hyperlink" Target="https://github.com/gittymadman/TDS_PROJECT_1" TargetMode="External"/><Relationship Id="rId1060" Type="http://schemas.openxmlformats.org/officeDocument/2006/relationships/hyperlink" Target="https://github.com/venkatsaivikram-iitm/tds-project1/" TargetMode="External"/><Relationship Id="rId1061" Type="http://schemas.openxmlformats.org/officeDocument/2006/relationships/hyperlink" Target="https://github.com/Happytth/tds-project1" TargetMode="External"/><Relationship Id="rId231" Type="http://schemas.openxmlformats.org/officeDocument/2006/relationships/hyperlink" Target="https://github.com/manoharvvs/BarcelonaTDS" TargetMode="External"/><Relationship Id="rId1062" Type="http://schemas.openxmlformats.org/officeDocument/2006/relationships/hyperlink" Target="https://github.com/RealFalseGod/Project1" TargetMode="External"/><Relationship Id="rId230" Type="http://schemas.openxmlformats.org/officeDocument/2006/relationships/hyperlink" Target="https://github.com/AlakhyaIITM/proj1/blob/main/README.md" TargetMode="External"/><Relationship Id="rId1063" Type="http://schemas.openxmlformats.org/officeDocument/2006/relationships/hyperlink" Target="https://github.com/SnehaKukrety/TDS_Project1/tree/main" TargetMode="External"/><Relationship Id="rId1064" Type="http://schemas.openxmlformats.org/officeDocument/2006/relationships/hyperlink" Target="https://github.com/Thanvish07/TDS_Project-1" TargetMode="External"/><Relationship Id="rId1065" Type="http://schemas.openxmlformats.org/officeDocument/2006/relationships/hyperlink" Target="https://github.com/22f3001738/tds-project-1" TargetMode="External"/><Relationship Id="rId235" Type="http://schemas.openxmlformats.org/officeDocument/2006/relationships/hyperlink" Target="https://github.com/Codephile14/TDS_Project1" TargetMode="External"/><Relationship Id="rId1066" Type="http://schemas.openxmlformats.org/officeDocument/2006/relationships/hyperlink" Target="https://github.com/Anish071105/TDS-project1" TargetMode="External"/><Relationship Id="rId234" Type="http://schemas.openxmlformats.org/officeDocument/2006/relationships/hyperlink" Target="https://github.com/24f1002112/Project1TDS" TargetMode="External"/><Relationship Id="rId1067" Type="http://schemas.openxmlformats.org/officeDocument/2006/relationships/hyperlink" Target="https://github.com/swalihaattar/IITM_TDS_P1" TargetMode="External"/><Relationship Id="rId233" Type="http://schemas.openxmlformats.org/officeDocument/2006/relationships/hyperlink" Target="https://github.com/harshithbabu-git/Tools-in-DS-Project-1" TargetMode="External"/><Relationship Id="rId1068" Type="http://schemas.openxmlformats.org/officeDocument/2006/relationships/hyperlink" Target="https://github.com/ViratJinjala/TDS-project-1" TargetMode="External"/><Relationship Id="rId232" Type="http://schemas.openxmlformats.org/officeDocument/2006/relationships/hyperlink" Target="https://github.com/KrishnaDhankar/Project_TDS" TargetMode="External"/><Relationship Id="rId1069" Type="http://schemas.openxmlformats.org/officeDocument/2006/relationships/hyperlink" Target="https://github.com/madhavdasm/tdsproject" TargetMode="External"/><Relationship Id="rId1015" Type="http://schemas.openxmlformats.org/officeDocument/2006/relationships/hyperlink" Target="https://github.com/S-Prasad-M/tds_proj1/" TargetMode="External"/><Relationship Id="rId1499" Type="http://schemas.openxmlformats.org/officeDocument/2006/relationships/hyperlink" Target="https://github.com/jaideepS04/project_tds-p" TargetMode="External"/><Relationship Id="rId1016" Type="http://schemas.openxmlformats.org/officeDocument/2006/relationships/hyperlink" Target="https://github.com/JaySoni77/Project-1" TargetMode="External"/><Relationship Id="rId1017" Type="http://schemas.openxmlformats.org/officeDocument/2006/relationships/hyperlink" Target="https://github.com/sanskar-gupta206/TDS_P1" TargetMode="External"/><Relationship Id="rId1018" Type="http://schemas.openxmlformats.org/officeDocument/2006/relationships/hyperlink" Target="https://github.com/Praviniitm/Project_Moscow" TargetMode="External"/><Relationship Id="rId1019" Type="http://schemas.openxmlformats.org/officeDocument/2006/relationships/hyperlink" Target="https://github.com/22f3000350/22f3000350-TDS-Project-1" TargetMode="External"/><Relationship Id="rId668" Type="http://schemas.openxmlformats.org/officeDocument/2006/relationships/hyperlink" Target="https://github.com/Akashkunwar/TDS-Project-1" TargetMode="External"/><Relationship Id="rId667" Type="http://schemas.openxmlformats.org/officeDocument/2006/relationships/hyperlink" Target="https://github.com/arshadnit/TDSP1" TargetMode="External"/><Relationship Id="rId666" Type="http://schemas.openxmlformats.org/officeDocument/2006/relationships/hyperlink" Target="https://github.com/devansh-dotcom/tdsproject1-" TargetMode="External"/><Relationship Id="rId665" Type="http://schemas.openxmlformats.org/officeDocument/2006/relationships/hyperlink" Target="https://github.com/Utkarsh002-winner/TDS_P1" TargetMode="External"/><Relationship Id="rId669" Type="http://schemas.openxmlformats.org/officeDocument/2006/relationships/hyperlink" Target="https://github.com/23ds1000051/tds_project_1" TargetMode="External"/><Relationship Id="rId1490" Type="http://schemas.openxmlformats.org/officeDocument/2006/relationships/hyperlink" Target="https://github.com/QuixoticPsyche/tds-project-1" TargetMode="External"/><Relationship Id="rId660" Type="http://schemas.openxmlformats.org/officeDocument/2006/relationships/hyperlink" Target="https://github.com/Gaurangi2712/TDS_proj1" TargetMode="External"/><Relationship Id="rId1491" Type="http://schemas.openxmlformats.org/officeDocument/2006/relationships/hyperlink" Target="https://github.com/DivyanshuGupta2000129/TDS_Project_1" TargetMode="External"/><Relationship Id="rId1492" Type="http://schemas.openxmlformats.org/officeDocument/2006/relationships/hyperlink" Target="https://github.com/saritakumari23/proj1" TargetMode="External"/><Relationship Id="rId1493" Type="http://schemas.openxmlformats.org/officeDocument/2006/relationships/hyperlink" Target="https://github.com/Happytth/tds-project1" TargetMode="External"/><Relationship Id="rId1010" Type="http://schemas.openxmlformats.org/officeDocument/2006/relationships/hyperlink" Target="https://github.com/heyitsshreya/Austin-GitHub-Users-Analysis" TargetMode="External"/><Relationship Id="rId1494" Type="http://schemas.openxmlformats.org/officeDocument/2006/relationships/hyperlink" Target="https://github.com/sg-sparsh-goyal/TDS-project1-22f1000693" TargetMode="External"/><Relationship Id="rId664" Type="http://schemas.openxmlformats.org/officeDocument/2006/relationships/hyperlink" Target="https://github.com/23f1001535/Melbourne_100" TargetMode="External"/><Relationship Id="rId1011" Type="http://schemas.openxmlformats.org/officeDocument/2006/relationships/hyperlink" Target="https://github.com/Lakshay777s/TDS-project" TargetMode="External"/><Relationship Id="rId1495" Type="http://schemas.openxmlformats.org/officeDocument/2006/relationships/hyperlink" Target="https://github.com/bhavin-iitm/tds-project1" TargetMode="External"/><Relationship Id="rId663" Type="http://schemas.openxmlformats.org/officeDocument/2006/relationships/hyperlink" Target="https://github.com/ayushiprajapti/TDS-PROJECT" TargetMode="External"/><Relationship Id="rId1012" Type="http://schemas.openxmlformats.org/officeDocument/2006/relationships/hyperlink" Target="https://github.com/rahulyadav46691499/TDS_project" TargetMode="External"/><Relationship Id="rId1496" Type="http://schemas.openxmlformats.org/officeDocument/2006/relationships/hyperlink" Target="https://github.com/nightcoder358/TDS-Project-1" TargetMode="External"/><Relationship Id="rId662" Type="http://schemas.openxmlformats.org/officeDocument/2006/relationships/hyperlink" Target="https://github.com/22f3000350/22f3000350-TDS-Project-1" TargetMode="External"/><Relationship Id="rId1013" Type="http://schemas.openxmlformats.org/officeDocument/2006/relationships/hyperlink" Target="https://github.com/raghu5427/TDS_Proj_1" TargetMode="External"/><Relationship Id="rId1497" Type="http://schemas.openxmlformats.org/officeDocument/2006/relationships/hyperlink" Target="https://github.com/sidg75/tds-project1" TargetMode="External"/><Relationship Id="rId661" Type="http://schemas.openxmlformats.org/officeDocument/2006/relationships/hyperlink" Target="https://github.com/Biray143/Project-1" TargetMode="External"/><Relationship Id="rId1014" Type="http://schemas.openxmlformats.org/officeDocument/2006/relationships/hyperlink" Target="https://github.com/Anupama-Manjunath/22f3003253_tdsPA1" TargetMode="External"/><Relationship Id="rId1498" Type="http://schemas.openxmlformats.org/officeDocument/2006/relationships/hyperlink" Target="https://github.com/Sakthi-Balan-B/project1" TargetMode="External"/><Relationship Id="rId1004" Type="http://schemas.openxmlformats.org/officeDocument/2006/relationships/hyperlink" Target="https://github.com/RishitPant/tdsproject1" TargetMode="External"/><Relationship Id="rId1488" Type="http://schemas.openxmlformats.org/officeDocument/2006/relationships/hyperlink" Target="https://github.com/virajkingmaker/project1" TargetMode="External"/><Relationship Id="rId1005" Type="http://schemas.openxmlformats.org/officeDocument/2006/relationships/hyperlink" Target="https://github.com/anjupbse91/TDS-Project1" TargetMode="External"/><Relationship Id="rId1489" Type="http://schemas.openxmlformats.org/officeDocument/2006/relationships/hyperlink" Target="https://github.com/Sakthi-Balan-B/project1" TargetMode="External"/><Relationship Id="rId1006" Type="http://schemas.openxmlformats.org/officeDocument/2006/relationships/hyperlink" Target="https://github.com/RiyaAgarwal22/TDS_Proj_1" TargetMode="External"/><Relationship Id="rId1007" Type="http://schemas.openxmlformats.org/officeDocument/2006/relationships/hyperlink" Target="https://github.com/ayushiprajapti/TDS-PROJECT" TargetMode="External"/><Relationship Id="rId1008" Type="http://schemas.openxmlformats.org/officeDocument/2006/relationships/hyperlink" Target="https://github.com/Chandra37918/IITM-TDS-Project1" TargetMode="External"/><Relationship Id="rId1009" Type="http://schemas.openxmlformats.org/officeDocument/2006/relationships/hyperlink" Target="https://github.com/ManuIITM-Coder/MOSCOW-50" TargetMode="External"/><Relationship Id="rId657" Type="http://schemas.openxmlformats.org/officeDocument/2006/relationships/hyperlink" Target="https://github.com/iitmrs/Project1" TargetMode="External"/><Relationship Id="rId656" Type="http://schemas.openxmlformats.org/officeDocument/2006/relationships/hyperlink" Target="https://github.com/Aravindh-18/Project1" TargetMode="External"/><Relationship Id="rId655" Type="http://schemas.openxmlformats.org/officeDocument/2006/relationships/hyperlink" Target="https://github.com/Rajnish2899/Mynewproject" TargetMode="External"/><Relationship Id="rId654" Type="http://schemas.openxmlformats.org/officeDocument/2006/relationships/hyperlink" Target="https://github.com/rrawatt/Melbourne-100" TargetMode="External"/><Relationship Id="rId659" Type="http://schemas.openxmlformats.org/officeDocument/2006/relationships/hyperlink" Target="https://github.com/himanesh21/GithubUserDataAnalysis" TargetMode="External"/><Relationship Id="rId658" Type="http://schemas.openxmlformats.org/officeDocument/2006/relationships/hyperlink" Target="https://github.com/RachitGupta4102/TDS-project" TargetMode="External"/><Relationship Id="rId1480" Type="http://schemas.openxmlformats.org/officeDocument/2006/relationships/hyperlink" Target="https://github.com/DSAshv/TDS-Project1" TargetMode="External"/><Relationship Id="rId1481" Type="http://schemas.openxmlformats.org/officeDocument/2006/relationships/hyperlink" Target="https://github.com/meyywwg/tds_project1" TargetMode="External"/><Relationship Id="rId1482" Type="http://schemas.openxmlformats.org/officeDocument/2006/relationships/hyperlink" Target="https://github.com/Abhishek-IITM2026/TDS-Project-1" TargetMode="External"/><Relationship Id="rId1483" Type="http://schemas.openxmlformats.org/officeDocument/2006/relationships/hyperlink" Target="https://github.com/Anupama-Manjunath/22f3003253_tdsPA1" TargetMode="External"/><Relationship Id="rId653" Type="http://schemas.openxmlformats.org/officeDocument/2006/relationships/hyperlink" Target="https://github.com/Mr-GauravKumar/TDS-P1" TargetMode="External"/><Relationship Id="rId1000" Type="http://schemas.openxmlformats.org/officeDocument/2006/relationships/hyperlink" Target="https://github.com/joy-pro26/TDSProject1" TargetMode="External"/><Relationship Id="rId1484" Type="http://schemas.openxmlformats.org/officeDocument/2006/relationships/hyperlink" Target="https://github.com/foriitm/p01" TargetMode="External"/><Relationship Id="rId652" Type="http://schemas.openxmlformats.org/officeDocument/2006/relationships/hyperlink" Target="https://github.com/Mimansa5227/project1" TargetMode="External"/><Relationship Id="rId1001" Type="http://schemas.openxmlformats.org/officeDocument/2006/relationships/hyperlink" Target="https://github.com/yuviiitm26/TDS_PRO_1" TargetMode="External"/><Relationship Id="rId1485" Type="http://schemas.openxmlformats.org/officeDocument/2006/relationships/hyperlink" Target="https://github.com/abhinavsaxena277/Hyderabad-GitHub-Users" TargetMode="External"/><Relationship Id="rId651" Type="http://schemas.openxmlformats.org/officeDocument/2006/relationships/hyperlink" Target="https://github.com/23ds1000051/tds_project_1" TargetMode="External"/><Relationship Id="rId1002" Type="http://schemas.openxmlformats.org/officeDocument/2006/relationships/hyperlink" Target="https://github.com/jyoti7398/TDS_proj1" TargetMode="External"/><Relationship Id="rId1486" Type="http://schemas.openxmlformats.org/officeDocument/2006/relationships/hyperlink" Target="https://github.com/23f2003986/Boston100_Users" TargetMode="External"/><Relationship Id="rId650" Type="http://schemas.openxmlformats.org/officeDocument/2006/relationships/hyperlink" Target="https://github.com/AbayNandhiga-iitm/tokyo-github-users" TargetMode="External"/><Relationship Id="rId1003" Type="http://schemas.openxmlformats.org/officeDocument/2006/relationships/hyperlink" Target="https://github.com/AjithSaiCh/tds_project1" TargetMode="External"/><Relationship Id="rId1487" Type="http://schemas.openxmlformats.org/officeDocument/2006/relationships/hyperlink" Target="https://github.com/21f3003136/TokyoScrape" TargetMode="External"/><Relationship Id="rId1037" Type="http://schemas.openxmlformats.org/officeDocument/2006/relationships/hyperlink" Target="https://github.com/Aakash-Prime/github-users-chennai" TargetMode="External"/><Relationship Id="rId1038" Type="http://schemas.openxmlformats.org/officeDocument/2006/relationships/hyperlink" Target="https://github.com/himanshu-IIT-M/project1" TargetMode="External"/><Relationship Id="rId1039" Type="http://schemas.openxmlformats.org/officeDocument/2006/relationships/hyperlink" Target="https://github.com/DSharanya07/ZurichUsers" TargetMode="External"/><Relationship Id="rId206" Type="http://schemas.openxmlformats.org/officeDocument/2006/relationships/hyperlink" Target="https://github.com/shriman-narayan-iitm/Barcelona" TargetMode="External"/><Relationship Id="rId205" Type="http://schemas.openxmlformats.org/officeDocument/2006/relationships/hyperlink" Target="https://github.com/AjithSaiCh/tds_project1/tree/main" TargetMode="External"/><Relationship Id="rId689" Type="http://schemas.openxmlformats.org/officeDocument/2006/relationships/hyperlink" Target="https://github.com/aliabidi00/tds-project-1" TargetMode="External"/><Relationship Id="rId204" Type="http://schemas.openxmlformats.org/officeDocument/2006/relationships/hyperlink" Target="https://github.com/pittu0802/Myfirstrepo" TargetMode="External"/><Relationship Id="rId688" Type="http://schemas.openxmlformats.org/officeDocument/2006/relationships/hyperlink" Target="https://github.com/anshikaatiwari/tdsp1" TargetMode="External"/><Relationship Id="rId203" Type="http://schemas.openxmlformats.org/officeDocument/2006/relationships/hyperlink" Target="https://github.com/RaghavKapil24/tds-project" TargetMode="External"/><Relationship Id="rId687" Type="http://schemas.openxmlformats.org/officeDocument/2006/relationships/hyperlink" Target="https://github.com/DisRajeeth/proj-1-tds" TargetMode="External"/><Relationship Id="rId209" Type="http://schemas.openxmlformats.org/officeDocument/2006/relationships/hyperlink" Target="https://github.com/loki1512/TDS-Project-1/blob/main/README.md" TargetMode="External"/><Relationship Id="rId208" Type="http://schemas.openxmlformats.org/officeDocument/2006/relationships/hyperlink" Target="https://github.com/Kirthictrl/TDS-Project-1" TargetMode="External"/><Relationship Id="rId207" Type="http://schemas.openxmlformats.org/officeDocument/2006/relationships/hyperlink" Target="https://github.com/Saradha24ds1000095/TDS_Project1/" TargetMode="External"/><Relationship Id="rId682" Type="http://schemas.openxmlformats.org/officeDocument/2006/relationships/hyperlink" Target="https://github.com/1yadavsid/tds-project-1" TargetMode="External"/><Relationship Id="rId681" Type="http://schemas.openxmlformats.org/officeDocument/2006/relationships/hyperlink" Target="https://github.com/51Hypers/TDS_Project_1" TargetMode="External"/><Relationship Id="rId1030" Type="http://schemas.openxmlformats.org/officeDocument/2006/relationships/hyperlink" Target="https://github.com/itznoor998/TDS_project1" TargetMode="External"/><Relationship Id="rId680" Type="http://schemas.openxmlformats.org/officeDocument/2006/relationships/hyperlink" Target="https://github.com/querulous-virgo/GitHubAPI/blob/main/users.csv" TargetMode="External"/><Relationship Id="rId1031" Type="http://schemas.openxmlformats.org/officeDocument/2006/relationships/hyperlink" Target="https://github.com/BOBandNODDY/SquashDaw" TargetMode="External"/><Relationship Id="rId1032" Type="http://schemas.openxmlformats.org/officeDocument/2006/relationships/hyperlink" Target="https://github.com/Madhu1005/tds-project1" TargetMode="External"/><Relationship Id="rId202" Type="http://schemas.openxmlformats.org/officeDocument/2006/relationships/hyperlink" Target="https://github.com/Tarun-Kandarpa/Beijing-Github-Users" TargetMode="External"/><Relationship Id="rId686" Type="http://schemas.openxmlformats.org/officeDocument/2006/relationships/hyperlink" Target="https://github.com/23f1001663/TDS-QUIZ-1" TargetMode="External"/><Relationship Id="rId1033" Type="http://schemas.openxmlformats.org/officeDocument/2006/relationships/hyperlink" Target="https://github.com/22f2000809/project_1" TargetMode="External"/><Relationship Id="rId201" Type="http://schemas.openxmlformats.org/officeDocument/2006/relationships/hyperlink" Target="https://github.com/GauriTr/TDS_project_1" TargetMode="External"/><Relationship Id="rId685" Type="http://schemas.openxmlformats.org/officeDocument/2006/relationships/hyperlink" Target="https://github.com/iitmanshi/tdsp1" TargetMode="External"/><Relationship Id="rId1034" Type="http://schemas.openxmlformats.org/officeDocument/2006/relationships/hyperlink" Target="https://github.com/sumitt2408/github-users-london" TargetMode="External"/><Relationship Id="rId200" Type="http://schemas.openxmlformats.org/officeDocument/2006/relationships/hyperlink" Target="https://github.com/n3055/Chennai-50_223f3004177" TargetMode="External"/><Relationship Id="rId684" Type="http://schemas.openxmlformats.org/officeDocument/2006/relationships/hyperlink" Target="https://github.com/Kanishk90/Project1" TargetMode="External"/><Relationship Id="rId1035" Type="http://schemas.openxmlformats.org/officeDocument/2006/relationships/hyperlink" Target="https://github.com/Shivam-IITM-DS/banglore-users" TargetMode="External"/><Relationship Id="rId683" Type="http://schemas.openxmlformats.org/officeDocument/2006/relationships/hyperlink" Target="https://github.com/k121mayur/TDA_PROJECT_1" TargetMode="External"/><Relationship Id="rId1036" Type="http://schemas.openxmlformats.org/officeDocument/2006/relationships/hyperlink" Target="https://github.com/vijayabhaskar78/TDS-PROJECT-1" TargetMode="External"/><Relationship Id="rId1026" Type="http://schemas.openxmlformats.org/officeDocument/2006/relationships/hyperlink" Target="https://github.com/psmidhunreddy/tdsp1" TargetMode="External"/><Relationship Id="rId1027" Type="http://schemas.openxmlformats.org/officeDocument/2006/relationships/hyperlink" Target="https://github.com/21f2001136/tds_1" TargetMode="External"/><Relationship Id="rId1028" Type="http://schemas.openxmlformats.org/officeDocument/2006/relationships/hyperlink" Target="https://github.com/Amankumar0017/TDS-Project-1" TargetMode="External"/><Relationship Id="rId1029" Type="http://schemas.openxmlformats.org/officeDocument/2006/relationships/hyperlink" Target="https://github.com/ratantiwaridev/tds_project1" TargetMode="External"/><Relationship Id="rId679" Type="http://schemas.openxmlformats.org/officeDocument/2006/relationships/hyperlink" Target="https://github.com/KaustubhaRam/London_GitHub_Users" TargetMode="External"/><Relationship Id="rId678" Type="http://schemas.openxmlformats.org/officeDocument/2006/relationships/hyperlink" Target="https://github.com/Hritik-Shyam-Gupta/TDS-Project1" TargetMode="External"/><Relationship Id="rId677" Type="http://schemas.openxmlformats.org/officeDocument/2006/relationships/hyperlink" Target="https://github.com/salmanulfaris/tds-project" TargetMode="External"/><Relationship Id="rId676" Type="http://schemas.openxmlformats.org/officeDocument/2006/relationships/hyperlink" Target="https://github.com/subhajit2001/TDSProject1" TargetMode="External"/><Relationship Id="rId671" Type="http://schemas.openxmlformats.org/officeDocument/2006/relationships/hyperlink" Target="https://github.com/Yogesh-005/pro1" TargetMode="External"/><Relationship Id="rId670" Type="http://schemas.openxmlformats.org/officeDocument/2006/relationships/hyperlink" Target="https://github.com/adityalearnsdata/Project-1" TargetMode="External"/><Relationship Id="rId1020" Type="http://schemas.openxmlformats.org/officeDocument/2006/relationships/hyperlink" Target="https://github.com/AkshatGupta327/TDS_proj_1" TargetMode="External"/><Relationship Id="rId1021" Type="http://schemas.openxmlformats.org/officeDocument/2006/relationships/hyperlink" Target="https://github.com/jagrutiitm/tdsproject1" TargetMode="External"/><Relationship Id="rId675" Type="http://schemas.openxmlformats.org/officeDocument/2006/relationships/hyperlink" Target="https://github.com/Shiya-23/Project_-Stockholm" TargetMode="External"/><Relationship Id="rId1022" Type="http://schemas.openxmlformats.org/officeDocument/2006/relationships/hyperlink" Target="https://github.com/jhaaj08/TDS_project1" TargetMode="External"/><Relationship Id="rId674" Type="http://schemas.openxmlformats.org/officeDocument/2006/relationships/hyperlink" Target="https://github.com/AswinBala007/IITM_TDS_PROJECT1" TargetMode="External"/><Relationship Id="rId1023" Type="http://schemas.openxmlformats.org/officeDocument/2006/relationships/hyperlink" Target="https://github.com/Ankurnathsingh/TDS_P1_MELBOURNE100" TargetMode="External"/><Relationship Id="rId673" Type="http://schemas.openxmlformats.org/officeDocument/2006/relationships/hyperlink" Target="https://github.com/Udita1122/23f1000092" TargetMode="External"/><Relationship Id="rId1024" Type="http://schemas.openxmlformats.org/officeDocument/2006/relationships/hyperlink" Target="https://github.com/aerosibin/TDS_Pro-1" TargetMode="External"/><Relationship Id="rId672" Type="http://schemas.openxmlformats.org/officeDocument/2006/relationships/hyperlink" Target="https://github.com/tuxdna/tds-project1" TargetMode="External"/><Relationship Id="rId1025" Type="http://schemas.openxmlformats.org/officeDocument/2006/relationships/hyperlink" Target="https://github.com/SonaliDuvesh/project1" TargetMode="External"/><Relationship Id="rId190" Type="http://schemas.openxmlformats.org/officeDocument/2006/relationships/hyperlink" Target="https://github.com/AjithSaiCh/tds_project1/tree/main" TargetMode="External"/><Relationship Id="rId194" Type="http://schemas.openxmlformats.org/officeDocument/2006/relationships/hyperlink" Target="https://github.com/loki1512/TDS-Project-1/blob/main/README.md" TargetMode="External"/><Relationship Id="rId193" Type="http://schemas.openxmlformats.org/officeDocument/2006/relationships/hyperlink" Target="https://github.com/0rajnishk/tds-p1" TargetMode="External"/><Relationship Id="rId192" Type="http://schemas.openxmlformats.org/officeDocument/2006/relationships/hyperlink" Target="https://github.com/Saradha24ds1000095/TDS_Project1/" TargetMode="External"/><Relationship Id="rId191" Type="http://schemas.openxmlformats.org/officeDocument/2006/relationships/hyperlink" Target="https://github.com/22f3000190/Seattle-200---TDM" TargetMode="External"/><Relationship Id="rId187" Type="http://schemas.openxmlformats.org/officeDocument/2006/relationships/hyperlink" Target="https://github.com/student2403/tds-project-1" TargetMode="External"/><Relationship Id="rId186" Type="http://schemas.openxmlformats.org/officeDocument/2006/relationships/hyperlink" Target="https://github.com/GauriTr/TDS_project_1" TargetMode="External"/><Relationship Id="rId185" Type="http://schemas.openxmlformats.org/officeDocument/2006/relationships/hyperlink" Target="https://github.com/23f1000698/proj1" TargetMode="External"/><Relationship Id="rId184" Type="http://schemas.openxmlformats.org/officeDocument/2006/relationships/hyperlink" Target="https://github.com/AfnanShamsi/TDS-Project-1/tree/main" TargetMode="External"/><Relationship Id="rId189" Type="http://schemas.openxmlformats.org/officeDocument/2006/relationships/hyperlink" Target="https://github.com/srupat/tds_project_1" TargetMode="External"/><Relationship Id="rId188" Type="http://schemas.openxmlformats.org/officeDocument/2006/relationships/hyperlink" Target="https://github.com/RaghavKapil24/tds-project" TargetMode="External"/><Relationship Id="rId183" Type="http://schemas.openxmlformats.org/officeDocument/2006/relationships/hyperlink" Target="https://github.com/na-ch7/TDS-Project-1" TargetMode="External"/><Relationship Id="rId182" Type="http://schemas.openxmlformats.org/officeDocument/2006/relationships/hyperlink" Target="https://github.com/rsjay1976/TDS-Project1" TargetMode="External"/><Relationship Id="rId181" Type="http://schemas.openxmlformats.org/officeDocument/2006/relationships/hyperlink" Target="https://github.com/Anustup24/TDS" TargetMode="External"/><Relationship Id="rId180" Type="http://schemas.openxmlformats.org/officeDocument/2006/relationships/hyperlink" Target="https://github.com/0rajnishk/tds-p1" TargetMode="External"/><Relationship Id="rId176" Type="http://schemas.openxmlformats.org/officeDocument/2006/relationships/hyperlink" Target="https://github.com/student2403/tds-project-1" TargetMode="External"/><Relationship Id="rId175" Type="http://schemas.openxmlformats.org/officeDocument/2006/relationships/hyperlink" Target="https://github.com/Rushiiljindal/TDS-project1/tree/main" TargetMode="External"/><Relationship Id="rId174" Type="http://schemas.openxmlformats.org/officeDocument/2006/relationships/hyperlink" Target="https://github.com/23f1000698/proj1" TargetMode="External"/><Relationship Id="rId173" Type="http://schemas.openxmlformats.org/officeDocument/2006/relationships/hyperlink" Target="https://github.com/LavinyaIITM/Project01_TDS" TargetMode="External"/><Relationship Id="rId179" Type="http://schemas.openxmlformats.org/officeDocument/2006/relationships/hyperlink" Target="https://github.com/srupat/tds_project_1" TargetMode="External"/><Relationship Id="rId178" Type="http://schemas.openxmlformats.org/officeDocument/2006/relationships/hyperlink" Target="https://github.com/22f3000190/Seattle-200---TDM" TargetMode="External"/><Relationship Id="rId177" Type="http://schemas.openxmlformats.org/officeDocument/2006/relationships/hyperlink" Target="https://github.com/SaicharanRitwik39/TDSProject1_TermSepDec2024" TargetMode="External"/><Relationship Id="rId198" Type="http://schemas.openxmlformats.org/officeDocument/2006/relationships/hyperlink" Target="https://github.com/shinadeveloper/TDS-Project-1" TargetMode="External"/><Relationship Id="rId197" Type="http://schemas.openxmlformats.org/officeDocument/2006/relationships/hyperlink" Target="https://github.com/AfnanShamsi/TDS-Project-1/tree/main" TargetMode="External"/><Relationship Id="rId196" Type="http://schemas.openxmlformats.org/officeDocument/2006/relationships/hyperlink" Target="https://github.com/Saransh1329/main" TargetMode="External"/><Relationship Id="rId195" Type="http://schemas.openxmlformats.org/officeDocument/2006/relationships/hyperlink" Target="https://github.com/rsjay1976/TDS-Project1" TargetMode="External"/><Relationship Id="rId199" Type="http://schemas.openxmlformats.org/officeDocument/2006/relationships/hyperlink" Target="https://github.com/AarushiVe/chennai50" TargetMode="External"/><Relationship Id="rId150" Type="http://schemas.openxmlformats.org/officeDocument/2006/relationships/hyperlink" Target="https://github.com/GeekAnanya21/TDS_project1" TargetMode="External"/><Relationship Id="rId149" Type="http://schemas.openxmlformats.org/officeDocument/2006/relationships/hyperlink" Target="https://github.com/iitmrs/Project1" TargetMode="External"/><Relationship Id="rId148" Type="http://schemas.openxmlformats.org/officeDocument/2006/relationships/hyperlink" Target="https://github.com/BISWASAHANA/GitScrapy" TargetMode="External"/><Relationship Id="rId1090" Type="http://schemas.openxmlformats.org/officeDocument/2006/relationships/hyperlink" Target="https://github.com/myGreatLoveM/tds-project-1" TargetMode="External"/><Relationship Id="rId1091" Type="http://schemas.openxmlformats.org/officeDocument/2006/relationships/hyperlink" Target="https://github.com/Sakthi-Balan-B/project1" TargetMode="External"/><Relationship Id="rId1092" Type="http://schemas.openxmlformats.org/officeDocument/2006/relationships/hyperlink" Target="https://github.com/SidharthDahiya/Toronto-Analysis" TargetMode="External"/><Relationship Id="rId1093" Type="http://schemas.openxmlformats.org/officeDocument/2006/relationships/hyperlink" Target="https://github.com/sg-sparsh-goyal/TDS-project1-22f1000693" TargetMode="External"/><Relationship Id="rId1094" Type="http://schemas.openxmlformats.org/officeDocument/2006/relationships/hyperlink" Target="https://github.com/23f2004527/TDS_Project1" TargetMode="External"/><Relationship Id="rId143" Type="http://schemas.openxmlformats.org/officeDocument/2006/relationships/hyperlink" Target="https://github.com/rebornphoenix01/TDSProject1" TargetMode="External"/><Relationship Id="rId1095" Type="http://schemas.openxmlformats.org/officeDocument/2006/relationships/hyperlink" Target="https://github.com/bhavin-iitm/tds-project1" TargetMode="External"/><Relationship Id="rId142" Type="http://schemas.openxmlformats.org/officeDocument/2006/relationships/hyperlink" Target="https://github.com/ragavkish/tds-sg-analysis" TargetMode="External"/><Relationship Id="rId1096" Type="http://schemas.openxmlformats.org/officeDocument/2006/relationships/hyperlink" Target="https://github.com/Hritik-Shyam-Gupta/TDS-Project1" TargetMode="External"/><Relationship Id="rId141" Type="http://schemas.openxmlformats.org/officeDocument/2006/relationships/hyperlink" Target="https://github.com/anand-ballabh/TDS-Project-1" TargetMode="External"/><Relationship Id="rId1097" Type="http://schemas.openxmlformats.org/officeDocument/2006/relationships/hyperlink" Target="https://github.com/nightcoder358/TDS-Project-1" TargetMode="External"/><Relationship Id="rId140" Type="http://schemas.openxmlformats.org/officeDocument/2006/relationships/hyperlink" Target="https://github.com/iitmrs/Project1" TargetMode="External"/><Relationship Id="rId1098" Type="http://schemas.openxmlformats.org/officeDocument/2006/relationships/hyperlink" Target="https://github.com/Danniiiaaaa/TDS-proj-1" TargetMode="External"/><Relationship Id="rId147" Type="http://schemas.openxmlformats.org/officeDocument/2006/relationships/hyperlink" Target="https://github.com/kvaishnavidevi/tds-project-tokyo-200" TargetMode="External"/><Relationship Id="rId1099" Type="http://schemas.openxmlformats.org/officeDocument/2006/relationships/hyperlink" Target="https://github.com/sidg75/tds-project1" TargetMode="External"/><Relationship Id="rId146" Type="http://schemas.openxmlformats.org/officeDocument/2006/relationships/hyperlink" Target="https://github.com/Yogesh-005/pro1" TargetMode="External"/><Relationship Id="rId145" Type="http://schemas.openxmlformats.org/officeDocument/2006/relationships/hyperlink" Target="https://github.com/Avinash94567" TargetMode="External"/><Relationship Id="rId144" Type="http://schemas.openxmlformats.org/officeDocument/2006/relationships/hyperlink" Target="https://github.com/sapiitm/tds" TargetMode="External"/><Relationship Id="rId139" Type="http://schemas.openxmlformats.org/officeDocument/2006/relationships/hyperlink" Target="https://github.com/NEELU9931/tds5" TargetMode="External"/><Relationship Id="rId138" Type="http://schemas.openxmlformats.org/officeDocument/2006/relationships/hyperlink" Target="https://github.com/kvaishnavidevi/tds-project-tokyo-200" TargetMode="External"/><Relationship Id="rId137" Type="http://schemas.openxmlformats.org/officeDocument/2006/relationships/hyperlink" Target="https://github.com/Jayaraja-SK/TDS-Project1" TargetMode="External"/><Relationship Id="rId1080" Type="http://schemas.openxmlformats.org/officeDocument/2006/relationships/hyperlink" Target="https://github.com/Kushagra-IITM/TDS1_23f1001963" TargetMode="External"/><Relationship Id="rId1081" Type="http://schemas.openxmlformats.org/officeDocument/2006/relationships/hyperlink" Target="https://github.com/Abhishek-IITM2026/TDS-Project-1" TargetMode="External"/><Relationship Id="rId1082" Type="http://schemas.openxmlformats.org/officeDocument/2006/relationships/hyperlink" Target="https://github.com/na-ch7/TDS-Project-1" TargetMode="External"/><Relationship Id="rId1083" Type="http://schemas.openxmlformats.org/officeDocument/2006/relationships/hyperlink" Target="https://github.com/abhinavsaxena277/Hyderabad-GitHub-Users" TargetMode="External"/><Relationship Id="rId132" Type="http://schemas.openxmlformats.org/officeDocument/2006/relationships/hyperlink" Target="https://github.com/anand-ballabh/TDS-Project-1" TargetMode="External"/><Relationship Id="rId1084" Type="http://schemas.openxmlformats.org/officeDocument/2006/relationships/hyperlink" Target="https://github.com/rahul-jha-2001/TDS" TargetMode="External"/><Relationship Id="rId131" Type="http://schemas.openxmlformats.org/officeDocument/2006/relationships/hyperlink" Target="https://github.com/notnikita21/TDS-Project-1" TargetMode="External"/><Relationship Id="rId1085" Type="http://schemas.openxmlformats.org/officeDocument/2006/relationships/hyperlink" Target="https://github.com/23f2003986/Boston100_Users" TargetMode="External"/><Relationship Id="rId130" Type="http://schemas.openxmlformats.org/officeDocument/2006/relationships/hyperlink" Target="https://github.com/NEELU9931/tds5" TargetMode="External"/><Relationship Id="rId1086" Type="http://schemas.openxmlformats.org/officeDocument/2006/relationships/hyperlink" Target="https://github.com/AbayNandhiga-iitm/tokyo-github-users" TargetMode="External"/><Relationship Id="rId1087" Type="http://schemas.openxmlformats.org/officeDocument/2006/relationships/hyperlink" Target="https://github.com/21f3003136/TokyoScrape" TargetMode="External"/><Relationship Id="rId136" Type="http://schemas.openxmlformats.org/officeDocument/2006/relationships/hyperlink" Target="https://github.com/Avinash94567" TargetMode="External"/><Relationship Id="rId1088" Type="http://schemas.openxmlformats.org/officeDocument/2006/relationships/hyperlink" Target="https://github.com/harrycode54/Stockholm100" TargetMode="External"/><Relationship Id="rId135" Type="http://schemas.openxmlformats.org/officeDocument/2006/relationships/hyperlink" Target="https://github.com/Nimbus29/TDS-Project_1" TargetMode="External"/><Relationship Id="rId1089" Type="http://schemas.openxmlformats.org/officeDocument/2006/relationships/hyperlink" Target="https://github.com/virajkingmaker/project1" TargetMode="External"/><Relationship Id="rId134" Type="http://schemas.openxmlformats.org/officeDocument/2006/relationships/hyperlink" Target="https://github.com/rebornphoenix01/TDSProject1" TargetMode="External"/><Relationship Id="rId133" Type="http://schemas.openxmlformats.org/officeDocument/2006/relationships/hyperlink" Target="https://github.com/VijeethC300/BangaloreGitHubUsers" TargetMode="External"/><Relationship Id="rId172" Type="http://schemas.openxmlformats.org/officeDocument/2006/relationships/hyperlink" Target="https://github.com/na-ch7/TDS-Project-1" TargetMode="External"/><Relationship Id="rId171" Type="http://schemas.openxmlformats.org/officeDocument/2006/relationships/hyperlink" Target="https://github.com/JS121000/BERLINPROJECT" TargetMode="External"/><Relationship Id="rId170" Type="http://schemas.openxmlformats.org/officeDocument/2006/relationships/hyperlink" Target="https://github.com/Anustup24/TDS" TargetMode="External"/><Relationship Id="rId165" Type="http://schemas.openxmlformats.org/officeDocument/2006/relationships/hyperlink" Target="https://github.com/hardikshub01/TDS-Project-1" TargetMode="External"/><Relationship Id="rId164" Type="http://schemas.openxmlformats.org/officeDocument/2006/relationships/hyperlink" Target="https://github.com/Rushiiljindal/TDS-project1/tree/main" TargetMode="External"/><Relationship Id="rId163" Type="http://schemas.openxmlformats.org/officeDocument/2006/relationships/hyperlink" Target="https://github.com/AdithyaLingam/tds_project_24f1002079" TargetMode="External"/><Relationship Id="rId162" Type="http://schemas.openxmlformats.org/officeDocument/2006/relationships/hyperlink" Target="https://github.com/LavinyaIITM/Project01_TDS" TargetMode="External"/><Relationship Id="rId169" Type="http://schemas.openxmlformats.org/officeDocument/2006/relationships/hyperlink" Target="https://github.com/Rushiiljindal/TDS-project1" TargetMode="External"/><Relationship Id="rId168" Type="http://schemas.openxmlformats.org/officeDocument/2006/relationships/hyperlink" Target="https://github.com/srupat/tds_project_1" TargetMode="External"/><Relationship Id="rId167" Type="http://schemas.openxmlformats.org/officeDocument/2006/relationships/hyperlink" Target="https://github.com/yali369/Boston" TargetMode="External"/><Relationship Id="rId166" Type="http://schemas.openxmlformats.org/officeDocument/2006/relationships/hyperlink" Target="https://github.com/SaicharanRitwik39/TDSProject1_TermSepDec2024" TargetMode="External"/><Relationship Id="rId161" Type="http://schemas.openxmlformats.org/officeDocument/2006/relationships/hyperlink" Target="https://github.com/GeekAnanya21/TDS_project1" TargetMode="External"/><Relationship Id="rId160" Type="http://schemas.openxmlformats.org/officeDocument/2006/relationships/hyperlink" Target="https://github.com/JS121000/BERLINPROJECT" TargetMode="External"/><Relationship Id="rId159" Type="http://schemas.openxmlformats.org/officeDocument/2006/relationships/hyperlink" Target="https://github.com/BISWASAHANA/GitScrapy" TargetMode="External"/><Relationship Id="rId154" Type="http://schemas.openxmlformats.org/officeDocument/2006/relationships/hyperlink" Target="https://github.com/hardikshub01/TDS-Project-1" TargetMode="External"/><Relationship Id="rId153" Type="http://schemas.openxmlformats.org/officeDocument/2006/relationships/hyperlink" Target="https://github.com/sapiitm/tds" TargetMode="External"/><Relationship Id="rId152" Type="http://schemas.openxmlformats.org/officeDocument/2006/relationships/hyperlink" Target="https://github.com/AdithyaLingam/tds_project_24f1002079" TargetMode="External"/><Relationship Id="rId151" Type="http://schemas.openxmlformats.org/officeDocument/2006/relationships/hyperlink" Target="https://github.com/ragavkish/tds-sg-analysis" TargetMode="External"/><Relationship Id="rId158" Type="http://schemas.openxmlformats.org/officeDocument/2006/relationships/hyperlink" Target="https://github.com/Rushiiljindal/TDS-project1" TargetMode="External"/><Relationship Id="rId157" Type="http://schemas.openxmlformats.org/officeDocument/2006/relationships/hyperlink" Target="https://github.com/NEELU9931/tds5" TargetMode="External"/><Relationship Id="rId156" Type="http://schemas.openxmlformats.org/officeDocument/2006/relationships/hyperlink" Target="https://github.com/yali369/Boston" TargetMode="External"/><Relationship Id="rId155" Type="http://schemas.openxmlformats.org/officeDocument/2006/relationships/hyperlink" Target="https://github.com/Yogesh-005/pro1" TargetMode="External"/><Relationship Id="rId1510" Type="http://schemas.openxmlformats.org/officeDocument/2006/relationships/hyperlink" Target="https://github.com/21f3003136/TokyoScrape" TargetMode="External"/><Relationship Id="rId1511" Type="http://schemas.openxmlformats.org/officeDocument/2006/relationships/hyperlink" Target="https://github.com/kunj-10/TDS-IITM-Project1" TargetMode="External"/><Relationship Id="rId1512" Type="http://schemas.openxmlformats.org/officeDocument/2006/relationships/hyperlink" Target="https://github.com/AaryNimje/22f3001836-ds.study.iitm.ac.in-Bangalore-100" TargetMode="External"/><Relationship Id="rId1513" Type="http://schemas.openxmlformats.org/officeDocument/2006/relationships/hyperlink" Target="https://github.com/KD-kaustubh/Tds-project-1" TargetMode="External"/><Relationship Id="rId1514" Type="http://schemas.openxmlformats.org/officeDocument/2006/relationships/hyperlink" Target="https://github.com/ramyaarorra/tdsprojectuno" TargetMode="External"/><Relationship Id="rId1515" Type="http://schemas.openxmlformats.org/officeDocument/2006/relationships/hyperlink" Target="https://github.com/dhaanicodes/project1" TargetMode="External"/><Relationship Id="rId1516" Type="http://schemas.openxmlformats.org/officeDocument/2006/relationships/hyperlink" Target="https://github.com/fahmeed1713/fahmeed" TargetMode="External"/><Relationship Id="rId1517" Type="http://schemas.openxmlformats.org/officeDocument/2006/relationships/hyperlink" Target="https://github.com/HaifaAbdulSathar/TDS-Project1" TargetMode="External"/><Relationship Id="rId1518" Type="http://schemas.openxmlformats.org/officeDocument/2006/relationships/hyperlink" Target="https://github.com/HaifaAbdulSathar/TDS-Project1" TargetMode="External"/><Relationship Id="rId1519" Type="http://schemas.openxmlformats.org/officeDocument/2006/relationships/hyperlink" Target="https://github.com/NeeharikaBhaide/TDS_P1" TargetMode="External"/><Relationship Id="rId1500" Type="http://schemas.openxmlformats.org/officeDocument/2006/relationships/hyperlink" Target="https://github.com/Pkant-b/TDS-Proj1/tree/main" TargetMode="External"/><Relationship Id="rId1501" Type="http://schemas.openxmlformats.org/officeDocument/2006/relationships/hyperlink" Target="https://github.com/shramadeepd/TDS_1" TargetMode="External"/><Relationship Id="rId1502" Type="http://schemas.openxmlformats.org/officeDocument/2006/relationships/hyperlink" Target="https://github.com/22f1000259/TDS-PROJECT-1" TargetMode="External"/><Relationship Id="rId1503" Type="http://schemas.openxmlformats.org/officeDocument/2006/relationships/hyperlink" Target="https://github.com/vazemon/TDS_Project1/tree/main" TargetMode="External"/><Relationship Id="rId1504" Type="http://schemas.openxmlformats.org/officeDocument/2006/relationships/hyperlink" Target="https://github.com/mdnabeelmn10/TDS_Project1_23f1001173" TargetMode="External"/><Relationship Id="rId1505" Type="http://schemas.openxmlformats.org/officeDocument/2006/relationships/hyperlink" Target="https://github.com/AlexStark110/MELB_USERS" TargetMode="External"/><Relationship Id="rId1506" Type="http://schemas.openxmlformats.org/officeDocument/2006/relationships/hyperlink" Target="https://github.com/tiwariannanya/TDS_Project_1_Berlin" TargetMode="External"/><Relationship Id="rId1507" Type="http://schemas.openxmlformats.org/officeDocument/2006/relationships/hyperlink" Target="https://github.com/CaptPeroxide7/TDS-Proj1" TargetMode="External"/><Relationship Id="rId1508" Type="http://schemas.openxmlformats.org/officeDocument/2006/relationships/hyperlink" Target="https://github.com/Vish2BDev/tds-project1-Barcelona" TargetMode="External"/><Relationship Id="rId1509" Type="http://schemas.openxmlformats.org/officeDocument/2006/relationships/hyperlink" Target="https://github.com/Sunidhi912/TDSProject1" TargetMode="External"/><Relationship Id="rId1576" Type="http://schemas.openxmlformats.org/officeDocument/2006/relationships/hyperlink" Target="https://github.com/leyther5813/b100" TargetMode="External"/><Relationship Id="rId1577" Type="http://schemas.openxmlformats.org/officeDocument/2006/relationships/hyperlink" Target="https://github.com/SANDESH9098/TDS-Project1" TargetMode="External"/><Relationship Id="rId1578" Type="http://schemas.openxmlformats.org/officeDocument/2006/relationships/hyperlink" Target="https://github.com/Madhav-Sanjay-Patil/TDS_23f1002049" TargetMode="External"/><Relationship Id="rId1579" Type="http://schemas.openxmlformats.org/officeDocument/2006/relationships/hyperlink" Target="https://github.com/Abhinandan-IIT-M/austin-github-users.git" TargetMode="External"/><Relationship Id="rId509" Type="http://schemas.openxmlformats.org/officeDocument/2006/relationships/hyperlink" Target="https://github.com/Allen-Josu/TDS_Project" TargetMode="External"/><Relationship Id="rId508" Type="http://schemas.openxmlformats.org/officeDocument/2006/relationships/hyperlink" Target="https://github.com/KaustubhaRam/London_GitHub_Users" TargetMode="External"/><Relationship Id="rId503" Type="http://schemas.openxmlformats.org/officeDocument/2006/relationships/hyperlink" Target="https://github.com/dhimantks/tdsproject1" TargetMode="External"/><Relationship Id="rId987" Type="http://schemas.openxmlformats.org/officeDocument/2006/relationships/hyperlink" Target="https://github.com/rajakumari-sp/TDS_project1" TargetMode="External"/><Relationship Id="rId502" Type="http://schemas.openxmlformats.org/officeDocument/2006/relationships/hyperlink" Target="https://github.com/k121mayur/TDA_PROJECT_1" TargetMode="External"/><Relationship Id="rId986" Type="http://schemas.openxmlformats.org/officeDocument/2006/relationships/hyperlink" Target="https://github.com/hameed-student/tds-project-1" TargetMode="External"/><Relationship Id="rId501" Type="http://schemas.openxmlformats.org/officeDocument/2006/relationships/hyperlink" Target="https://github.com/sadiq1402/TDS-Project-1" TargetMode="External"/><Relationship Id="rId985" Type="http://schemas.openxmlformats.org/officeDocument/2006/relationships/hyperlink" Target="https://github.com/Allen-Josu/TDS_Project" TargetMode="External"/><Relationship Id="rId500" Type="http://schemas.openxmlformats.org/officeDocument/2006/relationships/hyperlink" Target="https://github.com/harinivas21/tds" TargetMode="External"/><Relationship Id="rId984" Type="http://schemas.openxmlformats.org/officeDocument/2006/relationships/hyperlink" Target="https://github.com/EnggAditya03/ds" TargetMode="External"/><Relationship Id="rId507" Type="http://schemas.openxmlformats.org/officeDocument/2006/relationships/hyperlink" Target="https://github.com/perceptron-01/project-1" TargetMode="External"/><Relationship Id="rId506" Type="http://schemas.openxmlformats.org/officeDocument/2006/relationships/hyperlink" Target="https://github.com/ManuIITM-Coder/MOSCOW-50" TargetMode="External"/><Relationship Id="rId505" Type="http://schemas.openxmlformats.org/officeDocument/2006/relationships/hyperlink" Target="https://github.com/23f3004236/TDS-Project-1/tree/main" TargetMode="External"/><Relationship Id="rId989" Type="http://schemas.openxmlformats.org/officeDocument/2006/relationships/hyperlink" Target="https://github.com/KarthikKalashLGS/TDSProject1" TargetMode="External"/><Relationship Id="rId504" Type="http://schemas.openxmlformats.org/officeDocument/2006/relationships/hyperlink" Target="https://github.com/bhavikasharma999/project1-tokyo-follower" TargetMode="External"/><Relationship Id="rId988" Type="http://schemas.openxmlformats.org/officeDocument/2006/relationships/hyperlink" Target="https://github.com/AryanThakur-123/TDS-Project-1" TargetMode="External"/><Relationship Id="rId1570" Type="http://schemas.openxmlformats.org/officeDocument/2006/relationships/hyperlink" Target="https://github.com/AnkitaDev05/TDS-Project1" TargetMode="External"/><Relationship Id="rId1571" Type="http://schemas.openxmlformats.org/officeDocument/2006/relationships/hyperlink" Target="https://github.com/kasturi190602/TDSProject" TargetMode="External"/><Relationship Id="rId983" Type="http://schemas.openxmlformats.org/officeDocument/2006/relationships/hyperlink" Target="https://github.com/subhajit2001/TDSProject1" TargetMode="External"/><Relationship Id="rId1572" Type="http://schemas.openxmlformats.org/officeDocument/2006/relationships/hyperlink" Target="https://github.com/lakshyaonweb22/TDS_Project1" TargetMode="External"/><Relationship Id="rId982" Type="http://schemas.openxmlformats.org/officeDocument/2006/relationships/hyperlink" Target="https://github.com/hack-sketch/tds-project" TargetMode="External"/><Relationship Id="rId1573" Type="http://schemas.openxmlformats.org/officeDocument/2006/relationships/hyperlink" Target="https://github.com/tejasreematta/TDS-Project-1" TargetMode="External"/><Relationship Id="rId981" Type="http://schemas.openxmlformats.org/officeDocument/2006/relationships/hyperlink" Target="https://github.com/Amrendra-kumar7/API_Melburne" TargetMode="External"/><Relationship Id="rId1574" Type="http://schemas.openxmlformats.org/officeDocument/2006/relationships/hyperlink" Target="https://github.com/ishitabhalla16/TDS-Project-1" TargetMode="External"/><Relationship Id="rId980" Type="http://schemas.openxmlformats.org/officeDocument/2006/relationships/hyperlink" Target="https://github.com/QuixoticPsyche/tds-project-1" TargetMode="External"/><Relationship Id="rId1575" Type="http://schemas.openxmlformats.org/officeDocument/2006/relationships/hyperlink" Target="https://github.com/JaySoni77/Project-1" TargetMode="External"/><Relationship Id="rId1565" Type="http://schemas.openxmlformats.org/officeDocument/2006/relationships/hyperlink" Target="https://github.com/hack-sketch/tds-project" TargetMode="External"/><Relationship Id="rId1566" Type="http://schemas.openxmlformats.org/officeDocument/2006/relationships/hyperlink" Target="https://github.com/Praveenkunn/TDS-Project1" TargetMode="External"/><Relationship Id="rId1567" Type="http://schemas.openxmlformats.org/officeDocument/2006/relationships/hyperlink" Target="https://github.com/puneeth2907/TDS-Project-1" TargetMode="External"/><Relationship Id="rId1568" Type="http://schemas.openxmlformats.org/officeDocument/2006/relationships/hyperlink" Target="https://github.com/AnantLuthra/tds-project1" TargetMode="External"/><Relationship Id="rId1569" Type="http://schemas.openxmlformats.org/officeDocument/2006/relationships/hyperlink" Target="https://github.com/SravanVullanki/TDSPROJECT1" TargetMode="External"/><Relationship Id="rId976" Type="http://schemas.openxmlformats.org/officeDocument/2006/relationships/hyperlink" Target="https://github.com/AbhimanyuDwivedi282/TDS-Project_1" TargetMode="External"/><Relationship Id="rId975" Type="http://schemas.openxmlformats.org/officeDocument/2006/relationships/hyperlink" Target="https://github.com/23f1001663/TDS-QUIZ-1" TargetMode="External"/><Relationship Id="rId974" Type="http://schemas.openxmlformats.org/officeDocument/2006/relationships/hyperlink" Target="https://github.com/foriitm/p01" TargetMode="External"/><Relationship Id="rId973" Type="http://schemas.openxmlformats.org/officeDocument/2006/relationships/hyperlink" Target="https://github.com/Kanishk90/Project1" TargetMode="External"/><Relationship Id="rId979" Type="http://schemas.openxmlformats.org/officeDocument/2006/relationships/hyperlink" Target="https://github.com/anshikaatiwari/tdsp1" TargetMode="External"/><Relationship Id="rId978" Type="http://schemas.openxmlformats.org/officeDocument/2006/relationships/hyperlink" Target="https://github.com/23f2004165/Scraping-GitHub-Users-And-Their-Repos-TDS-Project1-" TargetMode="External"/><Relationship Id="rId977" Type="http://schemas.openxmlformats.org/officeDocument/2006/relationships/hyperlink" Target="https://github.com/ranashakti7/Sydney_users" TargetMode="External"/><Relationship Id="rId1560" Type="http://schemas.openxmlformats.org/officeDocument/2006/relationships/hyperlink" Target="https://github.com/NeeharikaBhaide/TDS_P1" TargetMode="External"/><Relationship Id="rId972" Type="http://schemas.openxmlformats.org/officeDocument/2006/relationships/hyperlink" Target="https://github.com/Sreekar-1804/Tds_Project_1" TargetMode="External"/><Relationship Id="rId1561" Type="http://schemas.openxmlformats.org/officeDocument/2006/relationships/hyperlink" Target="https://github.com/shamanthakiitm/TDS-Project-1" TargetMode="External"/><Relationship Id="rId971" Type="http://schemas.openxmlformats.org/officeDocument/2006/relationships/hyperlink" Target="https://github.com/1yadavsid/tds-project-1" TargetMode="External"/><Relationship Id="rId1562" Type="http://schemas.openxmlformats.org/officeDocument/2006/relationships/hyperlink" Target="https://github.com/RiyaAgarwal22/TDS_Proj_1" TargetMode="External"/><Relationship Id="rId970" Type="http://schemas.openxmlformats.org/officeDocument/2006/relationships/hyperlink" Target="https://github.com/afsi07/github-users-london/tree/main" TargetMode="External"/><Relationship Id="rId1563" Type="http://schemas.openxmlformats.org/officeDocument/2006/relationships/hyperlink" Target="https://github.com/ShivamS191/hiiii" TargetMode="External"/><Relationship Id="rId1564" Type="http://schemas.openxmlformats.org/officeDocument/2006/relationships/hyperlink" Target="https://github.com/indalbind/tds_project_first" TargetMode="External"/><Relationship Id="rId1114" Type="http://schemas.openxmlformats.org/officeDocument/2006/relationships/hyperlink" Target="https://github.com/Viswa-iitm/TDS-project-1" TargetMode="External"/><Relationship Id="rId1598" Type="http://schemas.openxmlformats.org/officeDocument/2006/relationships/hyperlink" Target="https://github.com/Varun-K34/github-users-toronto" TargetMode="External"/><Relationship Id="rId1115" Type="http://schemas.openxmlformats.org/officeDocument/2006/relationships/hyperlink" Target="https://github.com/CaptPeroxide7/TDS-Proj1" TargetMode="External"/><Relationship Id="rId1599" Type="http://schemas.openxmlformats.org/officeDocument/2006/relationships/hyperlink" Target="https://github.com/AlexStark110/MELB_USERS" TargetMode="External"/><Relationship Id="rId1116" Type="http://schemas.openxmlformats.org/officeDocument/2006/relationships/hyperlink" Target="https://github.com/joshna-dhanokar/Stockholm-100" TargetMode="External"/><Relationship Id="rId1117" Type="http://schemas.openxmlformats.org/officeDocument/2006/relationships/hyperlink" Target="https://github.com/Vish2BDev/tds-project1-Barcelona" TargetMode="External"/><Relationship Id="rId1118" Type="http://schemas.openxmlformats.org/officeDocument/2006/relationships/hyperlink" Target="https://github.com/pranay2k3/iitpro" TargetMode="External"/><Relationship Id="rId1119" Type="http://schemas.openxmlformats.org/officeDocument/2006/relationships/hyperlink" Target="https://github.com/Sunidhi912/TDSProject1" TargetMode="External"/><Relationship Id="rId525" Type="http://schemas.openxmlformats.org/officeDocument/2006/relationships/hyperlink" Target="https://github.com/ratantiwaridev/tds_project1" TargetMode="External"/><Relationship Id="rId524" Type="http://schemas.openxmlformats.org/officeDocument/2006/relationships/hyperlink" Target="https://github.com/vaibhavgupta-iitm/TDS-Project-1" TargetMode="External"/><Relationship Id="rId523" Type="http://schemas.openxmlformats.org/officeDocument/2006/relationships/hyperlink" Target="https://github.com/SrujanKVK/23f2003652-ds.study.iitm.ac.in__London-500" TargetMode="External"/><Relationship Id="rId522" Type="http://schemas.openxmlformats.org/officeDocument/2006/relationships/hyperlink" Target="https://github.com/Rxhit1/TDSproj1/tree/main" TargetMode="External"/><Relationship Id="rId529" Type="http://schemas.openxmlformats.org/officeDocument/2006/relationships/hyperlink" Target="https://github.com/22f2000894/tds-project-1" TargetMode="External"/><Relationship Id="rId528" Type="http://schemas.openxmlformats.org/officeDocument/2006/relationships/hyperlink" Target="https://github.com/regisprabha/TDS-Project1" TargetMode="External"/><Relationship Id="rId527" Type="http://schemas.openxmlformats.org/officeDocument/2006/relationships/hyperlink" Target="https://github.com/Abimanyu-A-J/TDSProj1/tree/main" TargetMode="External"/><Relationship Id="rId526" Type="http://schemas.openxmlformats.org/officeDocument/2006/relationships/hyperlink" Target="https://github.com/Prajwalit-Tiwari/TDS_Project1" TargetMode="External"/><Relationship Id="rId1590" Type="http://schemas.openxmlformats.org/officeDocument/2006/relationships/hyperlink" Target="https://github.com/Ajmalkajm/TDS-Project_1" TargetMode="External"/><Relationship Id="rId1591" Type="http://schemas.openxmlformats.org/officeDocument/2006/relationships/hyperlink" Target="https://github.com/tuxdna/tds-project1" TargetMode="External"/><Relationship Id="rId1592" Type="http://schemas.openxmlformats.org/officeDocument/2006/relationships/hyperlink" Target="https://github.com/heyitsshreya/Austin-GitHub-Users-Analysis" TargetMode="External"/><Relationship Id="rId1593" Type="http://schemas.openxmlformats.org/officeDocument/2006/relationships/hyperlink" Target="https://github.com/suryadhn/boston_user_repo" TargetMode="External"/><Relationship Id="rId521" Type="http://schemas.openxmlformats.org/officeDocument/2006/relationships/hyperlink" Target="https://github.com/Anish071105/TDS-project1" TargetMode="External"/><Relationship Id="rId1110" Type="http://schemas.openxmlformats.org/officeDocument/2006/relationships/hyperlink" Target="https://github.com/Amrendra-kumar7/API_Melburne" TargetMode="External"/><Relationship Id="rId1594" Type="http://schemas.openxmlformats.org/officeDocument/2006/relationships/hyperlink" Target="https://github.com/22f3000398/TDS-Project" TargetMode="External"/><Relationship Id="rId520" Type="http://schemas.openxmlformats.org/officeDocument/2006/relationships/hyperlink" Target="https://github.com/sneh2105/tds_proj1" TargetMode="External"/><Relationship Id="rId1111" Type="http://schemas.openxmlformats.org/officeDocument/2006/relationships/hyperlink" Target="https://github.com/AlexStark110/MELB_USERS" TargetMode="External"/><Relationship Id="rId1595" Type="http://schemas.openxmlformats.org/officeDocument/2006/relationships/hyperlink" Target="https://github.com/itsrohithreddy/TDS_Project1" TargetMode="External"/><Relationship Id="rId1112" Type="http://schemas.openxmlformats.org/officeDocument/2006/relationships/hyperlink" Target="https://github.com/terminator7x/tds-project/tree/main" TargetMode="External"/><Relationship Id="rId1596" Type="http://schemas.openxmlformats.org/officeDocument/2006/relationships/hyperlink" Target="https://github.com/mayanktripathii/TDS-Project-1" TargetMode="External"/><Relationship Id="rId1113" Type="http://schemas.openxmlformats.org/officeDocument/2006/relationships/hyperlink" Target="https://github.com/tiwariannanya/TDS_Project_1_Berlin" TargetMode="External"/><Relationship Id="rId1597" Type="http://schemas.openxmlformats.org/officeDocument/2006/relationships/hyperlink" Target="https://github.com/KRISHBORANA/Sydney-100" TargetMode="External"/><Relationship Id="rId1103" Type="http://schemas.openxmlformats.org/officeDocument/2006/relationships/hyperlink" Target="https://github.com/Pkant-b/TDS-Proj1/tree/main" TargetMode="External"/><Relationship Id="rId1587" Type="http://schemas.openxmlformats.org/officeDocument/2006/relationships/hyperlink" Target="https://github.com/Rosh-10/tds-project-1" TargetMode="External"/><Relationship Id="rId1104" Type="http://schemas.openxmlformats.org/officeDocument/2006/relationships/hyperlink" Target="https://github.com/Rishitahazra/berlin200" TargetMode="External"/><Relationship Id="rId1588" Type="http://schemas.openxmlformats.org/officeDocument/2006/relationships/hyperlink" Target="https://github.com/ml1608/TDS-Project1" TargetMode="External"/><Relationship Id="rId1105" Type="http://schemas.openxmlformats.org/officeDocument/2006/relationships/hyperlink" Target="https://github.com/shramadeepd/TDS_1" TargetMode="External"/><Relationship Id="rId1589" Type="http://schemas.openxmlformats.org/officeDocument/2006/relationships/hyperlink" Target="https://github.com/21f2001015/tds-project-1" TargetMode="External"/><Relationship Id="rId1106" Type="http://schemas.openxmlformats.org/officeDocument/2006/relationships/hyperlink" Target="https://github.com/mehuljun09/TDS_IITM" TargetMode="External"/><Relationship Id="rId1107" Type="http://schemas.openxmlformats.org/officeDocument/2006/relationships/hyperlink" Target="https://github.com/22f1000259/TDS-PROJECT-1" TargetMode="External"/><Relationship Id="rId1108" Type="http://schemas.openxmlformats.org/officeDocument/2006/relationships/hyperlink" Target="https://github.com/sufyan-12/TDS-PR1" TargetMode="External"/><Relationship Id="rId1109" Type="http://schemas.openxmlformats.org/officeDocument/2006/relationships/hyperlink" Target="https://github.com/vazemon/TDS_Project1/tree/main" TargetMode="External"/><Relationship Id="rId519" Type="http://schemas.openxmlformats.org/officeDocument/2006/relationships/hyperlink" Target="https://github.com/ak5h1ta/tds-project1" TargetMode="External"/><Relationship Id="rId514" Type="http://schemas.openxmlformats.org/officeDocument/2006/relationships/hyperlink" Target="https://github.com/jalajverma007/tds-pj1" TargetMode="External"/><Relationship Id="rId998" Type="http://schemas.openxmlformats.org/officeDocument/2006/relationships/hyperlink" Target="https://github.com/edurelated2021/tds-proj1/tree/main" TargetMode="External"/><Relationship Id="rId513" Type="http://schemas.openxmlformats.org/officeDocument/2006/relationships/hyperlink" Target="https://github.com/AdityaGuptaVarshney/tds-project1-iitm" TargetMode="External"/><Relationship Id="rId997" Type="http://schemas.openxmlformats.org/officeDocument/2006/relationships/hyperlink" Target="https://github.com/Sgytuy/Tools-in-Data-Science---Project-1/tree/main" TargetMode="External"/><Relationship Id="rId512" Type="http://schemas.openxmlformats.org/officeDocument/2006/relationships/hyperlink" Target="https://github.com/bhumi-gupta2201/Austin100.git" TargetMode="External"/><Relationship Id="rId996" Type="http://schemas.openxmlformats.org/officeDocument/2006/relationships/hyperlink" Target="https://github.com/tanishka-26saxena/Tokyo-200" TargetMode="External"/><Relationship Id="rId511" Type="http://schemas.openxmlformats.org/officeDocument/2006/relationships/hyperlink" Target="https://github.com/27-Swastik/tds_project_1" TargetMode="External"/><Relationship Id="rId995" Type="http://schemas.openxmlformats.org/officeDocument/2006/relationships/hyperlink" Target="https://github.com/hdsawscloud/project1" TargetMode="External"/><Relationship Id="rId518" Type="http://schemas.openxmlformats.org/officeDocument/2006/relationships/hyperlink" Target="https://github.com/vikashkj2024/tds-project-1" TargetMode="External"/><Relationship Id="rId517" Type="http://schemas.openxmlformats.org/officeDocument/2006/relationships/hyperlink" Target="https://github.com/Devanshshukla090705/PRJ1_TDS" TargetMode="External"/><Relationship Id="rId516" Type="http://schemas.openxmlformats.org/officeDocument/2006/relationships/hyperlink" Target="https://github.com/Saagar-22/Hyderabad_50" TargetMode="External"/><Relationship Id="rId515" Type="http://schemas.openxmlformats.org/officeDocument/2006/relationships/hyperlink" Target="https://github.com/AMOL-023/main" TargetMode="External"/><Relationship Id="rId999" Type="http://schemas.openxmlformats.org/officeDocument/2006/relationships/hyperlink" Target="https://github.com/23f1000698/proj1" TargetMode="External"/><Relationship Id="rId990" Type="http://schemas.openxmlformats.org/officeDocument/2006/relationships/hyperlink" Target="https://github.com/mdnabeelmn10/TDS_Project1_23f1001173" TargetMode="External"/><Relationship Id="rId1580" Type="http://schemas.openxmlformats.org/officeDocument/2006/relationships/hyperlink" Target="https://github.com/singh-akhand/tds-project-1" TargetMode="External"/><Relationship Id="rId1581" Type="http://schemas.openxmlformats.org/officeDocument/2006/relationships/hyperlink" Target="https://github.com/sn1411/chicago-github-users" TargetMode="External"/><Relationship Id="rId1582" Type="http://schemas.openxmlformats.org/officeDocument/2006/relationships/hyperlink" Target="https://github.com/akulbansal1/TDS_Project_1" TargetMode="External"/><Relationship Id="rId510" Type="http://schemas.openxmlformats.org/officeDocument/2006/relationships/hyperlink" Target="https://github.com/21f1002976/tds_project_1" TargetMode="External"/><Relationship Id="rId994" Type="http://schemas.openxmlformats.org/officeDocument/2006/relationships/hyperlink" Target="https://github.com/hamees-sayed/tds-project" TargetMode="External"/><Relationship Id="rId1583" Type="http://schemas.openxmlformats.org/officeDocument/2006/relationships/hyperlink" Target="https://github.com/PradeepIITMBS/TDS-PROJECT-1" TargetMode="External"/><Relationship Id="rId993" Type="http://schemas.openxmlformats.org/officeDocument/2006/relationships/hyperlink" Target="https://github.com/raghu5427/TDS_Proj_1" TargetMode="External"/><Relationship Id="rId1100" Type="http://schemas.openxmlformats.org/officeDocument/2006/relationships/hyperlink" Target="https://github.com/Ananya200314/IITM_TDS_P1" TargetMode="External"/><Relationship Id="rId1584" Type="http://schemas.openxmlformats.org/officeDocument/2006/relationships/hyperlink" Target="https://github.com/rishikarai23/TDS-PROJECT" TargetMode="External"/><Relationship Id="rId992" Type="http://schemas.openxmlformats.org/officeDocument/2006/relationships/hyperlink" Target="https://github.com/mayanktripathii/TDS-Project-1" TargetMode="External"/><Relationship Id="rId1101" Type="http://schemas.openxmlformats.org/officeDocument/2006/relationships/hyperlink" Target="https://github.com/jaideepS04/project_tds-p" TargetMode="External"/><Relationship Id="rId1585" Type="http://schemas.openxmlformats.org/officeDocument/2006/relationships/hyperlink" Target="https://github.com/joy-pro26/TDSProject1" TargetMode="External"/><Relationship Id="rId991" Type="http://schemas.openxmlformats.org/officeDocument/2006/relationships/hyperlink" Target="https://github.com/Wamikmk/My-tds-Project-1" TargetMode="External"/><Relationship Id="rId1102" Type="http://schemas.openxmlformats.org/officeDocument/2006/relationships/hyperlink" Target="https://github.com/rebornphoenix01/TDSProject1" TargetMode="External"/><Relationship Id="rId1586" Type="http://schemas.openxmlformats.org/officeDocument/2006/relationships/hyperlink" Target="https://github.com/Jayaprakash1710/TDS-Project-1" TargetMode="External"/><Relationship Id="rId1532" Type="http://schemas.openxmlformats.org/officeDocument/2006/relationships/hyperlink" Target="https://github.com/srishtyAg19/Moscow-50" TargetMode="External"/><Relationship Id="rId1533" Type="http://schemas.openxmlformats.org/officeDocument/2006/relationships/hyperlink" Target="https://github.com/phanthomx/TDS_PROJECT" TargetMode="External"/><Relationship Id="rId1534" Type="http://schemas.openxmlformats.org/officeDocument/2006/relationships/hyperlink" Target="https://github.com/abhistjain/Project_tds" TargetMode="External"/><Relationship Id="rId1535" Type="http://schemas.openxmlformats.org/officeDocument/2006/relationships/hyperlink" Target="https://github.com/amittkulkarni/tds-project-1" TargetMode="External"/><Relationship Id="rId1536" Type="http://schemas.openxmlformats.org/officeDocument/2006/relationships/hyperlink" Target="https://github.com/Ashiskushwaha/project-1" TargetMode="External"/><Relationship Id="rId1537" Type="http://schemas.openxmlformats.org/officeDocument/2006/relationships/hyperlink" Target="https://github.com/Ajit5370/tds-project-1" TargetMode="External"/><Relationship Id="rId1538" Type="http://schemas.openxmlformats.org/officeDocument/2006/relationships/hyperlink" Target="https://github.com/Madras-protagonist/Bangalore-GitHub-Users-Project" TargetMode="External"/><Relationship Id="rId1539" Type="http://schemas.openxmlformats.org/officeDocument/2006/relationships/hyperlink" Target="https://github.com/ashwiniitm/tdsProject1" TargetMode="External"/><Relationship Id="rId949" Type="http://schemas.openxmlformats.org/officeDocument/2006/relationships/hyperlink" Target="https://github.com/AswinBala007/IITM_TDS_PROJECT1" TargetMode="External"/><Relationship Id="rId948" Type="http://schemas.openxmlformats.org/officeDocument/2006/relationships/hyperlink" Target="https://github.com/Anvitha-Reddy-132218/TDS_Assignment" TargetMode="External"/><Relationship Id="rId943" Type="http://schemas.openxmlformats.org/officeDocument/2006/relationships/hyperlink" Target="https://github.com/adityalearnsdata/Project-1" TargetMode="External"/><Relationship Id="rId942" Type="http://schemas.openxmlformats.org/officeDocument/2006/relationships/hyperlink" Target="https://github.com/lakshyaonweb22/TDS_Project1" TargetMode="External"/><Relationship Id="rId941" Type="http://schemas.openxmlformats.org/officeDocument/2006/relationships/hyperlink" Target="https://github.com/Chitraksha-Sharma/Project_1_TDS" TargetMode="External"/><Relationship Id="rId940" Type="http://schemas.openxmlformats.org/officeDocument/2006/relationships/hyperlink" Target="https://github.com/DivyanshuGupta2000129/TDS_Project_1" TargetMode="External"/><Relationship Id="rId947" Type="http://schemas.openxmlformats.org/officeDocument/2006/relationships/hyperlink" Target="https://github.com/tuxdna/tds-project1" TargetMode="External"/><Relationship Id="rId946" Type="http://schemas.openxmlformats.org/officeDocument/2006/relationships/hyperlink" Target="https://github.com/22f3001914/TDS_Project1/blob/main/README.md" TargetMode="External"/><Relationship Id="rId945" Type="http://schemas.openxmlformats.org/officeDocument/2006/relationships/hyperlink" Target="https://github.com/Amarks14/TDS_P1" TargetMode="External"/><Relationship Id="rId944" Type="http://schemas.openxmlformats.org/officeDocument/2006/relationships/hyperlink" Target="https://github.com/23f2004417/23f2004417_TDS_Project1" TargetMode="External"/><Relationship Id="rId1530" Type="http://schemas.openxmlformats.org/officeDocument/2006/relationships/hyperlink" Target="https://github.com/pranjal300799/TDS-proj1" TargetMode="External"/><Relationship Id="rId1531" Type="http://schemas.openxmlformats.org/officeDocument/2006/relationships/hyperlink" Target="https://github.com/samreen-fathima-s/tds" TargetMode="External"/><Relationship Id="rId1521" Type="http://schemas.openxmlformats.org/officeDocument/2006/relationships/hyperlink" Target="https://github.com/Bracket12/TDS_project_1" TargetMode="External"/><Relationship Id="rId1522" Type="http://schemas.openxmlformats.org/officeDocument/2006/relationships/hyperlink" Target="https://github.com/Madhav-Sanjay-Patil/TDS_23f1002049" TargetMode="External"/><Relationship Id="rId1523" Type="http://schemas.openxmlformats.org/officeDocument/2006/relationships/hyperlink" Target="https://github.com/pranavdarak/TDS_P1" TargetMode="External"/><Relationship Id="rId1524" Type="http://schemas.openxmlformats.org/officeDocument/2006/relationships/hyperlink" Target="https://github.com/Samcoderg78/IIT_M_DEMO_REPO" TargetMode="External"/><Relationship Id="rId1525" Type="http://schemas.openxmlformats.org/officeDocument/2006/relationships/hyperlink" Target="https://github.com/AnujKrishna-IIT/TDS-Project1" TargetMode="External"/><Relationship Id="rId1526" Type="http://schemas.openxmlformats.org/officeDocument/2006/relationships/hyperlink" Target="https://github.com/Chinmoydass/TDS_Project1" TargetMode="External"/><Relationship Id="rId1527" Type="http://schemas.openxmlformats.org/officeDocument/2006/relationships/hyperlink" Target="https://github.com/Hitesh-Binjrawat/TDSProject1" TargetMode="External"/><Relationship Id="rId1528" Type="http://schemas.openxmlformats.org/officeDocument/2006/relationships/hyperlink" Target="https://github.com/22f2001193-neeraj-menon-iitm/TDS_Project_1" TargetMode="External"/><Relationship Id="rId1529" Type="http://schemas.openxmlformats.org/officeDocument/2006/relationships/hyperlink" Target="https://github.com/MANAV-py/tds_project1" TargetMode="External"/><Relationship Id="rId939" Type="http://schemas.openxmlformats.org/officeDocument/2006/relationships/hyperlink" Target="https://github.com/Akashkunwar/TDS-Project-1" TargetMode="External"/><Relationship Id="rId938" Type="http://schemas.openxmlformats.org/officeDocument/2006/relationships/hyperlink" Target="https://github.com/shamanthakiitm/TDS-Project-1" TargetMode="External"/><Relationship Id="rId937" Type="http://schemas.openxmlformats.org/officeDocument/2006/relationships/hyperlink" Target="https://github.com/IITMSAPNA/Sapna_tds_proj_1" TargetMode="External"/><Relationship Id="rId932" Type="http://schemas.openxmlformats.org/officeDocument/2006/relationships/hyperlink" Target="https://github.com/LuckyArya27/tds-project1" TargetMode="External"/><Relationship Id="rId931" Type="http://schemas.openxmlformats.org/officeDocument/2006/relationships/hyperlink" Target="https://github.com/devansh-dotcom/tdsproject1-" TargetMode="External"/><Relationship Id="rId930" Type="http://schemas.openxmlformats.org/officeDocument/2006/relationships/hyperlink" Target="https://github.com/TheMHarsh/TDS_P1" TargetMode="External"/><Relationship Id="rId936" Type="http://schemas.openxmlformats.org/officeDocument/2006/relationships/hyperlink" Target="https://github.com/kneedheeee/proj1" TargetMode="External"/><Relationship Id="rId935" Type="http://schemas.openxmlformats.org/officeDocument/2006/relationships/hyperlink" Target="https://github.com/techshad/TDS-Project" TargetMode="External"/><Relationship Id="rId934" Type="http://schemas.openxmlformats.org/officeDocument/2006/relationships/hyperlink" Target="https://github.com/imposter7/seattle-github-users" TargetMode="External"/><Relationship Id="rId933" Type="http://schemas.openxmlformats.org/officeDocument/2006/relationships/hyperlink" Target="https://github.com/kuldeepchavda/tds_project_1" TargetMode="External"/><Relationship Id="rId1520" Type="http://schemas.openxmlformats.org/officeDocument/2006/relationships/hyperlink" Target="https://github.com/IITM-VK/TDS-Project-1" TargetMode="External"/><Relationship Id="rId1554" Type="http://schemas.openxmlformats.org/officeDocument/2006/relationships/hyperlink" Target="https://github.com/AvinashRajender/tdsproject1" TargetMode="External"/><Relationship Id="rId1555" Type="http://schemas.openxmlformats.org/officeDocument/2006/relationships/hyperlink" Target="https://github.com/aniko1806/GitHub_API_Analysis_Boston" TargetMode="External"/><Relationship Id="rId1556" Type="http://schemas.openxmlformats.org/officeDocument/2006/relationships/hyperlink" Target="https://github.com/anshikaiitm/toronto_github_users" TargetMode="External"/><Relationship Id="rId1557" Type="http://schemas.openxmlformats.org/officeDocument/2006/relationships/hyperlink" Target="https://github.com/vinaysurya1505/TDS-project-1" TargetMode="External"/><Relationship Id="rId1558" Type="http://schemas.openxmlformats.org/officeDocument/2006/relationships/hyperlink" Target="https://github.com/ashwiniitm/tdsProject1" TargetMode="External"/><Relationship Id="rId1559" Type="http://schemas.openxmlformats.org/officeDocument/2006/relationships/hyperlink" Target="https://github.com/RajaVishwanathDasari/TDS-Project-1" TargetMode="External"/><Relationship Id="rId965" Type="http://schemas.openxmlformats.org/officeDocument/2006/relationships/hyperlink" Target="https://github.com/Keshav22f2001196/TDS-project1" TargetMode="External"/><Relationship Id="rId964" Type="http://schemas.openxmlformats.org/officeDocument/2006/relationships/hyperlink" Target="https://github.com/itsrohithreddy/TDS_Project1" TargetMode="External"/><Relationship Id="rId963" Type="http://schemas.openxmlformats.org/officeDocument/2006/relationships/hyperlink" Target="https://github.com/querulous-virgo/GitHubAPI/blob/main/users.csv" TargetMode="External"/><Relationship Id="rId962" Type="http://schemas.openxmlformats.org/officeDocument/2006/relationships/hyperlink" Target="https://github.com/22f3001905/tds-project-1-github-users-repos" TargetMode="External"/><Relationship Id="rId969" Type="http://schemas.openxmlformats.org/officeDocument/2006/relationships/hyperlink" Target="https://github.com/Akash7190/TDS-Project-1" TargetMode="External"/><Relationship Id="rId968" Type="http://schemas.openxmlformats.org/officeDocument/2006/relationships/hyperlink" Target="https://github.com/22f3001673/TDS-Project1" TargetMode="External"/><Relationship Id="rId967" Type="http://schemas.openxmlformats.org/officeDocument/2006/relationships/hyperlink" Target="https://github.com/VishwasSaini2006/pro" TargetMode="External"/><Relationship Id="rId966" Type="http://schemas.openxmlformats.org/officeDocument/2006/relationships/hyperlink" Target="https://github.com/anivenk25/TDS_project1_Seattle200" TargetMode="External"/><Relationship Id="rId961" Type="http://schemas.openxmlformats.org/officeDocument/2006/relationships/hyperlink" Target="https://github.com/Hritik-Shyam-Gupta/TDS-Project1" TargetMode="External"/><Relationship Id="rId1550" Type="http://schemas.openxmlformats.org/officeDocument/2006/relationships/hyperlink" Target="https://github.com/Dnyan-iitm/TDS-Project1" TargetMode="External"/><Relationship Id="rId960" Type="http://schemas.openxmlformats.org/officeDocument/2006/relationships/hyperlink" Target="https://github.com/shivasanthosh0804/TDSProject-1" TargetMode="External"/><Relationship Id="rId1551" Type="http://schemas.openxmlformats.org/officeDocument/2006/relationships/hyperlink" Target="https://github.com/nihalkumar833/tds" TargetMode="External"/><Relationship Id="rId1552" Type="http://schemas.openxmlformats.org/officeDocument/2006/relationships/hyperlink" Target="https://github.com/Mahabodhi4652/tds_project1" TargetMode="External"/><Relationship Id="rId1553" Type="http://schemas.openxmlformats.org/officeDocument/2006/relationships/hyperlink" Target="https://github.com/pavan-santhosh-iitm/Project1" TargetMode="External"/><Relationship Id="rId1543" Type="http://schemas.openxmlformats.org/officeDocument/2006/relationships/hyperlink" Target="https://github.com/Aravindh-18/Project1" TargetMode="External"/><Relationship Id="rId1544" Type="http://schemas.openxmlformats.org/officeDocument/2006/relationships/hyperlink" Target="https://github.com/rajyalakshmijampani-iitm/tds-project1" TargetMode="External"/><Relationship Id="rId1545" Type="http://schemas.openxmlformats.org/officeDocument/2006/relationships/hyperlink" Target="https://github.com/jahnavi-bd/Project_TDS" TargetMode="External"/><Relationship Id="rId1546" Type="http://schemas.openxmlformats.org/officeDocument/2006/relationships/hyperlink" Target="https://github.com/vaishnavich44/Beijing-GitHub-Analysis" TargetMode="External"/><Relationship Id="rId1547" Type="http://schemas.openxmlformats.org/officeDocument/2006/relationships/hyperlink" Target="https://github.com/suryadhn/boston_user_repo" TargetMode="External"/><Relationship Id="rId1548" Type="http://schemas.openxmlformats.org/officeDocument/2006/relationships/hyperlink" Target="https://github.com/im-adamya-vatsalya-sharma-09/TDS-Project-1" TargetMode="External"/><Relationship Id="rId1549" Type="http://schemas.openxmlformats.org/officeDocument/2006/relationships/hyperlink" Target="https://github.com/code-kalrav/IITM-P1/tree/main" TargetMode="External"/><Relationship Id="rId959" Type="http://schemas.openxmlformats.org/officeDocument/2006/relationships/hyperlink" Target="https://github.com/0rajnishk/tds-p1" TargetMode="External"/><Relationship Id="rId954" Type="http://schemas.openxmlformats.org/officeDocument/2006/relationships/hyperlink" Target="https://github.com/22f3002758/TDS-Project1" TargetMode="External"/><Relationship Id="rId953" Type="http://schemas.openxmlformats.org/officeDocument/2006/relationships/hyperlink" Target="https://github.com/iitm-student/Project1" TargetMode="External"/><Relationship Id="rId952" Type="http://schemas.openxmlformats.org/officeDocument/2006/relationships/hyperlink" Target="https://github.com/Hariomkr147/TDS_project1" TargetMode="External"/><Relationship Id="rId951" Type="http://schemas.openxmlformats.org/officeDocument/2006/relationships/hyperlink" Target="https://github.com/Saravanan1508/IITM_TDS_Project_1" TargetMode="External"/><Relationship Id="rId958" Type="http://schemas.openxmlformats.org/officeDocument/2006/relationships/hyperlink" Target="https://github.com/Jivraj-18/temp_repo_for_tds_project" TargetMode="External"/><Relationship Id="rId957" Type="http://schemas.openxmlformats.org/officeDocument/2006/relationships/hyperlink" Target="https://github.com/subhajit2001/TDSProject1" TargetMode="External"/><Relationship Id="rId956" Type="http://schemas.openxmlformats.org/officeDocument/2006/relationships/hyperlink" Target="https://github.com/irabi111/TDSPROJ1" TargetMode="External"/><Relationship Id="rId955" Type="http://schemas.openxmlformats.org/officeDocument/2006/relationships/hyperlink" Target="https://github.com/PavanKumar-KN/TDS_Project_1" TargetMode="External"/><Relationship Id="rId950" Type="http://schemas.openxmlformats.org/officeDocument/2006/relationships/hyperlink" Target="https://github.com/adityaraj2308/projeft1" TargetMode="External"/><Relationship Id="rId1540" Type="http://schemas.openxmlformats.org/officeDocument/2006/relationships/hyperlink" Target="https://github.com/23ds3000139/my_TDS_P1_submission" TargetMode="External"/><Relationship Id="rId1541" Type="http://schemas.openxmlformats.org/officeDocument/2006/relationships/hyperlink" Target="https://github.com/22f3001905/tds-project-1-github-users-repos" TargetMode="External"/><Relationship Id="rId1542" Type="http://schemas.openxmlformats.org/officeDocument/2006/relationships/hyperlink" Target="https://github.com/Aditya647bc/tds1" TargetMode="External"/><Relationship Id="rId590" Type="http://schemas.openxmlformats.org/officeDocument/2006/relationships/hyperlink" Target="https://github.com/Akash7190/TDS-Project-1" TargetMode="External"/><Relationship Id="rId107" Type="http://schemas.openxmlformats.org/officeDocument/2006/relationships/hyperlink" Target="https://github.com/sri-4122/TDS-PROJECT1-FINAL" TargetMode="External"/><Relationship Id="rId106" Type="http://schemas.openxmlformats.org/officeDocument/2006/relationships/hyperlink" Target="https://github.com/Rajat1164/tdsproject" TargetMode="External"/><Relationship Id="rId105" Type="http://schemas.openxmlformats.org/officeDocument/2006/relationships/hyperlink" Target="https://github.com/manojp23/TDS-Project-1" TargetMode="External"/><Relationship Id="rId589" Type="http://schemas.openxmlformats.org/officeDocument/2006/relationships/hyperlink" Target="https://github.com/DivyamShaiv/TDS_project1" TargetMode="External"/><Relationship Id="rId104" Type="http://schemas.openxmlformats.org/officeDocument/2006/relationships/hyperlink" Target="https://github.com/Aryan-Mishra24/TDS_PROJECT1" TargetMode="External"/><Relationship Id="rId588" Type="http://schemas.openxmlformats.org/officeDocument/2006/relationships/hyperlink" Target="https://github.com/pranay2k3/iitpro" TargetMode="External"/><Relationship Id="rId109" Type="http://schemas.openxmlformats.org/officeDocument/2006/relationships/hyperlink" Target="https://github.com/Aryan-Mishra24/TDS_PROJECT1" TargetMode="External"/><Relationship Id="rId1170" Type="http://schemas.openxmlformats.org/officeDocument/2006/relationships/hyperlink" Target="https://github.com/22f3002094/Tds-project-1" TargetMode="External"/><Relationship Id="rId108" Type="http://schemas.openxmlformats.org/officeDocument/2006/relationships/hyperlink" Target="https://github.com/reddevilrohith/TDS_PROJ1" TargetMode="External"/><Relationship Id="rId1171" Type="http://schemas.openxmlformats.org/officeDocument/2006/relationships/hyperlink" Target="https://github.com/jahnavi-bd/Project_TDS" TargetMode="External"/><Relationship Id="rId583" Type="http://schemas.openxmlformats.org/officeDocument/2006/relationships/hyperlink" Target="https://github.com/sadiq1402/TDS-Project-1" TargetMode="External"/><Relationship Id="rId1172" Type="http://schemas.openxmlformats.org/officeDocument/2006/relationships/hyperlink" Target="https://github.com/ARUNIMADILEEPK/TDS_Project_1" TargetMode="External"/><Relationship Id="rId582" Type="http://schemas.openxmlformats.org/officeDocument/2006/relationships/hyperlink" Target="https://github.com/231fiitm/tdsproject" TargetMode="External"/><Relationship Id="rId1173" Type="http://schemas.openxmlformats.org/officeDocument/2006/relationships/hyperlink" Target="https://github.com/suryadhn/boston_user_repo" TargetMode="External"/><Relationship Id="rId581" Type="http://schemas.openxmlformats.org/officeDocument/2006/relationships/hyperlink" Target="https://github.com/Kratikavarshney-16/Mumbai50" TargetMode="External"/><Relationship Id="rId1174" Type="http://schemas.openxmlformats.org/officeDocument/2006/relationships/hyperlink" Target="https://github.com/23f3001726/p1-tds" TargetMode="External"/><Relationship Id="rId580" Type="http://schemas.openxmlformats.org/officeDocument/2006/relationships/hyperlink" Target="https://github.com/ojast22/tds_proj1" TargetMode="External"/><Relationship Id="rId1175" Type="http://schemas.openxmlformats.org/officeDocument/2006/relationships/hyperlink" Target="https://github.com/im-adamya-vatsalya-sharma-09/TDS-Project-1" TargetMode="External"/><Relationship Id="rId103" Type="http://schemas.openxmlformats.org/officeDocument/2006/relationships/hyperlink" Target="https://github.com/Nimbus29/TDS-Project_1" TargetMode="External"/><Relationship Id="rId587" Type="http://schemas.openxmlformats.org/officeDocument/2006/relationships/hyperlink" Target="https://github.com/BriIITM/Project1-TDS" TargetMode="External"/><Relationship Id="rId1176" Type="http://schemas.openxmlformats.org/officeDocument/2006/relationships/hyperlink" Target="https://github.com/22f3001192/amitkumar" TargetMode="External"/><Relationship Id="rId102" Type="http://schemas.openxmlformats.org/officeDocument/2006/relationships/hyperlink" Target="https://github.com/sri-4122/TDS-PROJECT1-FINAL" TargetMode="External"/><Relationship Id="rId586" Type="http://schemas.openxmlformats.org/officeDocument/2006/relationships/hyperlink" Target="https://github.com/gokuls23f2001566/TDSpj1" TargetMode="External"/><Relationship Id="rId1177" Type="http://schemas.openxmlformats.org/officeDocument/2006/relationships/hyperlink" Target="https://github.com/code-kalrav/IITM-P1/tree/main" TargetMode="External"/><Relationship Id="rId101" Type="http://schemas.openxmlformats.org/officeDocument/2006/relationships/hyperlink" Target="https://github.com/harshshah-codes/TDS-project-1" TargetMode="External"/><Relationship Id="rId585" Type="http://schemas.openxmlformats.org/officeDocument/2006/relationships/hyperlink" Target="https://github.com/theiitman/tds_project_1_03777" TargetMode="External"/><Relationship Id="rId1178" Type="http://schemas.openxmlformats.org/officeDocument/2006/relationships/hyperlink" Target="https://github.com/krishna1rpr/tds-project-1" TargetMode="External"/><Relationship Id="rId100" Type="http://schemas.openxmlformats.org/officeDocument/2006/relationships/hyperlink" Target="https://github.com/manojp23/TDS-Project-1" TargetMode="External"/><Relationship Id="rId584" Type="http://schemas.openxmlformats.org/officeDocument/2006/relationships/hyperlink" Target="https://github.com/bhumi-gupta2201/Austin100" TargetMode="External"/><Relationship Id="rId1179" Type="http://schemas.openxmlformats.org/officeDocument/2006/relationships/hyperlink" Target="https://github.com/Dnyan-iitm/TDS-Project1" TargetMode="External"/><Relationship Id="rId1169" Type="http://schemas.openxmlformats.org/officeDocument/2006/relationships/hyperlink" Target="https://github.com/rajyalakshmijampani-iitm/tds-project1" TargetMode="External"/><Relationship Id="rId579" Type="http://schemas.openxmlformats.org/officeDocument/2006/relationships/hyperlink" Target="https://github.com/Nupur-learns/Project1" TargetMode="External"/><Relationship Id="rId578" Type="http://schemas.openxmlformats.org/officeDocument/2006/relationships/hyperlink" Target="https://github.com/RealFalseGod/Project1" TargetMode="External"/><Relationship Id="rId577" Type="http://schemas.openxmlformats.org/officeDocument/2006/relationships/hyperlink" Target="https://github.com/salmanulfaris/tds-project" TargetMode="External"/><Relationship Id="rId1160" Type="http://schemas.openxmlformats.org/officeDocument/2006/relationships/hyperlink" Target="https://github.com/phanthomx/TDS_PROJECT" TargetMode="External"/><Relationship Id="rId572" Type="http://schemas.openxmlformats.org/officeDocument/2006/relationships/hyperlink" Target="https://github.com/keertidamani/TorontoAnalysisProject" TargetMode="External"/><Relationship Id="rId1161" Type="http://schemas.openxmlformats.org/officeDocument/2006/relationships/hyperlink" Target="https://github.com/amittkulkarni/tds-project-1" TargetMode="External"/><Relationship Id="rId571" Type="http://schemas.openxmlformats.org/officeDocument/2006/relationships/hyperlink" Target="https://github.com/Tarun-Kandarpa/Beijing-Github-Users" TargetMode="External"/><Relationship Id="rId1162" Type="http://schemas.openxmlformats.org/officeDocument/2006/relationships/hyperlink" Target="https://github.com/Shilajit04/TDS-Project-1" TargetMode="External"/><Relationship Id="rId570" Type="http://schemas.openxmlformats.org/officeDocument/2006/relationships/hyperlink" Target="https://github.com/yuviiitm26/TDS_PRO_1" TargetMode="External"/><Relationship Id="rId1163" Type="http://schemas.openxmlformats.org/officeDocument/2006/relationships/hyperlink" Target="https://github.com/Ajit5370/tds-project-1" TargetMode="External"/><Relationship Id="rId1164" Type="http://schemas.openxmlformats.org/officeDocument/2006/relationships/hyperlink" Target="https://github.com/iambuhari/IITM/" TargetMode="External"/><Relationship Id="rId576" Type="http://schemas.openxmlformats.org/officeDocument/2006/relationships/hyperlink" Target="https://github.com/pkala7968/TDS-PROJECT-1-IITM" TargetMode="External"/><Relationship Id="rId1165" Type="http://schemas.openxmlformats.org/officeDocument/2006/relationships/hyperlink" Target="https://github.com/ashwiniitm/tdsProject1" TargetMode="External"/><Relationship Id="rId575" Type="http://schemas.openxmlformats.org/officeDocument/2006/relationships/hyperlink" Target="https://github.com/tanmayi-iitm/Tanmayi_project_1" TargetMode="External"/><Relationship Id="rId1166" Type="http://schemas.openxmlformats.org/officeDocument/2006/relationships/hyperlink" Target="https://github.com/kdiitm99/tds-project1" TargetMode="External"/><Relationship Id="rId574" Type="http://schemas.openxmlformats.org/officeDocument/2006/relationships/hyperlink" Target="https://github.com/Chinni1904/TDS_Proj1" TargetMode="External"/><Relationship Id="rId1167" Type="http://schemas.openxmlformats.org/officeDocument/2006/relationships/hyperlink" Target="https://github.com/23ds3000139/my_TDS_P1_submission" TargetMode="External"/><Relationship Id="rId573" Type="http://schemas.openxmlformats.org/officeDocument/2006/relationships/hyperlink" Target="https://github.com/NandhaaKishore-10/TDS-PROJECT-1" TargetMode="External"/><Relationship Id="rId1168" Type="http://schemas.openxmlformats.org/officeDocument/2006/relationships/hyperlink" Target="https://github.com/spideysanjay007/sanjay_tds_project_1" TargetMode="External"/><Relationship Id="rId129" Type="http://schemas.openxmlformats.org/officeDocument/2006/relationships/hyperlink" Target="https://github.com/VishakhAgarwal/proj1" TargetMode="External"/><Relationship Id="rId128" Type="http://schemas.openxmlformats.org/officeDocument/2006/relationships/hyperlink" Target="https://github.com/Jayaraja-SK/TDS-Project1" TargetMode="External"/><Relationship Id="rId127" Type="http://schemas.openxmlformats.org/officeDocument/2006/relationships/hyperlink" Target="https://github.com/AarushiVe/chennai50" TargetMode="External"/><Relationship Id="rId126" Type="http://schemas.openxmlformats.org/officeDocument/2006/relationships/hyperlink" Target="https://github.com/VijeethC300/BangaloreGitHubUsers" TargetMode="External"/><Relationship Id="rId1190" Type="http://schemas.openxmlformats.org/officeDocument/2006/relationships/hyperlink" Target="https://github.com/dhaanicodes/project1" TargetMode="External"/><Relationship Id="rId1191" Type="http://schemas.openxmlformats.org/officeDocument/2006/relationships/hyperlink" Target="https://github.com/ShivamS191/hiiii" TargetMode="External"/><Relationship Id="rId1192" Type="http://schemas.openxmlformats.org/officeDocument/2006/relationships/hyperlink" Target="https://github.com/Viswa-iitm/TDS-project-1/" TargetMode="External"/><Relationship Id="rId1193" Type="http://schemas.openxmlformats.org/officeDocument/2006/relationships/hyperlink" Target="https://github.com/indalbind/tds_project_first" TargetMode="External"/><Relationship Id="rId121" Type="http://schemas.openxmlformats.org/officeDocument/2006/relationships/hyperlink" Target="https://github.com/rishisni/TDS-Project-1" TargetMode="External"/><Relationship Id="rId1194" Type="http://schemas.openxmlformats.org/officeDocument/2006/relationships/hyperlink" Target="https://github.com/devishijain/TDS-Project-1" TargetMode="External"/><Relationship Id="rId120" Type="http://schemas.openxmlformats.org/officeDocument/2006/relationships/hyperlink" Target="https://github.com/AarushiVe/chennai50" TargetMode="External"/><Relationship Id="rId1195" Type="http://schemas.openxmlformats.org/officeDocument/2006/relationships/hyperlink" Target="https://github.com/Praveenkunn/TDS-Project1" TargetMode="External"/><Relationship Id="rId1196" Type="http://schemas.openxmlformats.org/officeDocument/2006/relationships/hyperlink" Target="https://github.com/Nishtha65/TDS-Project1" TargetMode="External"/><Relationship Id="rId1197" Type="http://schemas.openxmlformats.org/officeDocument/2006/relationships/hyperlink" Target="https://github.com/AnantLuthra/tds-project1" TargetMode="External"/><Relationship Id="rId125" Type="http://schemas.openxmlformats.org/officeDocument/2006/relationships/hyperlink" Target="https://github.com/akshaykashyap003/tds_project1" TargetMode="External"/><Relationship Id="rId1198" Type="http://schemas.openxmlformats.org/officeDocument/2006/relationships/hyperlink" Target="https://github.com/AmanManiTiwari/Tools-In-Data-Science-Project-1" TargetMode="External"/><Relationship Id="rId124" Type="http://schemas.openxmlformats.org/officeDocument/2006/relationships/hyperlink" Target="https://github.com/notnikita21/TDS-Project-1" TargetMode="External"/><Relationship Id="rId1199" Type="http://schemas.openxmlformats.org/officeDocument/2006/relationships/hyperlink" Target="https://github.com/SravanVullanki/TDSPROJECT1" TargetMode="External"/><Relationship Id="rId123" Type="http://schemas.openxmlformats.org/officeDocument/2006/relationships/hyperlink" Target="https://github.com/so-what-ik/TDS_Project1" TargetMode="External"/><Relationship Id="rId122" Type="http://schemas.openxmlformats.org/officeDocument/2006/relationships/hyperlink" Target="https://github.com/VishakhAgarwal/proj1" TargetMode="External"/><Relationship Id="rId118" Type="http://schemas.openxmlformats.org/officeDocument/2006/relationships/hyperlink" Target="https://github.com/akshaykashyap003/tds_project1" TargetMode="External"/><Relationship Id="rId117" Type="http://schemas.openxmlformats.org/officeDocument/2006/relationships/hyperlink" Target="https://github.com/stu2262/IITM_TDS_Proj1" TargetMode="External"/><Relationship Id="rId116" Type="http://schemas.openxmlformats.org/officeDocument/2006/relationships/hyperlink" Target="https://github.com/so-what-ik/TDS_Project1" TargetMode="External"/><Relationship Id="rId115" Type="http://schemas.openxmlformats.org/officeDocument/2006/relationships/hyperlink" Target="https://github.com/KarthikKalashLGS/TDSProject1" TargetMode="External"/><Relationship Id="rId599" Type="http://schemas.openxmlformats.org/officeDocument/2006/relationships/hyperlink" Target="https://github.com/saksham5555/project" TargetMode="External"/><Relationship Id="rId1180" Type="http://schemas.openxmlformats.org/officeDocument/2006/relationships/hyperlink" Target="https://github.com/sneh2105/tds_proj1" TargetMode="External"/><Relationship Id="rId1181" Type="http://schemas.openxmlformats.org/officeDocument/2006/relationships/hyperlink" Target="https://github.com/Mahabodhi4652/tds_project1" TargetMode="External"/><Relationship Id="rId119" Type="http://schemas.openxmlformats.org/officeDocument/2006/relationships/hyperlink" Target="https://github.com/shivyatripathi2604/TDS" TargetMode="External"/><Relationship Id="rId1182" Type="http://schemas.openxmlformats.org/officeDocument/2006/relationships/hyperlink" Target="https://github.com/Shre-2104/project1tds" TargetMode="External"/><Relationship Id="rId110" Type="http://schemas.openxmlformats.org/officeDocument/2006/relationships/hyperlink" Target="https://github.com/KarthikKalashLGS/TDSProject1" TargetMode="External"/><Relationship Id="rId594" Type="http://schemas.openxmlformats.org/officeDocument/2006/relationships/hyperlink" Target="https://github.com/23f1002051/TDS_Project_1" TargetMode="External"/><Relationship Id="rId1183" Type="http://schemas.openxmlformats.org/officeDocument/2006/relationships/hyperlink" Target="https://github.com/aniko1806/GitHub_API_Analysis_Boston" TargetMode="External"/><Relationship Id="rId593" Type="http://schemas.openxmlformats.org/officeDocument/2006/relationships/hyperlink" Target="https://github.com/amitkrajput08/IITM_TDS_PROJECT1" TargetMode="External"/><Relationship Id="rId1184" Type="http://schemas.openxmlformats.org/officeDocument/2006/relationships/hyperlink" Target="https://github.com/nihalkumar833/tds" TargetMode="External"/><Relationship Id="rId592" Type="http://schemas.openxmlformats.org/officeDocument/2006/relationships/hyperlink" Target="https://github.com/Preetham15092004/Hyderabad-GitHub-Users" TargetMode="External"/><Relationship Id="rId1185" Type="http://schemas.openxmlformats.org/officeDocument/2006/relationships/hyperlink" Target="https://github.com/anshikaiitm/toronto_github_users" TargetMode="External"/><Relationship Id="rId591" Type="http://schemas.openxmlformats.org/officeDocument/2006/relationships/hyperlink" Target="https://github.com/manjuiitm/Dublin1" TargetMode="External"/><Relationship Id="rId1186" Type="http://schemas.openxmlformats.org/officeDocument/2006/relationships/hyperlink" Target="https://github.com/nirmaldeep-p/TDS-Project-1" TargetMode="External"/><Relationship Id="rId114" Type="http://schemas.openxmlformats.org/officeDocument/2006/relationships/hyperlink" Target="https://github.com/rishisni/TDS-Project-1" TargetMode="External"/><Relationship Id="rId598" Type="http://schemas.openxmlformats.org/officeDocument/2006/relationships/hyperlink" Target="https://github.com/jagrutiitm/tdsproject1" TargetMode="External"/><Relationship Id="rId1187" Type="http://schemas.openxmlformats.org/officeDocument/2006/relationships/hyperlink" Target="https://github.com/vinaysurya1505/TDS-project-1" TargetMode="External"/><Relationship Id="rId113" Type="http://schemas.openxmlformats.org/officeDocument/2006/relationships/hyperlink" Target="https://github.com/reddevilrohith/TDS_PROJ1" TargetMode="External"/><Relationship Id="rId597" Type="http://schemas.openxmlformats.org/officeDocument/2006/relationships/hyperlink" Target="https://github.com/MeenakshiIIT/Project1" TargetMode="External"/><Relationship Id="rId1188" Type="http://schemas.openxmlformats.org/officeDocument/2006/relationships/hyperlink" Target="https://github.com/gyanesh-iitmiimb/TDSProject1/blob" TargetMode="External"/><Relationship Id="rId112" Type="http://schemas.openxmlformats.org/officeDocument/2006/relationships/hyperlink" Target="https://github.com/stu2262/IITM_TDS_Proj1" TargetMode="External"/><Relationship Id="rId596" Type="http://schemas.openxmlformats.org/officeDocument/2006/relationships/hyperlink" Target="https://github.com/ranashakti7/Sydney_users" TargetMode="External"/><Relationship Id="rId1189" Type="http://schemas.openxmlformats.org/officeDocument/2006/relationships/hyperlink" Target="https://github.com/RajaVishwanathDasari/TDS-Project-1" TargetMode="External"/><Relationship Id="rId111" Type="http://schemas.openxmlformats.org/officeDocument/2006/relationships/hyperlink" Target="https://github.com/Rajat1164/tdsproject" TargetMode="External"/><Relationship Id="rId595" Type="http://schemas.openxmlformats.org/officeDocument/2006/relationships/hyperlink" Target="https://github.com/Hitachi006/TDS_Proj_2455_Basel10" TargetMode="External"/><Relationship Id="rId1136" Type="http://schemas.openxmlformats.org/officeDocument/2006/relationships/hyperlink" Target="https://github.com/IITM-VK/TDS-Project-1" TargetMode="External"/><Relationship Id="rId1137" Type="http://schemas.openxmlformats.org/officeDocument/2006/relationships/hyperlink" Target="https://github.com/23f1002051/TDS_Project_1" TargetMode="External"/><Relationship Id="rId1138" Type="http://schemas.openxmlformats.org/officeDocument/2006/relationships/hyperlink" Target="https://github.com/Bracket12/TDS_project_1" TargetMode="External"/><Relationship Id="rId1139" Type="http://schemas.openxmlformats.org/officeDocument/2006/relationships/hyperlink" Target="https://github.com/anantdev123/Project1" TargetMode="External"/><Relationship Id="rId547" Type="http://schemas.openxmlformats.org/officeDocument/2006/relationships/hyperlink" Target="https://github.com/student2403/tds-project-1" TargetMode="External"/><Relationship Id="rId546" Type="http://schemas.openxmlformats.org/officeDocument/2006/relationships/hyperlink" Target="https://github.com/Harini-RAJ/tdsproj" TargetMode="External"/><Relationship Id="rId545" Type="http://schemas.openxmlformats.org/officeDocument/2006/relationships/hyperlink" Target="https://github.com/hsnak2245/tds_p1" TargetMode="External"/><Relationship Id="rId544" Type="http://schemas.openxmlformats.org/officeDocument/2006/relationships/hyperlink" Target="https://github.com/Thanhanoorudheen/proj1" TargetMode="External"/><Relationship Id="rId549" Type="http://schemas.openxmlformats.org/officeDocument/2006/relationships/hyperlink" Target="https://github.com/Vanshika-tiwari98/Beijing-GitHub-Users" TargetMode="External"/><Relationship Id="rId548" Type="http://schemas.openxmlformats.org/officeDocument/2006/relationships/hyperlink" Target="https://github.com/dsenthilkumar95/TDS_P1_Barcelona100" TargetMode="External"/><Relationship Id="rId1130" Type="http://schemas.openxmlformats.org/officeDocument/2006/relationships/hyperlink" Target="https://github.com/fahmeed1713/fahmeed" TargetMode="External"/><Relationship Id="rId1131" Type="http://schemas.openxmlformats.org/officeDocument/2006/relationships/hyperlink" Target="https://github.com/Ashly-06/project-1" TargetMode="External"/><Relationship Id="rId543" Type="http://schemas.openxmlformats.org/officeDocument/2006/relationships/hyperlink" Target="https://github.com/22f2000809/project_1" TargetMode="External"/><Relationship Id="rId1132" Type="http://schemas.openxmlformats.org/officeDocument/2006/relationships/hyperlink" Target="https://github.com/HaifaAbdulSathar/TDS-Project1" TargetMode="External"/><Relationship Id="rId542" Type="http://schemas.openxmlformats.org/officeDocument/2006/relationships/hyperlink" Target="https://github.com/anshuraj007/22f3000757_TDS_Proj1" TargetMode="External"/><Relationship Id="rId1133" Type="http://schemas.openxmlformats.org/officeDocument/2006/relationships/hyperlink" Target="https://github.com/sage-devv/TDS-Project-1" TargetMode="External"/><Relationship Id="rId541" Type="http://schemas.openxmlformats.org/officeDocument/2006/relationships/hyperlink" Target="https://github.com/Nupur-learns/Project1" TargetMode="External"/><Relationship Id="rId1134" Type="http://schemas.openxmlformats.org/officeDocument/2006/relationships/hyperlink" Target="https://github.com/NeeharikaBhaide/TDS_P1" TargetMode="External"/><Relationship Id="rId540" Type="http://schemas.openxmlformats.org/officeDocument/2006/relationships/hyperlink" Target="https://github.com/51Hypers/TDS_Project_1" TargetMode="External"/><Relationship Id="rId1135" Type="http://schemas.openxmlformats.org/officeDocument/2006/relationships/hyperlink" Target="https://github.com/Prajchin/TDS_P1" TargetMode="External"/><Relationship Id="rId1125" Type="http://schemas.openxmlformats.org/officeDocument/2006/relationships/hyperlink" Target="https://github.com/KD-kaustubh/Tds-project-1" TargetMode="External"/><Relationship Id="rId1126" Type="http://schemas.openxmlformats.org/officeDocument/2006/relationships/hyperlink" Target="https://github.com/surbhi553/Toronto100" TargetMode="External"/><Relationship Id="rId1127" Type="http://schemas.openxmlformats.org/officeDocument/2006/relationships/hyperlink" Target="https://github.com/Akashkansal/TDS_Project1" TargetMode="External"/><Relationship Id="rId1128" Type="http://schemas.openxmlformats.org/officeDocument/2006/relationships/hyperlink" Target="https://github.com/ramyaarorra/tdsprojectuno" TargetMode="External"/><Relationship Id="rId1129" Type="http://schemas.openxmlformats.org/officeDocument/2006/relationships/hyperlink" Target="https://github.com/Synchrotron-21/tds-project-1" TargetMode="External"/><Relationship Id="rId536" Type="http://schemas.openxmlformats.org/officeDocument/2006/relationships/hyperlink" Target="https://github.com/Utkarsh002-winner/TDS_P1" TargetMode="External"/><Relationship Id="rId535" Type="http://schemas.openxmlformats.org/officeDocument/2006/relationships/hyperlink" Target="https://github.com/Atharva-Garajkar/TDS" TargetMode="External"/><Relationship Id="rId534" Type="http://schemas.openxmlformats.org/officeDocument/2006/relationships/hyperlink" Target="https://github.com/ayushiprajapti/TDS-PROJECT" TargetMode="External"/><Relationship Id="rId533" Type="http://schemas.openxmlformats.org/officeDocument/2006/relationships/hyperlink" Target="https://github.com/SakshamBindal07/github_sydney_users" TargetMode="External"/><Relationship Id="rId539" Type="http://schemas.openxmlformats.org/officeDocument/2006/relationships/hyperlink" Target="https://github.com/siddhant-bapna/TDSP1" TargetMode="External"/><Relationship Id="rId538" Type="http://schemas.openxmlformats.org/officeDocument/2006/relationships/hyperlink" Target="https://github.com/Shiya-23/Project_-Stockholm" TargetMode="External"/><Relationship Id="rId537" Type="http://schemas.openxmlformats.org/officeDocument/2006/relationships/hyperlink" Target="https://github.com/raj-jaiswal/TDS_Github_API" TargetMode="External"/><Relationship Id="rId1120" Type="http://schemas.openxmlformats.org/officeDocument/2006/relationships/hyperlink" Target="https://github.com/vasanth-svb-1/iitm-syscmd-project-1" TargetMode="External"/><Relationship Id="rId532" Type="http://schemas.openxmlformats.org/officeDocument/2006/relationships/hyperlink" Target="https://github.com/himanesh21/GithubUserDataAnalysis" TargetMode="External"/><Relationship Id="rId1121" Type="http://schemas.openxmlformats.org/officeDocument/2006/relationships/hyperlink" Target="https://github.com/kunj-10/TDS-IITM-Project1" TargetMode="External"/><Relationship Id="rId531" Type="http://schemas.openxmlformats.org/officeDocument/2006/relationships/hyperlink" Target="https://github.com/JAISUBIKSHA/TDS_PROJECT1" TargetMode="External"/><Relationship Id="rId1122" Type="http://schemas.openxmlformats.org/officeDocument/2006/relationships/hyperlink" Target="https://github.com/Saagar-22/Hyderabad_50" TargetMode="External"/><Relationship Id="rId530" Type="http://schemas.openxmlformats.org/officeDocument/2006/relationships/hyperlink" Target="https://github.com/23ds1000051/tds_project_1" TargetMode="External"/><Relationship Id="rId1123" Type="http://schemas.openxmlformats.org/officeDocument/2006/relationships/hyperlink" Target="https://github.com/AaryNimje/22f3001836-ds.study.iitm.ac.in-Bangalore-100" TargetMode="External"/><Relationship Id="rId1124" Type="http://schemas.openxmlformats.org/officeDocument/2006/relationships/hyperlink" Target="https://github.com/Bhaargavi29/Moscow-50-repo" TargetMode="External"/><Relationship Id="rId1158" Type="http://schemas.openxmlformats.org/officeDocument/2006/relationships/hyperlink" Target="https://github.com/srishtyAg19/Moscow-50" TargetMode="External"/><Relationship Id="rId1159" Type="http://schemas.openxmlformats.org/officeDocument/2006/relationships/hyperlink" Target="https://github.com/AlgoPenguin/tds-project-1" TargetMode="External"/><Relationship Id="rId569" Type="http://schemas.openxmlformats.org/officeDocument/2006/relationships/hyperlink" Target="https://github.com/yyyzznnn/TDS-Project1" TargetMode="External"/><Relationship Id="rId568" Type="http://schemas.openxmlformats.org/officeDocument/2006/relationships/hyperlink" Target="https://github.com/Anustup24/TDS/blob/main/README.md" TargetMode="External"/><Relationship Id="rId567" Type="http://schemas.openxmlformats.org/officeDocument/2006/relationships/hyperlink" Target="https://github.com/UJJWALg-08/TDS-Project1" TargetMode="External"/><Relationship Id="rId566" Type="http://schemas.openxmlformats.org/officeDocument/2006/relationships/hyperlink" Target="https://github.com/titan-adi/Zurich-data-analysis" TargetMode="External"/><Relationship Id="rId561" Type="http://schemas.openxmlformats.org/officeDocument/2006/relationships/hyperlink" Target="https://github.com/sameer2799/tds_project_1" TargetMode="External"/><Relationship Id="rId1150" Type="http://schemas.openxmlformats.org/officeDocument/2006/relationships/hyperlink" Target="https://github.com/Hitesh-Binjrawat/TDSProject1" TargetMode="External"/><Relationship Id="rId560" Type="http://schemas.openxmlformats.org/officeDocument/2006/relationships/hyperlink" Target="https://github.com/Aryan0550p/LondonUsersRepo" TargetMode="External"/><Relationship Id="rId1151" Type="http://schemas.openxmlformats.org/officeDocument/2006/relationships/hyperlink" Target="https://github.com/akshat-shethia/TDS-Project-1-Akshat-Shethia" TargetMode="External"/><Relationship Id="rId1152" Type="http://schemas.openxmlformats.org/officeDocument/2006/relationships/hyperlink" Target="https://github.com/22f2001193-neeraj-menon-iitm/TDS_Project_1" TargetMode="External"/><Relationship Id="rId1153" Type="http://schemas.openxmlformats.org/officeDocument/2006/relationships/hyperlink" Target="https://github.com/devansh-dotcom/tdsproject1-" TargetMode="External"/><Relationship Id="rId565" Type="http://schemas.openxmlformats.org/officeDocument/2006/relationships/hyperlink" Target="https://github.com/Preena-iitmds/pree_ZurichProj1" TargetMode="External"/><Relationship Id="rId1154" Type="http://schemas.openxmlformats.org/officeDocument/2006/relationships/hyperlink" Target="https://github.com/MANAV-py/tds_project1" TargetMode="External"/><Relationship Id="rId564" Type="http://schemas.openxmlformats.org/officeDocument/2006/relationships/hyperlink" Target="https://github.com/Akif29/TDS-Project-1" TargetMode="External"/><Relationship Id="rId1155" Type="http://schemas.openxmlformats.org/officeDocument/2006/relationships/hyperlink" Target="https://github.com/ritikjha7/tds-project-1" TargetMode="External"/><Relationship Id="rId563" Type="http://schemas.openxmlformats.org/officeDocument/2006/relationships/hyperlink" Target="https://github.com/zerx1307/TDS_project_1" TargetMode="External"/><Relationship Id="rId1156" Type="http://schemas.openxmlformats.org/officeDocument/2006/relationships/hyperlink" Target="https://github.com/samreen-fathima-s/tds" TargetMode="External"/><Relationship Id="rId562" Type="http://schemas.openxmlformats.org/officeDocument/2006/relationships/hyperlink" Target="https://github.com/techshad/TDS-Project" TargetMode="External"/><Relationship Id="rId1157" Type="http://schemas.openxmlformats.org/officeDocument/2006/relationships/hyperlink" Target="https://github.com/404aalu/tds-project1" TargetMode="External"/><Relationship Id="rId1147" Type="http://schemas.openxmlformats.org/officeDocument/2006/relationships/hyperlink" Target="https://github.com/SINGHALSAJAL/github_scrapped_iitm" TargetMode="External"/><Relationship Id="rId1148" Type="http://schemas.openxmlformats.org/officeDocument/2006/relationships/hyperlink" Target="https://github.com/Chinmoydass/TDS_Project1" TargetMode="External"/><Relationship Id="rId1149" Type="http://schemas.openxmlformats.org/officeDocument/2006/relationships/hyperlink" Target="https://github.com/pavan-santhosh-iitm/Project1" TargetMode="External"/><Relationship Id="rId558" Type="http://schemas.openxmlformats.org/officeDocument/2006/relationships/hyperlink" Target="https://github.com/rajakumari-sp/TDS_project1" TargetMode="External"/><Relationship Id="rId557" Type="http://schemas.openxmlformats.org/officeDocument/2006/relationships/hyperlink" Target="https://github.com/vilas-007/TDS-project1" TargetMode="External"/><Relationship Id="rId556" Type="http://schemas.openxmlformats.org/officeDocument/2006/relationships/hyperlink" Target="https://github.com/SV-03/TDS-P1" TargetMode="External"/><Relationship Id="rId555" Type="http://schemas.openxmlformats.org/officeDocument/2006/relationships/hyperlink" Target="https://github.com/VishakhAgarwal/proj1" TargetMode="External"/><Relationship Id="rId559" Type="http://schemas.openxmlformats.org/officeDocument/2006/relationships/hyperlink" Target="https://github.com/Omkar-pawar1/TDS-PROJECT-1" TargetMode="External"/><Relationship Id="rId550" Type="http://schemas.openxmlformats.org/officeDocument/2006/relationships/hyperlink" Target="https://github.com/sky-m1618/TDS_project_1" TargetMode="External"/><Relationship Id="rId1140" Type="http://schemas.openxmlformats.org/officeDocument/2006/relationships/hyperlink" Target="https://github.com/Madhav-Sanjay-Patil/TDS_23f1002049" TargetMode="External"/><Relationship Id="rId1141" Type="http://schemas.openxmlformats.org/officeDocument/2006/relationships/hyperlink" Target="https://github.com/rohit0490/tdsp1" TargetMode="External"/><Relationship Id="rId1142" Type="http://schemas.openxmlformats.org/officeDocument/2006/relationships/hyperlink" Target="https://github.com/pranavdarak/TDS_P1" TargetMode="External"/><Relationship Id="rId554" Type="http://schemas.openxmlformats.org/officeDocument/2006/relationships/hyperlink" Target="https://github.com/rahul-jha-2001/TDS" TargetMode="External"/><Relationship Id="rId1143" Type="http://schemas.openxmlformats.org/officeDocument/2006/relationships/hyperlink" Target="https://github.com/shwetavyas12/Zurich-50" TargetMode="External"/><Relationship Id="rId553" Type="http://schemas.openxmlformats.org/officeDocument/2006/relationships/hyperlink" Target="https://github.com/PoornimaIITm/Tds_barcelona100" TargetMode="External"/><Relationship Id="rId1144" Type="http://schemas.openxmlformats.org/officeDocument/2006/relationships/hyperlink" Target="https://github.com/Samcoderg78/IIT_M_DEMO_REPO" TargetMode="External"/><Relationship Id="rId552" Type="http://schemas.openxmlformats.org/officeDocument/2006/relationships/hyperlink" Target="https://github.com/AllyNav/tds_project_1" TargetMode="External"/><Relationship Id="rId1145" Type="http://schemas.openxmlformats.org/officeDocument/2006/relationships/hyperlink" Target="https://github.com/Anantvats7/Tdsproject1" TargetMode="External"/><Relationship Id="rId551" Type="http://schemas.openxmlformats.org/officeDocument/2006/relationships/hyperlink" Target="https://github.com/ShijuPJohn/tds_p1" TargetMode="External"/><Relationship Id="rId1146" Type="http://schemas.openxmlformats.org/officeDocument/2006/relationships/hyperlink" Target="https://github.com/AnujKrishna-IIT/TDS-Project1" TargetMode="External"/><Relationship Id="rId495" Type="http://schemas.openxmlformats.org/officeDocument/2006/relationships/hyperlink" Target="https://github.com/SidharthDahiya/Toronto-Analysis" TargetMode="External"/><Relationship Id="rId494" Type="http://schemas.openxmlformats.org/officeDocument/2006/relationships/hyperlink" Target="https://github.com/manjuiitm/Dublin1" TargetMode="External"/><Relationship Id="rId493" Type="http://schemas.openxmlformats.org/officeDocument/2006/relationships/hyperlink" Target="https://github.com/Kavya792/boston-github-users" TargetMode="External"/><Relationship Id="rId492" Type="http://schemas.openxmlformats.org/officeDocument/2006/relationships/hyperlink" Target="https://github.com/DivyamShaiv/TDS_project1" TargetMode="External"/><Relationship Id="rId499" Type="http://schemas.openxmlformats.org/officeDocument/2006/relationships/hyperlink" Target="https://github.com/23f1003016/TDS-Project1" TargetMode="External"/><Relationship Id="rId498" Type="http://schemas.openxmlformats.org/officeDocument/2006/relationships/hyperlink" Target="https://github.com/saksham5555/project" TargetMode="External"/><Relationship Id="rId497" Type="http://schemas.openxmlformats.org/officeDocument/2006/relationships/hyperlink" Target="https://github.com/23f1003016/TDS-Project1" TargetMode="External"/><Relationship Id="rId496" Type="http://schemas.openxmlformats.org/officeDocument/2006/relationships/hyperlink" Target="https://github.com/Hitachi006/TDS_Proj_2455_Basel10" TargetMode="External"/><Relationship Id="rId1610" Type="http://schemas.openxmlformats.org/officeDocument/2006/relationships/hyperlink" Target="https://github.com/AnkitaDev05/TDS-Project1" TargetMode="External"/><Relationship Id="rId1611" Type="http://schemas.openxmlformats.org/officeDocument/2006/relationships/hyperlink" Target="https://github.com/Jivraj-18/temp_repo_for_tds_project" TargetMode="External"/><Relationship Id="rId1612" Type="http://schemas.openxmlformats.org/officeDocument/2006/relationships/hyperlink" Target="https://github.com/22f3002094/Tds-project-1" TargetMode="External"/><Relationship Id="rId1613" Type="http://schemas.openxmlformats.org/officeDocument/2006/relationships/hyperlink" Target="https://github.com/shwetavyas12/Zurich-50" TargetMode="External"/><Relationship Id="rId1614" Type="http://schemas.openxmlformats.org/officeDocument/2006/relationships/hyperlink" Target="https://github.com/azh-py/london-github-users" TargetMode="External"/><Relationship Id="rId1615" Type="http://schemas.openxmlformats.org/officeDocument/2006/relationships/hyperlink" Target="https://github.com/kabir2505/zurich_scraping-tds" TargetMode="External"/><Relationship Id="rId1616" Type="http://schemas.openxmlformats.org/officeDocument/2006/relationships/hyperlink" Target="https://github.com/indalbind/tds_project_first" TargetMode="External"/><Relationship Id="rId907" Type="http://schemas.openxmlformats.org/officeDocument/2006/relationships/hyperlink" Target="https://github.com/21f1006103/tds-1" TargetMode="External"/><Relationship Id="rId1617" Type="http://schemas.openxmlformats.org/officeDocument/2006/relationships/hyperlink" Target="https://github.com/23f1000647/tds-project-1" TargetMode="External"/><Relationship Id="rId906" Type="http://schemas.openxmlformats.org/officeDocument/2006/relationships/hyperlink" Target="https://github.com/DurgaPriyaY/proj1" TargetMode="External"/><Relationship Id="rId1618" Type="http://schemas.openxmlformats.org/officeDocument/2006/relationships/hyperlink" Target="https://github.com/Sh1617/Project1" TargetMode="External"/><Relationship Id="rId905" Type="http://schemas.openxmlformats.org/officeDocument/2006/relationships/hyperlink" Target="https://github.com/Mimansa5227/project1" TargetMode="External"/><Relationship Id="rId1619" Type="http://schemas.openxmlformats.org/officeDocument/2006/relationships/hyperlink" Target="https://github.com/pranshu0205/TDS-Project-1" TargetMode="External"/><Relationship Id="rId904" Type="http://schemas.openxmlformats.org/officeDocument/2006/relationships/hyperlink" Target="https://github.com/Meet-XML/Tds_pro1" TargetMode="External"/><Relationship Id="rId909" Type="http://schemas.openxmlformats.org/officeDocument/2006/relationships/hyperlink" Target="https://github.com/rrawatt/Melbourne-100" TargetMode="External"/><Relationship Id="rId908" Type="http://schemas.openxmlformats.org/officeDocument/2006/relationships/hyperlink" Target="https://github.com/Navreet5002/tds_proj1" TargetMode="External"/><Relationship Id="rId903" Type="http://schemas.openxmlformats.org/officeDocument/2006/relationships/hyperlink" Target="https://github.com/anand-ballabh/TDS-Project-1" TargetMode="External"/><Relationship Id="rId902" Type="http://schemas.openxmlformats.org/officeDocument/2006/relationships/hyperlink" Target="https://github.com/adith-ds/project1" TargetMode="External"/><Relationship Id="rId901" Type="http://schemas.openxmlformats.org/officeDocument/2006/relationships/hyperlink" Target="https://github.com/jeelan-ds786/ToolsForDataScience" TargetMode="External"/><Relationship Id="rId900" Type="http://schemas.openxmlformats.org/officeDocument/2006/relationships/hyperlink" Target="https://github.com/ayushi-006/TDS_project_1" TargetMode="External"/><Relationship Id="rId1600" Type="http://schemas.openxmlformats.org/officeDocument/2006/relationships/hyperlink" Target="https://github.com/raunak-kumar800/tds-project" TargetMode="External"/><Relationship Id="rId1601" Type="http://schemas.openxmlformats.org/officeDocument/2006/relationships/hyperlink" Target="https://github.com/deep2003tds/project1/blob/main/repositories.csv" TargetMode="External"/><Relationship Id="rId1602" Type="http://schemas.openxmlformats.org/officeDocument/2006/relationships/hyperlink" Target="https://github.com/ARUNIMADILEEPK/TDS_Project_1" TargetMode="External"/><Relationship Id="rId1603" Type="http://schemas.openxmlformats.org/officeDocument/2006/relationships/hyperlink" Target="https://github.com/22f3000398/TDS-Project" TargetMode="External"/><Relationship Id="rId1604" Type="http://schemas.openxmlformats.org/officeDocument/2006/relationships/hyperlink" Target="https://github.com/20vishnu27/TDS_Project-1" TargetMode="External"/><Relationship Id="rId1605" Type="http://schemas.openxmlformats.org/officeDocument/2006/relationships/hyperlink" Target="https://github.com/gyanesh-iitmiimb/TDSProject1/blob" TargetMode="External"/><Relationship Id="rId1606" Type="http://schemas.openxmlformats.org/officeDocument/2006/relationships/hyperlink" Target="https://github.com/RK-Codes-IITMBS/TDS-Project-1" TargetMode="External"/><Relationship Id="rId1607" Type="http://schemas.openxmlformats.org/officeDocument/2006/relationships/hyperlink" Target="https://github.com/vinaysurya1505/TDS-project-1" TargetMode="External"/><Relationship Id="rId1608" Type="http://schemas.openxmlformats.org/officeDocument/2006/relationships/hyperlink" Target="https://github.com/leyther5813/b100" TargetMode="External"/><Relationship Id="rId1609" Type="http://schemas.openxmlformats.org/officeDocument/2006/relationships/hyperlink" Target="https://github.com/chandrabs25/tds_project1" TargetMode="External"/><Relationship Id="rId1631" Type="http://schemas.openxmlformats.org/officeDocument/2006/relationships/hyperlink" Target="https://github.com/23f2004165/Scraping-GitHub-Users-And-Their-Repos-TDS-Project1-" TargetMode="External"/><Relationship Id="rId1632" Type="http://schemas.openxmlformats.org/officeDocument/2006/relationships/hyperlink" Target="https://github.com/DigvijaysinhChudasamaIITM/ToolsinDataScience-Project1" TargetMode="External"/><Relationship Id="rId1633" Type="http://schemas.openxmlformats.org/officeDocument/2006/relationships/hyperlink" Target="https://github.com/Hitesh-Binjrawat/TDSProject1" TargetMode="External"/><Relationship Id="rId1634" Type="http://schemas.openxmlformats.org/officeDocument/2006/relationships/hyperlink" Target="https://github.com/shivasanthosh0804/TDSProject-1" TargetMode="External"/><Relationship Id="rId1635" Type="http://schemas.openxmlformats.org/officeDocument/2006/relationships/hyperlink" Target="https://github.com/24f1002325-Jagan/Project-1/tree/main" TargetMode="External"/><Relationship Id="rId1636" Type="http://schemas.openxmlformats.org/officeDocument/2006/relationships/hyperlink" Target="https://github.com/spideysanjay007/sanjay_tds_project_1" TargetMode="External"/><Relationship Id="rId1637" Type="http://schemas.openxmlformats.org/officeDocument/2006/relationships/hyperlink" Target="https://github.com/abhi-manyu04/tds-pr1" TargetMode="External"/><Relationship Id="rId1638" Type="http://schemas.openxmlformats.org/officeDocument/2006/relationships/hyperlink" Target="https://github.com/A-ojha31/Tokyo_200" TargetMode="External"/><Relationship Id="rId929" Type="http://schemas.openxmlformats.org/officeDocument/2006/relationships/hyperlink" Target="https://github.com/23f1001535/Melbourne_100" TargetMode="External"/><Relationship Id="rId1639" Type="http://schemas.openxmlformats.org/officeDocument/2006/relationships/hyperlink" Target="https://github.com/Man24Jain/Tokyo-GitHub-Scraping-Project" TargetMode="External"/><Relationship Id="rId928" Type="http://schemas.openxmlformats.org/officeDocument/2006/relationships/hyperlink" Target="https://github.com/YASH-MAHESHWAR1/TDS_Project1" TargetMode="External"/><Relationship Id="rId927" Type="http://schemas.openxmlformats.org/officeDocument/2006/relationships/hyperlink" Target="https://github.com/22f3000350/22f3000350-TDS-Project-1" TargetMode="External"/><Relationship Id="rId926" Type="http://schemas.openxmlformats.org/officeDocument/2006/relationships/hyperlink" Target="https://github.com/pushpa761/TDS-project-1" TargetMode="External"/><Relationship Id="rId921" Type="http://schemas.openxmlformats.org/officeDocument/2006/relationships/hyperlink" Target="https://github.com/SV-03/TDS-P1" TargetMode="External"/><Relationship Id="rId920" Type="http://schemas.openxmlformats.org/officeDocument/2006/relationships/hyperlink" Target="https://github.com/AvinashRajender/tdsproject1" TargetMode="External"/><Relationship Id="rId925" Type="http://schemas.openxmlformats.org/officeDocument/2006/relationships/hyperlink" Target="https://github.com/Shiya-23/Project_-Stockholm" TargetMode="External"/><Relationship Id="rId924" Type="http://schemas.openxmlformats.org/officeDocument/2006/relationships/hyperlink" Target="https://github.com/iitmgito/project1" TargetMode="External"/><Relationship Id="rId923" Type="http://schemas.openxmlformats.org/officeDocument/2006/relationships/hyperlink" Target="https://github.com/Kirthictrl/TDS-Project-1" TargetMode="External"/><Relationship Id="rId922" Type="http://schemas.openxmlformats.org/officeDocument/2006/relationships/hyperlink" Target="https://github.com/AnshikaSinha2005/Anshika-project" TargetMode="External"/><Relationship Id="rId1630" Type="http://schemas.openxmlformats.org/officeDocument/2006/relationships/hyperlink" Target="https://github.com/madhavanrmiitm/tds-project1" TargetMode="External"/><Relationship Id="rId1620" Type="http://schemas.openxmlformats.org/officeDocument/2006/relationships/hyperlink" Target="https://github.com/kabir2505/zurich_scraping-tds" TargetMode="External"/><Relationship Id="rId1621" Type="http://schemas.openxmlformats.org/officeDocument/2006/relationships/hyperlink" Target="https://github.com/Sreekar-1804/Tds_Project_1" TargetMode="External"/><Relationship Id="rId1622" Type="http://schemas.openxmlformats.org/officeDocument/2006/relationships/hyperlink" Target="https://github.com/abhi-manyu04/tds-pr1" TargetMode="External"/><Relationship Id="rId1623" Type="http://schemas.openxmlformats.org/officeDocument/2006/relationships/hyperlink" Target="https://github.com/srishtyAg19/Moscow-50" TargetMode="External"/><Relationship Id="rId1624" Type="http://schemas.openxmlformats.org/officeDocument/2006/relationships/hyperlink" Target="https://github.com/drashtish/TDS-Project1" TargetMode="External"/><Relationship Id="rId1625" Type="http://schemas.openxmlformats.org/officeDocument/2006/relationships/hyperlink" Target="https://github.com/Tanuroy10/TdsProject" TargetMode="External"/><Relationship Id="rId1626" Type="http://schemas.openxmlformats.org/officeDocument/2006/relationships/hyperlink" Target="https://github.com/AnantLuthra/tds-project1" TargetMode="External"/><Relationship Id="rId1627" Type="http://schemas.openxmlformats.org/officeDocument/2006/relationships/hyperlink" Target="https://github.com/itznoor998/TDS_project1" TargetMode="External"/><Relationship Id="rId918" Type="http://schemas.openxmlformats.org/officeDocument/2006/relationships/hyperlink" Target="https://github.com/gadilashashank/tds_p1" TargetMode="External"/><Relationship Id="rId1628" Type="http://schemas.openxmlformats.org/officeDocument/2006/relationships/hyperlink" Target="https://github.com/vath-21/tdsproject1" TargetMode="External"/><Relationship Id="rId917" Type="http://schemas.openxmlformats.org/officeDocument/2006/relationships/hyperlink" Target="https://github.com/23f2004839/TDS-Project-1" TargetMode="External"/><Relationship Id="rId1629" Type="http://schemas.openxmlformats.org/officeDocument/2006/relationships/hyperlink" Target="https://github.com/swaraj753/Project-1" TargetMode="External"/><Relationship Id="rId916" Type="http://schemas.openxmlformats.org/officeDocument/2006/relationships/hyperlink" Target="https://github.com/Aadi0703/TDS-project1" TargetMode="External"/><Relationship Id="rId915" Type="http://schemas.openxmlformats.org/officeDocument/2006/relationships/hyperlink" Target="https://github.com/Gaurangi2712/TDS_proj1" TargetMode="External"/><Relationship Id="rId919" Type="http://schemas.openxmlformats.org/officeDocument/2006/relationships/hyperlink" Target="https://github.com/22f3000803/tds-project-1" TargetMode="External"/><Relationship Id="rId910" Type="http://schemas.openxmlformats.org/officeDocument/2006/relationships/hyperlink" Target="https://github.com/Ajmalkajm/TDS-Project_1" TargetMode="External"/><Relationship Id="rId914" Type="http://schemas.openxmlformats.org/officeDocument/2006/relationships/hyperlink" Target="https://github.com/Sh1617/Project1" TargetMode="External"/><Relationship Id="rId913" Type="http://schemas.openxmlformats.org/officeDocument/2006/relationships/hyperlink" Target="https://github.com/RachitGupta4102/TDS-project" TargetMode="External"/><Relationship Id="rId912" Type="http://schemas.openxmlformats.org/officeDocument/2006/relationships/hyperlink" Target="https://github.com/AlgoPenguin/tds-project-1/blob/main/README.md" TargetMode="External"/><Relationship Id="rId911" Type="http://schemas.openxmlformats.org/officeDocument/2006/relationships/hyperlink" Target="https://github.com/Aravindh-18/Project1" TargetMode="External"/><Relationship Id="rId1213" Type="http://schemas.openxmlformats.org/officeDocument/2006/relationships/hyperlink" Target="https://github.com/sn1411/chicago-github-users" TargetMode="External"/><Relationship Id="rId1697" Type="http://schemas.openxmlformats.org/officeDocument/2006/relationships/hyperlink" Target="https://github.com/manojpaul9986/tds_project1" TargetMode="External"/><Relationship Id="rId1214" Type="http://schemas.openxmlformats.org/officeDocument/2006/relationships/hyperlink" Target="https://github.com/SiriusOrion0301/TDS-PROJECT-1" TargetMode="External"/><Relationship Id="rId1698" Type="http://schemas.openxmlformats.org/officeDocument/2006/relationships/hyperlink" Target="https://github.com/tanmay8542/project1" TargetMode="External"/><Relationship Id="rId1215" Type="http://schemas.openxmlformats.org/officeDocument/2006/relationships/hyperlink" Target="https://github.com/akulbansal1/TDS_Project_1" TargetMode="External"/><Relationship Id="rId1699" Type="http://schemas.openxmlformats.org/officeDocument/2006/relationships/hyperlink" Target="https://github.com/SohamGhosh2510/Project" TargetMode="External"/><Relationship Id="rId1216" Type="http://schemas.openxmlformats.org/officeDocument/2006/relationships/hyperlink" Target="https://github.com/kamalesh-79/tdsproj/tree/main1" TargetMode="External"/><Relationship Id="rId1217" Type="http://schemas.openxmlformats.org/officeDocument/2006/relationships/hyperlink" Target="https://github.com/PradeepIITMBS/TDS-PROJECT-1" TargetMode="External"/><Relationship Id="rId1218" Type="http://schemas.openxmlformats.org/officeDocument/2006/relationships/hyperlink" Target="https://github.com/pranjal300799/TDS-proj1" TargetMode="External"/><Relationship Id="rId1219" Type="http://schemas.openxmlformats.org/officeDocument/2006/relationships/hyperlink" Target="https://github.com/Jayaprakash1710/TDS-Project-1" TargetMode="External"/><Relationship Id="rId866" Type="http://schemas.openxmlformats.org/officeDocument/2006/relationships/hyperlink" Target="https://github.com/harikrishnan51688/TDS_Project_1" TargetMode="External"/><Relationship Id="rId865" Type="http://schemas.openxmlformats.org/officeDocument/2006/relationships/hyperlink" Target="https://github.com/Harshachowdary2012/Berlin-200-Analysis-TDS" TargetMode="External"/><Relationship Id="rId864" Type="http://schemas.openxmlformats.org/officeDocument/2006/relationships/hyperlink" Target="https://github.com/20vishnu27/TDS_Project-1" TargetMode="External"/><Relationship Id="rId863" Type="http://schemas.openxmlformats.org/officeDocument/2006/relationships/hyperlink" Target="https://github.com/KanishkarIITM/Proj1" TargetMode="External"/><Relationship Id="rId869" Type="http://schemas.openxmlformats.org/officeDocument/2006/relationships/hyperlink" Target="https://github.com/AllyNav/tds_project_1" TargetMode="External"/><Relationship Id="rId868" Type="http://schemas.openxmlformats.org/officeDocument/2006/relationships/hyperlink" Target="https://github.com/arya-v-iitm/TDS-Project1" TargetMode="External"/><Relationship Id="rId867" Type="http://schemas.openxmlformats.org/officeDocument/2006/relationships/hyperlink" Target="https://github.com/anshuraj007/22f3000757_TDS_Proj1" TargetMode="External"/><Relationship Id="rId1690" Type="http://schemas.openxmlformats.org/officeDocument/2006/relationships/hyperlink" Target="https://github.com/404aalu/tds-project1/tree/main" TargetMode="External"/><Relationship Id="rId1691" Type="http://schemas.openxmlformats.org/officeDocument/2006/relationships/hyperlink" Target="https://github.com/anshulbaliga7/iitm-tds-project1" TargetMode="External"/><Relationship Id="rId1692" Type="http://schemas.openxmlformats.org/officeDocument/2006/relationships/hyperlink" Target="https://github.com/harini-perumandla/TDS-P1" TargetMode="External"/><Relationship Id="rId862" Type="http://schemas.openxmlformats.org/officeDocument/2006/relationships/hyperlink" Target="https://github.com/Srinidhi-Krishnan30/TDSProject1" TargetMode="External"/><Relationship Id="rId1693" Type="http://schemas.openxmlformats.org/officeDocument/2006/relationships/hyperlink" Target="https://github.com/nitesh-Sharma-IITM/IITM_TDS" TargetMode="External"/><Relationship Id="rId861" Type="http://schemas.openxmlformats.org/officeDocument/2006/relationships/hyperlink" Target="https://github.com/shobhit8948/TDA-Project1" TargetMode="External"/><Relationship Id="rId1210" Type="http://schemas.openxmlformats.org/officeDocument/2006/relationships/hyperlink" Target="https://github.com/rohit0490/tdsp1" TargetMode="External"/><Relationship Id="rId1694" Type="http://schemas.openxmlformats.org/officeDocument/2006/relationships/hyperlink" Target="https://github.com/VaishHa/Delhi100_TDS" TargetMode="External"/><Relationship Id="rId860" Type="http://schemas.openxmlformats.org/officeDocument/2006/relationships/hyperlink" Target="https://github.com/tarunarora6029/tdsgit" TargetMode="External"/><Relationship Id="rId1211" Type="http://schemas.openxmlformats.org/officeDocument/2006/relationships/hyperlink" Target="https://github.com/Abhinandan-IIT-M/austin-github-users.git" TargetMode="External"/><Relationship Id="rId1695" Type="http://schemas.openxmlformats.org/officeDocument/2006/relationships/hyperlink" Target="https://github.com/23f3001726/p1-tds" TargetMode="External"/><Relationship Id="rId1212" Type="http://schemas.openxmlformats.org/officeDocument/2006/relationships/hyperlink" Target="https://forms.gle/qjSEztCfP6oG65gp8" TargetMode="External"/><Relationship Id="rId1696" Type="http://schemas.openxmlformats.org/officeDocument/2006/relationships/hyperlink" Target="https://github.com/DurgaPriyaY/proj1" TargetMode="External"/><Relationship Id="rId1202" Type="http://schemas.openxmlformats.org/officeDocument/2006/relationships/hyperlink" Target="https://github.com/theduskyrobe/TDS1" TargetMode="External"/><Relationship Id="rId1686" Type="http://schemas.openxmlformats.org/officeDocument/2006/relationships/hyperlink" Target="https://github.com/Aadil-Iqbal1729/TDS_Project-1" TargetMode="External"/><Relationship Id="rId1203" Type="http://schemas.openxmlformats.org/officeDocument/2006/relationships/hyperlink" Target="https://github.com/tejasreematta/TDS-Project-1" TargetMode="External"/><Relationship Id="rId1687" Type="http://schemas.openxmlformats.org/officeDocument/2006/relationships/hyperlink" Target="https://github.com/nightcoder358/TDS-Project-1" TargetMode="External"/><Relationship Id="rId1204" Type="http://schemas.openxmlformats.org/officeDocument/2006/relationships/hyperlink" Target="https://github.com/nirmaldeep-p/TDS-Project-1" TargetMode="External"/><Relationship Id="rId1688" Type="http://schemas.openxmlformats.org/officeDocument/2006/relationships/hyperlink" Target="https://github.com/PRAVINKUMAR99/mywebsite" TargetMode="External"/><Relationship Id="rId1205" Type="http://schemas.openxmlformats.org/officeDocument/2006/relationships/hyperlink" Target="https://github.com/ishitabhalla16/TDS-Project-1" TargetMode="External"/><Relationship Id="rId1689" Type="http://schemas.openxmlformats.org/officeDocument/2006/relationships/hyperlink" Target="https://github.com/Karanshrivastav/tds_project_1" TargetMode="External"/><Relationship Id="rId1206" Type="http://schemas.openxmlformats.org/officeDocument/2006/relationships/hyperlink" Target="https://github.com/SiriusOrion0301/TDS-PROJECT-1" TargetMode="External"/><Relationship Id="rId1207" Type="http://schemas.openxmlformats.org/officeDocument/2006/relationships/hyperlink" Target="https://github.com/leyther5813/b100" TargetMode="External"/><Relationship Id="rId1208" Type="http://schemas.openxmlformats.org/officeDocument/2006/relationships/hyperlink" Target="https://github.com/mfzlur/tds-iitm-project1" TargetMode="External"/><Relationship Id="rId1209" Type="http://schemas.openxmlformats.org/officeDocument/2006/relationships/hyperlink" Target="https://github.com/SANDESH9098/TDS-Project1" TargetMode="External"/><Relationship Id="rId855" Type="http://schemas.openxmlformats.org/officeDocument/2006/relationships/hyperlink" Target="https://github.com/RaghavKapil24/tds-project" TargetMode="External"/><Relationship Id="rId854" Type="http://schemas.openxmlformats.org/officeDocument/2006/relationships/hyperlink" Target="https://github.com/Anirudh-starhash/TDS-Project-1" TargetMode="External"/><Relationship Id="rId853" Type="http://schemas.openxmlformats.org/officeDocument/2006/relationships/hyperlink" Target="https://github.com/AnvithaVarre7/Project-1" TargetMode="External"/><Relationship Id="rId852" Type="http://schemas.openxmlformats.org/officeDocument/2006/relationships/hyperlink" Target="https://github.com/SaloniSingh1254/seattle200" TargetMode="External"/><Relationship Id="rId859" Type="http://schemas.openxmlformats.org/officeDocument/2006/relationships/hyperlink" Target="https://github.com/stu2262/IITM_TDS_Proj1" TargetMode="External"/><Relationship Id="rId858" Type="http://schemas.openxmlformats.org/officeDocument/2006/relationships/hyperlink" Target="https://github.com/KRISHBORANA/Sydney-100" TargetMode="External"/><Relationship Id="rId857" Type="http://schemas.openxmlformats.org/officeDocument/2006/relationships/hyperlink" Target="https://github.com/21f3000177/tds_project1" TargetMode="External"/><Relationship Id="rId856" Type="http://schemas.openxmlformats.org/officeDocument/2006/relationships/hyperlink" Target="https://github.com/praveen37bn/now_project1" TargetMode="External"/><Relationship Id="rId1680" Type="http://schemas.openxmlformats.org/officeDocument/2006/relationships/hyperlink" Target="https://github.com/namish18/TDSP1" TargetMode="External"/><Relationship Id="rId1681" Type="http://schemas.openxmlformats.org/officeDocument/2006/relationships/hyperlink" Target="https://github.com/23f2003488/dublin_users" TargetMode="External"/><Relationship Id="rId851" Type="http://schemas.openxmlformats.org/officeDocument/2006/relationships/hyperlink" Target="https://github.com/22f2001730/TDS_P1" TargetMode="External"/><Relationship Id="rId1682" Type="http://schemas.openxmlformats.org/officeDocument/2006/relationships/hyperlink" Target="https://github.com/himanshu-IIT-M/project1/blob/main/repositories.csvlob/main/repositories.csv" TargetMode="External"/><Relationship Id="rId850" Type="http://schemas.openxmlformats.org/officeDocument/2006/relationships/hyperlink" Target="https://github.com/adityach123/main" TargetMode="External"/><Relationship Id="rId1683" Type="http://schemas.openxmlformats.org/officeDocument/2006/relationships/hyperlink" Target="https://github.com/shanky999/TDS_Project1" TargetMode="External"/><Relationship Id="rId1200" Type="http://schemas.openxmlformats.org/officeDocument/2006/relationships/hyperlink" Target="https://github.com/srijan789/tdsproj1" TargetMode="External"/><Relationship Id="rId1684" Type="http://schemas.openxmlformats.org/officeDocument/2006/relationships/hyperlink" Target="https://github.com/samikb07/tds-project-1" TargetMode="External"/><Relationship Id="rId1201" Type="http://schemas.openxmlformats.org/officeDocument/2006/relationships/hyperlink" Target="https://github.com/AnkitaDev05/TDS-Project1" TargetMode="External"/><Relationship Id="rId1685" Type="http://schemas.openxmlformats.org/officeDocument/2006/relationships/hyperlink" Target="https://github.com/MaharajaMoorthy/tds_project1" TargetMode="External"/><Relationship Id="rId1235" Type="http://schemas.openxmlformats.org/officeDocument/2006/relationships/hyperlink" Target="https://github.com/chandrabs25/tds_project1" TargetMode="External"/><Relationship Id="rId1236" Type="http://schemas.openxmlformats.org/officeDocument/2006/relationships/hyperlink" Target="https://github.com/payalggn/TDS_Project1" TargetMode="External"/><Relationship Id="rId1237" Type="http://schemas.openxmlformats.org/officeDocument/2006/relationships/hyperlink" Target="https://github.com/azh-py/london-github-users" TargetMode="External"/><Relationship Id="rId1238" Type="http://schemas.openxmlformats.org/officeDocument/2006/relationships/hyperlink" Target="https://github.com/22f2001150/TDS-project-1" TargetMode="External"/><Relationship Id="rId1239" Type="http://schemas.openxmlformats.org/officeDocument/2006/relationships/hyperlink" Target="https://github.com/kabir2505/zurich_scraping-tds" TargetMode="External"/><Relationship Id="rId409" Type="http://schemas.openxmlformats.org/officeDocument/2006/relationships/hyperlink" Target="https://github.com/veenas2024/TdsGA1" TargetMode="External"/><Relationship Id="rId404" Type="http://schemas.openxmlformats.org/officeDocument/2006/relationships/hyperlink" Target="https://github.com/IITMSAPNA/Sapna_tds_proj_1" TargetMode="External"/><Relationship Id="rId888" Type="http://schemas.openxmlformats.org/officeDocument/2006/relationships/hyperlink" Target="https://github.com/pranavtiwari-this/tdm-project1" TargetMode="External"/><Relationship Id="rId403" Type="http://schemas.openxmlformats.org/officeDocument/2006/relationships/hyperlink" Target="https://github.com/randomuser438/TDS_proj" TargetMode="External"/><Relationship Id="rId887" Type="http://schemas.openxmlformats.org/officeDocument/2006/relationships/hyperlink" Target="https://github.com/Reena-Ydv/TDS" TargetMode="External"/><Relationship Id="rId402" Type="http://schemas.openxmlformats.org/officeDocument/2006/relationships/hyperlink" Target="https://github.com/subhash2IIT/tds-project1-scrapping/" TargetMode="External"/><Relationship Id="rId886" Type="http://schemas.openxmlformats.org/officeDocument/2006/relationships/hyperlink" Target="https://github.com/Srilekha-05/github-barcelona-users" TargetMode="External"/><Relationship Id="rId401" Type="http://schemas.openxmlformats.org/officeDocument/2006/relationships/hyperlink" Target="https://github.com/23ds3000059/tds_project_1" TargetMode="External"/><Relationship Id="rId885" Type="http://schemas.openxmlformats.org/officeDocument/2006/relationships/hyperlink" Target="https://github.com/pkala7968/TDS-PROJECT-1-IITM" TargetMode="External"/><Relationship Id="rId408" Type="http://schemas.openxmlformats.org/officeDocument/2006/relationships/hyperlink" Target="https://github.com/vasanth-svb-1/iitm-syscmd-project-1" TargetMode="External"/><Relationship Id="rId407" Type="http://schemas.openxmlformats.org/officeDocument/2006/relationships/hyperlink" Target="https://github.com/21f3000177/tds_project1" TargetMode="External"/><Relationship Id="rId406" Type="http://schemas.openxmlformats.org/officeDocument/2006/relationships/hyperlink" Target="https://github.com/Biray143/Project-1" TargetMode="External"/><Relationship Id="rId405" Type="http://schemas.openxmlformats.org/officeDocument/2006/relationships/hyperlink" Target="https://github.com/ShashanksriIITM/MLT_Project1" TargetMode="External"/><Relationship Id="rId889" Type="http://schemas.openxmlformats.org/officeDocument/2006/relationships/hyperlink" Target="https://github.com/ankit-ksh/tds_mini_project_i" TargetMode="External"/><Relationship Id="rId880" Type="http://schemas.openxmlformats.org/officeDocument/2006/relationships/hyperlink" Target="https://github.com/Shreya5619/TDS-Project1" TargetMode="External"/><Relationship Id="rId1230" Type="http://schemas.openxmlformats.org/officeDocument/2006/relationships/hyperlink" Target="https://github.com/IITM-007/Project1/tree/main" TargetMode="External"/><Relationship Id="rId400" Type="http://schemas.openxmlformats.org/officeDocument/2006/relationships/hyperlink" Target="https://github.com/kuldeepchavda/tds_project_1" TargetMode="External"/><Relationship Id="rId884" Type="http://schemas.openxmlformats.org/officeDocument/2006/relationships/hyperlink" Target="https://github.com/samikb07/tds-project-1" TargetMode="External"/><Relationship Id="rId1231" Type="http://schemas.openxmlformats.org/officeDocument/2006/relationships/hyperlink" Target="https://github.com/deep2003tds/project1/blob/main/repositories.csv" TargetMode="External"/><Relationship Id="rId883" Type="http://schemas.openxmlformats.org/officeDocument/2006/relationships/hyperlink" Target="https://github.com/GeekAnanya21/TDS_project1" TargetMode="External"/><Relationship Id="rId1232" Type="http://schemas.openxmlformats.org/officeDocument/2006/relationships/hyperlink" Target="https://github.com/jayasri-js/github-london-users" TargetMode="External"/><Relationship Id="rId882" Type="http://schemas.openxmlformats.org/officeDocument/2006/relationships/hyperlink" Target="https://github.com/kp-bhara/tds_proj1_stockholm_100/tree/main" TargetMode="External"/><Relationship Id="rId1233" Type="http://schemas.openxmlformats.org/officeDocument/2006/relationships/hyperlink" Target="https://github.com/RK-Codes-IITMBS/TDS-Project-1" TargetMode="External"/><Relationship Id="rId881" Type="http://schemas.openxmlformats.org/officeDocument/2006/relationships/hyperlink" Target="https://github.com/Harini-RAJ/tdsproj" TargetMode="External"/><Relationship Id="rId1234" Type="http://schemas.openxmlformats.org/officeDocument/2006/relationships/hyperlink" Target="https://github.com/suraj22f3/TDS_Project1" TargetMode="External"/><Relationship Id="rId1224" Type="http://schemas.openxmlformats.org/officeDocument/2006/relationships/hyperlink" Target="https://github.com/Vscode918/Moscow-users/" TargetMode="External"/><Relationship Id="rId1225" Type="http://schemas.openxmlformats.org/officeDocument/2006/relationships/hyperlink" Target="https://github.com/22f3000398/TDS-Project" TargetMode="External"/><Relationship Id="rId1226" Type="http://schemas.openxmlformats.org/officeDocument/2006/relationships/hyperlink" Target="https://github.com/DSAshv/TDS-Project1" TargetMode="External"/><Relationship Id="rId1227" Type="http://schemas.openxmlformats.org/officeDocument/2006/relationships/hyperlink" Target="https://github.com/Varun-K34/github-users-toronto" TargetMode="External"/><Relationship Id="rId1228" Type="http://schemas.openxmlformats.org/officeDocument/2006/relationships/hyperlink" Target="https://github.com/Nachiket-GORE/TDS-project-1" TargetMode="External"/><Relationship Id="rId1229" Type="http://schemas.openxmlformats.org/officeDocument/2006/relationships/hyperlink" Target="https://github.com/raunak-kumar800/tds-project" TargetMode="External"/><Relationship Id="rId877" Type="http://schemas.openxmlformats.org/officeDocument/2006/relationships/hyperlink" Target="https://github.com/febixcf/tds-project1" TargetMode="External"/><Relationship Id="rId876" Type="http://schemas.openxmlformats.org/officeDocument/2006/relationships/hyperlink" Target="https://github.com/kp-bhara/tds_proj1_stockholm_100" TargetMode="External"/><Relationship Id="rId875" Type="http://schemas.openxmlformats.org/officeDocument/2006/relationships/hyperlink" Target="https://github.com/Alizalily/TDS_Project1" TargetMode="External"/><Relationship Id="rId874" Type="http://schemas.openxmlformats.org/officeDocument/2006/relationships/hyperlink" Target="https://github.com/microdev1/tds-p1" TargetMode="External"/><Relationship Id="rId879" Type="http://schemas.openxmlformats.org/officeDocument/2006/relationships/hyperlink" Target="https://github.com/SharmilSrivathsa/TDS-Project-1" TargetMode="External"/><Relationship Id="rId878" Type="http://schemas.openxmlformats.org/officeDocument/2006/relationships/hyperlink" Target="https://github.com/madhavanrmiitm/tds-project1" TargetMode="External"/><Relationship Id="rId873" Type="http://schemas.openxmlformats.org/officeDocument/2006/relationships/hyperlink" Target="https://github.com/Avisiingh/tdsproject1/tree/main" TargetMode="External"/><Relationship Id="rId1220" Type="http://schemas.openxmlformats.org/officeDocument/2006/relationships/hyperlink" Target="https://github.com/saritakumari23/proj1" TargetMode="External"/><Relationship Id="rId872" Type="http://schemas.openxmlformats.org/officeDocument/2006/relationships/hyperlink" Target="https://github.com/Vishu-Ahlawat/tds_p1" TargetMode="External"/><Relationship Id="rId1221" Type="http://schemas.openxmlformats.org/officeDocument/2006/relationships/hyperlink" Target="https://github.com/Rosh-10/tds-project-1" TargetMode="External"/><Relationship Id="rId871" Type="http://schemas.openxmlformats.org/officeDocument/2006/relationships/hyperlink" Target="https://github.com/Bhaargavi29/Moscow-50-repo" TargetMode="External"/><Relationship Id="rId1222" Type="http://schemas.openxmlformats.org/officeDocument/2006/relationships/hyperlink" Target="https://github.com/vanshikaaraisinghani/TDSProjectt" TargetMode="External"/><Relationship Id="rId870" Type="http://schemas.openxmlformats.org/officeDocument/2006/relationships/hyperlink" Target="https://github.com/b-panda/Dublin-GitHub-Users" TargetMode="External"/><Relationship Id="rId1223" Type="http://schemas.openxmlformats.org/officeDocument/2006/relationships/hyperlink" Target="https://github.com/ml1608/TDS-Project1" TargetMode="External"/><Relationship Id="rId1653" Type="http://schemas.openxmlformats.org/officeDocument/2006/relationships/hyperlink" Target="https://github.com/A-ojha31/Tokyo_200" TargetMode="External"/><Relationship Id="rId1654" Type="http://schemas.openxmlformats.org/officeDocument/2006/relationships/hyperlink" Target="https://github.com/22f2001150/TDS-project-1" TargetMode="External"/><Relationship Id="rId1655" Type="http://schemas.openxmlformats.org/officeDocument/2006/relationships/hyperlink" Target="https://github.com/afsi07/github-users-london/tree/main" TargetMode="External"/><Relationship Id="rId1656" Type="http://schemas.openxmlformats.org/officeDocument/2006/relationships/hyperlink" Target="https://github.com/Ajit5370/tds-project-1" TargetMode="External"/><Relationship Id="rId1657" Type="http://schemas.openxmlformats.org/officeDocument/2006/relationships/hyperlink" Target="https://github.com/SoumaySinghChauhan/Hyderabad_Github_users" TargetMode="External"/><Relationship Id="rId1658" Type="http://schemas.openxmlformats.org/officeDocument/2006/relationships/hyperlink" Target="https://github.com/spacetime177/tds_proj" TargetMode="External"/><Relationship Id="rId1659" Type="http://schemas.openxmlformats.org/officeDocument/2006/relationships/hyperlink" Target="https://github.com/importAmmar/TDS-Project-1" TargetMode="External"/><Relationship Id="rId829" Type="http://schemas.openxmlformats.org/officeDocument/2006/relationships/hyperlink" Target="https://github.com/bl00m-byte/TDS-Project-1" TargetMode="External"/><Relationship Id="rId828" Type="http://schemas.openxmlformats.org/officeDocument/2006/relationships/hyperlink" Target="https://github.com/Saba-Usman/TDS-Project-1" TargetMode="External"/><Relationship Id="rId827" Type="http://schemas.openxmlformats.org/officeDocument/2006/relationships/hyperlink" Target="https://github.com/deepika4786/tools-for-data-science-project---1/blob/main/repositories.csv" TargetMode="External"/><Relationship Id="rId822" Type="http://schemas.openxmlformats.org/officeDocument/2006/relationships/hyperlink" Target="https://github.com/suraj22f3/TDS_Project1" TargetMode="External"/><Relationship Id="rId821" Type="http://schemas.openxmlformats.org/officeDocument/2006/relationships/hyperlink" Target="https://github.com/Ankit972-dotcom/sydney-github-users" TargetMode="External"/><Relationship Id="rId820" Type="http://schemas.openxmlformats.org/officeDocument/2006/relationships/hyperlink" Target="https://github.com/jayasri-js/github-london-users" TargetMode="External"/><Relationship Id="rId826" Type="http://schemas.openxmlformats.org/officeDocument/2006/relationships/hyperlink" Target="https://github.com/22f2001150/TDS-project-1" TargetMode="External"/><Relationship Id="rId825" Type="http://schemas.openxmlformats.org/officeDocument/2006/relationships/hyperlink" Target="https://github.com/Saravanan1508/IITM_TDS_Project_1" TargetMode="External"/><Relationship Id="rId824" Type="http://schemas.openxmlformats.org/officeDocument/2006/relationships/hyperlink" Target="https://github.com/payalggn/TDS_Project1" TargetMode="External"/><Relationship Id="rId823" Type="http://schemas.openxmlformats.org/officeDocument/2006/relationships/hyperlink" Target="https://github.com/Avisiingh/tdsproject1/tree/main" TargetMode="External"/><Relationship Id="rId1650" Type="http://schemas.openxmlformats.org/officeDocument/2006/relationships/hyperlink" Target="https://github.com/amittkulkarni/tds-project-1" TargetMode="External"/><Relationship Id="rId1651" Type="http://schemas.openxmlformats.org/officeDocument/2006/relationships/hyperlink" Target="https://github.com/agaMadan/TDS-Project-1" TargetMode="External"/><Relationship Id="rId1652" Type="http://schemas.openxmlformats.org/officeDocument/2006/relationships/hyperlink" Target="https://github.com/Abhinandan-IIT-M/austin-github-users" TargetMode="External"/><Relationship Id="rId1642" Type="http://schemas.openxmlformats.org/officeDocument/2006/relationships/hyperlink" Target="https://github.com/SaikatMandal2022/TDS_Project1" TargetMode="External"/><Relationship Id="rId1643" Type="http://schemas.openxmlformats.org/officeDocument/2006/relationships/hyperlink" Target="https://github.com/m55d/P1_md" TargetMode="External"/><Relationship Id="rId1644" Type="http://schemas.openxmlformats.org/officeDocument/2006/relationships/hyperlink" Target="https://github.com/SaikatMandal2022/TDS_Project1" TargetMode="External"/><Relationship Id="rId1645" Type="http://schemas.openxmlformats.org/officeDocument/2006/relationships/hyperlink" Target="https://github.com/Meet-XML/Tds_pro1" TargetMode="External"/><Relationship Id="rId1646" Type="http://schemas.openxmlformats.org/officeDocument/2006/relationships/hyperlink" Target="https://github.com/LakshayB05/tds_project1" TargetMode="External"/><Relationship Id="rId1647" Type="http://schemas.openxmlformats.org/officeDocument/2006/relationships/hyperlink" Target="https://github.com/jyoti7398/TDS_proj1" TargetMode="External"/><Relationship Id="rId1648" Type="http://schemas.openxmlformats.org/officeDocument/2006/relationships/hyperlink" Target="https://github.com/Anburajasp/TDS-PROJECT-1" TargetMode="External"/><Relationship Id="rId1649" Type="http://schemas.openxmlformats.org/officeDocument/2006/relationships/hyperlink" Target="https://github.com/Neha-Galande-14/scrapper-project" TargetMode="External"/><Relationship Id="rId819" Type="http://schemas.openxmlformats.org/officeDocument/2006/relationships/hyperlink" Target="https://github.com/AbdulHadiCreator/TDSproject1" TargetMode="External"/><Relationship Id="rId818" Type="http://schemas.openxmlformats.org/officeDocument/2006/relationships/hyperlink" Target="https://github.com/IITM-007/Project1/tree/main" TargetMode="External"/><Relationship Id="rId817" Type="http://schemas.openxmlformats.org/officeDocument/2006/relationships/hyperlink" Target="https://github.com/harshx45/tdsproj1" TargetMode="External"/><Relationship Id="rId816" Type="http://schemas.openxmlformats.org/officeDocument/2006/relationships/hyperlink" Target="https://github.com/Nachiket-GORE/TDS-project-1" TargetMode="External"/><Relationship Id="rId811" Type="http://schemas.openxmlformats.org/officeDocument/2006/relationships/hyperlink" Target="https://github.com/24f1002112/Project1TDS" TargetMode="External"/><Relationship Id="rId810" Type="http://schemas.openxmlformats.org/officeDocument/2006/relationships/hyperlink" Target="https://github.com/vanshikaaraisinghani/TDSProjectt" TargetMode="External"/><Relationship Id="rId815" Type="http://schemas.openxmlformats.org/officeDocument/2006/relationships/hyperlink" Target="https://github.com/NandhaaKishore-10/TDS-PROJECT-1" TargetMode="External"/><Relationship Id="rId814" Type="http://schemas.openxmlformats.org/officeDocument/2006/relationships/hyperlink" Target="https://github.com/DSAshv/TDS-Project1" TargetMode="External"/><Relationship Id="rId813" Type="http://schemas.openxmlformats.org/officeDocument/2006/relationships/hyperlink" Target="https://github.com/himanesh21/GithubUserDataAnalysis" TargetMode="External"/><Relationship Id="rId812" Type="http://schemas.openxmlformats.org/officeDocument/2006/relationships/hyperlink" Target="https://github.com/Vscode918/Moscow-users/" TargetMode="External"/><Relationship Id="rId1640" Type="http://schemas.openxmlformats.org/officeDocument/2006/relationships/hyperlink" Target="https://github.com/pranavtiwari-this/tdm-project1/blob/main/README.mdn/TDS_P1.ipynb" TargetMode="External"/><Relationship Id="rId1641" Type="http://schemas.openxmlformats.org/officeDocument/2006/relationships/hyperlink" Target="https://github.com/Irshadanwar/berlin-200-users-repositories" TargetMode="External"/><Relationship Id="rId1675" Type="http://schemas.openxmlformats.org/officeDocument/2006/relationships/hyperlink" Target="https://github.com/Varun-K34/github-users-toronto" TargetMode="External"/><Relationship Id="rId1676" Type="http://schemas.openxmlformats.org/officeDocument/2006/relationships/hyperlink" Target="https://github.com/aniko1806/GitHub_API_Analysis_Boston" TargetMode="External"/><Relationship Id="rId1677" Type="http://schemas.openxmlformats.org/officeDocument/2006/relationships/hyperlink" Target="https://github.com/ekxnsh22005/TDS-Project" TargetMode="External"/><Relationship Id="rId1678" Type="http://schemas.openxmlformats.org/officeDocument/2006/relationships/hyperlink" Target="https://github.com/sashank-e/TDS_P1" TargetMode="External"/><Relationship Id="rId1679" Type="http://schemas.openxmlformats.org/officeDocument/2006/relationships/hyperlink" Target="https://github.com/Madhu1005/tds-project1" TargetMode="External"/><Relationship Id="rId849" Type="http://schemas.openxmlformats.org/officeDocument/2006/relationships/hyperlink" Target="https://github.com/Keshav22f2001196/TDS-project1" TargetMode="External"/><Relationship Id="rId844" Type="http://schemas.openxmlformats.org/officeDocument/2006/relationships/hyperlink" Target="https://github.com/21f2001015/tds-project-1" TargetMode="External"/><Relationship Id="rId843" Type="http://schemas.openxmlformats.org/officeDocument/2006/relationships/hyperlink" Target="https://github.com/SaarthakMaini/tds_project_1/" TargetMode="External"/><Relationship Id="rId842" Type="http://schemas.openxmlformats.org/officeDocument/2006/relationships/hyperlink" Target="https://github.com/23f1001172/melbourne-users-data" TargetMode="External"/><Relationship Id="rId841" Type="http://schemas.openxmlformats.org/officeDocument/2006/relationships/hyperlink" Target="https://github.com/Yashi-code/dublin-developer-data/tree/main" TargetMode="External"/><Relationship Id="rId848" Type="http://schemas.openxmlformats.org/officeDocument/2006/relationships/hyperlink" Target="https://github.com/darshu2806/tdsproj1" TargetMode="External"/><Relationship Id="rId847" Type="http://schemas.openxmlformats.org/officeDocument/2006/relationships/hyperlink" Target="https://github.com/so-what-ik/TDS_Project1" TargetMode="External"/><Relationship Id="rId846" Type="http://schemas.openxmlformats.org/officeDocument/2006/relationships/hyperlink" Target="https://github.com/singh-akhand/tds-project-1" TargetMode="External"/><Relationship Id="rId845" Type="http://schemas.openxmlformats.org/officeDocument/2006/relationships/hyperlink" Target="https://github.com/harrycode54/Stockholm100" TargetMode="External"/><Relationship Id="rId1670" Type="http://schemas.openxmlformats.org/officeDocument/2006/relationships/hyperlink" Target="https://github.com/Anu-IITM/Tds_project1" TargetMode="External"/><Relationship Id="rId840" Type="http://schemas.openxmlformats.org/officeDocument/2006/relationships/hyperlink" Target="https://github.com/vaishnavich44/Beijing-GitHub-Analysis" TargetMode="External"/><Relationship Id="rId1671" Type="http://schemas.openxmlformats.org/officeDocument/2006/relationships/hyperlink" Target="https://github.com/Pragati2001589/my_repository" TargetMode="External"/><Relationship Id="rId1672" Type="http://schemas.openxmlformats.org/officeDocument/2006/relationships/hyperlink" Target="https://github.com/Aadi0703/TDS-project1/blob/main/TDSP1.ipynb" TargetMode="External"/><Relationship Id="rId1673" Type="http://schemas.openxmlformats.org/officeDocument/2006/relationships/hyperlink" Target="https://github.com/Me-dev-commits/project-1" TargetMode="External"/><Relationship Id="rId1674" Type="http://schemas.openxmlformats.org/officeDocument/2006/relationships/hyperlink" Target="https://github.com/adityaraj2308/projeft1/blob/main/README.md" TargetMode="External"/><Relationship Id="rId1664" Type="http://schemas.openxmlformats.org/officeDocument/2006/relationships/hyperlink" Target="https://github.com/Hariomkr147/TDS_project1" TargetMode="External"/><Relationship Id="rId1665" Type="http://schemas.openxmlformats.org/officeDocument/2006/relationships/hyperlink" Target="https://github.com/22f3002293/TDS-project1" TargetMode="External"/><Relationship Id="rId1666" Type="http://schemas.openxmlformats.org/officeDocument/2006/relationships/hyperlink" Target="https://github.com/Mahabodhi4652/tds_project1" TargetMode="External"/><Relationship Id="rId1667" Type="http://schemas.openxmlformats.org/officeDocument/2006/relationships/hyperlink" Target="https://github.com/Harini-commits/stockholm-github-users" TargetMode="External"/><Relationship Id="rId1668" Type="http://schemas.openxmlformats.org/officeDocument/2006/relationships/hyperlink" Target="https://github.com/AnujKrishna-IIT/TDS-Project1" TargetMode="External"/><Relationship Id="rId1669" Type="http://schemas.openxmlformats.org/officeDocument/2006/relationships/hyperlink" Target="https://github.com/Me-dev-commits/project-1" TargetMode="External"/><Relationship Id="rId839" Type="http://schemas.openxmlformats.org/officeDocument/2006/relationships/hyperlink" Target="https://github.com/anjupbse91/TDS-Project1" TargetMode="External"/><Relationship Id="rId838" Type="http://schemas.openxmlformats.org/officeDocument/2006/relationships/hyperlink" Target="https://github.com/22f3000130/TDS_PROJECT_1" TargetMode="External"/><Relationship Id="rId833" Type="http://schemas.openxmlformats.org/officeDocument/2006/relationships/hyperlink" Target="https://github.com/23f2004839/TDS-Project-1" TargetMode="External"/><Relationship Id="rId832" Type="http://schemas.openxmlformats.org/officeDocument/2006/relationships/hyperlink" Target="https://github.com/Alge199/TDS-Project-1" TargetMode="External"/><Relationship Id="rId831" Type="http://schemas.openxmlformats.org/officeDocument/2006/relationships/hyperlink" Target="https://github.com/SaicharanRitwik39/TDSProject1_TermSepDec2024" TargetMode="External"/><Relationship Id="rId830" Type="http://schemas.openxmlformats.org/officeDocument/2006/relationships/hyperlink" Target="https://github.com/manojpaul9986/tds_project1" TargetMode="External"/><Relationship Id="rId837" Type="http://schemas.openxmlformats.org/officeDocument/2006/relationships/hyperlink" Target="https://github.com/21f1004430/TDS-Project_1" TargetMode="External"/><Relationship Id="rId836" Type="http://schemas.openxmlformats.org/officeDocument/2006/relationships/hyperlink" Target="https://github.com/kik893/Project-1" TargetMode="External"/><Relationship Id="rId835" Type="http://schemas.openxmlformats.org/officeDocument/2006/relationships/hyperlink" Target="https://github.com/mailkharshvardhan/chicago-developers-data" TargetMode="External"/><Relationship Id="rId834" Type="http://schemas.openxmlformats.org/officeDocument/2006/relationships/hyperlink" Target="https://github.com/harini-perumandla/TDS-P1" TargetMode="External"/><Relationship Id="rId1660" Type="http://schemas.openxmlformats.org/officeDocument/2006/relationships/hyperlink" Target="https://github.com/edurelated2021/tds-proj1" TargetMode="External"/><Relationship Id="rId1661" Type="http://schemas.openxmlformats.org/officeDocument/2006/relationships/hyperlink" Target="https://github.com/Jayaprakash1710/TDS-Project-1" TargetMode="External"/><Relationship Id="rId1662" Type="http://schemas.openxmlformats.org/officeDocument/2006/relationships/hyperlink" Target="https://github.com/Abina-srini/TDS" TargetMode="External"/><Relationship Id="rId1663" Type="http://schemas.openxmlformats.org/officeDocument/2006/relationships/hyperlink" Target="https://github.com/Aniruddha017/TDSproject1" TargetMode="External"/><Relationship Id="rId469" Type="http://schemas.openxmlformats.org/officeDocument/2006/relationships/hyperlink" Target="https://github.com/Vanshika-tiwari98/Beijing-GitHub-Users" TargetMode="External"/><Relationship Id="rId468" Type="http://schemas.openxmlformats.org/officeDocument/2006/relationships/hyperlink" Target="https://github.com/IITMSAPNA/Sapna_tds_proj_1" TargetMode="External"/><Relationship Id="rId467" Type="http://schemas.openxmlformats.org/officeDocument/2006/relationships/hyperlink" Target="https://github.com/22f2000809/project_1" TargetMode="External"/><Relationship Id="rId1290" Type="http://schemas.openxmlformats.org/officeDocument/2006/relationships/hyperlink" Target="https://github.com/Vishu-Ahlawat/tds_p1" TargetMode="External"/><Relationship Id="rId1291" Type="http://schemas.openxmlformats.org/officeDocument/2006/relationships/hyperlink" Target="https://github.com/Harini-commits/stockholm-github-users" TargetMode="External"/><Relationship Id="rId1292" Type="http://schemas.openxmlformats.org/officeDocument/2006/relationships/hyperlink" Target="https://github.com/microdev1/tds-p1" TargetMode="External"/><Relationship Id="rId462" Type="http://schemas.openxmlformats.org/officeDocument/2006/relationships/hyperlink" Target="https://github.com/Yasaswini117/Project_1" TargetMode="External"/><Relationship Id="rId1293" Type="http://schemas.openxmlformats.org/officeDocument/2006/relationships/hyperlink" Target="https://github.com/Me-dev-commits/project-1" TargetMode="External"/><Relationship Id="rId461" Type="http://schemas.openxmlformats.org/officeDocument/2006/relationships/hyperlink" Target="https://github.com/raj-jaiswal/TDS_Github_API" TargetMode="External"/><Relationship Id="rId1294" Type="http://schemas.openxmlformats.org/officeDocument/2006/relationships/hyperlink" Target="https://github.com/kp-bhara/tds_proj1_stockholm_100" TargetMode="External"/><Relationship Id="rId460" Type="http://schemas.openxmlformats.org/officeDocument/2006/relationships/hyperlink" Target="https://github.com/Ayushsinha106/TDSProject1" TargetMode="External"/><Relationship Id="rId1295" Type="http://schemas.openxmlformats.org/officeDocument/2006/relationships/hyperlink" Target="https://github.com/Anu-IITM/Tds_project1" TargetMode="External"/><Relationship Id="rId1296" Type="http://schemas.openxmlformats.org/officeDocument/2006/relationships/hyperlink" Target="https://github.com/madhavanrmiitm/tds-project1" TargetMode="External"/><Relationship Id="rId466" Type="http://schemas.openxmlformats.org/officeDocument/2006/relationships/hyperlink" Target="https://github.com/subhash2IIT/tds-project1-scrapping/" TargetMode="External"/><Relationship Id="rId1297" Type="http://schemas.openxmlformats.org/officeDocument/2006/relationships/hyperlink" Target="https://github.com/Aadi0703/TDS-project1/blob/main/TDSP1.ipynb" TargetMode="External"/><Relationship Id="rId465" Type="http://schemas.openxmlformats.org/officeDocument/2006/relationships/hyperlink" Target="https://github.com/Nupur-learns/Project1" TargetMode="External"/><Relationship Id="rId1298" Type="http://schemas.openxmlformats.org/officeDocument/2006/relationships/hyperlink" Target="https://github.com/Shreya5619/TDS-Project1" TargetMode="External"/><Relationship Id="rId464" Type="http://schemas.openxmlformats.org/officeDocument/2006/relationships/hyperlink" Target="https://github.com/kuldeepchavda/tds_project_1" TargetMode="External"/><Relationship Id="rId1299" Type="http://schemas.openxmlformats.org/officeDocument/2006/relationships/hyperlink" Target="https://github.com/adityaraj2308/projeft1/blob/main/README.md" TargetMode="External"/><Relationship Id="rId463" Type="http://schemas.openxmlformats.org/officeDocument/2006/relationships/hyperlink" Target="https://github.com/siddhant-bapna/TDSP1" TargetMode="External"/><Relationship Id="rId459" Type="http://schemas.openxmlformats.org/officeDocument/2006/relationships/hyperlink" Target="https://github.com/SakshamBindal07/github_sydney_users" TargetMode="External"/><Relationship Id="rId458" Type="http://schemas.openxmlformats.org/officeDocument/2006/relationships/hyperlink" Target="https://github.com/ramees-thattarath/TDS-proj-1" TargetMode="External"/><Relationship Id="rId457" Type="http://schemas.openxmlformats.org/officeDocument/2006/relationships/hyperlink" Target="https://github.com/JAISUBIKSHA/TDS_PROJECT1" TargetMode="External"/><Relationship Id="rId456" Type="http://schemas.openxmlformats.org/officeDocument/2006/relationships/hyperlink" Target="https://github.com/satya140519/TDS_project_1" TargetMode="External"/><Relationship Id="rId1280" Type="http://schemas.openxmlformats.org/officeDocument/2006/relationships/hyperlink" Target="https://github.com/20vishnu27/TDS_Project-1" TargetMode="External"/><Relationship Id="rId1281" Type="http://schemas.openxmlformats.org/officeDocument/2006/relationships/hyperlink" Target="https://github.com/spacetime177/tds_proj" TargetMode="External"/><Relationship Id="rId451" Type="http://schemas.openxmlformats.org/officeDocument/2006/relationships/hyperlink" Target="https://github.com/ratantiwaridev/tds_project1" TargetMode="External"/><Relationship Id="rId1282" Type="http://schemas.openxmlformats.org/officeDocument/2006/relationships/hyperlink" Target="https://github.com/darshu2806/tdsproj1" TargetMode="External"/><Relationship Id="rId450" Type="http://schemas.openxmlformats.org/officeDocument/2006/relationships/hyperlink" Target="https://github.com/DSharanya07/ZurichUsers" TargetMode="External"/><Relationship Id="rId1283" Type="http://schemas.openxmlformats.org/officeDocument/2006/relationships/hyperlink" Target="https://github.com/importAmmar/TDS-Project-1" TargetMode="External"/><Relationship Id="rId1284" Type="http://schemas.openxmlformats.org/officeDocument/2006/relationships/hyperlink" Target="https://github.com/harikrishnan51688/TDS_Project_1" TargetMode="External"/><Relationship Id="rId1285" Type="http://schemas.openxmlformats.org/officeDocument/2006/relationships/hyperlink" Target="https://github.com/edurelated2021/tds-proj1" TargetMode="External"/><Relationship Id="rId455" Type="http://schemas.openxmlformats.org/officeDocument/2006/relationships/hyperlink" Target="https://github.com/22f2000894/tds-project-1" TargetMode="External"/><Relationship Id="rId1286" Type="http://schemas.openxmlformats.org/officeDocument/2006/relationships/hyperlink" Target="https://github.com/arya-v-iitm/TDS-Project1" TargetMode="External"/><Relationship Id="rId454" Type="http://schemas.openxmlformats.org/officeDocument/2006/relationships/hyperlink" Target="https://github.com/21f1004430/TDS-Project_1" TargetMode="External"/><Relationship Id="rId1287" Type="http://schemas.openxmlformats.org/officeDocument/2006/relationships/hyperlink" Target="https://github.com/Abina-srini/TDS" TargetMode="External"/><Relationship Id="rId453" Type="http://schemas.openxmlformats.org/officeDocument/2006/relationships/hyperlink" Target="https://github.com/Abimanyu-A-J/TDSProj1/tree/main" TargetMode="External"/><Relationship Id="rId1288" Type="http://schemas.openxmlformats.org/officeDocument/2006/relationships/hyperlink" Target="https://github.com/b-panda/Dublin-GitHub-Users" TargetMode="External"/><Relationship Id="rId452" Type="http://schemas.openxmlformats.org/officeDocument/2006/relationships/hyperlink" Target="https://github.com/KK17811/Github-repo" TargetMode="External"/><Relationship Id="rId1289" Type="http://schemas.openxmlformats.org/officeDocument/2006/relationships/hyperlink" Target="https://github.com/22f3002293/TDS-project1" TargetMode="External"/><Relationship Id="rId491" Type="http://schemas.openxmlformats.org/officeDocument/2006/relationships/hyperlink" Target="https://github.com/r02ajat08/projtds" TargetMode="External"/><Relationship Id="rId490" Type="http://schemas.openxmlformats.org/officeDocument/2006/relationships/hyperlink" Target="https://github.com/Kratikavarshney-16/Mumbai50" TargetMode="External"/><Relationship Id="rId489" Type="http://schemas.openxmlformats.org/officeDocument/2006/relationships/hyperlink" Target="https://github.com/salmanulfaris/tds-project" TargetMode="External"/><Relationship Id="rId484" Type="http://schemas.openxmlformats.org/officeDocument/2006/relationships/hyperlink" Target="https://github.com/Naveenkumaar/Project1_TDS" TargetMode="External"/><Relationship Id="rId483" Type="http://schemas.openxmlformats.org/officeDocument/2006/relationships/hyperlink" Target="https://github.com/UJJWALg-08/TDS-Project1" TargetMode="External"/><Relationship Id="rId482" Type="http://schemas.openxmlformats.org/officeDocument/2006/relationships/hyperlink" Target="https://github.com/mohitbakshi04/tds-project-1" TargetMode="External"/><Relationship Id="rId481" Type="http://schemas.openxmlformats.org/officeDocument/2006/relationships/hyperlink" Target="https://github.com/zerx1307/TDS_project_1" TargetMode="External"/><Relationship Id="rId488" Type="http://schemas.openxmlformats.org/officeDocument/2006/relationships/hyperlink" Target="https://github.com/Rishitahazra/berlin200" TargetMode="External"/><Relationship Id="rId487" Type="http://schemas.openxmlformats.org/officeDocument/2006/relationships/hyperlink" Target="https://github.com/tanmayi-iitm/Tanmayi_project_1" TargetMode="External"/><Relationship Id="rId486" Type="http://schemas.openxmlformats.org/officeDocument/2006/relationships/hyperlink" Target="https://github.com/ManjulaVK/TDS_P1" TargetMode="External"/><Relationship Id="rId485" Type="http://schemas.openxmlformats.org/officeDocument/2006/relationships/hyperlink" Target="https://github.com/NandhaaKishore-10/TDS-PROJECT-1" TargetMode="External"/><Relationship Id="rId480" Type="http://schemas.openxmlformats.org/officeDocument/2006/relationships/hyperlink" Target="https://github.com/UrielKAlistair/TDS_P1" TargetMode="External"/><Relationship Id="rId479" Type="http://schemas.openxmlformats.org/officeDocument/2006/relationships/hyperlink" Target="https://github.com/sameer2799/tds_project_1" TargetMode="External"/><Relationship Id="rId478" Type="http://schemas.openxmlformats.org/officeDocument/2006/relationships/hyperlink" Target="https://github.com/22f1000144/TDS_project_1" TargetMode="External"/><Relationship Id="rId473" Type="http://schemas.openxmlformats.org/officeDocument/2006/relationships/hyperlink" Target="https://github.com/PoornimaIITm/Tds_barcelona100" TargetMode="External"/><Relationship Id="rId472" Type="http://schemas.openxmlformats.org/officeDocument/2006/relationships/hyperlink" Target="https://github.com/Biray143/Project-1" TargetMode="External"/><Relationship Id="rId471" Type="http://schemas.openxmlformats.org/officeDocument/2006/relationships/hyperlink" Target="https://github.com/ShijuPJohn/tds_p1" TargetMode="External"/><Relationship Id="rId470" Type="http://schemas.openxmlformats.org/officeDocument/2006/relationships/hyperlink" Target="https://github.com/KSoham-dev/TDS-Project-I" TargetMode="External"/><Relationship Id="rId477" Type="http://schemas.openxmlformats.org/officeDocument/2006/relationships/hyperlink" Target="https://github.com/Omkar-pawar1/TDS-PROJECT-1" TargetMode="External"/><Relationship Id="rId476" Type="http://schemas.openxmlformats.org/officeDocument/2006/relationships/hyperlink" Target="https://github.com/SonaliDuvesh/project1" TargetMode="External"/><Relationship Id="rId475" Type="http://schemas.openxmlformats.org/officeDocument/2006/relationships/hyperlink" Target="https://github.com/vilas-007/TDS-project1" TargetMode="External"/><Relationship Id="rId474" Type="http://schemas.openxmlformats.org/officeDocument/2006/relationships/hyperlink" Target="https://github.com/vasanth-svb-1/iitm-syscmd-project-1" TargetMode="External"/><Relationship Id="rId1257" Type="http://schemas.openxmlformats.org/officeDocument/2006/relationships/hyperlink" Target="https://github.com/24f1002325-Jagan/Project-1/tree/main" TargetMode="External"/><Relationship Id="rId1258" Type="http://schemas.openxmlformats.org/officeDocument/2006/relationships/hyperlink" Target="https://github.com/21f2001015/tds-project-1" TargetMode="External"/><Relationship Id="rId1259" Type="http://schemas.openxmlformats.org/officeDocument/2006/relationships/hyperlink" Target="https://github.com/A-ojha31/Tokyo_200" TargetMode="External"/><Relationship Id="rId426" Type="http://schemas.openxmlformats.org/officeDocument/2006/relationships/hyperlink" Target="https://github.com/Shanu48/TDS_Project1" TargetMode="External"/><Relationship Id="rId425" Type="http://schemas.openxmlformats.org/officeDocument/2006/relationships/hyperlink" Target="https://github.com/Kavya792/boston-github-users" TargetMode="External"/><Relationship Id="rId424" Type="http://schemas.openxmlformats.org/officeDocument/2006/relationships/hyperlink" Target="https://github.com/RAGHAV-0202/TDS-IITM" TargetMode="External"/><Relationship Id="rId423" Type="http://schemas.openxmlformats.org/officeDocument/2006/relationships/hyperlink" Target="https://github.com/r02ajat08/projtds" TargetMode="External"/><Relationship Id="rId429" Type="http://schemas.openxmlformats.org/officeDocument/2006/relationships/hyperlink" Target="https://github.com/23f1003016/TDS-Project1" TargetMode="External"/><Relationship Id="rId428" Type="http://schemas.openxmlformats.org/officeDocument/2006/relationships/hyperlink" Target="https://github.com/Giri-Subrahmanya/23f2000573-TDS-P1" TargetMode="External"/><Relationship Id="rId427" Type="http://schemas.openxmlformats.org/officeDocument/2006/relationships/hyperlink" Target="https://github.com/SidharthDahiya/Toronto-Analysis" TargetMode="External"/><Relationship Id="rId1250" Type="http://schemas.openxmlformats.org/officeDocument/2006/relationships/hyperlink" Target="https://github.com/kik893/Project-1" TargetMode="External"/><Relationship Id="rId1251" Type="http://schemas.openxmlformats.org/officeDocument/2006/relationships/hyperlink" Target="https://github.com/vath-21/tdsproject1" TargetMode="External"/><Relationship Id="rId1252" Type="http://schemas.openxmlformats.org/officeDocument/2006/relationships/hyperlink" Target="https://github.com/22f3000130/TDS_PROJECT_1" TargetMode="External"/><Relationship Id="rId422" Type="http://schemas.openxmlformats.org/officeDocument/2006/relationships/hyperlink" Target="https://github.com/harshshah-codes/TDS-project-1" TargetMode="External"/><Relationship Id="rId1253" Type="http://schemas.openxmlformats.org/officeDocument/2006/relationships/hyperlink" Target="https://github.com/swaraj753/Project-1" TargetMode="External"/><Relationship Id="rId421" Type="http://schemas.openxmlformats.org/officeDocument/2006/relationships/hyperlink" Target="https://github.com/iitmadvaith/tds" TargetMode="External"/><Relationship Id="rId1254" Type="http://schemas.openxmlformats.org/officeDocument/2006/relationships/hyperlink" Target="https://github.com/vaishnavich44/Beijing-GitHub-Analysis" TargetMode="External"/><Relationship Id="rId420" Type="http://schemas.openxmlformats.org/officeDocument/2006/relationships/hyperlink" Target="https://github.com/Rishitahazra/berlin200" TargetMode="External"/><Relationship Id="rId1255" Type="http://schemas.openxmlformats.org/officeDocument/2006/relationships/hyperlink" Target="https://github.com/DigvijaysinhChudasamaIITM/ToolsinDataScience-Project1" TargetMode="External"/><Relationship Id="rId1256" Type="http://schemas.openxmlformats.org/officeDocument/2006/relationships/hyperlink" Target="https://github.com/23f1001172/melbourne-users-data" TargetMode="External"/><Relationship Id="rId1246" Type="http://schemas.openxmlformats.org/officeDocument/2006/relationships/hyperlink" Target="https://github.com/Alge199/TDS-Project-1" TargetMode="External"/><Relationship Id="rId1247" Type="http://schemas.openxmlformats.org/officeDocument/2006/relationships/hyperlink" Target="https://github.com/drashtish/TDS-Project1" TargetMode="External"/><Relationship Id="rId1248" Type="http://schemas.openxmlformats.org/officeDocument/2006/relationships/hyperlink" Target="https://github.com/harini-perumandla/TDS-P1" TargetMode="External"/><Relationship Id="rId1249" Type="http://schemas.openxmlformats.org/officeDocument/2006/relationships/hyperlink" Target="https://github.com/Tanuroy10/TdsProject" TargetMode="External"/><Relationship Id="rId415" Type="http://schemas.openxmlformats.org/officeDocument/2006/relationships/hyperlink" Target="https://github.com/22f3000803/tds-project-1" TargetMode="External"/><Relationship Id="rId899" Type="http://schemas.openxmlformats.org/officeDocument/2006/relationships/hyperlink" Target="https://github.com/22f2000894/tds-project-1" TargetMode="External"/><Relationship Id="rId414" Type="http://schemas.openxmlformats.org/officeDocument/2006/relationships/hyperlink" Target="https://github.com/UrielKAlistair/TDS_P1" TargetMode="External"/><Relationship Id="rId898" Type="http://schemas.openxmlformats.org/officeDocument/2006/relationships/hyperlink" Target="https://github.com/Priyam4437/barcelona-github-scrape" TargetMode="External"/><Relationship Id="rId413" Type="http://schemas.openxmlformats.org/officeDocument/2006/relationships/hyperlink" Target="https://github.com/ak5h1ta/tds-project1" TargetMode="External"/><Relationship Id="rId897" Type="http://schemas.openxmlformats.org/officeDocument/2006/relationships/hyperlink" Target="https://github.com/AbayNandhiga-iitm/tokyo-github-users" TargetMode="External"/><Relationship Id="rId412" Type="http://schemas.openxmlformats.org/officeDocument/2006/relationships/hyperlink" Target="https://github.com/22f1000144/TDS_project_1" TargetMode="External"/><Relationship Id="rId896" Type="http://schemas.openxmlformats.org/officeDocument/2006/relationships/hyperlink" Target="https://github.com/RishabhBarthwal28/TDS-PROJECT-1" TargetMode="External"/><Relationship Id="rId419" Type="http://schemas.openxmlformats.org/officeDocument/2006/relationships/hyperlink" Target="https://github.com/ritikjha7" TargetMode="External"/><Relationship Id="rId418" Type="http://schemas.openxmlformats.org/officeDocument/2006/relationships/hyperlink" Target="https://github.com/ManjulaVK/TDS_P1" TargetMode="External"/><Relationship Id="rId417" Type="http://schemas.openxmlformats.org/officeDocument/2006/relationships/hyperlink" Target="https://github.com/Wamikmk/My-tds-Project-1" TargetMode="External"/><Relationship Id="rId416" Type="http://schemas.openxmlformats.org/officeDocument/2006/relationships/hyperlink" Target="https://github.com/Naveenkumaar/Project1_TDS" TargetMode="External"/><Relationship Id="rId891" Type="http://schemas.openxmlformats.org/officeDocument/2006/relationships/hyperlink" Target="https://github.com/hardikshub01/TDS-Project-1" TargetMode="External"/><Relationship Id="rId890" Type="http://schemas.openxmlformats.org/officeDocument/2006/relationships/hyperlink" Target="https://github.com/ShivamAgrawal100/TDS-Project1" TargetMode="External"/><Relationship Id="rId1240" Type="http://schemas.openxmlformats.org/officeDocument/2006/relationships/hyperlink" Target="https://github.com/Saba-Usman/TDS-Project-1" TargetMode="External"/><Relationship Id="rId1241" Type="http://schemas.openxmlformats.org/officeDocument/2006/relationships/hyperlink" Target="https://github.com/23f1000647/tds-project-1" TargetMode="External"/><Relationship Id="rId411" Type="http://schemas.openxmlformats.org/officeDocument/2006/relationships/hyperlink" Target="https://github.com/Gajanan09/GithubAustinUsers" TargetMode="External"/><Relationship Id="rId895" Type="http://schemas.openxmlformats.org/officeDocument/2006/relationships/hyperlink" Target="https://github.com/m55d/P1_md" TargetMode="External"/><Relationship Id="rId1242" Type="http://schemas.openxmlformats.org/officeDocument/2006/relationships/hyperlink" Target="https://github.com/manojpaul9986/tds_project1" TargetMode="External"/><Relationship Id="rId410" Type="http://schemas.openxmlformats.org/officeDocument/2006/relationships/hyperlink" Target="https://github.com/SonaliDuvesh/project1" TargetMode="External"/><Relationship Id="rId894" Type="http://schemas.openxmlformats.org/officeDocument/2006/relationships/hyperlink" Target="https://github.com/Aditya647bc/tds1" TargetMode="External"/><Relationship Id="rId1243" Type="http://schemas.openxmlformats.org/officeDocument/2006/relationships/hyperlink" Target="https://github.com/pranshu0205/TDS-Project-1" TargetMode="External"/><Relationship Id="rId893" Type="http://schemas.openxmlformats.org/officeDocument/2006/relationships/hyperlink" Target="https://github.com/sanskar-gupta206/TDS_P1" TargetMode="External"/><Relationship Id="rId1244" Type="http://schemas.openxmlformats.org/officeDocument/2006/relationships/hyperlink" Target="https://github.com/iambuhari/IITM/" TargetMode="External"/><Relationship Id="rId892" Type="http://schemas.openxmlformats.org/officeDocument/2006/relationships/hyperlink" Target="https://github.com/imstrk04/TDSProject_1" TargetMode="External"/><Relationship Id="rId1245" Type="http://schemas.openxmlformats.org/officeDocument/2006/relationships/hyperlink" Target="https://github.com/abhi-manyu04/tds-pr1" TargetMode="External"/><Relationship Id="rId1279" Type="http://schemas.openxmlformats.org/officeDocument/2006/relationships/hyperlink" Target="https://github.com/SoumaySinghChauhan/Hyderabad_Github_users" TargetMode="External"/><Relationship Id="rId448" Type="http://schemas.openxmlformats.org/officeDocument/2006/relationships/hyperlink" Target="https://github.com/23ds3000059/tds_project_1" TargetMode="External"/><Relationship Id="rId447" Type="http://schemas.openxmlformats.org/officeDocument/2006/relationships/hyperlink" Target="https://github.com/Devanshshukla090705/PRJ1_TDS" TargetMode="External"/><Relationship Id="rId446" Type="http://schemas.openxmlformats.org/officeDocument/2006/relationships/hyperlink" Target="https://github.com/nishant1909/TDS-Project-1" TargetMode="External"/><Relationship Id="rId445" Type="http://schemas.openxmlformats.org/officeDocument/2006/relationships/hyperlink" Target="https://github.com/AMOL-023/main" TargetMode="External"/><Relationship Id="rId449" Type="http://schemas.openxmlformats.org/officeDocument/2006/relationships/hyperlink" Target="https://github.com/Anish071105/TDS-project1" TargetMode="External"/><Relationship Id="rId1270" Type="http://schemas.openxmlformats.org/officeDocument/2006/relationships/hyperlink" Target="https://github.com/Anirudh-starhash/TDS-Project-1" TargetMode="External"/><Relationship Id="rId440" Type="http://schemas.openxmlformats.org/officeDocument/2006/relationships/hyperlink" Target="https://github.com/ramees-thattarath/TDS-proj-1" TargetMode="External"/><Relationship Id="rId1271" Type="http://schemas.openxmlformats.org/officeDocument/2006/relationships/hyperlink" Target="https://github.com/Anburajasp/TDS-PROJECT-1" TargetMode="External"/><Relationship Id="rId1272" Type="http://schemas.openxmlformats.org/officeDocument/2006/relationships/hyperlink" Target="https://github.com/praveen37bn/now_project1" TargetMode="External"/><Relationship Id="rId1273" Type="http://schemas.openxmlformats.org/officeDocument/2006/relationships/hyperlink" Target="https://github.com/Neha-Galande-14/scrapper-project" TargetMode="External"/><Relationship Id="rId1274" Type="http://schemas.openxmlformats.org/officeDocument/2006/relationships/hyperlink" Target="https://github.com/KRISHBORANA/Sydney-100" TargetMode="External"/><Relationship Id="rId444" Type="http://schemas.openxmlformats.org/officeDocument/2006/relationships/hyperlink" Target="https://github.com/MAUK9086/TDS_Project1" TargetMode="External"/><Relationship Id="rId1275" Type="http://schemas.openxmlformats.org/officeDocument/2006/relationships/hyperlink" Target="https://github.com/agaMadan/TDS-Project-1" TargetMode="External"/><Relationship Id="rId443" Type="http://schemas.openxmlformats.org/officeDocument/2006/relationships/hyperlink" Target="https://github.com/AdityaGuptaVarshney/tds-project1-iitm" TargetMode="External"/><Relationship Id="rId1276" Type="http://schemas.openxmlformats.org/officeDocument/2006/relationships/hyperlink" Target="https://github.com/tarunarora6029/tdsgit" TargetMode="External"/><Relationship Id="rId442" Type="http://schemas.openxmlformats.org/officeDocument/2006/relationships/hyperlink" Target="https://github.com/vivek-2028/TDS-Project-1" TargetMode="External"/><Relationship Id="rId1277" Type="http://schemas.openxmlformats.org/officeDocument/2006/relationships/hyperlink" Target="https://github.com/Abhinandan-IIT-M/austin-github-users" TargetMode="External"/><Relationship Id="rId441" Type="http://schemas.openxmlformats.org/officeDocument/2006/relationships/hyperlink" Target="https://github.com/27-Swastik/tds_project_1" TargetMode="External"/><Relationship Id="rId1278" Type="http://schemas.openxmlformats.org/officeDocument/2006/relationships/hyperlink" Target="https://github.com/Srinidhi-Krishnan30/TDSProject1" TargetMode="External"/><Relationship Id="rId1268" Type="http://schemas.openxmlformats.org/officeDocument/2006/relationships/hyperlink" Target="https://github.com/SaloniSingh1254/seattle200" TargetMode="External"/><Relationship Id="rId1269" Type="http://schemas.openxmlformats.org/officeDocument/2006/relationships/hyperlink" Target="https://github.com/LakshayB05/tds_project1" TargetMode="External"/><Relationship Id="rId437" Type="http://schemas.openxmlformats.org/officeDocument/2006/relationships/hyperlink" Target="https://github.com/perceptron-01/project-1" TargetMode="External"/><Relationship Id="rId436" Type="http://schemas.openxmlformats.org/officeDocument/2006/relationships/hyperlink" Target="https://github.com/mohitbakshi04/tds-project-1" TargetMode="External"/><Relationship Id="rId435" Type="http://schemas.openxmlformats.org/officeDocument/2006/relationships/hyperlink" Target="https://github.com/23f3004236/TDS-Project-1/tree/main" TargetMode="External"/><Relationship Id="rId434" Type="http://schemas.openxmlformats.org/officeDocument/2006/relationships/hyperlink" Target="https://github.com/Raksha120799/tds-proj-1" TargetMode="External"/><Relationship Id="rId439" Type="http://schemas.openxmlformats.org/officeDocument/2006/relationships/hyperlink" Target="https://github.com/Allen-Josu/TDS_Project" TargetMode="External"/><Relationship Id="rId438" Type="http://schemas.openxmlformats.org/officeDocument/2006/relationships/hyperlink" Target="https://github.com/IRONalways17/TDS-Project1" TargetMode="External"/><Relationship Id="rId1260" Type="http://schemas.openxmlformats.org/officeDocument/2006/relationships/hyperlink" Target="https://github.com/Nachiket-GORE/TDS-project-1" TargetMode="External"/><Relationship Id="rId1261" Type="http://schemas.openxmlformats.org/officeDocument/2006/relationships/hyperlink" Target="https://github.com/Man24Jain/Tokyo-GitHub-Scraping-Project" TargetMode="External"/><Relationship Id="rId1262" Type="http://schemas.openxmlformats.org/officeDocument/2006/relationships/hyperlink" Target="https://github.com/singh-akhand/tds-project-1" TargetMode="External"/><Relationship Id="rId1263" Type="http://schemas.openxmlformats.org/officeDocument/2006/relationships/hyperlink" Target="https://github.com/pranavtiwari-this/tdm-project1/blob/main/README.mdn/TDS_P1.ipynb" TargetMode="External"/><Relationship Id="rId433" Type="http://schemas.openxmlformats.org/officeDocument/2006/relationships/hyperlink" Target="https://github.com/dhimantks/tdsproject1" TargetMode="External"/><Relationship Id="rId1264" Type="http://schemas.openxmlformats.org/officeDocument/2006/relationships/hyperlink" Target="https://github.com/darshu2806/tdsproj1" TargetMode="External"/><Relationship Id="rId432" Type="http://schemas.openxmlformats.org/officeDocument/2006/relationships/hyperlink" Target="https://github.com/jeelan-ds786/ToolsForDataScience" TargetMode="External"/><Relationship Id="rId1265" Type="http://schemas.openxmlformats.org/officeDocument/2006/relationships/hyperlink" Target="https://github.com/Irshadanwar/berlin-200-users-repositories" TargetMode="External"/><Relationship Id="rId431" Type="http://schemas.openxmlformats.org/officeDocument/2006/relationships/hyperlink" Target="https://github.com/sadiq1402/TDS-Project-1" TargetMode="External"/><Relationship Id="rId1266" Type="http://schemas.openxmlformats.org/officeDocument/2006/relationships/hyperlink" Target="https://github.com/adityach123/main" TargetMode="External"/><Relationship Id="rId430" Type="http://schemas.openxmlformats.org/officeDocument/2006/relationships/hyperlink" Target="https://github.com/bhupendra1008/tds_project_1" TargetMode="External"/><Relationship Id="rId1267" Type="http://schemas.openxmlformats.org/officeDocument/2006/relationships/hyperlink" Target="https://github.com/SaikatMandal2022/TDS_Project1"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92" Type="http://schemas.openxmlformats.org/officeDocument/2006/relationships/hyperlink" Target="https://github.com/AmanManiTiwari/Tools-In-Data-Science-Project-1" TargetMode="External"/><Relationship Id="rId391" Type="http://schemas.openxmlformats.org/officeDocument/2006/relationships/hyperlink" Target="https://github.com/nishant1909/TDS-Project-1" TargetMode="External"/><Relationship Id="rId390" Type="http://schemas.openxmlformats.org/officeDocument/2006/relationships/hyperlink" Target="https://github.com/sidg75/tds-project1" TargetMode="External"/><Relationship Id="rId1" Type="http://schemas.openxmlformats.org/officeDocument/2006/relationships/hyperlink" Target="https://github.com/jeevan-yohan-varghese/tds-project1" TargetMode="External"/><Relationship Id="rId2" Type="http://schemas.openxmlformats.org/officeDocument/2006/relationships/hyperlink" Target="https://github.com/sapiitm/tds" TargetMode="External"/><Relationship Id="rId3" Type="http://schemas.openxmlformats.org/officeDocument/2006/relationships/hyperlink" Target="https://github.com/Rishi-Bhatt/TDS-Project1-Sept2024" TargetMode="External"/><Relationship Id="rId4" Type="http://schemas.openxmlformats.org/officeDocument/2006/relationships/hyperlink" Target="https://github.com/hdsawscloud/project1" TargetMode="External"/><Relationship Id="rId9" Type="http://schemas.openxmlformats.org/officeDocument/2006/relationships/hyperlink" Target="https://github.com/shanky999/TDS_Project1" TargetMode="External"/><Relationship Id="rId385" Type="http://schemas.openxmlformats.org/officeDocument/2006/relationships/hyperlink" Target="https://github.com/vilas-007/TDS-project1" TargetMode="External"/><Relationship Id="rId384" Type="http://schemas.openxmlformats.org/officeDocument/2006/relationships/hyperlink" Target="https://github.com/AdityaGuptaVarshney/tds-project1-iitm" TargetMode="External"/><Relationship Id="rId383" Type="http://schemas.openxmlformats.org/officeDocument/2006/relationships/hyperlink" Target="https://github.com/Aakash-Prime/github-users-chennai" TargetMode="External"/><Relationship Id="rId382" Type="http://schemas.openxmlformats.org/officeDocument/2006/relationships/hyperlink" Target="https://github.com/22f3002758/TDS-Project1" TargetMode="External"/><Relationship Id="rId5" Type="http://schemas.openxmlformats.org/officeDocument/2006/relationships/hyperlink" Target="https://github.com/QuixoticPsyche/tds-project-1" TargetMode="External"/><Relationship Id="rId389" Type="http://schemas.openxmlformats.org/officeDocument/2006/relationships/hyperlink" Target="https://github.com/harini-perumandla/TDS-P1" TargetMode="External"/><Relationship Id="rId6" Type="http://schemas.openxmlformats.org/officeDocument/2006/relationships/hyperlink" Target="https://github.com/narendrabissu/TDS_21F1000753_P1" TargetMode="External"/><Relationship Id="rId388" Type="http://schemas.openxmlformats.org/officeDocument/2006/relationships/hyperlink" Target="https://github.com/rajyalakshmijampani-iitm/tds-project1" TargetMode="External"/><Relationship Id="rId7" Type="http://schemas.openxmlformats.org/officeDocument/2006/relationships/hyperlink" Target="https://github.com/Rajnish2899/Mynewproject" TargetMode="External"/><Relationship Id="rId387" Type="http://schemas.openxmlformats.org/officeDocument/2006/relationships/hyperlink" Target="https://github.com/kthirumlaesh17/tdsproject-1" TargetMode="External"/><Relationship Id="rId8" Type="http://schemas.openxmlformats.org/officeDocument/2006/relationships/hyperlink" Target="https://github.com/MaharajaMoorthy/tds_project1" TargetMode="External"/><Relationship Id="rId386" Type="http://schemas.openxmlformats.org/officeDocument/2006/relationships/hyperlink" Target="https://github.com/a1zen77/tds_p1" TargetMode="External"/><Relationship Id="rId381" Type="http://schemas.openxmlformats.org/officeDocument/2006/relationships/hyperlink" Target="https://github.com/anshulbaliga7/iitm-tds-project1" TargetMode="External"/><Relationship Id="rId380" Type="http://schemas.openxmlformats.org/officeDocument/2006/relationships/hyperlink" Target="https://github.com/rsjay1976/TDS-Project1" TargetMode="External"/><Relationship Id="rId379" Type="http://schemas.openxmlformats.org/officeDocument/2006/relationships/hyperlink" Target="https://github.com/shekharkshitij/TDS_Project" TargetMode="External"/><Relationship Id="rId374" Type="http://schemas.openxmlformats.org/officeDocument/2006/relationships/hyperlink" Target="https://github.com/Jivraj-18/temp_repo_for_tds_project" TargetMode="External"/><Relationship Id="rId373" Type="http://schemas.openxmlformats.org/officeDocument/2006/relationships/hyperlink" Target="https://github.com/regisprabha/TDS-Project1" TargetMode="External"/><Relationship Id="rId372" Type="http://schemas.openxmlformats.org/officeDocument/2006/relationships/hyperlink" Target="https://github.com/Amarks14/TDS_P1" TargetMode="External"/><Relationship Id="rId371" Type="http://schemas.openxmlformats.org/officeDocument/2006/relationships/hyperlink" Target="https://github.com/sunnykumardangi/TDS_project-1" TargetMode="External"/><Relationship Id="rId378" Type="http://schemas.openxmlformats.org/officeDocument/2006/relationships/hyperlink" Target="https://github.com/AarushiVe/chennai50" TargetMode="External"/><Relationship Id="rId377" Type="http://schemas.openxmlformats.org/officeDocument/2006/relationships/hyperlink" Target="https://github.com/KSoham-dev/TDS-Project-I" TargetMode="External"/><Relationship Id="rId376" Type="http://schemas.openxmlformats.org/officeDocument/2006/relationships/hyperlink" Target="https://github.com/tanmay8542/project1" TargetMode="External"/><Relationship Id="rId375" Type="http://schemas.openxmlformats.org/officeDocument/2006/relationships/hyperlink" Target="https://github.com/EnggAditya03/ds" TargetMode="External"/><Relationship Id="rId396" Type="http://schemas.openxmlformats.org/officeDocument/2006/relationships/hyperlink" Target="https://github.com/gaurav870922/moscowProj01.git" TargetMode="External"/><Relationship Id="rId395" Type="http://schemas.openxmlformats.org/officeDocument/2006/relationships/hyperlink" Target="https://github.com/dhaanicodes/project1" TargetMode="External"/><Relationship Id="rId394" Type="http://schemas.openxmlformats.org/officeDocument/2006/relationships/hyperlink" Target="https://github.com/UJJWALg-08/TDS-Project1" TargetMode="External"/><Relationship Id="rId393" Type="http://schemas.openxmlformats.org/officeDocument/2006/relationships/hyperlink" Target="https://github.com/rishikarai23/TDS-PROJECT" TargetMode="External"/><Relationship Id="rId399" Type="http://schemas.openxmlformats.org/officeDocument/2006/relationships/hyperlink" Target="https://github.com/praveen37bn/now_project1" TargetMode="External"/><Relationship Id="rId398" Type="http://schemas.openxmlformats.org/officeDocument/2006/relationships/hyperlink" Target="https://github.com/namish18/TDSP1" TargetMode="External"/><Relationship Id="rId397" Type="http://schemas.openxmlformats.org/officeDocument/2006/relationships/hyperlink" Target="https://github.com/VijeethC300/BangaloreGitHubUsers" TargetMode="External"/><Relationship Id="rId40" Type="http://schemas.openxmlformats.org/officeDocument/2006/relationships/hyperlink" Target="https://github.com/NandhaaKishore-10/TDS-PROJECT-1" TargetMode="External"/><Relationship Id="rId42" Type="http://schemas.openxmlformats.org/officeDocument/2006/relationships/hyperlink" Target="https://github.com/arya-v-iitm/TDS-Project1" TargetMode="External"/><Relationship Id="rId41" Type="http://schemas.openxmlformats.org/officeDocument/2006/relationships/hyperlink" Target="https://github.com/21f1006103/tds-1" TargetMode="External"/><Relationship Id="rId44" Type="http://schemas.openxmlformats.org/officeDocument/2006/relationships/hyperlink" Target="https://github.com/Gunjan-gif/tds_p1" TargetMode="External"/><Relationship Id="rId43" Type="http://schemas.openxmlformats.org/officeDocument/2006/relationships/hyperlink" Target="https://github.com/iitmanshi/tdsp1" TargetMode="External"/><Relationship Id="rId46" Type="http://schemas.openxmlformats.org/officeDocument/2006/relationships/hyperlink" Target="https://github.com/srijan789/tdsproj1" TargetMode="External"/><Relationship Id="rId45" Type="http://schemas.openxmlformats.org/officeDocument/2006/relationships/hyperlink" Target="https://github.com/Jahnavi530/TDS-Project-1" TargetMode="External"/><Relationship Id="rId48" Type="http://schemas.openxmlformats.org/officeDocument/2006/relationships/hyperlink" Target="https://github.com/aksarwar/tds-project" TargetMode="External"/><Relationship Id="rId47" Type="http://schemas.openxmlformats.org/officeDocument/2006/relationships/hyperlink" Target="https://github.com/shobhit8948/TDA-Project1" TargetMode="External"/><Relationship Id="rId49" Type="http://schemas.openxmlformats.org/officeDocument/2006/relationships/hyperlink" Target="https://github.com/Logikos1/iitm-tds-project1-berlin200" TargetMode="External"/><Relationship Id="rId31" Type="http://schemas.openxmlformats.org/officeDocument/2006/relationships/hyperlink" Target="https://github.com/21f1004430/TDS-Project_1" TargetMode="External"/><Relationship Id="rId30" Type="http://schemas.openxmlformats.org/officeDocument/2006/relationships/hyperlink" Target="https://github.com/Jayaraja-SK/TDS-Project1" TargetMode="External"/><Relationship Id="rId33" Type="http://schemas.openxmlformats.org/officeDocument/2006/relationships/hyperlink" Target="https://github.com/VishakhAgarwal/proj1" TargetMode="External"/><Relationship Id="rId32" Type="http://schemas.openxmlformats.org/officeDocument/2006/relationships/hyperlink" Target="https://github.com/rebornphoenix01/TDSProject1" TargetMode="External"/><Relationship Id="rId35" Type="http://schemas.openxmlformats.org/officeDocument/2006/relationships/hyperlink" Target="https://github.com/subhash2IIT/tds-project1-scrapping/" TargetMode="External"/><Relationship Id="rId34" Type="http://schemas.openxmlformats.org/officeDocument/2006/relationships/hyperlink" Target="https://github.com/PavanKumar-KN/TDS_Project_1" TargetMode="External"/><Relationship Id="rId734" Type="http://schemas.openxmlformats.org/officeDocument/2006/relationships/hyperlink" Target="https://github.com/pavan-santhosh-iitm/Project1" TargetMode="External"/><Relationship Id="rId733" Type="http://schemas.openxmlformats.org/officeDocument/2006/relationships/hyperlink" Target="https://github.com/Nandhini-Ammaiappan/Project1" TargetMode="External"/><Relationship Id="rId732" Type="http://schemas.openxmlformats.org/officeDocument/2006/relationships/hyperlink" Target="https://github.com/24f1002325-Jagan/Project-1" TargetMode="External"/><Relationship Id="rId731" Type="http://schemas.openxmlformats.org/officeDocument/2006/relationships/hyperlink" Target="https://github.com/adityalearnsdata/Project-1" TargetMode="External"/><Relationship Id="rId735" Type="http://schemas.openxmlformats.org/officeDocument/2006/relationships/drawing" Target="../drawings/drawing5.xml"/><Relationship Id="rId37" Type="http://schemas.openxmlformats.org/officeDocument/2006/relationships/hyperlink" Target="https://github.com/AMOL-023/main" TargetMode="External"/><Relationship Id="rId36" Type="http://schemas.openxmlformats.org/officeDocument/2006/relationships/hyperlink" Target="https://github.com/tuxdna/tds-project1" TargetMode="External"/><Relationship Id="rId39" Type="http://schemas.openxmlformats.org/officeDocument/2006/relationships/hyperlink" Target="https://github.com/tejasreematta/TDS-Project-1" TargetMode="External"/><Relationship Id="rId38" Type="http://schemas.openxmlformats.org/officeDocument/2006/relationships/hyperlink" Target="https://github.com/jhaaj08/TDS_project1" TargetMode="External"/><Relationship Id="rId730" Type="http://schemas.openxmlformats.org/officeDocument/2006/relationships/hyperlink" Target="https://github.com/24f1002112/Project1TDS" TargetMode="External"/><Relationship Id="rId20" Type="http://schemas.openxmlformats.org/officeDocument/2006/relationships/hyperlink" Target="https://github.com/21f1002976/tds_project_1" TargetMode="External"/><Relationship Id="rId22" Type="http://schemas.openxmlformats.org/officeDocument/2006/relationships/hyperlink" Target="https://github.com/dsenthilkumar95/TDS_P1_Barcelona100" TargetMode="External"/><Relationship Id="rId21" Type="http://schemas.openxmlformats.org/officeDocument/2006/relationships/hyperlink" Target="https://github.com/uma1979/github-api-analysis" TargetMode="External"/><Relationship Id="rId24" Type="http://schemas.openxmlformats.org/officeDocument/2006/relationships/hyperlink" Target="https://github.com/theiitman/tds_project_1_03777" TargetMode="External"/><Relationship Id="rId23" Type="http://schemas.openxmlformats.org/officeDocument/2006/relationships/hyperlink" Target="https://github.com/Ajmalkajm/TDS-Project_1" TargetMode="External"/><Relationship Id="rId26" Type="http://schemas.openxmlformats.org/officeDocument/2006/relationships/hyperlink" Target="https://github.com/subhajit2001/TDSProject1" TargetMode="External"/><Relationship Id="rId25" Type="http://schemas.openxmlformats.org/officeDocument/2006/relationships/hyperlink" Target="https://github.com/myGreatLoveM/tds-project-1" TargetMode="External"/><Relationship Id="rId28" Type="http://schemas.openxmlformats.org/officeDocument/2006/relationships/hyperlink" Target="https://github.com/SV-03/TDS-P1" TargetMode="External"/><Relationship Id="rId27" Type="http://schemas.openxmlformats.org/officeDocument/2006/relationships/hyperlink" Target="https://github.com/21f1003992/SeattleGitHubUsersScraper" TargetMode="External"/><Relationship Id="rId29" Type="http://schemas.openxmlformats.org/officeDocument/2006/relationships/hyperlink" Target="https://github.com/rishabh-iitm/project1" TargetMode="External"/><Relationship Id="rId11" Type="http://schemas.openxmlformats.org/officeDocument/2006/relationships/hyperlink" Target="https://github.com/iitmrs/Project1" TargetMode="External"/><Relationship Id="rId10" Type="http://schemas.openxmlformats.org/officeDocument/2006/relationships/hyperlink" Target="https://github.com/anjupbse91/TDS-Project1" TargetMode="External"/><Relationship Id="rId13" Type="http://schemas.openxmlformats.org/officeDocument/2006/relationships/hyperlink" Target="https://github.com/r02ajat08/projtds" TargetMode="External"/><Relationship Id="rId12" Type="http://schemas.openxmlformats.org/officeDocument/2006/relationships/hyperlink" Target="https://github.com/pittu0802/Myfirstrepo" TargetMode="External"/><Relationship Id="rId15" Type="http://schemas.openxmlformats.org/officeDocument/2006/relationships/hyperlink" Target="https://github.com/ajay-iit/TDS-Project-1" TargetMode="External"/><Relationship Id="rId14" Type="http://schemas.openxmlformats.org/officeDocument/2006/relationships/hyperlink" Target="https://github.com/bhupendra1008/tds_project_1" TargetMode="External"/><Relationship Id="rId17" Type="http://schemas.openxmlformats.org/officeDocument/2006/relationships/hyperlink" Target="https://github.com/yali369/Boston" TargetMode="External"/><Relationship Id="rId16" Type="http://schemas.openxmlformats.org/officeDocument/2006/relationships/hyperlink" Target="https://github.com/Prajwalit-Tiwari/TDS_Project1" TargetMode="External"/><Relationship Id="rId19" Type="http://schemas.openxmlformats.org/officeDocument/2006/relationships/hyperlink" Target="https://github.com/jeelan-ds786/ToolsForDataScience" TargetMode="External"/><Relationship Id="rId18" Type="http://schemas.openxmlformats.org/officeDocument/2006/relationships/hyperlink" Target="https://github.com/Jatendra/iitm_project1" TargetMode="External"/><Relationship Id="rId84" Type="http://schemas.openxmlformats.org/officeDocument/2006/relationships/hyperlink" Target="https://github.com/21f3000105/Basel-10_TDS-Project-1/" TargetMode="External"/><Relationship Id="rId83" Type="http://schemas.openxmlformats.org/officeDocument/2006/relationships/hyperlink" Target="https://github.com/himanshu-IIT-M/project1" TargetMode="External"/><Relationship Id="rId86" Type="http://schemas.openxmlformats.org/officeDocument/2006/relationships/hyperlink" Target="https://github.com/sourav08nitp/tds-project-1" TargetMode="External"/><Relationship Id="rId85" Type="http://schemas.openxmlformats.org/officeDocument/2006/relationships/hyperlink" Target="https://github.com/iitmadvaith/tds" TargetMode="External"/><Relationship Id="rId88" Type="http://schemas.openxmlformats.org/officeDocument/2006/relationships/hyperlink" Target="https://github.com/abhistjain/Project_tds" TargetMode="External"/><Relationship Id="rId87" Type="http://schemas.openxmlformats.org/officeDocument/2006/relationships/hyperlink" Target="https://github.com/21f3000177/tds_project1" TargetMode="External"/><Relationship Id="rId89" Type="http://schemas.openxmlformats.org/officeDocument/2006/relationships/hyperlink" Target="https://github.com/nemo0002/Tds_proj_1" TargetMode="External"/><Relationship Id="rId709" Type="http://schemas.openxmlformats.org/officeDocument/2006/relationships/hyperlink" Target="https://github.com/harshithbabu-git/Tools-in-DS-Project-1" TargetMode="External"/><Relationship Id="rId708" Type="http://schemas.openxmlformats.org/officeDocument/2006/relationships/hyperlink" Target="https://github.com/Saradha24ds1000095/TDS_Project1/" TargetMode="External"/><Relationship Id="rId707" Type="http://schemas.openxmlformats.org/officeDocument/2006/relationships/hyperlink" Target="https://github.com/A-ojha31/Tokyo_200" TargetMode="External"/><Relationship Id="rId706" Type="http://schemas.openxmlformats.org/officeDocument/2006/relationships/hyperlink" Target="https://github.com/PoornimaIITm/Tds_barcelona100" TargetMode="External"/><Relationship Id="rId80" Type="http://schemas.openxmlformats.org/officeDocument/2006/relationships/hyperlink" Target="https://github.com/vaibhavgupta-iitm/TDS-Project-1" TargetMode="External"/><Relationship Id="rId82" Type="http://schemas.openxmlformats.org/officeDocument/2006/relationships/hyperlink" Target="https://github.com/Utkarsh002-winner/TDS_P1" TargetMode="External"/><Relationship Id="rId81" Type="http://schemas.openxmlformats.org/officeDocument/2006/relationships/hyperlink" Target="https://github.com/yaqoob56/TDS_Project_1" TargetMode="External"/><Relationship Id="rId701" Type="http://schemas.openxmlformats.org/officeDocument/2006/relationships/hyperlink" Target="https://github.com/DisRajeeth/proj-1-tds" TargetMode="External"/><Relationship Id="rId700" Type="http://schemas.openxmlformats.org/officeDocument/2006/relationships/hyperlink" Target="https://github.com/nightcoder358/TDS-Project-1" TargetMode="External"/><Relationship Id="rId705" Type="http://schemas.openxmlformats.org/officeDocument/2006/relationships/hyperlink" Target="https://github.com/Shivam-IITM-DS/banglore-users" TargetMode="External"/><Relationship Id="rId704" Type="http://schemas.openxmlformats.org/officeDocument/2006/relationships/hyperlink" Target="https://github.com/Preena-iitmds/pree_ZurichProj1" TargetMode="External"/><Relationship Id="rId703" Type="http://schemas.openxmlformats.org/officeDocument/2006/relationships/hyperlink" Target="https://github.com/vaishnavich44/Beijing-GitHub-Analysis" TargetMode="External"/><Relationship Id="rId702" Type="http://schemas.openxmlformats.org/officeDocument/2006/relationships/hyperlink" Target="https://github.com/SaloniSingh1254/seattle200" TargetMode="External"/><Relationship Id="rId73" Type="http://schemas.openxmlformats.org/officeDocument/2006/relationships/hyperlink" Target="https://github.com/21f2001015/tds-project-1" TargetMode="External"/><Relationship Id="rId72" Type="http://schemas.openxmlformats.org/officeDocument/2006/relationships/hyperlink" Target="https://github.com/AnujKrishna-IIT/TDS-Project1" TargetMode="External"/><Relationship Id="rId75" Type="http://schemas.openxmlformats.org/officeDocument/2006/relationships/hyperlink" Target="https://github.com/21f2001136/tds_1" TargetMode="External"/><Relationship Id="rId74" Type="http://schemas.openxmlformats.org/officeDocument/2006/relationships/hyperlink" Target="https://github.com/NewDaci/tds-project1" TargetMode="External"/><Relationship Id="rId77" Type="http://schemas.openxmlformats.org/officeDocument/2006/relationships/hyperlink" Target="https://github.com/sn1411/chicago-github-users" TargetMode="External"/><Relationship Id="rId76" Type="http://schemas.openxmlformats.org/officeDocument/2006/relationships/hyperlink" Target="https://github.com/sameer2799/tds_project_1" TargetMode="External"/><Relationship Id="rId79" Type="http://schemas.openxmlformats.org/officeDocument/2006/relationships/hyperlink" Target="https://github.com/veenas2024/TdsGA1" TargetMode="External"/><Relationship Id="rId78" Type="http://schemas.openxmlformats.org/officeDocument/2006/relationships/hyperlink" Target="https://github.com/vanshikaaraisinghani/TDSProjectt" TargetMode="External"/><Relationship Id="rId71" Type="http://schemas.openxmlformats.org/officeDocument/2006/relationships/hyperlink" Target="https://github.com/krishna1rpr/tds-project-1" TargetMode="External"/><Relationship Id="rId70" Type="http://schemas.openxmlformats.org/officeDocument/2006/relationships/hyperlink" Target="https://github.com/joshna-dhanokar/Stockholm-100" TargetMode="External"/><Relationship Id="rId62" Type="http://schemas.openxmlformats.org/officeDocument/2006/relationships/hyperlink" Target="https://github.com/anupam-21f2000522/Mumbai-50" TargetMode="External"/><Relationship Id="rId61" Type="http://schemas.openxmlformats.org/officeDocument/2006/relationships/hyperlink" Target="https://github.com/Bhavana2639/tds-proj-1" TargetMode="External"/><Relationship Id="rId64" Type="http://schemas.openxmlformats.org/officeDocument/2006/relationships/hyperlink" Target="https://github.com/DigvijaysinhChudasamaIITM/ToolsinDataScience-Project1" TargetMode="External"/><Relationship Id="rId63" Type="http://schemas.openxmlformats.org/officeDocument/2006/relationships/hyperlink" Target="https://github.com/harrycode54/Stockholm100" TargetMode="External"/><Relationship Id="rId66" Type="http://schemas.openxmlformats.org/officeDocument/2006/relationships/hyperlink" Target="https://github.com/Mr-GauravKumar/TDS-P1" TargetMode="External"/><Relationship Id="rId65" Type="http://schemas.openxmlformats.org/officeDocument/2006/relationships/hyperlink" Target="https://github.com/DSharanya07/ZurichUsers" TargetMode="External"/><Relationship Id="rId68" Type="http://schemas.openxmlformats.org/officeDocument/2006/relationships/hyperlink" Target="https://github.com/Gaurangi2712/TDS_proj1" TargetMode="External"/><Relationship Id="rId67" Type="http://schemas.openxmlformats.org/officeDocument/2006/relationships/hyperlink" Target="https://github.com/FaruqueIITM/TDS_Project_1" TargetMode="External"/><Relationship Id="rId729" Type="http://schemas.openxmlformats.org/officeDocument/2006/relationships/hyperlink" Target="https://github.com/AdithyaLingam/tds_project_24f1002079" TargetMode="External"/><Relationship Id="rId728" Type="http://schemas.openxmlformats.org/officeDocument/2006/relationships/hyperlink" Target="https://github.com/24f1002025/TDS-Project-1-User-Repository-Scrapping" TargetMode="External"/><Relationship Id="rId60" Type="http://schemas.openxmlformats.org/officeDocument/2006/relationships/hyperlink" Target="https://github.com/Varun-K34/github-users-toronto" TargetMode="External"/><Relationship Id="rId723" Type="http://schemas.openxmlformats.org/officeDocument/2006/relationships/hyperlink" Target="https://github.com/27-Swastik/tds_project_1" TargetMode="External"/><Relationship Id="rId722" Type="http://schemas.openxmlformats.org/officeDocument/2006/relationships/hyperlink" Target="https://github.com/Aryan0550p/LondonUsersRepo" TargetMode="External"/><Relationship Id="rId721" Type="http://schemas.openxmlformats.org/officeDocument/2006/relationships/hyperlink" Target="https://github.com/Varuun-IIT/tools_in_ds_project" TargetMode="External"/><Relationship Id="rId720" Type="http://schemas.openxmlformats.org/officeDocument/2006/relationships/hyperlink" Target="https://github.com/edurelated2021/tds-proj1" TargetMode="External"/><Relationship Id="rId727" Type="http://schemas.openxmlformats.org/officeDocument/2006/relationships/hyperlink" Target="https://github.com/meyywwg/tds_project1" TargetMode="External"/><Relationship Id="rId726" Type="http://schemas.openxmlformats.org/officeDocument/2006/relationships/hyperlink" Target="https://github.com/Anish071105/TDS-project1" TargetMode="External"/><Relationship Id="rId725" Type="http://schemas.openxmlformats.org/officeDocument/2006/relationships/hyperlink" Target="https://github.com/madhavdasm/tdsproject" TargetMode="External"/><Relationship Id="rId724" Type="http://schemas.openxmlformats.org/officeDocument/2006/relationships/hyperlink" Target="https://github.com/RITIK-CHAUDHRY/project-1" TargetMode="External"/><Relationship Id="rId69" Type="http://schemas.openxmlformats.org/officeDocument/2006/relationships/hyperlink" Target="https://github.com/irabi111/TDSPROJ1" TargetMode="External"/><Relationship Id="rId51" Type="http://schemas.openxmlformats.org/officeDocument/2006/relationships/hyperlink" Target="https://github.com/fazleo/iitm_project" TargetMode="External"/><Relationship Id="rId50" Type="http://schemas.openxmlformats.org/officeDocument/2006/relationships/hyperlink" Target="https://github.com/k121mayur/TDA_PROJECT_1" TargetMode="External"/><Relationship Id="rId53" Type="http://schemas.openxmlformats.org/officeDocument/2006/relationships/hyperlink" Target="https://github.com/pushpa761/TDS-project-1" TargetMode="External"/><Relationship Id="rId52" Type="http://schemas.openxmlformats.org/officeDocument/2006/relationships/hyperlink" Target="https://github.com/AlgoPenguin/tds-project-1" TargetMode="External"/><Relationship Id="rId55" Type="http://schemas.openxmlformats.org/officeDocument/2006/relationships/hyperlink" Target="https://github.com/adityach123/main" TargetMode="External"/><Relationship Id="rId54" Type="http://schemas.openxmlformats.org/officeDocument/2006/relationships/hyperlink" Target="https://github.com/Allen-Josu/TDS_Project" TargetMode="External"/><Relationship Id="rId57" Type="http://schemas.openxmlformats.org/officeDocument/2006/relationships/hyperlink" Target="https://github.com/aliabidi00/tds-project-1" TargetMode="External"/><Relationship Id="rId56" Type="http://schemas.openxmlformats.org/officeDocument/2006/relationships/hyperlink" Target="https://github.com/bhavikasharma999/project1-tokyo-follower" TargetMode="External"/><Relationship Id="rId719" Type="http://schemas.openxmlformats.org/officeDocument/2006/relationships/hyperlink" Target="https://github.com/ranashakti7/Sydney_users" TargetMode="External"/><Relationship Id="rId718" Type="http://schemas.openxmlformats.org/officeDocument/2006/relationships/hyperlink" Target="https://github.com/Shiya-23/Project_-Stockholm" TargetMode="External"/><Relationship Id="rId717" Type="http://schemas.openxmlformats.org/officeDocument/2006/relationships/hyperlink" Target="https://github.com/aaromal-rs-iitm/GithubUserAnalysis_iitmTDS.git" TargetMode="External"/><Relationship Id="rId712" Type="http://schemas.openxmlformats.org/officeDocument/2006/relationships/hyperlink" Target="https://github.com/manjuiitm/Dublin1" TargetMode="External"/><Relationship Id="rId711" Type="http://schemas.openxmlformats.org/officeDocument/2006/relationships/hyperlink" Target="https://github.com/srch887/tds_sep2024_project1" TargetMode="External"/><Relationship Id="rId710" Type="http://schemas.openxmlformats.org/officeDocument/2006/relationships/hyperlink" Target="https://github.com/shwetavyas12/Zurich-50" TargetMode="External"/><Relationship Id="rId716" Type="http://schemas.openxmlformats.org/officeDocument/2006/relationships/hyperlink" Target="https://github.com/harikrishnajiju/github-city-user-analyzer" TargetMode="External"/><Relationship Id="rId715" Type="http://schemas.openxmlformats.org/officeDocument/2006/relationships/hyperlink" Target="https://github.com/SaarthakTuli/TDS_Project_1" TargetMode="External"/><Relationship Id="rId714" Type="http://schemas.openxmlformats.org/officeDocument/2006/relationships/hyperlink" Target="https://github.com/DivyanshuGupta2000129/TDS_Project_1" TargetMode="External"/><Relationship Id="rId713" Type="http://schemas.openxmlformats.org/officeDocument/2006/relationships/hyperlink" Target="https://github.com/agaMadan/TDS-Project-1" TargetMode="External"/><Relationship Id="rId59" Type="http://schemas.openxmlformats.org/officeDocument/2006/relationships/hyperlink" Target="https://github.com/GeekAnanya21/TDS_project1" TargetMode="External"/><Relationship Id="rId58" Type="http://schemas.openxmlformats.org/officeDocument/2006/relationships/hyperlink" Target="https://github.com/Anantvats7/Tdsproject1" TargetMode="External"/><Relationship Id="rId349" Type="http://schemas.openxmlformats.org/officeDocument/2006/relationships/hyperlink" Target="https://github.com/sam22ridhi/iitm" TargetMode="External"/><Relationship Id="rId348" Type="http://schemas.openxmlformats.org/officeDocument/2006/relationships/hyperlink" Target="https://github.com/22f3001914/TDS_Project1" TargetMode="External"/><Relationship Id="rId347" Type="http://schemas.openxmlformats.org/officeDocument/2006/relationships/hyperlink" Target="https://github.com/shramadeepd/TDS_1" TargetMode="External"/><Relationship Id="rId346" Type="http://schemas.openxmlformats.org/officeDocument/2006/relationships/hyperlink" Target="https://github.com/jarin2503/tds-project-1" TargetMode="External"/><Relationship Id="rId341" Type="http://schemas.openxmlformats.org/officeDocument/2006/relationships/hyperlink" Target="https://github.com/AaryNimje/22f3001836-ds.study.iitm.ac.in-Bangalore-100" TargetMode="External"/><Relationship Id="rId340" Type="http://schemas.openxmlformats.org/officeDocument/2006/relationships/hyperlink" Target="https://github.com/Aryan1411/TDS-Proj1" TargetMode="External"/><Relationship Id="rId345" Type="http://schemas.openxmlformats.org/officeDocument/2006/relationships/hyperlink" Target="https://github.com/22f3001905/tds-project-1-github-users-repos" TargetMode="External"/><Relationship Id="rId344" Type="http://schemas.openxmlformats.org/officeDocument/2006/relationships/hyperlink" Target="https://github.com/Meet-XML/Tds_pro1" TargetMode="External"/><Relationship Id="rId343" Type="http://schemas.openxmlformats.org/officeDocument/2006/relationships/hyperlink" Target="https://github.com/vikashkj2024/tds-project-1" TargetMode="External"/><Relationship Id="rId342" Type="http://schemas.openxmlformats.org/officeDocument/2006/relationships/hyperlink" Target="https://github.com/Abhishek-IITM2026/TDS-Project-1" TargetMode="External"/><Relationship Id="rId338" Type="http://schemas.openxmlformats.org/officeDocument/2006/relationships/hyperlink" Target="https://github.com/22f3001738/tds-project-1" TargetMode="External"/><Relationship Id="rId337" Type="http://schemas.openxmlformats.org/officeDocument/2006/relationships/hyperlink" Target="https://github.com/Madras-protagonist/Bangalore-GitHub-Users-Project" TargetMode="External"/><Relationship Id="rId336" Type="http://schemas.openxmlformats.org/officeDocument/2006/relationships/hyperlink" Target="https://github.com/AllyNav/tds_project_1" TargetMode="External"/><Relationship Id="rId335" Type="http://schemas.openxmlformats.org/officeDocument/2006/relationships/hyperlink" Target="https://github.com/yuviiitm26/TDS_PRO_1" TargetMode="External"/><Relationship Id="rId339" Type="http://schemas.openxmlformats.org/officeDocument/2006/relationships/hyperlink" Target="https://github.com/Rishitahazra/berlin200" TargetMode="External"/><Relationship Id="rId330" Type="http://schemas.openxmlformats.org/officeDocument/2006/relationships/hyperlink" Target="https://github.com/bhumi-gupta2201/Austin100" TargetMode="External"/><Relationship Id="rId334" Type="http://schemas.openxmlformats.org/officeDocument/2006/relationships/hyperlink" Target="https://github.com/22f3001673/TDS-Project1" TargetMode="External"/><Relationship Id="rId333" Type="http://schemas.openxmlformats.org/officeDocument/2006/relationships/hyperlink" Target="https://github.com/DSAshv/TDS-Project1" TargetMode="External"/><Relationship Id="rId332" Type="http://schemas.openxmlformats.org/officeDocument/2006/relationships/hyperlink" Target="https://github.com/Sahith200444/github-user-data" TargetMode="External"/><Relationship Id="rId331" Type="http://schemas.openxmlformats.org/officeDocument/2006/relationships/hyperlink" Target="https://github.com/pranjal300799/TDS-proj1" TargetMode="External"/><Relationship Id="rId370" Type="http://schemas.openxmlformats.org/officeDocument/2006/relationships/hyperlink" Target="https://github.com/danishansarii78/sydney_github_users" TargetMode="External"/><Relationship Id="rId369" Type="http://schemas.openxmlformats.org/officeDocument/2006/relationships/hyperlink" Target="https://github.com/vijayabhaskar78/TDS-PROJECT-1" TargetMode="External"/><Relationship Id="rId368" Type="http://schemas.openxmlformats.org/officeDocument/2006/relationships/hyperlink" Target="https://github.com/microdev1/tds-p1" TargetMode="External"/><Relationship Id="rId363" Type="http://schemas.openxmlformats.org/officeDocument/2006/relationships/hyperlink" Target="https://github.com/zyrobeast/TDS_Week_4_Project" TargetMode="External"/><Relationship Id="rId362" Type="http://schemas.openxmlformats.org/officeDocument/2006/relationships/hyperlink" Target="https://github.com/ratantiwaridev/tds_project1" TargetMode="External"/><Relationship Id="rId361" Type="http://schemas.openxmlformats.org/officeDocument/2006/relationships/hyperlink" Target="https://github.com/sadiq1402/TDS-Project-1" TargetMode="External"/><Relationship Id="rId360" Type="http://schemas.openxmlformats.org/officeDocument/2006/relationships/hyperlink" Target="https://github.com/iitm-student/Project1" TargetMode="External"/><Relationship Id="rId367" Type="http://schemas.openxmlformats.org/officeDocument/2006/relationships/hyperlink" Target="https://github.com/lakshmanmutum/tds_project1" TargetMode="External"/><Relationship Id="rId366" Type="http://schemas.openxmlformats.org/officeDocument/2006/relationships/hyperlink" Target="https://github.com/b-panda/Dublin-GitHub-Users" TargetMode="External"/><Relationship Id="rId365" Type="http://schemas.openxmlformats.org/officeDocument/2006/relationships/hyperlink" Target="https://github.com/22f3002293/TDS-project1" TargetMode="External"/><Relationship Id="rId364" Type="http://schemas.openxmlformats.org/officeDocument/2006/relationships/hyperlink" Target="https://github.com/jahnavi-bd/Project_TDS" TargetMode="External"/><Relationship Id="rId95" Type="http://schemas.openxmlformats.org/officeDocument/2006/relationships/hyperlink" Target="https://github.com/ShijuPJohn/tds_p1" TargetMode="External"/><Relationship Id="rId94" Type="http://schemas.openxmlformats.org/officeDocument/2006/relationships/hyperlink" Target="https://github.com/im-adamya-vatsalya-sharma-09/TDS-Project-1" TargetMode="External"/><Relationship Id="rId97" Type="http://schemas.openxmlformats.org/officeDocument/2006/relationships/hyperlink" Target="https://github.com/KarthikKalashLGS/TDSProject1" TargetMode="External"/><Relationship Id="rId96" Type="http://schemas.openxmlformats.org/officeDocument/2006/relationships/hyperlink" Target="https://github.com/aarfeeniitm/TDS-Project-1" TargetMode="External"/><Relationship Id="rId99" Type="http://schemas.openxmlformats.org/officeDocument/2006/relationships/hyperlink" Target="https://github.com/Hritik-Shyam-Gupta/TDS-Project1" TargetMode="External"/><Relationship Id="rId98" Type="http://schemas.openxmlformats.org/officeDocument/2006/relationships/hyperlink" Target="https://github.com/harinivas21/tds" TargetMode="External"/><Relationship Id="rId91" Type="http://schemas.openxmlformats.org/officeDocument/2006/relationships/hyperlink" Target="https://github.com/Pragati2001589/my_repository" TargetMode="External"/><Relationship Id="rId90" Type="http://schemas.openxmlformats.org/officeDocument/2006/relationships/hyperlink" Target="https://github.com/Naveenkumaar/Project1_TDS" TargetMode="External"/><Relationship Id="rId93" Type="http://schemas.openxmlformats.org/officeDocument/2006/relationships/hyperlink" Target="https://github.com/techshad/TDS-Project" TargetMode="External"/><Relationship Id="rId92" Type="http://schemas.openxmlformats.org/officeDocument/2006/relationships/hyperlink" Target="https://github.com/basubinayak/tds-project-1" TargetMode="External"/><Relationship Id="rId359" Type="http://schemas.openxmlformats.org/officeDocument/2006/relationships/hyperlink" Target="https://github.com/mailkharshvardhan/chicago-developers-data" TargetMode="External"/><Relationship Id="rId358" Type="http://schemas.openxmlformats.org/officeDocument/2006/relationships/hyperlink" Target="https://github.com/Pkant-b/TDS-Proj1/tree/main" TargetMode="External"/><Relationship Id="rId357" Type="http://schemas.openxmlformats.org/officeDocument/2006/relationships/hyperlink" Target="https://github.com/randomuser438/TDS_proj" TargetMode="External"/><Relationship Id="rId352" Type="http://schemas.openxmlformats.org/officeDocument/2006/relationships/hyperlink" Target="https://github.com/LuckyArya27/tds-project1" TargetMode="External"/><Relationship Id="rId351" Type="http://schemas.openxmlformats.org/officeDocument/2006/relationships/hyperlink" Target="https://github.com/srupat/tds_project_1" TargetMode="External"/><Relationship Id="rId350" Type="http://schemas.openxmlformats.org/officeDocument/2006/relationships/hyperlink" Target="https://github.com/Sh1617/Project1" TargetMode="External"/><Relationship Id="rId356" Type="http://schemas.openxmlformats.org/officeDocument/2006/relationships/hyperlink" Target="https://github.com/22f3002094/Tds-project-1" TargetMode="External"/><Relationship Id="rId355" Type="http://schemas.openxmlformats.org/officeDocument/2006/relationships/hyperlink" Target="https://github.com/spacetime177/tds_proj" TargetMode="External"/><Relationship Id="rId354" Type="http://schemas.openxmlformats.org/officeDocument/2006/relationships/hyperlink" Target="https://github.com/chandrabs25/tds_project1" TargetMode="External"/><Relationship Id="rId353" Type="http://schemas.openxmlformats.org/officeDocument/2006/relationships/hyperlink" Target="https://github.com/gadilashashank/tds_p1" TargetMode="External"/><Relationship Id="rId305" Type="http://schemas.openxmlformats.org/officeDocument/2006/relationships/hyperlink" Target="https://github.com/suraj22f3/TDS_Project1" TargetMode="External"/><Relationship Id="rId304" Type="http://schemas.openxmlformats.org/officeDocument/2006/relationships/hyperlink" Target="https://github.com/nihalkumar833/tds" TargetMode="External"/><Relationship Id="rId303" Type="http://schemas.openxmlformats.org/officeDocument/2006/relationships/hyperlink" Target="https://github.com/22f3001059/TDS-project1" TargetMode="External"/><Relationship Id="rId302" Type="http://schemas.openxmlformats.org/officeDocument/2006/relationships/hyperlink" Target="https://github.com/spideysanjay007/sanjay_tds_project_1" TargetMode="External"/><Relationship Id="rId309" Type="http://schemas.openxmlformats.org/officeDocument/2006/relationships/hyperlink" Target="https://github.com/22f3001192/amitkumar" TargetMode="External"/><Relationship Id="rId308" Type="http://schemas.openxmlformats.org/officeDocument/2006/relationships/hyperlink" Target="https://github.com/Aravindh-18/Project1" TargetMode="External"/><Relationship Id="rId307" Type="http://schemas.openxmlformats.org/officeDocument/2006/relationships/hyperlink" Target="https://github.com/notnikita21/TDS-Project-1" TargetMode="External"/><Relationship Id="rId306" Type="http://schemas.openxmlformats.org/officeDocument/2006/relationships/hyperlink" Target="https://github.com/kabir2505/zurich_scraping-tds" TargetMode="External"/><Relationship Id="rId301" Type="http://schemas.openxmlformats.org/officeDocument/2006/relationships/hyperlink" Target="https://github.com/madhavanrmiitm/tds-project1" TargetMode="External"/><Relationship Id="rId300" Type="http://schemas.openxmlformats.org/officeDocument/2006/relationships/hyperlink" Target="https://github.com/Yashi-code/dublin-developer-data/tree/main" TargetMode="External"/><Relationship Id="rId327" Type="http://schemas.openxmlformats.org/officeDocument/2006/relationships/hyperlink" Target="https://github.com/SharmilSrivathsa/TDS-Project-1" TargetMode="External"/><Relationship Id="rId326" Type="http://schemas.openxmlformats.org/officeDocument/2006/relationships/hyperlink" Target="https://github.com/sufyan-12/TDS-PR1" TargetMode="External"/><Relationship Id="rId325" Type="http://schemas.openxmlformats.org/officeDocument/2006/relationships/hyperlink" Target="https://github.com/iambuhari/IITM/" TargetMode="External"/><Relationship Id="rId324" Type="http://schemas.openxmlformats.org/officeDocument/2006/relationships/hyperlink" Target="https://github.com/Ankurnathsingh/TDS_P1_MELBOURNE100" TargetMode="External"/><Relationship Id="rId329" Type="http://schemas.openxmlformats.org/officeDocument/2006/relationships/hyperlink" Target="https://github.com/mehuljun09/TDS_IITM" TargetMode="External"/><Relationship Id="rId328" Type="http://schemas.openxmlformats.org/officeDocument/2006/relationships/hyperlink" Target="https://github.com/pranavtiwari-this/tdm-project1" TargetMode="External"/><Relationship Id="rId323" Type="http://schemas.openxmlformats.org/officeDocument/2006/relationships/hyperlink" Target="https://github.com/devansh-dotcom/tdsproject1-" TargetMode="External"/><Relationship Id="rId322" Type="http://schemas.openxmlformats.org/officeDocument/2006/relationships/hyperlink" Target="https://github.com/neil537/TDS---Project-1/tree/main" TargetMode="External"/><Relationship Id="rId321" Type="http://schemas.openxmlformats.org/officeDocument/2006/relationships/hyperlink" Target="https://github.com/Shiva9361/Project1" TargetMode="External"/><Relationship Id="rId320" Type="http://schemas.openxmlformats.org/officeDocument/2006/relationships/hyperlink" Target="https://github.com/SoumaySinghChauhan/Hyderabad_Github_users" TargetMode="External"/><Relationship Id="rId316" Type="http://schemas.openxmlformats.org/officeDocument/2006/relationships/hyperlink" Target="https://github.com/ak5h1ta/tds-project1" TargetMode="External"/><Relationship Id="rId315" Type="http://schemas.openxmlformats.org/officeDocument/2006/relationships/hyperlink" Target="https://github.com/kashishbansal920/Project-TDS" TargetMode="External"/><Relationship Id="rId314" Type="http://schemas.openxmlformats.org/officeDocument/2006/relationships/hyperlink" Target="https://github.com/BISWASAHANA/GitScrapy" TargetMode="External"/><Relationship Id="rId313" Type="http://schemas.openxmlformats.org/officeDocument/2006/relationships/hyperlink" Target="https://github.com/SaikatMandal2022/TDS_Project1" TargetMode="External"/><Relationship Id="rId319" Type="http://schemas.openxmlformats.org/officeDocument/2006/relationships/hyperlink" Target="https://github.com/TheMHarsh/TDS_P1" TargetMode="External"/><Relationship Id="rId318" Type="http://schemas.openxmlformats.org/officeDocument/2006/relationships/hyperlink" Target="https://github.com/AkshatGupta327/TDS_proj_1" TargetMode="External"/><Relationship Id="rId317" Type="http://schemas.openxmlformats.org/officeDocument/2006/relationships/hyperlink" Target="https://github.com/22f3001377/Pro1" TargetMode="External"/><Relationship Id="rId312" Type="http://schemas.openxmlformats.org/officeDocument/2006/relationships/hyperlink" Target="https://github.com/gittymadman/TDS_PROJECT_1" TargetMode="External"/><Relationship Id="rId311" Type="http://schemas.openxmlformats.org/officeDocument/2006/relationships/hyperlink" Target="https://github.com/SarveshMSIITM/TDS-P1" TargetMode="External"/><Relationship Id="rId310" Type="http://schemas.openxmlformats.org/officeDocument/2006/relationships/hyperlink" Target="https://github.com/RishitPant/tdsproject1" TargetMode="External"/><Relationship Id="rId297" Type="http://schemas.openxmlformats.org/officeDocument/2006/relationships/hyperlink" Target="https://github.com/Harini-RAJ/tdsproj" TargetMode="External"/><Relationship Id="rId296" Type="http://schemas.openxmlformats.org/officeDocument/2006/relationships/hyperlink" Target="https://github.com/AddagallaSaiTharun/TDS_Project1" TargetMode="External"/><Relationship Id="rId295" Type="http://schemas.openxmlformats.org/officeDocument/2006/relationships/hyperlink" Target="https://github.com/Anu-IITM/Tds_project1" TargetMode="External"/><Relationship Id="rId294" Type="http://schemas.openxmlformats.org/officeDocument/2006/relationships/hyperlink" Target="https://github.com/Man24Jain/Tokyo-GitHub-Scraping-Project" TargetMode="External"/><Relationship Id="rId299" Type="http://schemas.openxmlformats.org/officeDocument/2006/relationships/hyperlink" Target="https://github.com/payalggn/TDS_Project1" TargetMode="External"/><Relationship Id="rId298" Type="http://schemas.openxmlformats.org/officeDocument/2006/relationships/hyperlink" Target="https://github.com/Yogesh-005/pro1" TargetMode="External"/><Relationship Id="rId271" Type="http://schemas.openxmlformats.org/officeDocument/2006/relationships/hyperlink" Target="https://github.com/CaptPeroxide7/TDS-Proj1" TargetMode="External"/><Relationship Id="rId270" Type="http://schemas.openxmlformats.org/officeDocument/2006/relationships/hyperlink" Target="https://github.com/saritakumari23/proj1" TargetMode="External"/><Relationship Id="rId269" Type="http://schemas.openxmlformats.org/officeDocument/2006/relationships/hyperlink" Target="https://github.com/22f3000350/22f3000350-TDS-Project-1" TargetMode="External"/><Relationship Id="rId264" Type="http://schemas.openxmlformats.org/officeDocument/2006/relationships/hyperlink" Target="https://github.com/22f3000190/Seattle-200---TDM" TargetMode="External"/><Relationship Id="rId263" Type="http://schemas.openxmlformats.org/officeDocument/2006/relationships/hyperlink" Target="https://github.com/jyoti7398/TDS_proj1" TargetMode="External"/><Relationship Id="rId262" Type="http://schemas.openxmlformats.org/officeDocument/2006/relationships/hyperlink" Target="https://github.com/himanesh21/GithubUserDataAnalysis" TargetMode="External"/><Relationship Id="rId261" Type="http://schemas.openxmlformats.org/officeDocument/2006/relationships/hyperlink" Target="https://github.com/22f3000130/TDS_PROJECT_1" TargetMode="External"/><Relationship Id="rId268" Type="http://schemas.openxmlformats.org/officeDocument/2006/relationships/hyperlink" Target="https://github.com/ragavkish/tds-sg-analysis" TargetMode="External"/><Relationship Id="rId267" Type="http://schemas.openxmlformats.org/officeDocument/2006/relationships/hyperlink" Target="https://github.com/r4mbhardwaj/toronto100" TargetMode="External"/><Relationship Id="rId266" Type="http://schemas.openxmlformats.org/officeDocument/2006/relationships/hyperlink" Target="https://github.com/NEELU9931/tds5" TargetMode="External"/><Relationship Id="rId265" Type="http://schemas.openxmlformats.org/officeDocument/2006/relationships/hyperlink" Target="https://github.com/m55d/P1_md" TargetMode="External"/><Relationship Id="rId260" Type="http://schemas.openxmlformats.org/officeDocument/2006/relationships/hyperlink" Target="https://github.com/samreen-fathima-s/tds" TargetMode="External"/><Relationship Id="rId259" Type="http://schemas.openxmlformats.org/officeDocument/2006/relationships/hyperlink" Target="https://github.com/NeeharikaBhaide/TDS_P1" TargetMode="External"/><Relationship Id="rId258" Type="http://schemas.openxmlformats.org/officeDocument/2006/relationships/hyperlink" Target="https://github.com/ayushi-006/TDS_project_1" TargetMode="External"/><Relationship Id="rId253" Type="http://schemas.openxmlformats.org/officeDocument/2006/relationships/hyperlink" Target="https://github.com/Shashi7420/TDS---Project-1" TargetMode="External"/><Relationship Id="rId252" Type="http://schemas.openxmlformats.org/officeDocument/2006/relationships/hyperlink" Target="https://github.com/drashtish/TDS-Project1" TargetMode="External"/><Relationship Id="rId251" Type="http://schemas.openxmlformats.org/officeDocument/2006/relationships/hyperlink" Target="https://github.com/reddevilrohith/TDS_PROJ1" TargetMode="External"/><Relationship Id="rId250" Type="http://schemas.openxmlformats.org/officeDocument/2006/relationships/hyperlink" Target="https://github.com/RaghavKapil24/tds-project" TargetMode="External"/><Relationship Id="rId257" Type="http://schemas.openxmlformats.org/officeDocument/2006/relationships/hyperlink" Target="https://github.com/22f2001730/TDS_P1" TargetMode="External"/><Relationship Id="rId256" Type="http://schemas.openxmlformats.org/officeDocument/2006/relationships/hyperlink" Target="https://github.com/Tannukr/TDSweek5" TargetMode="External"/><Relationship Id="rId255" Type="http://schemas.openxmlformats.org/officeDocument/2006/relationships/hyperlink" Target="https://github.com/SnehaKukrety/TDS_Project1/tree/main" TargetMode="External"/><Relationship Id="rId254" Type="http://schemas.openxmlformats.org/officeDocument/2006/relationships/hyperlink" Target="https://github.com/RutikaKanaujiya/barcelona_assignment" TargetMode="External"/><Relationship Id="rId293" Type="http://schemas.openxmlformats.org/officeDocument/2006/relationships/hyperlink" Target="https://github.com/Ayushman-mukherjee/TDS-Project1" TargetMode="External"/><Relationship Id="rId292" Type="http://schemas.openxmlformats.org/officeDocument/2006/relationships/hyperlink" Target="https://github.com/abhi-manyu04/tds-pr1" TargetMode="External"/><Relationship Id="rId291" Type="http://schemas.openxmlformats.org/officeDocument/2006/relationships/hyperlink" Target="https://github.com/2utkarsh2/TDS_Project1" TargetMode="External"/><Relationship Id="rId290" Type="http://schemas.openxmlformats.org/officeDocument/2006/relationships/hyperlink" Target="https://github.com/querulous-virgo/GitHubAPI/blob/main/users.csv" TargetMode="External"/><Relationship Id="rId286" Type="http://schemas.openxmlformats.org/officeDocument/2006/relationships/hyperlink" Target="https://github.com/SaicharanRitwik39/TDSProject1_TermSepDec2024" TargetMode="External"/><Relationship Id="rId285" Type="http://schemas.openxmlformats.org/officeDocument/2006/relationships/hyperlink" Target="https://github.com/saksham5555/project" TargetMode="External"/><Relationship Id="rId284" Type="http://schemas.openxmlformats.org/officeDocument/2006/relationships/hyperlink" Target="https://github.com/Nimbus29/TDS-Project_1" TargetMode="External"/><Relationship Id="rId283" Type="http://schemas.openxmlformats.org/officeDocument/2006/relationships/hyperlink" Target="https://github.com/RiyaAgarwal22/TDS_Proj_1" TargetMode="External"/><Relationship Id="rId289" Type="http://schemas.openxmlformats.org/officeDocument/2006/relationships/hyperlink" Target="https://github.com/22f3000803/tds-project-1" TargetMode="External"/><Relationship Id="rId288" Type="http://schemas.openxmlformats.org/officeDocument/2006/relationships/hyperlink" Target="https://github.com/Param302/TDS-Project1" TargetMode="External"/><Relationship Id="rId287" Type="http://schemas.openxmlformats.org/officeDocument/2006/relationships/hyperlink" Target="https://github.com/anshuraj007/22f3000757_TDS_Proj1" TargetMode="External"/><Relationship Id="rId282" Type="http://schemas.openxmlformats.org/officeDocument/2006/relationships/hyperlink" Target="https://github.com/Shre-2104/project1tds" TargetMode="External"/><Relationship Id="rId281" Type="http://schemas.openxmlformats.org/officeDocument/2006/relationships/hyperlink" Target="https://github.com/shivasanthosh0804/TDSProject-1" TargetMode="External"/><Relationship Id="rId280" Type="http://schemas.openxmlformats.org/officeDocument/2006/relationships/hyperlink" Target="https://github.com/ayushiprajapti/TDS-PROJECT" TargetMode="External"/><Relationship Id="rId275" Type="http://schemas.openxmlformats.org/officeDocument/2006/relationships/hyperlink" Target="https://github.com/Veekshi28/tds-project1" TargetMode="External"/><Relationship Id="rId274" Type="http://schemas.openxmlformats.org/officeDocument/2006/relationships/hyperlink" Target="https://github.com/RK-Codes-IITMBS/TDS-Project-1" TargetMode="External"/><Relationship Id="rId273" Type="http://schemas.openxmlformats.org/officeDocument/2006/relationships/hyperlink" Target="https://github.com/S-Prasad-M/tds_proj1/" TargetMode="External"/><Relationship Id="rId272" Type="http://schemas.openxmlformats.org/officeDocument/2006/relationships/hyperlink" Target="https://github.com/22f3000398/TDS-Project" TargetMode="External"/><Relationship Id="rId279" Type="http://schemas.openxmlformats.org/officeDocument/2006/relationships/hyperlink" Target="https://github.com/gyanesh-iitmiimb/TDSProject1/blob" TargetMode="External"/><Relationship Id="rId278" Type="http://schemas.openxmlformats.org/officeDocument/2006/relationships/hyperlink" Target="https://github.com/anantdev123/Project1" TargetMode="External"/><Relationship Id="rId277" Type="http://schemas.openxmlformats.org/officeDocument/2006/relationships/hyperlink" Target="https://github.com/kanha-00001/project-1-final" TargetMode="External"/><Relationship Id="rId276" Type="http://schemas.openxmlformats.org/officeDocument/2006/relationships/hyperlink" Target="https://github.com/ThePenguin12345/TDS_Project1" TargetMode="External"/><Relationship Id="rId629" Type="http://schemas.openxmlformats.org/officeDocument/2006/relationships/hyperlink" Target="https://github.com/Ayushsinha106/TDSProject1" TargetMode="External"/><Relationship Id="rId624" Type="http://schemas.openxmlformats.org/officeDocument/2006/relationships/hyperlink" Target="https://github.com/23f2003986/Boston100_Users" TargetMode="External"/><Relationship Id="rId623" Type="http://schemas.openxmlformats.org/officeDocument/2006/relationships/hyperlink" Target="https://github.com/venkatsaivikram-iitm/tds-project1/" TargetMode="External"/><Relationship Id="rId622" Type="http://schemas.openxmlformats.org/officeDocument/2006/relationships/hyperlink" Target="https://github.com/harshshah-codes/TDS-project-1" TargetMode="External"/><Relationship Id="rId621" Type="http://schemas.openxmlformats.org/officeDocument/2006/relationships/hyperlink" Target="https://github.com/SohamGhosh2510/Project" TargetMode="External"/><Relationship Id="rId628" Type="http://schemas.openxmlformats.org/officeDocument/2006/relationships/hyperlink" Target="https://github.com/ManjulaVK/TDS_P1" TargetMode="External"/><Relationship Id="rId627" Type="http://schemas.openxmlformats.org/officeDocument/2006/relationships/hyperlink" Target="https://github.com/RishabhBarthwal28/TDS-PROJECT-1" TargetMode="External"/><Relationship Id="rId626" Type="http://schemas.openxmlformats.org/officeDocument/2006/relationships/hyperlink" Target="https://github.com/Aishwarya-V-K/Sydney_Github_User" TargetMode="External"/><Relationship Id="rId625" Type="http://schemas.openxmlformats.org/officeDocument/2006/relationships/hyperlink" Target="https://github.com/shakingbasket/tds_project_1" TargetMode="External"/><Relationship Id="rId620" Type="http://schemas.openxmlformats.org/officeDocument/2006/relationships/hyperlink" Target="https://github.com/SiriusOrion0301/TDS-PROJECT-1" TargetMode="External"/><Relationship Id="rId619" Type="http://schemas.openxmlformats.org/officeDocument/2006/relationships/hyperlink" Target="https://github.com/Neha-Galande-14/scrapper-project" TargetMode="External"/><Relationship Id="rId618" Type="http://schemas.openxmlformats.org/officeDocument/2006/relationships/hyperlink" Target="https://github.com/Ansidrake/tds_project1" TargetMode="External"/><Relationship Id="rId613" Type="http://schemas.openxmlformats.org/officeDocument/2006/relationships/hyperlink" Target="https://github.com/SrujanKVK/23f2003652-ds.study.iitm.ac.in__London-500" TargetMode="External"/><Relationship Id="rId612" Type="http://schemas.openxmlformats.org/officeDocument/2006/relationships/hyperlink" Target="https://github.com/23f2003488/dublin_users" TargetMode="External"/><Relationship Id="rId611" Type="http://schemas.openxmlformats.org/officeDocument/2006/relationships/hyperlink" Target="https://github.com/Sreekar-1804/Tds_Project_1" TargetMode="External"/><Relationship Id="rId610" Type="http://schemas.openxmlformats.org/officeDocument/2006/relationships/hyperlink" Target="https://github.com/Priyam4437/barcelona-github-scrape" TargetMode="External"/><Relationship Id="rId617" Type="http://schemas.openxmlformats.org/officeDocument/2006/relationships/hyperlink" Target="https://github.com/IRONalways17/TDS-Project1" TargetMode="External"/><Relationship Id="rId616" Type="http://schemas.openxmlformats.org/officeDocument/2006/relationships/hyperlink" Target="https://github.com/nitesh-Sharma-IITM/IITM_TDS" TargetMode="External"/><Relationship Id="rId615" Type="http://schemas.openxmlformats.org/officeDocument/2006/relationships/hyperlink" Target="https://github.com/leyther5813/b100" TargetMode="External"/><Relationship Id="rId614" Type="http://schemas.openxmlformats.org/officeDocument/2006/relationships/hyperlink" Target="https://github.com/Annusshya/annusshya" TargetMode="External"/><Relationship Id="rId646" Type="http://schemas.openxmlformats.org/officeDocument/2006/relationships/hyperlink" Target="https://github.com/vivek-2028/TDS-Project-1" TargetMode="External"/><Relationship Id="rId645" Type="http://schemas.openxmlformats.org/officeDocument/2006/relationships/hyperlink" Target="https://github.com/ShashanksriIITM/MLT_Project1" TargetMode="External"/><Relationship Id="rId644" Type="http://schemas.openxmlformats.org/officeDocument/2006/relationships/hyperlink" Target="https://github.com/23f2004671/Project1" TargetMode="External"/><Relationship Id="rId643" Type="http://schemas.openxmlformats.org/officeDocument/2006/relationships/hyperlink" Target="https://github.com/Mahabodhi4652/tds_project1" TargetMode="External"/><Relationship Id="rId649" Type="http://schemas.openxmlformats.org/officeDocument/2006/relationships/hyperlink" Target="https://github.com/23f2004839/TDS-Project-1" TargetMode="External"/><Relationship Id="rId648" Type="http://schemas.openxmlformats.org/officeDocument/2006/relationships/hyperlink" Target="https://github.com/AlexStark110/MELB_USERS" TargetMode="External"/><Relationship Id="rId647" Type="http://schemas.openxmlformats.org/officeDocument/2006/relationships/hyperlink" Target="https://github.com/hack-sketch/tds-project" TargetMode="External"/><Relationship Id="rId642" Type="http://schemas.openxmlformats.org/officeDocument/2006/relationships/hyperlink" Target="https://github.com/suryadhn/boston_user_repo" TargetMode="External"/><Relationship Id="rId641" Type="http://schemas.openxmlformats.org/officeDocument/2006/relationships/hyperlink" Target="https://github.com/Srilekha-05/github-barcelona-users" TargetMode="External"/><Relationship Id="rId640" Type="http://schemas.openxmlformats.org/officeDocument/2006/relationships/hyperlink" Target="https://github.com/23f2004527/TDS_Project1" TargetMode="External"/><Relationship Id="rId635" Type="http://schemas.openxmlformats.org/officeDocument/2006/relationships/hyperlink" Target="https://github.com/23f2004408/tds-p1" TargetMode="External"/><Relationship Id="rId634" Type="http://schemas.openxmlformats.org/officeDocument/2006/relationships/hyperlink" Target="https://github.com/Thanvish07/TDS_Project-1" TargetMode="External"/><Relationship Id="rId633" Type="http://schemas.openxmlformats.org/officeDocument/2006/relationships/hyperlink" Target="https://github.com/Hariomkr147/TDS_project1" TargetMode="External"/><Relationship Id="rId632" Type="http://schemas.openxmlformats.org/officeDocument/2006/relationships/hyperlink" Target="https://github.com/23f2004165/Scraping-GitHub-Users-And-Their-Repos-TDS-Project1-" TargetMode="External"/><Relationship Id="rId639" Type="http://schemas.openxmlformats.org/officeDocument/2006/relationships/hyperlink" Target="https://github.com/KD-kaustubh/Tds-project-1" TargetMode="External"/><Relationship Id="rId638" Type="http://schemas.openxmlformats.org/officeDocument/2006/relationships/hyperlink" Target="https://github.com/siddhant-bapna/TDSP1" TargetMode="External"/><Relationship Id="rId637" Type="http://schemas.openxmlformats.org/officeDocument/2006/relationships/hyperlink" Target="https://github.com/sujatrobhadra/TDS_Project_1" TargetMode="External"/><Relationship Id="rId636" Type="http://schemas.openxmlformats.org/officeDocument/2006/relationships/hyperlink" Target="https://github.com/23f2004417/23f2004417_TDS_Project1" TargetMode="External"/><Relationship Id="rId631" Type="http://schemas.openxmlformats.org/officeDocument/2006/relationships/hyperlink" Target="https://github.com/samikb07/tds-project-1" TargetMode="External"/><Relationship Id="rId630" Type="http://schemas.openxmlformats.org/officeDocument/2006/relationships/hyperlink" Target="https://github.com/AnantLuthra/tds-project1" TargetMode="External"/><Relationship Id="rId609" Type="http://schemas.openxmlformats.org/officeDocument/2006/relationships/hyperlink" Target="https://github.com/S23fVK/tdsProj1" TargetMode="External"/><Relationship Id="rId608" Type="http://schemas.openxmlformats.org/officeDocument/2006/relationships/hyperlink" Target="https://github.com/SonaliDuvesh/project1" TargetMode="External"/><Relationship Id="rId607" Type="http://schemas.openxmlformats.org/officeDocument/2006/relationships/hyperlink" Target="https://github.com/Rushiiljindal/TDS-project1" TargetMode="External"/><Relationship Id="rId602" Type="http://schemas.openxmlformats.org/officeDocument/2006/relationships/hyperlink" Target="https://github.com/swalihaattar/IITM_TDS_P1" TargetMode="External"/><Relationship Id="rId601" Type="http://schemas.openxmlformats.org/officeDocument/2006/relationships/hyperlink" Target="https://github.com/sumitt2408/github-users-london" TargetMode="External"/><Relationship Id="rId600" Type="http://schemas.openxmlformats.org/officeDocument/2006/relationships/hyperlink" Target="https://github.com/SohamMandal-tech/boston" TargetMode="External"/><Relationship Id="rId606" Type="http://schemas.openxmlformats.org/officeDocument/2006/relationships/hyperlink" Target="https://github.com/YASH-MAHESHWAR1/TDS_Project1" TargetMode="External"/><Relationship Id="rId605" Type="http://schemas.openxmlformats.org/officeDocument/2006/relationships/hyperlink" Target="https://github.com/VishwasSaini2006/pro" TargetMode="External"/><Relationship Id="rId604" Type="http://schemas.openxmlformats.org/officeDocument/2006/relationships/hyperlink" Target="https://github.com/vinaysurya1505/TDS-project-1" TargetMode="External"/><Relationship Id="rId603" Type="http://schemas.openxmlformats.org/officeDocument/2006/relationships/hyperlink" Target="https://github.com/Tarun-Kandarpa/Beijing-Github-Users" TargetMode="External"/><Relationship Id="rId228" Type="http://schemas.openxmlformats.org/officeDocument/2006/relationships/hyperlink" Target="https://github.com/darshu2806/tdsproj1" TargetMode="External"/><Relationship Id="rId227" Type="http://schemas.openxmlformats.org/officeDocument/2006/relationships/hyperlink" Target="https://github.com/infamous-01/TDS-Project-1" TargetMode="External"/><Relationship Id="rId226" Type="http://schemas.openxmlformats.org/officeDocument/2006/relationships/hyperlink" Target="https://github.com/22f2000894/tds-project-1" TargetMode="External"/><Relationship Id="rId225" Type="http://schemas.openxmlformats.org/officeDocument/2006/relationships/hyperlink" Target="https://github.com/RealFalseGod/Project1" TargetMode="External"/><Relationship Id="rId229" Type="http://schemas.openxmlformats.org/officeDocument/2006/relationships/hyperlink" Target="https://github.com/Kabilan-18/TDS-Project1/" TargetMode="External"/><Relationship Id="rId220" Type="http://schemas.openxmlformats.org/officeDocument/2006/relationships/hyperlink" Target="https://github.com/VivekIITM1/VivekIITM" TargetMode="External"/><Relationship Id="rId224" Type="http://schemas.openxmlformats.org/officeDocument/2006/relationships/hyperlink" Target="https://github.com/Sa007tish/hyd-gitanalysis" TargetMode="External"/><Relationship Id="rId223" Type="http://schemas.openxmlformats.org/officeDocument/2006/relationships/hyperlink" Target="https://github.com/joy-pro26/TDSProject1" TargetMode="External"/><Relationship Id="rId222" Type="http://schemas.openxmlformats.org/officeDocument/2006/relationships/hyperlink" Target="https://github.com/22f2000809/project_1" TargetMode="External"/><Relationship Id="rId221" Type="http://schemas.openxmlformats.org/officeDocument/2006/relationships/hyperlink" Target="https://github.com/22f2000784/basel-github-data-analysis" TargetMode="External"/><Relationship Id="rId217" Type="http://schemas.openxmlformats.org/officeDocument/2006/relationships/hyperlink" Target="https://github.com/importAmmar/TDS-Project-1" TargetMode="External"/><Relationship Id="rId216" Type="http://schemas.openxmlformats.org/officeDocument/2006/relationships/hyperlink" Target="https://github.com/Akash7190/TDS-Project-1" TargetMode="External"/><Relationship Id="rId215" Type="http://schemas.openxmlformats.org/officeDocument/2006/relationships/hyperlink" Target="https://github.com/0rajnishk/tds-p1" TargetMode="External"/><Relationship Id="rId699" Type="http://schemas.openxmlformats.org/officeDocument/2006/relationships/hyperlink" Target="https://github.com/pranay2k3/iitpro" TargetMode="External"/><Relationship Id="rId214" Type="http://schemas.openxmlformats.org/officeDocument/2006/relationships/hyperlink" Target="https://github.com/kik893/Project-1" TargetMode="External"/><Relationship Id="rId698" Type="http://schemas.openxmlformats.org/officeDocument/2006/relationships/hyperlink" Target="https://github.com/AfnanShamsi/TDS-Project-1/tree/main" TargetMode="External"/><Relationship Id="rId219" Type="http://schemas.openxmlformats.org/officeDocument/2006/relationships/hyperlink" Target="https://github.com/karthikeyan456/tdsproject1" TargetMode="External"/><Relationship Id="rId218" Type="http://schemas.openxmlformats.org/officeDocument/2006/relationships/hyperlink" Target="https://github.com/phanthomx/TDS_PROJECT" TargetMode="External"/><Relationship Id="rId693" Type="http://schemas.openxmlformats.org/officeDocument/2006/relationships/hyperlink" Target="https://github.com/abhinavsaxena277/Hyderabad-GitHub-Users" TargetMode="External"/><Relationship Id="rId692" Type="http://schemas.openxmlformats.org/officeDocument/2006/relationships/hyperlink" Target="https://github.com/Me-dev-commits/project-1" TargetMode="External"/><Relationship Id="rId691" Type="http://schemas.openxmlformats.org/officeDocument/2006/relationships/hyperlink" Target="https://github.com/manoharvvs/BarcelonaTDS" TargetMode="External"/><Relationship Id="rId690" Type="http://schemas.openxmlformats.org/officeDocument/2006/relationships/hyperlink" Target="https://github.com/Amrutkar-Kavya/TDS-Project1" TargetMode="External"/><Relationship Id="rId213" Type="http://schemas.openxmlformats.org/officeDocument/2006/relationships/hyperlink" Target="https://github.com/monikabhalerao/tds_project_1" TargetMode="External"/><Relationship Id="rId697" Type="http://schemas.openxmlformats.org/officeDocument/2006/relationships/hyperlink" Target="https://github.com/23f3004236/TDS-Project-1/tree/main" TargetMode="External"/><Relationship Id="rId212" Type="http://schemas.openxmlformats.org/officeDocument/2006/relationships/hyperlink" Target="https://github.com/Chinmoydass/TDS_Project1" TargetMode="External"/><Relationship Id="rId696" Type="http://schemas.openxmlformats.org/officeDocument/2006/relationships/hyperlink" Target="https://github.com/n3055/Chennai-50_223f3004177" TargetMode="External"/><Relationship Id="rId211" Type="http://schemas.openxmlformats.org/officeDocument/2006/relationships/hyperlink" Target="https://github.com/mdjawed372/tds-project1" TargetMode="External"/><Relationship Id="rId695" Type="http://schemas.openxmlformats.org/officeDocument/2006/relationships/hyperlink" Target="https://github.com/singh-akhand/tds-project-1" TargetMode="External"/><Relationship Id="rId210" Type="http://schemas.openxmlformats.org/officeDocument/2006/relationships/hyperlink" Target="https://github.com/Imranrasheedpm/tds_proj_1" TargetMode="External"/><Relationship Id="rId694" Type="http://schemas.openxmlformats.org/officeDocument/2006/relationships/hyperlink" Target="https://github.com/vath-21/tdsproject1" TargetMode="External"/><Relationship Id="rId249" Type="http://schemas.openxmlformats.org/officeDocument/2006/relationships/hyperlink" Target="https://github.com/Abhinandan-IIT-M/austin-github-users" TargetMode="External"/><Relationship Id="rId248" Type="http://schemas.openxmlformats.org/officeDocument/2006/relationships/hyperlink" Target="https://github.com/pulkitsharmads/github-hyderabad-users-project" TargetMode="External"/><Relationship Id="rId247" Type="http://schemas.openxmlformats.org/officeDocument/2006/relationships/hyperlink" Target="https://github.com/pratyushjdhv/iitm-tds" TargetMode="External"/><Relationship Id="rId242" Type="http://schemas.openxmlformats.org/officeDocument/2006/relationships/hyperlink" Target="https://github.com/theduskyrobe/TDS1" TargetMode="External"/><Relationship Id="rId241" Type="http://schemas.openxmlformats.org/officeDocument/2006/relationships/hyperlink" Target="https://github.com/nirmaldeep-p/TDS-Project-1" TargetMode="External"/><Relationship Id="rId240" Type="http://schemas.openxmlformats.org/officeDocument/2006/relationships/hyperlink" Target="https://github.com/Namangoel1904/TDS-Project1" TargetMode="External"/><Relationship Id="rId246" Type="http://schemas.openxmlformats.org/officeDocument/2006/relationships/hyperlink" Target="https://github.com/pranshu0205/TDS-Project-1" TargetMode="External"/><Relationship Id="rId245" Type="http://schemas.openxmlformats.org/officeDocument/2006/relationships/hyperlink" Target="https://github.com/22f2001300/TDS-P1" TargetMode="External"/><Relationship Id="rId244" Type="http://schemas.openxmlformats.org/officeDocument/2006/relationships/hyperlink" Target="https://github.com/ojast22/tds_proj1" TargetMode="External"/><Relationship Id="rId243" Type="http://schemas.openxmlformats.org/officeDocument/2006/relationships/hyperlink" Target="https://github.com/Hitesh-Binjrawat/TDSProject1" TargetMode="External"/><Relationship Id="rId239" Type="http://schemas.openxmlformats.org/officeDocument/2006/relationships/hyperlink" Target="https://github.com/Keshav22f2001196/TDS-project1" TargetMode="External"/><Relationship Id="rId238" Type="http://schemas.openxmlformats.org/officeDocument/2006/relationships/hyperlink" Target="https://github.com/22f2001193-neeraj-menon-iitm/TDS_Project_1" TargetMode="External"/><Relationship Id="rId237" Type="http://schemas.openxmlformats.org/officeDocument/2006/relationships/hyperlink" Target="https://github.com/lakshyaonweb22/TDS_Project1" TargetMode="External"/><Relationship Id="rId236" Type="http://schemas.openxmlformats.org/officeDocument/2006/relationships/hyperlink" Target="https://github.com/22f2001150/TDS-project-1" TargetMode="External"/><Relationship Id="rId231" Type="http://schemas.openxmlformats.org/officeDocument/2006/relationships/hyperlink" Target="https://github.com/jayandral/TDS_Project1" TargetMode="External"/><Relationship Id="rId230" Type="http://schemas.openxmlformats.org/officeDocument/2006/relationships/hyperlink" Target="https://github.com/Akashkunwar/TDS-Project-1" TargetMode="External"/><Relationship Id="rId235" Type="http://schemas.openxmlformats.org/officeDocument/2006/relationships/hyperlink" Target="https://github.com/Kavya792/boston-github-users" TargetMode="External"/><Relationship Id="rId234" Type="http://schemas.openxmlformats.org/officeDocument/2006/relationships/hyperlink" Target="https://github.com/KK17811/Github-repo" TargetMode="External"/><Relationship Id="rId233" Type="http://schemas.openxmlformats.org/officeDocument/2006/relationships/hyperlink" Target="https://github.com/KaustubhaRam/London_GitHub_Users" TargetMode="External"/><Relationship Id="rId232" Type="http://schemas.openxmlformats.org/officeDocument/2006/relationships/hyperlink" Target="https://github.com/Karanshrivastav/tds_project_1" TargetMode="External"/><Relationship Id="rId668" Type="http://schemas.openxmlformats.org/officeDocument/2006/relationships/hyperlink" Target="https://github.com/Harini-commits/stockholm-github-users" TargetMode="External"/><Relationship Id="rId667" Type="http://schemas.openxmlformats.org/officeDocument/2006/relationships/hyperlink" Target="https://github.com/ekxnsh22005/TDS-Project" TargetMode="External"/><Relationship Id="rId666" Type="http://schemas.openxmlformats.org/officeDocument/2006/relationships/hyperlink" Target="https://github.com/Alizalily/TDS_Project1" TargetMode="External"/><Relationship Id="rId665" Type="http://schemas.openxmlformats.org/officeDocument/2006/relationships/hyperlink" Target="https://github.com/navuexists/tds-project-1-navya" TargetMode="External"/><Relationship Id="rId669" Type="http://schemas.openxmlformats.org/officeDocument/2006/relationships/hyperlink" Target="https://github.com/Abhinav3499/TDS_Project_1" TargetMode="External"/><Relationship Id="rId660" Type="http://schemas.openxmlformats.org/officeDocument/2006/relationships/hyperlink" Target="https://github.com/heyitsshreya/Austin-GitHub-Users-Analysis" TargetMode="External"/><Relationship Id="rId664" Type="http://schemas.openxmlformats.org/officeDocument/2006/relationships/hyperlink" Target="https://github.com/ashwiniitm/tdsProject1" TargetMode="External"/><Relationship Id="rId663" Type="http://schemas.openxmlformats.org/officeDocument/2006/relationships/hyperlink" Target="https://github.com/godisgreate/correct1" TargetMode="External"/><Relationship Id="rId662" Type="http://schemas.openxmlformats.org/officeDocument/2006/relationships/hyperlink" Target="https://github.com/shriman-narayan-iitm/Barcelona" TargetMode="External"/><Relationship Id="rId661" Type="http://schemas.openxmlformats.org/officeDocument/2006/relationships/hyperlink" Target="https://github.com/Amrendra-kumar7/API_Melburne" TargetMode="External"/><Relationship Id="rId657" Type="http://schemas.openxmlformats.org/officeDocument/2006/relationships/hyperlink" Target="https://github.com/hsnak2245/tds_p1" TargetMode="External"/><Relationship Id="rId656" Type="http://schemas.openxmlformats.org/officeDocument/2006/relationships/hyperlink" Target="https://github.com/azh-py/london-github-users" TargetMode="External"/><Relationship Id="rId655" Type="http://schemas.openxmlformats.org/officeDocument/2006/relationships/hyperlink" Target="https://github.com/hameed-student/tds-project-1" TargetMode="External"/><Relationship Id="rId654" Type="http://schemas.openxmlformats.org/officeDocument/2006/relationships/hyperlink" Target="https://github.com/Happytth/tds-project1" TargetMode="External"/><Relationship Id="rId659" Type="http://schemas.openxmlformats.org/officeDocument/2006/relationships/hyperlink" Target="https://github.com/na-ch7/TDS-Project-1" TargetMode="External"/><Relationship Id="rId658" Type="http://schemas.openxmlformats.org/officeDocument/2006/relationships/hyperlink" Target="https://github.com/bl00m-byte/TDS-Project-1" TargetMode="External"/><Relationship Id="rId653" Type="http://schemas.openxmlformats.org/officeDocument/2006/relationships/hyperlink" Target="https://github.com/Sulakshh/TDS-PROJECT-TORONTO-100" TargetMode="External"/><Relationship Id="rId652" Type="http://schemas.openxmlformats.org/officeDocument/2006/relationships/hyperlink" Target="https://github.com/GauriTr/TDS_project_1" TargetMode="External"/><Relationship Id="rId651" Type="http://schemas.openxmlformats.org/officeDocument/2006/relationships/hyperlink" Target="https://github.com/Vscode918/Moscow-users/" TargetMode="External"/><Relationship Id="rId650" Type="http://schemas.openxmlformats.org/officeDocument/2006/relationships/hyperlink" Target="https://github.com/Shanu48/TDS_Project1" TargetMode="External"/><Relationship Id="rId206" Type="http://schemas.openxmlformats.org/officeDocument/2006/relationships/hyperlink" Target="https://github.com/Jayaprakash1710/TDS-Project-1" TargetMode="External"/><Relationship Id="rId205" Type="http://schemas.openxmlformats.org/officeDocument/2006/relationships/hyperlink" Target="https://github.com/Synchrotron-21/tds-project-1" TargetMode="External"/><Relationship Id="rId689" Type="http://schemas.openxmlformats.org/officeDocument/2006/relationships/hyperlink" Target="https://github.com/cloudbhargavv/FetchingData" TargetMode="External"/><Relationship Id="rId204" Type="http://schemas.openxmlformats.org/officeDocument/2006/relationships/hyperlink" Target="https://github.com/ArnoldMathew1998/TDS-project" TargetMode="External"/><Relationship Id="rId688" Type="http://schemas.openxmlformats.org/officeDocument/2006/relationships/hyperlink" Target="https://github.com/anivenk25/TDS_project1_Seattle200" TargetMode="External"/><Relationship Id="rId203" Type="http://schemas.openxmlformats.org/officeDocument/2006/relationships/hyperlink" Target="https://github.com/sashank-e/TDS_P1" TargetMode="External"/><Relationship Id="rId687" Type="http://schemas.openxmlformats.org/officeDocument/2006/relationships/hyperlink" Target="https://github.com/RajaVishwanathDasari/TDS-Project-1" TargetMode="External"/><Relationship Id="rId209" Type="http://schemas.openxmlformats.org/officeDocument/2006/relationships/hyperlink" Target="https://github.com/salmanulfaris/tds-project" TargetMode="External"/><Relationship Id="rId208" Type="http://schemas.openxmlformats.org/officeDocument/2006/relationships/hyperlink" Target="https://github.com/LavinyaIITM/Project01_TDS" TargetMode="External"/><Relationship Id="rId207" Type="http://schemas.openxmlformats.org/officeDocument/2006/relationships/hyperlink" Target="https://github.com/surbhi553/Toronto100" TargetMode="External"/><Relationship Id="rId682" Type="http://schemas.openxmlformats.org/officeDocument/2006/relationships/hyperlink" Target="https://github.com/Praveenkunn/TDS-Project1" TargetMode="External"/><Relationship Id="rId681" Type="http://schemas.openxmlformats.org/officeDocument/2006/relationships/hyperlink" Target="https://github.com/Saransh1329/main" TargetMode="External"/><Relationship Id="rId680" Type="http://schemas.openxmlformats.org/officeDocument/2006/relationships/hyperlink" Target="https://github.com/Mimansa5227/project1" TargetMode="External"/><Relationship Id="rId202" Type="http://schemas.openxmlformats.org/officeDocument/2006/relationships/hyperlink" Target="https://github.com/sri-4122/TDS-PROJECT1-FINAL" TargetMode="External"/><Relationship Id="rId686" Type="http://schemas.openxmlformats.org/officeDocument/2006/relationships/hyperlink" Target="https://github.com/Sadhu01/TDS.git" TargetMode="External"/><Relationship Id="rId201" Type="http://schemas.openxmlformats.org/officeDocument/2006/relationships/hyperlink" Target="https://github.com/mohitbakshi04/tds-project-1" TargetMode="External"/><Relationship Id="rId685" Type="http://schemas.openxmlformats.org/officeDocument/2006/relationships/hyperlink" Target="https://github.com/Vverma-27/IIT-Scripting" TargetMode="External"/><Relationship Id="rId200" Type="http://schemas.openxmlformats.org/officeDocument/2006/relationships/hyperlink" Target="https://github.com/Reena-Ydv/TDS" TargetMode="External"/><Relationship Id="rId684" Type="http://schemas.openxmlformats.org/officeDocument/2006/relationships/hyperlink" Target="https://github.com/Yasaswini117/Project_1" TargetMode="External"/><Relationship Id="rId683" Type="http://schemas.openxmlformats.org/officeDocument/2006/relationships/hyperlink" Target="https://github.com/23f3002916/TDSProject1" TargetMode="External"/><Relationship Id="rId679" Type="http://schemas.openxmlformats.org/officeDocument/2006/relationships/hyperlink" Target="https://github.com/JS121000/BERLINPROJECT" TargetMode="External"/><Relationship Id="rId678" Type="http://schemas.openxmlformats.org/officeDocument/2006/relationships/hyperlink" Target="https://github.com/20vishnu27/TDS_Project-1" TargetMode="External"/><Relationship Id="rId677" Type="http://schemas.openxmlformats.org/officeDocument/2006/relationships/hyperlink" Target="https://github.com/LakshayB05/tds_project1" TargetMode="External"/><Relationship Id="rId676" Type="http://schemas.openxmlformats.org/officeDocument/2006/relationships/hyperlink" Target="https://github.com/kuldeepchavda/tds_project_1" TargetMode="External"/><Relationship Id="rId671" Type="http://schemas.openxmlformats.org/officeDocument/2006/relationships/hyperlink" Target="https://github.com/tanmayi-iitm/Tanmayi_project_1" TargetMode="External"/><Relationship Id="rId670" Type="http://schemas.openxmlformats.org/officeDocument/2006/relationships/hyperlink" Target="https://github.com/23f3001726/p1-tds" TargetMode="External"/><Relationship Id="rId675" Type="http://schemas.openxmlformats.org/officeDocument/2006/relationships/hyperlink" Target="https://github.com/OmkarShekharRaut/datasciencetoolsproject1" TargetMode="External"/><Relationship Id="rId674" Type="http://schemas.openxmlformats.org/officeDocument/2006/relationships/hyperlink" Target="https://github.com/stu2262/IITM_TDS_Proj1" TargetMode="External"/><Relationship Id="rId673" Type="http://schemas.openxmlformats.org/officeDocument/2006/relationships/hyperlink" Target="https://github.com/aerosibin/TDS_Pro-1" TargetMode="External"/><Relationship Id="rId672" Type="http://schemas.openxmlformats.org/officeDocument/2006/relationships/hyperlink" Target="https://github.com/devp1866/tds_project_1" TargetMode="External"/><Relationship Id="rId190" Type="http://schemas.openxmlformats.org/officeDocument/2006/relationships/hyperlink" Target="https://github.com/rahulyadav46691499/TDS_project" TargetMode="External"/><Relationship Id="rId194" Type="http://schemas.openxmlformats.org/officeDocument/2006/relationships/hyperlink" Target="https://github.com/22f1001786-iitm/-Shanghai-200" TargetMode="External"/><Relationship Id="rId193" Type="http://schemas.openxmlformats.org/officeDocument/2006/relationships/hyperlink" Target="https://github.com/psmidhunreddy/tdsp1" TargetMode="External"/><Relationship Id="rId192" Type="http://schemas.openxmlformats.org/officeDocument/2006/relationships/hyperlink" Target="https://github.com/Ashiskushwaha/project-1" TargetMode="External"/><Relationship Id="rId191" Type="http://schemas.openxmlformats.org/officeDocument/2006/relationships/hyperlink" Target="https://github.com/rharini1402/mumbai50" TargetMode="External"/><Relationship Id="rId187" Type="http://schemas.openxmlformats.org/officeDocument/2006/relationships/hyperlink" Target="https://github.com/umeshrai01/web_scraping" TargetMode="External"/><Relationship Id="rId186" Type="http://schemas.openxmlformats.org/officeDocument/2006/relationships/hyperlink" Target="https://github.com/Ananya200314/IITM_TDS_P1" TargetMode="External"/><Relationship Id="rId185" Type="http://schemas.openxmlformats.org/officeDocument/2006/relationships/hyperlink" Target="https://github.com/divyanshdixit09/tds_project1" TargetMode="External"/><Relationship Id="rId184" Type="http://schemas.openxmlformats.org/officeDocument/2006/relationships/hyperlink" Target="https://github.com/Sunidhi912/TDSProject1" TargetMode="External"/><Relationship Id="rId189" Type="http://schemas.openxmlformats.org/officeDocument/2006/relationships/hyperlink" Target="https://github.com/Vish2BDev/tds-project1-Barcelona" TargetMode="External"/><Relationship Id="rId188" Type="http://schemas.openxmlformats.org/officeDocument/2006/relationships/hyperlink" Target="https://github.com/IITMSAPNA/Sapna_tds_proj_1" TargetMode="External"/><Relationship Id="rId183" Type="http://schemas.openxmlformats.org/officeDocument/2006/relationships/hyperlink" Target="https://github.com/ashuiitm/tdsproject1/" TargetMode="External"/><Relationship Id="rId182" Type="http://schemas.openxmlformats.org/officeDocument/2006/relationships/hyperlink" Target="https://github.com/AbdulHadiCreator/TDSproject1" TargetMode="External"/><Relationship Id="rId181" Type="http://schemas.openxmlformats.org/officeDocument/2006/relationships/hyperlink" Target="https://github.com/ishitabhalla16/TDS-Project-1" TargetMode="External"/><Relationship Id="rId180" Type="http://schemas.openxmlformats.org/officeDocument/2006/relationships/hyperlink" Target="https://github.com/ankit-ksh/tds_mini_project_i" TargetMode="External"/><Relationship Id="rId176" Type="http://schemas.openxmlformats.org/officeDocument/2006/relationships/hyperlink" Target="https://github.com/Swag2002/TDS_Main_Project" TargetMode="External"/><Relationship Id="rId175" Type="http://schemas.openxmlformats.org/officeDocument/2006/relationships/hyperlink" Target="https://github.com/22f1001105/TDSPROJECT1" TargetMode="External"/><Relationship Id="rId174" Type="http://schemas.openxmlformats.org/officeDocument/2006/relationships/hyperlink" Target="https://github.com/GIT1001082/TDS_project_1" TargetMode="External"/><Relationship Id="rId173" Type="http://schemas.openxmlformats.org/officeDocument/2006/relationships/hyperlink" Target="https://github.com/22f1000998/TDS-Project-1" TargetMode="External"/><Relationship Id="rId179" Type="http://schemas.openxmlformats.org/officeDocument/2006/relationships/hyperlink" Target="https://github.com/anand-ballabh/TDS-Project-1" TargetMode="External"/><Relationship Id="rId178" Type="http://schemas.openxmlformats.org/officeDocument/2006/relationships/hyperlink" Target="https://github.com/404aalu/tds-project1" TargetMode="External"/><Relationship Id="rId177" Type="http://schemas.openxmlformats.org/officeDocument/2006/relationships/hyperlink" Target="https://github.com/rishisni/TDS-Project-1" TargetMode="External"/><Relationship Id="rId198" Type="http://schemas.openxmlformats.org/officeDocument/2006/relationships/hyperlink" Target="https://github.com/akshaykashyap003/tds_project1" TargetMode="External"/><Relationship Id="rId197" Type="http://schemas.openxmlformats.org/officeDocument/2006/relationships/hyperlink" Target="https://github.com/Danniiiaaaa/TDS-proj-1" TargetMode="External"/><Relationship Id="rId196" Type="http://schemas.openxmlformats.org/officeDocument/2006/relationships/hyperlink" Target="https://github.com/AswinBala007/IITM_TDS_PROJECT1" TargetMode="External"/><Relationship Id="rId195" Type="http://schemas.openxmlformats.org/officeDocument/2006/relationships/hyperlink" Target="https://github.com/Wamikmk/My-tds-Project-1" TargetMode="External"/><Relationship Id="rId199" Type="http://schemas.openxmlformats.org/officeDocument/2006/relationships/hyperlink" Target="https://github.com/SAM8402/tds-project1" TargetMode="External"/><Relationship Id="rId150" Type="http://schemas.openxmlformats.org/officeDocument/2006/relationships/hyperlink" Target="https://github.com/Raksha120799/tds-proj-1" TargetMode="External"/><Relationship Id="rId149" Type="http://schemas.openxmlformats.org/officeDocument/2006/relationships/hyperlink" Target="https://github.com/Nila2023-d/TDS-Project-1" TargetMode="External"/><Relationship Id="rId148" Type="http://schemas.openxmlformats.org/officeDocument/2006/relationships/hyperlink" Target="https://github.com/Akashkansal/TDS_Project1" TargetMode="External"/><Relationship Id="rId143" Type="http://schemas.openxmlformats.org/officeDocument/2006/relationships/hyperlink" Target="https://github.com/21f3003136/TokyoScrape" TargetMode="External"/><Relationship Id="rId142" Type="http://schemas.openxmlformats.org/officeDocument/2006/relationships/hyperlink" Target="https://github.com/Swagat-pati/TDS_project1" TargetMode="External"/><Relationship Id="rId141" Type="http://schemas.openxmlformats.org/officeDocument/2006/relationships/hyperlink" Target="https://github.com/kvaishnavidevi/tds-project-tokyo-200" TargetMode="External"/><Relationship Id="rId140" Type="http://schemas.openxmlformats.org/officeDocument/2006/relationships/hyperlink" Target="https://github.com/ml1608/TDS-Project1" TargetMode="External"/><Relationship Id="rId147" Type="http://schemas.openxmlformats.org/officeDocument/2006/relationships/hyperlink" Target="https://github.com/Praviniitm/Project_Moscow" TargetMode="External"/><Relationship Id="rId146" Type="http://schemas.openxmlformats.org/officeDocument/2006/relationships/hyperlink" Target="https://github.com/ASIF-I-KHAN/github_bangalore_user_data" TargetMode="External"/><Relationship Id="rId145" Type="http://schemas.openxmlformats.org/officeDocument/2006/relationships/hyperlink" Target="https://github.com/palavallichaitanya/TDS-Project-1" TargetMode="External"/><Relationship Id="rId144" Type="http://schemas.openxmlformats.org/officeDocument/2006/relationships/hyperlink" Target="https://github.com/IITM-AnandK/AK-Project-Shanghai-200-Followers" TargetMode="External"/><Relationship Id="rId139" Type="http://schemas.openxmlformats.org/officeDocument/2006/relationships/hyperlink" Target="https://github.com/isha123navare/ISshaTDS1Proj" TargetMode="External"/><Relationship Id="rId138" Type="http://schemas.openxmlformats.org/officeDocument/2006/relationships/hyperlink" Target="https://github.com/Codephile14/TDS_Project1" TargetMode="External"/><Relationship Id="rId137" Type="http://schemas.openxmlformats.org/officeDocument/2006/relationships/hyperlink" Target="https://github.com/foriitm/p01" TargetMode="External"/><Relationship Id="rId132" Type="http://schemas.openxmlformats.org/officeDocument/2006/relationships/hyperlink" Target="https://github.com/sneh2105/tds_proj1" TargetMode="External"/><Relationship Id="rId131" Type="http://schemas.openxmlformats.org/officeDocument/2006/relationships/hyperlink" Target="https://github.com/21f3002397/tds-project" TargetMode="External"/><Relationship Id="rId130" Type="http://schemas.openxmlformats.org/officeDocument/2006/relationships/hyperlink" Target="https://github.com/KRISHBORANA/Sydney-100" TargetMode="External"/><Relationship Id="rId136" Type="http://schemas.openxmlformats.org/officeDocument/2006/relationships/hyperlink" Target="https://github.com/UrielKAlistair/TDS_P1" TargetMode="External"/><Relationship Id="rId135" Type="http://schemas.openxmlformats.org/officeDocument/2006/relationships/hyperlink" Target="https://github.com/Sakthi-Balan-B/project1" TargetMode="External"/><Relationship Id="rId134" Type="http://schemas.openxmlformats.org/officeDocument/2006/relationships/hyperlink" Target="https://github.com/SaarthakMaini/tds_project_1/" TargetMode="External"/><Relationship Id="rId133" Type="http://schemas.openxmlformats.org/officeDocument/2006/relationships/hyperlink" Target="https://github.com/loki1512/TDS-Project-1" TargetMode="External"/><Relationship Id="rId172" Type="http://schemas.openxmlformats.org/officeDocument/2006/relationships/hyperlink" Target="https://github.com/KrishnaDhankar/Project_TDS" TargetMode="External"/><Relationship Id="rId171" Type="http://schemas.openxmlformats.org/officeDocument/2006/relationships/hyperlink" Target="https://github.com/22f1000952/basel-users-analysis" TargetMode="External"/><Relationship Id="rId170" Type="http://schemas.openxmlformats.org/officeDocument/2006/relationships/hyperlink" Target="https://github.com/nitharsh935/project-p1" TargetMode="External"/><Relationship Id="rId165" Type="http://schemas.openxmlformats.org/officeDocument/2006/relationships/hyperlink" Target="https://github.com/sg-sparsh-goyal/TDS-project1-22f1000693" TargetMode="External"/><Relationship Id="rId164" Type="http://schemas.openxmlformats.org/officeDocument/2006/relationships/hyperlink" Target="https://github.com/pranavdarak/TDS_P1" TargetMode="External"/><Relationship Id="rId163" Type="http://schemas.openxmlformats.org/officeDocument/2006/relationships/hyperlink" Target="https://github.com/Lakshay777s/TDS-project" TargetMode="External"/><Relationship Id="rId162" Type="http://schemas.openxmlformats.org/officeDocument/2006/relationships/hyperlink" Target="https://github.com/rishitaguptaaa/IITM_TDS_Project1" TargetMode="External"/><Relationship Id="rId169" Type="http://schemas.openxmlformats.org/officeDocument/2006/relationships/hyperlink" Target="https://github.com/code-kalrav/IITM-P1/tree/main" TargetMode="External"/><Relationship Id="rId168" Type="http://schemas.openxmlformats.org/officeDocument/2006/relationships/hyperlink" Target="https://github.com/itsrohithreddy/TDS_Project1" TargetMode="External"/><Relationship Id="rId167" Type="http://schemas.openxmlformats.org/officeDocument/2006/relationships/hyperlink" Target="https://github.com/Avinash94567/tdsp1" TargetMode="External"/><Relationship Id="rId166" Type="http://schemas.openxmlformats.org/officeDocument/2006/relationships/hyperlink" Target="https://github.com/Atharva-Garajkar/TDS" TargetMode="External"/><Relationship Id="rId161" Type="http://schemas.openxmlformats.org/officeDocument/2006/relationships/hyperlink" Target="https://github.com/niki7777777/TDS-Project-1" TargetMode="External"/><Relationship Id="rId160" Type="http://schemas.openxmlformats.org/officeDocument/2006/relationships/hyperlink" Target="https://github.com/BOBandNODDY/SquashDaw" TargetMode="External"/><Relationship Id="rId159" Type="http://schemas.openxmlformats.org/officeDocument/2006/relationships/hyperlink" Target="https://github.com/aniko1806/GitHub_API_Analysis_Boston" TargetMode="External"/><Relationship Id="rId154" Type="http://schemas.openxmlformats.org/officeDocument/2006/relationships/hyperlink" Target="https://github.com/rahul-jha-2001/TDS" TargetMode="External"/><Relationship Id="rId153" Type="http://schemas.openxmlformats.org/officeDocument/2006/relationships/hyperlink" Target="https://github.com/Kirthictrl/TDS-Project-1" TargetMode="External"/><Relationship Id="rId152" Type="http://schemas.openxmlformats.org/officeDocument/2006/relationships/hyperlink" Target="https://github.com/22f1000144/TDS_project_1" TargetMode="External"/><Relationship Id="rId151" Type="http://schemas.openxmlformats.org/officeDocument/2006/relationships/hyperlink" Target="https://github.com/gotherwal/TDS_Project1" TargetMode="External"/><Relationship Id="rId158" Type="http://schemas.openxmlformats.org/officeDocument/2006/relationships/hyperlink" Target="https://github.com/anshikaatiwari/tdsp1" TargetMode="External"/><Relationship Id="rId157" Type="http://schemas.openxmlformats.org/officeDocument/2006/relationships/hyperlink" Target="https://github.com/terminator7x/tds-project/tree/main" TargetMode="External"/><Relationship Id="rId156" Type="http://schemas.openxmlformats.org/officeDocument/2006/relationships/hyperlink" Target="https://github.com/Kanishk90/Project1" TargetMode="External"/><Relationship Id="rId155" Type="http://schemas.openxmlformats.org/officeDocument/2006/relationships/hyperlink" Target="https://github.com/22f1000259/TDS-PROJECT-1" TargetMode="External"/><Relationship Id="rId509" Type="http://schemas.openxmlformats.org/officeDocument/2006/relationships/hyperlink" Target="https://github.com/Sgytuy/Tools-in-Data-Science---Project-1/tree/main" TargetMode="External"/><Relationship Id="rId508" Type="http://schemas.openxmlformats.org/officeDocument/2006/relationships/hyperlink" Target="https://github.com/AnvithaVarre7/Project-1" TargetMode="External"/><Relationship Id="rId503" Type="http://schemas.openxmlformats.org/officeDocument/2006/relationships/hyperlink" Target="https://github.com/Karthikey2003/tdsproj1" TargetMode="External"/><Relationship Id="rId502" Type="http://schemas.openxmlformats.org/officeDocument/2006/relationships/hyperlink" Target="https://github.com/Rajat1164/tdsproject" TargetMode="External"/><Relationship Id="rId501" Type="http://schemas.openxmlformats.org/officeDocument/2006/relationships/hyperlink" Target="https://github.com/Preetham15092004/Hyderabad-GitHub-Users" TargetMode="External"/><Relationship Id="rId500" Type="http://schemas.openxmlformats.org/officeDocument/2006/relationships/hyperlink" Target="https://github.com/shivyatripathi2604/TDS" TargetMode="External"/><Relationship Id="rId507" Type="http://schemas.openxmlformats.org/officeDocument/2006/relationships/hyperlink" Target="https://github.com/23f1002051/TDS_Project_1" TargetMode="External"/><Relationship Id="rId506" Type="http://schemas.openxmlformats.org/officeDocument/2006/relationships/hyperlink" Target="https://github.com/Madhav-Sanjay-Patil/TDS_23f1002049" TargetMode="External"/><Relationship Id="rId505" Type="http://schemas.openxmlformats.org/officeDocument/2006/relationships/hyperlink" Target="https://github.com/Dnyan-iitm/TDS-Project1" TargetMode="External"/><Relationship Id="rId504" Type="http://schemas.openxmlformats.org/officeDocument/2006/relationships/hyperlink" Target="https://github.com/IIT-JRV/IIT/tree/main" TargetMode="External"/><Relationship Id="rId525" Type="http://schemas.openxmlformats.org/officeDocument/2006/relationships/hyperlink" Target="https://github.com/TITlidatta/DataAnalysis_2" TargetMode="External"/><Relationship Id="rId524" Type="http://schemas.openxmlformats.org/officeDocument/2006/relationships/hyperlink" Target="https://github.com/Vanshika-tiwari98/Beijing-GitHub-Users" TargetMode="External"/><Relationship Id="rId523" Type="http://schemas.openxmlformats.org/officeDocument/2006/relationships/hyperlink" Target="https://github.com/Thanhanoorudheen/proj1" TargetMode="External"/><Relationship Id="rId522" Type="http://schemas.openxmlformats.org/officeDocument/2006/relationships/hyperlink" Target="https://github.com/jaideepS04/project_tds-p" TargetMode="External"/><Relationship Id="rId529" Type="http://schemas.openxmlformats.org/officeDocument/2006/relationships/hyperlink" Target="https://github.com/Nishtha65/TDS-Project1" TargetMode="External"/><Relationship Id="rId528" Type="http://schemas.openxmlformats.org/officeDocument/2006/relationships/hyperlink" Target="https://github.com/LandeVV326/TDS_Project-1" TargetMode="External"/><Relationship Id="rId527" Type="http://schemas.openxmlformats.org/officeDocument/2006/relationships/hyperlink" Target="https://github.com/Anustup24/TDS" TargetMode="External"/><Relationship Id="rId526" Type="http://schemas.openxmlformats.org/officeDocument/2006/relationships/hyperlink" Target="https://github.com/titan-adi/Zurich-data-analysis" TargetMode="External"/><Relationship Id="rId521" Type="http://schemas.openxmlformats.org/officeDocument/2006/relationships/hyperlink" Target="https://github.com/SINGHALSAJAL/github_scrapped_iitm" TargetMode="External"/><Relationship Id="rId520" Type="http://schemas.openxmlformats.org/officeDocument/2006/relationships/hyperlink" Target="https://github.com/Ajit5370/tds-project-1" TargetMode="External"/><Relationship Id="rId519" Type="http://schemas.openxmlformats.org/officeDocument/2006/relationships/hyperlink" Target="https://github.com/Hitachi006/TDS_Proj_2455_Basel10" TargetMode="External"/><Relationship Id="rId514" Type="http://schemas.openxmlformats.org/officeDocument/2006/relationships/hyperlink" Target="https://github.com/HaifaAbdulSathar/TDS-Project1" TargetMode="External"/><Relationship Id="rId513" Type="http://schemas.openxmlformats.org/officeDocument/2006/relationships/hyperlink" Target="https://github.com/Aadi0703/TDS-project1" TargetMode="External"/><Relationship Id="rId512" Type="http://schemas.openxmlformats.org/officeDocument/2006/relationships/hyperlink" Target="https://github.com/Navreet5002/tds_proj1" TargetMode="External"/><Relationship Id="rId511" Type="http://schemas.openxmlformats.org/officeDocument/2006/relationships/hyperlink" Target="https://github.com/ARUNIMADILEEPK/TDS_Project_1" TargetMode="External"/><Relationship Id="rId518" Type="http://schemas.openxmlformats.org/officeDocument/2006/relationships/hyperlink" Target="https://github.com/vasanth-svb-1/iitm-syscmd-project-1" TargetMode="External"/><Relationship Id="rId517" Type="http://schemas.openxmlformats.org/officeDocument/2006/relationships/hyperlink" Target="https://github.com/AvinashRajender/tdsproject1" TargetMode="External"/><Relationship Id="rId516" Type="http://schemas.openxmlformats.org/officeDocument/2006/relationships/hyperlink" Target="https://github.com/Aryan-Mishra24/TDS_PROJECT1" TargetMode="External"/><Relationship Id="rId515" Type="http://schemas.openxmlformats.org/officeDocument/2006/relationships/hyperlink" Target="https://github.com/pkala7968/TDS-PROJECT-1-IITM" TargetMode="External"/><Relationship Id="rId510" Type="http://schemas.openxmlformats.org/officeDocument/2006/relationships/hyperlink" Target="https://github.com/dhirajp1603/IITM-TDS" TargetMode="External"/><Relationship Id="rId590" Type="http://schemas.openxmlformats.org/officeDocument/2006/relationships/hyperlink" Target="https://github.com/shamanthakiitm/TDS-Project-1" TargetMode="External"/><Relationship Id="rId107" Type="http://schemas.openxmlformats.org/officeDocument/2006/relationships/hyperlink" Target="https://github.com/ritikjha7/tds-project-1" TargetMode="External"/><Relationship Id="rId106" Type="http://schemas.openxmlformats.org/officeDocument/2006/relationships/hyperlink" Target="https://github.com/so-what-ik/TDS_Project1" TargetMode="External"/><Relationship Id="rId105" Type="http://schemas.openxmlformats.org/officeDocument/2006/relationships/hyperlink" Target="https://github.com/Amankumar0017/TDS-Project-1" TargetMode="External"/><Relationship Id="rId589" Type="http://schemas.openxmlformats.org/officeDocument/2006/relationships/hyperlink" Target="https://github.com/Lokith-sharan/GitHub-Scraper-Singapore" TargetMode="External"/><Relationship Id="rId104" Type="http://schemas.openxmlformats.org/officeDocument/2006/relationships/hyperlink" Target="https://github.com/sage-devv/TDS-Project-1" TargetMode="External"/><Relationship Id="rId588" Type="http://schemas.openxmlformats.org/officeDocument/2006/relationships/hyperlink" Target="https://github.com/kunj-10/TDS-IITM-Project1" TargetMode="External"/><Relationship Id="rId109" Type="http://schemas.openxmlformats.org/officeDocument/2006/relationships/hyperlink" Target="https://github.com/Rudranshs1ngh/project_iitm" TargetMode="External"/><Relationship Id="rId108" Type="http://schemas.openxmlformats.org/officeDocument/2006/relationships/hyperlink" Target="https://github.com/satya140519/TDS_project_1" TargetMode="External"/><Relationship Id="rId583" Type="http://schemas.openxmlformats.org/officeDocument/2006/relationships/hyperlink" Target="https://github.com/raj-jaiswal/TDS_Github_API" TargetMode="External"/><Relationship Id="rId582" Type="http://schemas.openxmlformats.org/officeDocument/2006/relationships/hyperlink" Target="https://github.com/shinadeveloper/TDS-Project-1" TargetMode="External"/><Relationship Id="rId581" Type="http://schemas.openxmlformats.org/officeDocument/2006/relationships/hyperlink" Target="https://github.com/dhimantks/tdsproject1" TargetMode="External"/><Relationship Id="rId580" Type="http://schemas.openxmlformats.org/officeDocument/2006/relationships/hyperlink" Target="https://github.com/DevanshA1105/Project_1_TDS" TargetMode="External"/><Relationship Id="rId103" Type="http://schemas.openxmlformats.org/officeDocument/2006/relationships/hyperlink" Target="https://github.com/IITM-VK/TDS-Project-1" TargetMode="External"/><Relationship Id="rId587" Type="http://schemas.openxmlformats.org/officeDocument/2006/relationships/hyperlink" Target="https://github.com/Kratikavarshney-16/Mumbai50" TargetMode="External"/><Relationship Id="rId102" Type="http://schemas.openxmlformats.org/officeDocument/2006/relationships/hyperlink" Target="https://github.com/tiwariannanya/TDS_Project_1_Berlin" TargetMode="External"/><Relationship Id="rId586" Type="http://schemas.openxmlformats.org/officeDocument/2006/relationships/hyperlink" Target="https://github.com/JAISUBIKSHA/TDS_PROJECT1" TargetMode="External"/><Relationship Id="rId101" Type="http://schemas.openxmlformats.org/officeDocument/2006/relationships/hyperlink" Target="https://github.com/yyyzznnn/TDS-Project1" TargetMode="External"/><Relationship Id="rId585" Type="http://schemas.openxmlformats.org/officeDocument/2006/relationships/hyperlink" Target="https://github.com/gokuls23f2001566/TDSpj1" TargetMode="External"/><Relationship Id="rId100" Type="http://schemas.openxmlformats.org/officeDocument/2006/relationships/hyperlink" Target="https://github.com/tanyakamboj123/TDS-project1" TargetMode="External"/><Relationship Id="rId584" Type="http://schemas.openxmlformats.org/officeDocument/2006/relationships/hyperlink" Target="https://github.com/gitanjalisharma19/Github-Shanghai-Users" TargetMode="External"/><Relationship Id="rId579" Type="http://schemas.openxmlformats.org/officeDocument/2006/relationships/hyperlink" Target="https://github.com/deep2003tds/project1/blob/main/repositories.csv" TargetMode="External"/><Relationship Id="rId578" Type="http://schemas.openxmlformats.org/officeDocument/2006/relationships/hyperlink" Target="https://github.com/AjithSaiCh/tds_project1" TargetMode="External"/><Relationship Id="rId577" Type="http://schemas.openxmlformats.org/officeDocument/2006/relationships/hyperlink" Target="https://github.com/arshadnit/TDSP1" TargetMode="External"/><Relationship Id="rId572" Type="http://schemas.openxmlformats.org/officeDocument/2006/relationships/hyperlink" Target="https://github.com/Aniruddha017/TDSproject1" TargetMode="External"/><Relationship Id="rId571" Type="http://schemas.openxmlformats.org/officeDocument/2006/relationships/hyperlink" Target="https://github.com/perceptron-01/project-1" TargetMode="External"/><Relationship Id="rId570" Type="http://schemas.openxmlformats.org/officeDocument/2006/relationships/hyperlink" Target="https://github.com/akshat-shethia/TDS-Project-1-Akshat-Shethia" TargetMode="External"/><Relationship Id="rId576" Type="http://schemas.openxmlformats.org/officeDocument/2006/relationships/hyperlink" Target="https://github.com/SANDESH9098/TDS-Project1" TargetMode="External"/><Relationship Id="rId575" Type="http://schemas.openxmlformats.org/officeDocument/2006/relationships/hyperlink" Target="https://github.com/antareep18-geek/TDS-project1" TargetMode="External"/><Relationship Id="rId574" Type="http://schemas.openxmlformats.org/officeDocument/2006/relationships/hyperlink" Target="https://github.com/AnshikaSinha2005/Anshika-project" TargetMode="External"/><Relationship Id="rId573" Type="http://schemas.openxmlformats.org/officeDocument/2006/relationships/hyperlink" Target="https://github.com/AnkitaDev05/TDS-Project1" TargetMode="External"/><Relationship Id="rId129" Type="http://schemas.openxmlformats.org/officeDocument/2006/relationships/hyperlink" Target="https://github.com/mayanktripathii/TDS-Project-1" TargetMode="External"/><Relationship Id="rId128" Type="http://schemas.openxmlformats.org/officeDocument/2006/relationships/hyperlink" Target="https://github.com/Srinidhi-Krishnan30/TDSProject1" TargetMode="External"/><Relationship Id="rId127" Type="http://schemas.openxmlformats.org/officeDocument/2006/relationships/hyperlink" Target="https://github.com/fahmeed1713/GitHub-Users-and-Repositories-Data-Scraper" TargetMode="External"/><Relationship Id="rId126" Type="http://schemas.openxmlformats.org/officeDocument/2006/relationships/hyperlink" Target="https://github.com/kasturi190602/TDSProject" TargetMode="External"/><Relationship Id="rId121" Type="http://schemas.openxmlformats.org/officeDocument/2006/relationships/hyperlink" Target="https://github.com/ramees-thattarath/TDS-proj-1" TargetMode="External"/><Relationship Id="rId120" Type="http://schemas.openxmlformats.org/officeDocument/2006/relationships/hyperlink" Target="https://github.com/anshikaiitm/toronto_github_users" TargetMode="External"/><Relationship Id="rId125" Type="http://schemas.openxmlformats.org/officeDocument/2006/relationships/hyperlink" Target="https://github.com/RachitGupta4102/TDS-project" TargetMode="External"/><Relationship Id="rId124" Type="http://schemas.openxmlformats.org/officeDocument/2006/relationships/hyperlink" Target="https://github.com/Skyehackerdoge/github-london-users" TargetMode="External"/><Relationship Id="rId123" Type="http://schemas.openxmlformats.org/officeDocument/2006/relationships/hyperlink" Target="https://github.com/BriIITM/Project1-TDS" TargetMode="External"/><Relationship Id="rId122" Type="http://schemas.openxmlformats.org/officeDocument/2006/relationships/hyperlink" Target="https://github.com/febixcf/tds-project1" TargetMode="External"/><Relationship Id="rId118" Type="http://schemas.openxmlformats.org/officeDocument/2006/relationships/hyperlink" Target="https://github.com/SidharthDahiya/Toronto-Analysis" TargetMode="External"/><Relationship Id="rId117" Type="http://schemas.openxmlformats.org/officeDocument/2006/relationships/hyperlink" Target="https://github.com/Prajchin/TDS_P1" TargetMode="External"/><Relationship Id="rId116" Type="http://schemas.openxmlformats.org/officeDocument/2006/relationships/hyperlink" Target="https://github.com/afsi07/github-users-london/tree/main" TargetMode="External"/><Relationship Id="rId115" Type="http://schemas.openxmlformats.org/officeDocument/2006/relationships/hyperlink" Target="https://github.com/KanishkarIITM/Proj1" TargetMode="External"/><Relationship Id="rId599" Type="http://schemas.openxmlformats.org/officeDocument/2006/relationships/hyperlink" Target="https://github.com/sh-yamm/TDS-1" TargetMode="External"/><Relationship Id="rId119" Type="http://schemas.openxmlformats.org/officeDocument/2006/relationships/hyperlink" Target="https://github.com/Bhaargavi29/Moscow-50-repo" TargetMode="External"/><Relationship Id="rId110" Type="http://schemas.openxmlformats.org/officeDocument/2006/relationships/hyperlink" Target="https://github.com/Induvardhan/singapore_100" TargetMode="External"/><Relationship Id="rId594" Type="http://schemas.openxmlformats.org/officeDocument/2006/relationships/hyperlink" Target="https://github.com/RaghavDharwal/iitm" TargetMode="External"/><Relationship Id="rId593" Type="http://schemas.openxmlformats.org/officeDocument/2006/relationships/hyperlink" Target="https://github.com/Rosh-10/tds-project-1" TargetMode="External"/><Relationship Id="rId592" Type="http://schemas.openxmlformats.org/officeDocument/2006/relationships/hyperlink" Target="https://github.com/Anirudh-starhash/TDS-Project-1" TargetMode="External"/><Relationship Id="rId591" Type="http://schemas.openxmlformats.org/officeDocument/2006/relationships/hyperlink" Target="https://github.com/kneedheeee/proj1" TargetMode="External"/><Relationship Id="rId114" Type="http://schemas.openxmlformats.org/officeDocument/2006/relationships/hyperlink" Target="https://github.com/virajkingmaker/project1" TargetMode="External"/><Relationship Id="rId598" Type="http://schemas.openxmlformats.org/officeDocument/2006/relationships/hyperlink" Target="https://github.com/Shreya5619/TDS-Project1" TargetMode="External"/><Relationship Id="rId113" Type="http://schemas.openxmlformats.org/officeDocument/2006/relationships/hyperlink" Target="https://github.com/Saravanan1508/IITM_TDS_Project_1" TargetMode="External"/><Relationship Id="rId597" Type="http://schemas.openxmlformats.org/officeDocument/2006/relationships/hyperlink" Target="https://github.com/Shilajit04/TDS-Project-1" TargetMode="External"/><Relationship Id="rId112" Type="http://schemas.openxmlformats.org/officeDocument/2006/relationships/hyperlink" Target="https://github.com/bipkrsinghh/TDS-proj" TargetMode="External"/><Relationship Id="rId596" Type="http://schemas.openxmlformats.org/officeDocument/2006/relationships/hyperlink" Target="https://github.com/SamarupBhattacharya/IITM" TargetMode="External"/><Relationship Id="rId111" Type="http://schemas.openxmlformats.org/officeDocument/2006/relationships/hyperlink" Target="https://github.com/Chitraksha-Sharma/Project_1_TDS" TargetMode="External"/><Relationship Id="rId595" Type="http://schemas.openxmlformats.org/officeDocument/2006/relationships/hyperlink" Target="https://github.com/RAGHAV-0202/TDS-IITM" TargetMode="External"/><Relationship Id="rId547" Type="http://schemas.openxmlformats.org/officeDocument/2006/relationships/hyperlink" Target="https://github.com/aryankeserwani/github-stockholm-scrape" TargetMode="External"/><Relationship Id="rId546" Type="http://schemas.openxmlformats.org/officeDocument/2006/relationships/hyperlink" Target="https://github.com/Avisiingh/tdsproject1/tree/main" TargetMode="External"/><Relationship Id="rId545" Type="http://schemas.openxmlformats.org/officeDocument/2006/relationships/hyperlink" Target="https://github.com/nirmalpillai17/tds-project-1" TargetMode="External"/><Relationship Id="rId544" Type="http://schemas.openxmlformats.org/officeDocument/2006/relationships/hyperlink" Target="https://github.com/Viswa-iitm/TDS-project-1" TargetMode="External"/><Relationship Id="rId549" Type="http://schemas.openxmlformats.org/officeDocument/2006/relationships/hyperlink" Target="https://github.com/Samcoderg78/IIT_M_DEMO_REPO" TargetMode="External"/><Relationship Id="rId548" Type="http://schemas.openxmlformats.org/officeDocument/2006/relationships/hyperlink" Target="https://github.com/kdiitm99/tds-project1" TargetMode="External"/><Relationship Id="rId543" Type="http://schemas.openxmlformats.org/officeDocument/2006/relationships/hyperlink" Target="https://github.com/keertidamani/TorontoAnalysisProject" TargetMode="External"/><Relationship Id="rId542" Type="http://schemas.openxmlformats.org/officeDocument/2006/relationships/hyperlink" Target="https://github.com/23f1003016/TDS-Project1" TargetMode="External"/><Relationship Id="rId541" Type="http://schemas.openxmlformats.org/officeDocument/2006/relationships/hyperlink" Target="https://github.com/Gowshikraj6/tdsp1" TargetMode="External"/><Relationship Id="rId540" Type="http://schemas.openxmlformats.org/officeDocument/2006/relationships/hyperlink" Target="https://github.com/indalbind/tds_project_first" TargetMode="External"/><Relationship Id="rId536" Type="http://schemas.openxmlformats.org/officeDocument/2006/relationships/hyperlink" Target="https://github.com/ShivamAgrawal100/TDS-Project1" TargetMode="External"/><Relationship Id="rId535" Type="http://schemas.openxmlformats.org/officeDocument/2006/relationships/hyperlink" Target="https://github.com/Saagar-22/Hyderabad_50" TargetMode="External"/><Relationship Id="rId534" Type="http://schemas.openxmlformats.org/officeDocument/2006/relationships/hyperlink" Target="https://github.com/ro-jc/tds-proj-1" TargetMode="External"/><Relationship Id="rId533" Type="http://schemas.openxmlformats.org/officeDocument/2006/relationships/hyperlink" Target="https://github.com/Harshachowdary2012/Berlin-200-Analysis-TDS" TargetMode="External"/><Relationship Id="rId539" Type="http://schemas.openxmlformats.org/officeDocument/2006/relationships/hyperlink" Target="https://github.com/imposter7/seattle-github-users" TargetMode="External"/><Relationship Id="rId538" Type="http://schemas.openxmlformats.org/officeDocument/2006/relationships/hyperlink" Target="https://github.com/Bracket12/TDS_project_1" TargetMode="External"/><Relationship Id="rId537" Type="http://schemas.openxmlformats.org/officeDocument/2006/relationships/hyperlink" Target="https://github.com/SakshamBindal07/github_sydney_users" TargetMode="External"/><Relationship Id="rId532" Type="http://schemas.openxmlformats.org/officeDocument/2006/relationships/hyperlink" Target="https://github.com/devishijain/TDS-Project-1" TargetMode="External"/><Relationship Id="rId531" Type="http://schemas.openxmlformats.org/officeDocument/2006/relationships/hyperlink" Target="https://github.com/SuhaniDubey03/TDSGA1" TargetMode="External"/><Relationship Id="rId530" Type="http://schemas.openxmlformats.org/officeDocument/2006/relationships/hyperlink" Target="https://github.com/AMIRTHAKATESAN-M/TDS-PROJECT-1" TargetMode="External"/><Relationship Id="rId569" Type="http://schemas.openxmlformats.org/officeDocument/2006/relationships/hyperlink" Target="https://github.com/adityaraj2308/projeft1/blob/main/repositories.csv" TargetMode="External"/><Relationship Id="rId568" Type="http://schemas.openxmlformats.org/officeDocument/2006/relationships/hyperlink" Target="https://github.com/adith-ds/project1" TargetMode="External"/><Relationship Id="rId567" Type="http://schemas.openxmlformats.org/officeDocument/2006/relationships/hyperlink" Target="https://github.com/Abimanyu-A-J/TDSProj1/tree/main" TargetMode="External"/><Relationship Id="rId566" Type="http://schemas.openxmlformats.org/officeDocument/2006/relationships/hyperlink" Target="https://github.com/zerx1307/TDS_project_1" TargetMode="External"/><Relationship Id="rId561" Type="http://schemas.openxmlformats.org/officeDocument/2006/relationships/hyperlink" Target="https://github.com/Swayamatiitm/github-user-scraper" TargetMode="External"/><Relationship Id="rId560" Type="http://schemas.openxmlformats.org/officeDocument/2006/relationships/hyperlink" Target="https://github.com/Chandra37918/IITM-TDS-Project1" TargetMode="External"/><Relationship Id="rId565" Type="http://schemas.openxmlformats.org/officeDocument/2006/relationships/hyperlink" Target="https://github.com/AbhimanyuDwivedi282/TDS-Project_1" TargetMode="External"/><Relationship Id="rId564" Type="http://schemas.openxmlformats.org/officeDocument/2006/relationships/hyperlink" Target="https://github.com/aashay-d12/TDS-Project1" TargetMode="External"/><Relationship Id="rId563" Type="http://schemas.openxmlformats.org/officeDocument/2006/relationships/hyperlink" Target="https://github.com/iitmgito/project1" TargetMode="External"/><Relationship Id="rId562" Type="http://schemas.openxmlformats.org/officeDocument/2006/relationships/hyperlink" Target="https://github.com/AbayNandhiga-iitm/tokyo-github-users" TargetMode="External"/><Relationship Id="rId558" Type="http://schemas.openxmlformats.org/officeDocument/2006/relationships/hyperlink" Target="https://github.com/Giri-Subrahmanya/23f2000573-TDS-P1" TargetMode="External"/><Relationship Id="rId557" Type="http://schemas.openxmlformats.org/officeDocument/2006/relationships/hyperlink" Target="https://github.com/PRAVINKUMAR99/mywebsite" TargetMode="External"/><Relationship Id="rId556" Type="http://schemas.openxmlformats.org/officeDocument/2006/relationships/hyperlink" Target="https://github.com/UnfairFinish/TDS-Project-1" TargetMode="External"/><Relationship Id="rId555" Type="http://schemas.openxmlformats.org/officeDocument/2006/relationships/hyperlink" Target="https://github.com/Devanshshukla090705/PRJ1_TDS" TargetMode="External"/><Relationship Id="rId559" Type="http://schemas.openxmlformats.org/officeDocument/2006/relationships/hyperlink" Target="https://github.com/ramyaarorra/tdsprojectuno" TargetMode="External"/><Relationship Id="rId550" Type="http://schemas.openxmlformats.org/officeDocument/2006/relationships/hyperlink" Target="https://github.com/Varuna08/Barcelona_users" TargetMode="External"/><Relationship Id="rId554" Type="http://schemas.openxmlformats.org/officeDocument/2006/relationships/hyperlink" Target="https://github.com/Rxhit1/TDSproj1/tree/main" TargetMode="External"/><Relationship Id="rId553" Type="http://schemas.openxmlformats.org/officeDocument/2006/relationships/hyperlink" Target="https://github.com/MANAV-py/tds_project1" TargetMode="External"/><Relationship Id="rId552" Type="http://schemas.openxmlformats.org/officeDocument/2006/relationships/hyperlink" Target="https://github.com/Ashly-06/project-1" TargetMode="External"/><Relationship Id="rId551" Type="http://schemas.openxmlformats.org/officeDocument/2006/relationships/hyperlink" Target="https://github.com/sparsh0106/TDS-P1" TargetMode="External"/><Relationship Id="rId495" Type="http://schemas.openxmlformats.org/officeDocument/2006/relationships/hyperlink" Target="https://github.com/mfzlur/tds-iitm-project1" TargetMode="External"/><Relationship Id="rId494" Type="http://schemas.openxmlformats.org/officeDocument/2006/relationships/hyperlink" Target="https://github.com/IITM-007/Project1/tree/main" TargetMode="External"/><Relationship Id="rId493" Type="http://schemas.openxmlformats.org/officeDocument/2006/relationships/hyperlink" Target="https://github.com/ManuIITM-Coder/MOSCOW-50" TargetMode="External"/><Relationship Id="rId492" Type="http://schemas.openxmlformats.org/officeDocument/2006/relationships/hyperlink" Target="https://github.com/MAUK9086/TDS_Project1" TargetMode="External"/><Relationship Id="rId499" Type="http://schemas.openxmlformats.org/officeDocument/2006/relationships/hyperlink" Target="https://github.com/Kushagra-IITM/TDS1_23f1001963" TargetMode="External"/><Relationship Id="rId498" Type="http://schemas.openxmlformats.org/officeDocument/2006/relationships/hyperlink" Target="https://github.com/amittkulkarni/tds-project-1" TargetMode="External"/><Relationship Id="rId497" Type="http://schemas.openxmlformats.org/officeDocument/2006/relationships/hyperlink" Target="https://github.com/akulbansal1/TDS_Project_1" TargetMode="External"/><Relationship Id="rId496" Type="http://schemas.openxmlformats.org/officeDocument/2006/relationships/hyperlink" Target="https://github.com/Omkar-pawar1/TDS-PROJECT-1" TargetMode="External"/><Relationship Id="rId409" Type="http://schemas.openxmlformats.org/officeDocument/2006/relationships/hyperlink" Target="https://github.com/vazemon/TDS_Project1" TargetMode="External"/><Relationship Id="rId404" Type="http://schemas.openxmlformats.org/officeDocument/2006/relationships/hyperlink" Target="https://github.com/sanchit-in/sydney-github-users" TargetMode="External"/><Relationship Id="rId403" Type="http://schemas.openxmlformats.org/officeDocument/2006/relationships/hyperlink" Target="https://github.com/Akif29/TDS-Project-1" TargetMode="External"/><Relationship Id="rId402" Type="http://schemas.openxmlformats.org/officeDocument/2006/relationships/hyperlink" Target="https://github.com/Anupama-Manjunath/22f3003253_tdsPA1" TargetMode="External"/><Relationship Id="rId401" Type="http://schemas.openxmlformats.org/officeDocument/2006/relationships/hyperlink" Target="https://github.com/tanishka-26saxena/Tokyo-200" TargetMode="External"/><Relationship Id="rId408" Type="http://schemas.openxmlformats.org/officeDocument/2006/relationships/hyperlink" Target="https://github.com/amitkrajput08/IITM_TDS_PROJECT1" TargetMode="External"/><Relationship Id="rId407" Type="http://schemas.openxmlformats.org/officeDocument/2006/relationships/hyperlink" Target="https://github.com/Alge199/TDS-Project-1" TargetMode="External"/><Relationship Id="rId406" Type="http://schemas.openxmlformats.org/officeDocument/2006/relationships/hyperlink" Target="https://github.com/23ds1000051/tds_project_1" TargetMode="External"/><Relationship Id="rId405" Type="http://schemas.openxmlformats.org/officeDocument/2006/relationships/hyperlink" Target="https://github.com/srishtyAg19/Moscow-50" TargetMode="External"/><Relationship Id="rId400" Type="http://schemas.openxmlformats.org/officeDocument/2006/relationships/hyperlink" Target="https://github.com/sanskar-gupta206/TDS_P1" TargetMode="External"/><Relationship Id="rId469" Type="http://schemas.openxmlformats.org/officeDocument/2006/relationships/hyperlink" Target="https://github.com/Gajanan09/GithubAustinUsers" TargetMode="External"/><Relationship Id="rId468" Type="http://schemas.openxmlformats.org/officeDocument/2006/relationships/hyperlink" Target="https://github.com/swaraj753/Project-1" TargetMode="External"/><Relationship Id="rId467" Type="http://schemas.openxmlformats.org/officeDocument/2006/relationships/hyperlink" Target="https://github.com/mdnabeelmn10/TDS_Project1_23f1001173" TargetMode="External"/><Relationship Id="rId462" Type="http://schemas.openxmlformats.org/officeDocument/2006/relationships/hyperlink" Target="https://github.com/AgRhIaTnRtAy/Proj1.git" TargetMode="External"/><Relationship Id="rId461" Type="http://schemas.openxmlformats.org/officeDocument/2006/relationships/hyperlink" Target="https://github.com/AlakhyaIITM/proj1" TargetMode="External"/><Relationship Id="rId460" Type="http://schemas.openxmlformats.org/officeDocument/2006/relationships/hyperlink" Target="https://github.com/Anvitha-Reddy-132218/TDS_Assignment" TargetMode="External"/><Relationship Id="rId466" Type="http://schemas.openxmlformats.org/officeDocument/2006/relationships/hyperlink" Target="https://github.com/23f1001172/melbourne-users-data" TargetMode="External"/><Relationship Id="rId465" Type="http://schemas.openxmlformats.org/officeDocument/2006/relationships/hyperlink" Target="https://github.com/hamees-sayed/tds-project" TargetMode="External"/><Relationship Id="rId464" Type="http://schemas.openxmlformats.org/officeDocument/2006/relationships/hyperlink" Target="https://github.com/Aadil-Iqbal1729/TDS_Project-1" TargetMode="External"/><Relationship Id="rId463" Type="http://schemas.openxmlformats.org/officeDocument/2006/relationships/hyperlink" Target="https://github.com/51Hypers/TDS_Project_1" TargetMode="External"/><Relationship Id="rId459" Type="http://schemas.openxmlformats.org/officeDocument/2006/relationships/hyperlink" Target="https://github.com/Irshadanwar/berlin-200-users-repositories" TargetMode="External"/><Relationship Id="rId458" Type="http://schemas.openxmlformats.org/officeDocument/2006/relationships/hyperlink" Target="https://github.com/AryanThakur-123/TDS-Project-1" TargetMode="External"/><Relationship Id="rId457" Type="http://schemas.openxmlformats.org/officeDocument/2006/relationships/hyperlink" Target="https://github.com/rohit0490/tdsp1" TargetMode="External"/><Relationship Id="rId456" Type="http://schemas.openxmlformats.org/officeDocument/2006/relationships/hyperlink" Target="https://github.com/hardikshub01/TDS-Project-1" TargetMode="External"/><Relationship Id="rId451" Type="http://schemas.openxmlformats.org/officeDocument/2006/relationships/hyperlink" Target="https://github.com/23f1000647/tds-project-1" TargetMode="External"/><Relationship Id="rId450" Type="http://schemas.openxmlformats.org/officeDocument/2006/relationships/hyperlink" Target="https://github.com/shanukmr123/TDS_Project1/" TargetMode="External"/><Relationship Id="rId455" Type="http://schemas.openxmlformats.org/officeDocument/2006/relationships/hyperlink" Target="https://github.com/harikrishnan51688/TDS_Project_1" TargetMode="External"/><Relationship Id="rId454" Type="http://schemas.openxmlformats.org/officeDocument/2006/relationships/hyperlink" Target="https://github.com/jagrutiitm/tdsproject1" TargetMode="External"/><Relationship Id="rId453" Type="http://schemas.openxmlformats.org/officeDocument/2006/relationships/hyperlink" Target="https://github.com/23f1000698/proj1" TargetMode="External"/><Relationship Id="rId452" Type="http://schemas.openxmlformats.org/officeDocument/2006/relationships/hyperlink" Target="https://github.com/kamalesh-79/tdsproj/tree/main" TargetMode="External"/><Relationship Id="rId491" Type="http://schemas.openxmlformats.org/officeDocument/2006/relationships/hyperlink" Target="https://github.com/ShivamS191/hiiii" TargetMode="External"/><Relationship Id="rId490" Type="http://schemas.openxmlformats.org/officeDocument/2006/relationships/hyperlink" Target="https://github.com/Vishu-Ahlawat/tds_p1" TargetMode="External"/><Relationship Id="rId489" Type="http://schemas.openxmlformats.org/officeDocument/2006/relationships/hyperlink" Target="https://github.com/imstrk04/TDSProject_1" TargetMode="External"/><Relationship Id="rId484" Type="http://schemas.openxmlformats.org/officeDocument/2006/relationships/hyperlink" Target="https://github.com/SravanVullanki/TDSPROJECT1" TargetMode="External"/><Relationship Id="rId483" Type="http://schemas.openxmlformats.org/officeDocument/2006/relationships/hyperlink" Target="https://github.com/budhilnigam/TDS-Project1" TargetMode="External"/><Relationship Id="rId482" Type="http://schemas.openxmlformats.org/officeDocument/2006/relationships/hyperlink" Target="https://github.com/puneeth2907/TDS-Project-1" TargetMode="External"/><Relationship Id="rId481" Type="http://schemas.openxmlformats.org/officeDocument/2006/relationships/hyperlink" Target="https://github.com/Aditya647bc/tds1" TargetMode="External"/><Relationship Id="rId488" Type="http://schemas.openxmlformats.org/officeDocument/2006/relationships/hyperlink" Target="https://github.com/sky-m1618/TDS_project_1" TargetMode="External"/><Relationship Id="rId487" Type="http://schemas.openxmlformats.org/officeDocument/2006/relationships/hyperlink" Target="https://github.com/Abina-srini/TDS" TargetMode="External"/><Relationship Id="rId486" Type="http://schemas.openxmlformats.org/officeDocument/2006/relationships/hyperlink" Target="https://github.com/StuteeP/Project_1" TargetMode="External"/><Relationship Id="rId485" Type="http://schemas.openxmlformats.org/officeDocument/2006/relationships/hyperlink" Target="https://github.com/23f1001663/TDS-QUIZ-1" TargetMode="External"/><Relationship Id="rId480" Type="http://schemas.openxmlformats.org/officeDocument/2006/relationships/hyperlink" Target="https://github.com/23f1001535/Melbourne_100" TargetMode="External"/><Relationship Id="rId479" Type="http://schemas.openxmlformats.org/officeDocument/2006/relationships/hyperlink" Target="https://github.com/manojp23/TDS-Project-1" TargetMode="External"/><Relationship Id="rId478" Type="http://schemas.openxmlformats.org/officeDocument/2006/relationships/hyperlink" Target="https://github.com/PradeepIITMBS/TDS-PROJECT-1" TargetMode="External"/><Relationship Id="rId473" Type="http://schemas.openxmlformats.org/officeDocument/2006/relationships/hyperlink" Target="https://github.com/student2403/tds-project-1" TargetMode="External"/><Relationship Id="rId472" Type="http://schemas.openxmlformats.org/officeDocument/2006/relationships/hyperlink" Target="https://github.com/deepika4786/tools-for-data-science-project---1" TargetMode="External"/><Relationship Id="rId471" Type="http://schemas.openxmlformats.org/officeDocument/2006/relationships/hyperlink" Target="https://github.com/samta-web/TDS-PROJECT1" TargetMode="External"/><Relationship Id="rId470" Type="http://schemas.openxmlformats.org/officeDocument/2006/relationships/hyperlink" Target="https://github.com/rrawatt/Melbourne-100" TargetMode="External"/><Relationship Id="rId477" Type="http://schemas.openxmlformats.org/officeDocument/2006/relationships/hyperlink" Target="https://github.com/Madhu1005/tds-project1" TargetMode="External"/><Relationship Id="rId476" Type="http://schemas.openxmlformats.org/officeDocument/2006/relationships/hyperlink" Target="https://github.com/NIkhilTejaC/Project_1/tree/main" TargetMode="External"/><Relationship Id="rId475" Type="http://schemas.openxmlformats.org/officeDocument/2006/relationships/hyperlink" Target="https://github.com/1yadavsid/tds-project-1" TargetMode="External"/><Relationship Id="rId474" Type="http://schemas.openxmlformats.org/officeDocument/2006/relationships/hyperlink" Target="https://github.com/DivyamShaiv/TDS_project1" TargetMode="External"/><Relationship Id="rId426" Type="http://schemas.openxmlformats.org/officeDocument/2006/relationships/hyperlink" Target="https://github.com/Anburajasp/TDS-PROJECT-1" TargetMode="External"/><Relationship Id="rId425" Type="http://schemas.openxmlformats.org/officeDocument/2006/relationships/hyperlink" Target="https://github.com/Rajalakshmi12/IITM_Tds_Project1" TargetMode="External"/><Relationship Id="rId424" Type="http://schemas.openxmlformats.org/officeDocument/2006/relationships/hyperlink" Target="https://github.com/23ds3000139/my_TDS_P1_submission" TargetMode="External"/><Relationship Id="rId423" Type="http://schemas.openxmlformats.org/officeDocument/2006/relationships/hyperlink" Target="https://github.com/GOPIKA178/github-data-london" TargetMode="External"/><Relationship Id="rId429" Type="http://schemas.openxmlformats.org/officeDocument/2006/relationships/hyperlink" Target="https://github.com/Nupur-learns/Project1" TargetMode="External"/><Relationship Id="rId428" Type="http://schemas.openxmlformats.org/officeDocument/2006/relationships/hyperlink" Target="https://github.com/Chinni1904/TDS_Proj1" TargetMode="External"/><Relationship Id="rId427" Type="http://schemas.openxmlformats.org/officeDocument/2006/relationships/hyperlink" Target="https://github.com/manojpaul9986/tds_project1" TargetMode="External"/><Relationship Id="rId422" Type="http://schemas.openxmlformats.org/officeDocument/2006/relationships/hyperlink" Target="https://github.com/Ankit972-dotcom/sydney-github-users" TargetMode="External"/><Relationship Id="rId421" Type="http://schemas.openxmlformats.org/officeDocument/2006/relationships/hyperlink" Target="https://github.com/Stephen-iitm/Melbourne-100" TargetMode="External"/><Relationship Id="rId420" Type="http://schemas.openxmlformats.org/officeDocument/2006/relationships/hyperlink" Target="https://github.com/JaySoni77/Project-1" TargetMode="External"/><Relationship Id="rId415" Type="http://schemas.openxmlformats.org/officeDocument/2006/relationships/hyperlink" Target="https://github.com/Mv98dell/Mv/blob/33999fa40510af74122c53f73c6b8df2b53129c9/repositories.csv" TargetMode="External"/><Relationship Id="rId414" Type="http://schemas.openxmlformats.org/officeDocument/2006/relationships/hyperlink" Target="https://github.com/virajjdm1/TDS-Project-1" TargetMode="External"/><Relationship Id="rId413" Type="http://schemas.openxmlformats.org/officeDocument/2006/relationships/hyperlink" Target="https://github.com/kp-bhara/tds_proj1_stockholm_100" TargetMode="External"/><Relationship Id="rId412" Type="http://schemas.openxmlformats.org/officeDocument/2006/relationships/hyperlink" Target="https://github.com/rajakumari-sp/TDS_project1" TargetMode="External"/><Relationship Id="rId419" Type="http://schemas.openxmlformats.org/officeDocument/2006/relationships/hyperlink" Target="https://github.com/Anas007-lab/Toronto_Scraper" TargetMode="External"/><Relationship Id="rId418" Type="http://schemas.openxmlformats.org/officeDocument/2006/relationships/hyperlink" Target="https://github.com/jayasri-js/github-london-users" TargetMode="External"/><Relationship Id="rId417" Type="http://schemas.openxmlformats.org/officeDocument/2006/relationships/hyperlink" Target="https://github.com/23ds3000059/tds_project_1" TargetMode="External"/><Relationship Id="rId416" Type="http://schemas.openxmlformats.org/officeDocument/2006/relationships/hyperlink" Target="https://github.com/Kumaran-akm/tds-project1" TargetMode="External"/><Relationship Id="rId411" Type="http://schemas.openxmlformats.org/officeDocument/2006/relationships/hyperlink" Target="https://github.com/jalajverma007/tds-pj1" TargetMode="External"/><Relationship Id="rId410" Type="http://schemas.openxmlformats.org/officeDocument/2006/relationships/hyperlink" Target="https://github.com/Biray143/Project-1" TargetMode="External"/><Relationship Id="rId448" Type="http://schemas.openxmlformats.org/officeDocument/2006/relationships/hyperlink" Target="https://github.com/harshx45/tdsproj1" TargetMode="External"/><Relationship Id="rId447" Type="http://schemas.openxmlformats.org/officeDocument/2006/relationships/hyperlink" Target="https://github.com/Rivansh-Illika/TDS-ASSIGNMENT-P-1" TargetMode="External"/><Relationship Id="rId446" Type="http://schemas.openxmlformats.org/officeDocument/2006/relationships/hyperlink" Target="https://github.com/Nachiket-GORE/TDS-project-1" TargetMode="External"/><Relationship Id="rId445" Type="http://schemas.openxmlformats.org/officeDocument/2006/relationships/hyperlink" Target="https://github.com/raunak-kumar800/tds-project" TargetMode="External"/><Relationship Id="rId449" Type="http://schemas.openxmlformats.org/officeDocument/2006/relationships/hyperlink" Target="https://github.com/Ganesh002005/data_analysis_boostan" TargetMode="External"/><Relationship Id="rId440" Type="http://schemas.openxmlformats.org/officeDocument/2006/relationships/hyperlink" Target="https://github.com/Udita1122/23f1000092" TargetMode="External"/><Relationship Id="rId444" Type="http://schemas.openxmlformats.org/officeDocument/2006/relationships/hyperlink" Target="https://github.com/Tanuroy10/TdsProject" TargetMode="External"/><Relationship Id="rId443" Type="http://schemas.openxmlformats.org/officeDocument/2006/relationships/hyperlink" Target="https://github.com/itznoor998/TDS_project1" TargetMode="External"/><Relationship Id="rId442" Type="http://schemas.openxmlformats.org/officeDocument/2006/relationships/hyperlink" Target="https://github.com/sneha-singh-12345578998/TDSProj-1" TargetMode="External"/><Relationship Id="rId441" Type="http://schemas.openxmlformats.org/officeDocument/2006/relationships/hyperlink" Target="https://github.com/tarunarora6029/tdsgit" TargetMode="External"/><Relationship Id="rId437" Type="http://schemas.openxmlformats.org/officeDocument/2006/relationships/hyperlink" Target="https://github.com/231fiitm/tdsproject" TargetMode="External"/><Relationship Id="rId436" Type="http://schemas.openxmlformats.org/officeDocument/2006/relationships/hyperlink" Target="https://github.com/Your-Coder-Guy/Bengluru_Github_users.git" TargetMode="External"/><Relationship Id="rId435" Type="http://schemas.openxmlformats.org/officeDocument/2006/relationships/hyperlink" Target="https://github.com/DurgaPriyaY/proj1" TargetMode="External"/><Relationship Id="rId434" Type="http://schemas.openxmlformats.org/officeDocument/2006/relationships/hyperlink" Target="https://github.com/Saba-Usman/TDS-Project-1" TargetMode="External"/><Relationship Id="rId439" Type="http://schemas.openxmlformats.org/officeDocument/2006/relationships/hyperlink" Target="https://github.com/VaishHa/Delhi100_TDS" TargetMode="External"/><Relationship Id="rId438" Type="http://schemas.openxmlformats.org/officeDocument/2006/relationships/hyperlink" Target="https://github.com/ViratJinjala/TDS-project-1" TargetMode="External"/><Relationship Id="rId433" Type="http://schemas.openxmlformats.org/officeDocument/2006/relationships/hyperlink" Target="https://github.com/bhavin-iitm/tds-project1" TargetMode="External"/><Relationship Id="rId432" Type="http://schemas.openxmlformats.org/officeDocument/2006/relationships/hyperlink" Target="https://github.com/harinivas21/tds" TargetMode="External"/><Relationship Id="rId431" Type="http://schemas.openxmlformats.org/officeDocument/2006/relationships/hyperlink" Target="https://github.com/raghu5427/TDS_Proj_1" TargetMode="External"/><Relationship Id="rId430" Type="http://schemas.openxmlformats.org/officeDocument/2006/relationships/hyperlink" Target="https://github.com/MeenakshiIIT/Project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8" width="8.63"/>
    <col customWidth="1" min="19" max="19" width="13.63"/>
    <col customWidth="1" min="20" max="26" width="8.63"/>
  </cols>
  <sheetData>
    <row r="1">
      <c r="A1" s="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row>
    <row r="2">
      <c r="A2" s="1" t="s">
        <v>0</v>
      </c>
      <c r="B2" s="2"/>
      <c r="C2" s="2">
        <v>0.9168215578697105</v>
      </c>
      <c r="D2" s="2">
        <v>0.8043700468326297</v>
      </c>
      <c r="E2" s="2">
        <v>0.8206337598340622</v>
      </c>
      <c r="F2" s="2">
        <v>0.729598877689391</v>
      </c>
      <c r="G2" s="2">
        <v>0.7647104934395128</v>
      </c>
      <c r="H2" s="2">
        <v>0.676690486495705</v>
      </c>
      <c r="I2" s="2">
        <v>0.7693992979861415</v>
      </c>
      <c r="J2" s="2">
        <v>0.6766904864957048</v>
      </c>
      <c r="K2" s="2">
        <v>0.6981966479271252</v>
      </c>
      <c r="L2" s="2">
        <v>0.65349779260015</v>
      </c>
      <c r="M2" s="2">
        <v>0.32971342724941877</v>
      </c>
      <c r="N2" s="2">
        <v>0.3243839757379054</v>
      </c>
      <c r="O2" s="2">
        <v>0.32526479068909186</v>
      </c>
      <c r="P2" s="2">
        <v>0.3333273234290142</v>
      </c>
      <c r="Q2" s="2">
        <v>0.5149435974581459</v>
      </c>
      <c r="R2" s="2">
        <v>0.5812484979644806</v>
      </c>
      <c r="S2" s="2">
        <v>0.9223560910307899</v>
      </c>
      <c r="T2" s="2" t="s">
        <v>17</v>
      </c>
    </row>
    <row r="3">
      <c r="A3" s="1" t="s">
        <v>1</v>
      </c>
      <c r="B3" s="2">
        <v>0.9168215578697105</v>
      </c>
      <c r="C3" s="2"/>
      <c r="D3" s="2">
        <v>0.8190231560939654</v>
      </c>
      <c r="E3" s="2">
        <v>0.8062351770441704</v>
      </c>
      <c r="F3" s="2">
        <v>0.7551310952913955</v>
      </c>
      <c r="G3" s="2">
        <v>0.7639301186839915</v>
      </c>
      <c r="H3" s="2">
        <v>0.6995344676067382</v>
      </c>
      <c r="I3" s="2">
        <v>0.7828182351448081</v>
      </c>
      <c r="J3" s="2">
        <v>0.7123840077081042</v>
      </c>
      <c r="K3" s="2">
        <v>0.7221412774127977</v>
      </c>
      <c r="L3" s="2">
        <v>0.6625928667056076</v>
      </c>
      <c r="M3" s="2">
        <v>0.33147503536863393</v>
      </c>
      <c r="N3" s="2">
        <v>0.3257166776009536</v>
      </c>
      <c r="O3" s="2">
        <v>0.32666883547952763</v>
      </c>
      <c r="P3" s="2">
        <v>0.34477352489230667</v>
      </c>
      <c r="Q3" s="2">
        <v>0.5290161408232454</v>
      </c>
      <c r="R3" s="2">
        <v>0.5873969924285831</v>
      </c>
      <c r="S3" s="2">
        <v>0.9089692101740294</v>
      </c>
      <c r="T3" s="3" t="s">
        <v>18</v>
      </c>
    </row>
    <row r="4">
      <c r="A4" s="1" t="s">
        <v>2</v>
      </c>
      <c r="B4" s="2">
        <v>0.8043700468326297</v>
      </c>
      <c r="C4" s="2">
        <v>0.8190231560939654</v>
      </c>
      <c r="D4" s="2"/>
      <c r="E4" s="2">
        <v>0.7533013806769691</v>
      </c>
      <c r="F4" s="2">
        <v>0.7726796735592074</v>
      </c>
      <c r="G4" s="2">
        <v>0.7610062218019852</v>
      </c>
      <c r="H4" s="2">
        <v>0.6907212518243494</v>
      </c>
      <c r="I4" s="2">
        <v>0.778668130453926</v>
      </c>
      <c r="J4" s="2">
        <v>0.7023017427931023</v>
      </c>
      <c r="K4" s="2">
        <v>0.7378083962416119</v>
      </c>
      <c r="L4" s="2">
        <v>0.6993438564745974</v>
      </c>
      <c r="M4" s="2">
        <v>0.36761723172940625</v>
      </c>
      <c r="N4" s="2">
        <v>0.36951431583881605</v>
      </c>
      <c r="O4" s="2">
        <v>0.37059905609487775</v>
      </c>
      <c r="P4" s="2">
        <v>0.39745686621125836</v>
      </c>
      <c r="Q4" s="2">
        <v>0.6205681605398228</v>
      </c>
      <c r="R4" s="2">
        <v>0.6386447059523175</v>
      </c>
      <c r="S4" s="2">
        <v>0.8848728246318608</v>
      </c>
      <c r="T4" s="3" t="s">
        <v>19</v>
      </c>
    </row>
    <row r="5">
      <c r="A5" s="1" t="s">
        <v>3</v>
      </c>
      <c r="B5" s="2">
        <v>0.8206337598340622</v>
      </c>
      <c r="C5" s="2">
        <v>0.8062351770441704</v>
      </c>
      <c r="D5" s="2">
        <v>0.7533013806769691</v>
      </c>
      <c r="E5" s="2"/>
      <c r="F5" s="2">
        <v>0.8766619939919738</v>
      </c>
      <c r="G5" s="2">
        <v>0.8933236305642118</v>
      </c>
      <c r="H5" s="2">
        <v>0.7893112101435505</v>
      </c>
      <c r="I5" s="2">
        <v>0.7569349886838557</v>
      </c>
      <c r="J5" s="2">
        <v>0.6481760930980136</v>
      </c>
      <c r="K5" s="2">
        <v>0.7305942907637477</v>
      </c>
      <c r="L5" s="2">
        <v>0.6929629026345889</v>
      </c>
      <c r="M5" s="2">
        <v>0.37601171879628353</v>
      </c>
      <c r="N5" s="2">
        <v>0.37813982864061674</v>
      </c>
      <c r="O5" s="2">
        <v>0.37063288112403026</v>
      </c>
      <c r="P5" s="2">
        <v>0.3459721784544598</v>
      </c>
      <c r="Q5" s="2">
        <v>0.6075745430783182</v>
      </c>
      <c r="R5" s="2">
        <v>0.6016930465220143</v>
      </c>
      <c r="S5" s="2">
        <v>0.8888888888888888</v>
      </c>
      <c r="T5" s="3" t="s">
        <v>20</v>
      </c>
    </row>
    <row r="6">
      <c r="A6" s="1" t="s">
        <v>4</v>
      </c>
      <c r="B6" s="2">
        <v>0.729598877689391</v>
      </c>
      <c r="C6" s="2">
        <v>0.7551310952913955</v>
      </c>
      <c r="D6" s="2">
        <v>0.7726796735592074</v>
      </c>
      <c r="E6" s="2">
        <v>0.8766619939919738</v>
      </c>
      <c r="F6" s="2"/>
      <c r="G6" s="2">
        <v>0.8718005592411979</v>
      </c>
      <c r="H6" s="2">
        <v>0.7767788214484623</v>
      </c>
      <c r="I6" s="2">
        <v>0.7593280104010558</v>
      </c>
      <c r="J6" s="2">
        <v>0.6691330475500472</v>
      </c>
      <c r="K6" s="2">
        <v>0.7479201725705705</v>
      </c>
      <c r="L6" s="2">
        <v>0.7169863218099297</v>
      </c>
      <c r="M6" s="2">
        <v>0.389020661521931</v>
      </c>
      <c r="N6" s="2">
        <v>0.40537598024860233</v>
      </c>
      <c r="O6" s="2">
        <v>0.39872289582922515</v>
      </c>
      <c r="P6" s="2">
        <v>0.4017556014234462</v>
      </c>
      <c r="Q6" s="2">
        <v>0.6328605701865218</v>
      </c>
      <c r="R6" s="2">
        <v>0.6503201029746568</v>
      </c>
      <c r="S6" s="2">
        <v>0.8634538152610441</v>
      </c>
      <c r="T6" s="3" t="s">
        <v>21</v>
      </c>
    </row>
    <row r="7">
      <c r="A7" s="1" t="s">
        <v>5</v>
      </c>
      <c r="B7" s="2">
        <v>0.7647104934395128</v>
      </c>
      <c r="C7" s="2">
        <v>0.7639301186839915</v>
      </c>
      <c r="D7" s="2">
        <v>0.7610062218019852</v>
      </c>
      <c r="E7" s="2">
        <v>0.8933236305642118</v>
      </c>
      <c r="F7" s="2">
        <v>0.8718005592411979</v>
      </c>
      <c r="G7" s="2"/>
      <c r="H7" s="2">
        <v>0.7734536802738916</v>
      </c>
      <c r="I7" s="2">
        <v>0.737168553126111</v>
      </c>
      <c r="J7" s="2">
        <v>0.6508653597197182</v>
      </c>
      <c r="K7" s="2">
        <v>0.7421668276979686</v>
      </c>
      <c r="L7" s="2">
        <v>0.702204566425322</v>
      </c>
      <c r="M7" s="2">
        <v>0.39046806282595153</v>
      </c>
      <c r="N7" s="2">
        <v>0.391700579661804</v>
      </c>
      <c r="O7" s="2">
        <v>0.3765918980290018</v>
      </c>
      <c r="P7" s="2">
        <v>0.3543831811135074</v>
      </c>
      <c r="Q7" s="2">
        <v>0.6167567210370031</v>
      </c>
      <c r="R7" s="2">
        <v>0.638879842790599</v>
      </c>
      <c r="S7" s="2">
        <v>0.8741633199464525</v>
      </c>
      <c r="T7" s="3" t="s">
        <v>22</v>
      </c>
    </row>
    <row r="8">
      <c r="A8" s="1" t="s">
        <v>6</v>
      </c>
      <c r="B8" s="2">
        <v>0.676690486495705</v>
      </c>
      <c r="C8" s="2">
        <v>0.6995344676067382</v>
      </c>
      <c r="D8" s="2">
        <v>0.6907212518243494</v>
      </c>
      <c r="E8" s="2">
        <v>0.7893112101435505</v>
      </c>
      <c r="F8" s="2">
        <v>0.7767788214484623</v>
      </c>
      <c r="G8" s="2">
        <v>0.7734536802738916</v>
      </c>
      <c r="H8" s="2"/>
      <c r="I8" s="2">
        <v>0.7563535692508468</v>
      </c>
      <c r="J8" s="2">
        <v>0.6121919230559032</v>
      </c>
      <c r="K8" s="2">
        <v>0.6458477837694235</v>
      </c>
      <c r="L8" s="2">
        <v>0.6468060691648099</v>
      </c>
      <c r="M8" s="2">
        <v>0.4201676949323889</v>
      </c>
      <c r="N8" s="2">
        <v>0.4049835732818286</v>
      </c>
      <c r="O8" s="2">
        <v>0.40626253907843757</v>
      </c>
      <c r="P8" s="2">
        <v>0.32838308293828183</v>
      </c>
      <c r="Q8" s="2">
        <v>0.6140478017845704</v>
      </c>
      <c r="R8" s="2">
        <v>0.581463142446832</v>
      </c>
      <c r="S8" s="2">
        <v>0.8447121820615796</v>
      </c>
      <c r="T8" s="3" t="s">
        <v>23</v>
      </c>
    </row>
    <row r="9">
      <c r="A9" s="1" t="s">
        <v>7</v>
      </c>
      <c r="B9" s="2">
        <v>0.7693992979861415</v>
      </c>
      <c r="C9" s="2">
        <v>0.7828182351448081</v>
      </c>
      <c r="D9" s="2">
        <v>0.778668130453926</v>
      </c>
      <c r="E9" s="2">
        <v>0.7569349886838557</v>
      </c>
      <c r="F9" s="2">
        <v>0.7593280104010558</v>
      </c>
      <c r="G9" s="2">
        <v>0.737168553126111</v>
      </c>
      <c r="H9" s="2">
        <v>0.7563535692508468</v>
      </c>
      <c r="I9" s="2"/>
      <c r="J9" s="2">
        <v>0.7115712511570499</v>
      </c>
      <c r="K9" s="2">
        <v>0.712932863729359</v>
      </c>
      <c r="L9" s="2">
        <v>0.6853637597422408</v>
      </c>
      <c r="M9" s="2">
        <v>0.3794776230476612</v>
      </c>
      <c r="N9" s="2">
        <v>0.38080614169098015</v>
      </c>
      <c r="O9" s="2">
        <v>0.38193850720513994</v>
      </c>
      <c r="P9" s="2">
        <v>0.3677281105744433</v>
      </c>
      <c r="Q9" s="2">
        <v>0.5744682284934757</v>
      </c>
      <c r="R9" s="2">
        <v>0.6032494286050952</v>
      </c>
      <c r="S9" s="2">
        <v>0.8755020080321285</v>
      </c>
      <c r="T9" s="3" t="s">
        <v>24</v>
      </c>
    </row>
    <row r="10">
      <c r="A10" s="1" t="s">
        <v>8</v>
      </c>
      <c r="B10" s="2">
        <v>0.6766904864957048</v>
      </c>
      <c r="C10" s="2">
        <v>0.7123840077081042</v>
      </c>
      <c r="D10" s="2">
        <v>0.7023017427931023</v>
      </c>
      <c r="E10" s="2">
        <v>0.6481760930980136</v>
      </c>
      <c r="F10" s="2">
        <v>0.6691330475500472</v>
      </c>
      <c r="G10" s="2">
        <v>0.6508653597197182</v>
      </c>
      <c r="H10" s="2">
        <v>0.6121919230559032</v>
      </c>
      <c r="I10" s="2">
        <v>0.7115712511570499</v>
      </c>
      <c r="J10" s="2"/>
      <c r="K10" s="2">
        <v>0.6458477837694235</v>
      </c>
      <c r="L10" s="2">
        <v>0.6368398122822578</v>
      </c>
      <c r="M10" s="2">
        <v>0.39035597236553427</v>
      </c>
      <c r="N10" s="2">
        <v>0.3752296781019395</v>
      </c>
      <c r="O10" s="2">
        <v>0.3839403120869509</v>
      </c>
      <c r="P10" s="2">
        <v>0.35077420108057766</v>
      </c>
      <c r="Q10" s="2">
        <v>0.5362635542124002</v>
      </c>
      <c r="R10" s="2">
        <v>0.5814631424468322</v>
      </c>
      <c r="S10" s="2">
        <v>0.8447121820615796</v>
      </c>
      <c r="T10" s="3" t="s">
        <v>25</v>
      </c>
    </row>
    <row r="11">
      <c r="A11" s="1" t="s">
        <v>9</v>
      </c>
      <c r="B11" s="2">
        <v>0.6981966479271252</v>
      </c>
      <c r="C11" s="2">
        <v>0.7221412774127977</v>
      </c>
      <c r="D11" s="2">
        <v>0.7378083962416119</v>
      </c>
      <c r="E11" s="2">
        <v>0.7305942907637477</v>
      </c>
      <c r="F11" s="2">
        <v>0.7479201725705705</v>
      </c>
      <c r="G11" s="2">
        <v>0.7421668276979686</v>
      </c>
      <c r="H11" s="2">
        <v>0.6458477837694235</v>
      </c>
      <c r="I11" s="2">
        <v>0.712932863729359</v>
      </c>
      <c r="J11" s="2">
        <v>0.6458477837694235</v>
      </c>
      <c r="K11" s="2"/>
      <c r="L11" s="2">
        <v>0.8035597260964686</v>
      </c>
      <c r="M11" s="2">
        <v>0.39606212615552583</v>
      </c>
      <c r="N11" s="2">
        <v>0.39617930531268547</v>
      </c>
      <c r="O11" s="2">
        <v>0.3974199951574711</v>
      </c>
      <c r="P11" s="2">
        <v>0.4087564150709431</v>
      </c>
      <c r="Q11" s="2">
        <v>0.5431994660929078</v>
      </c>
      <c r="R11" s="2">
        <v>0.5677906113383743</v>
      </c>
      <c r="S11" s="2">
        <v>0.8527443105756358</v>
      </c>
      <c r="T11" s="3" t="s">
        <v>26</v>
      </c>
    </row>
    <row r="12">
      <c r="A12" s="1" t="s">
        <v>10</v>
      </c>
      <c r="B12" s="2">
        <v>0.65349779260015</v>
      </c>
      <c r="C12" s="2">
        <v>0.6625928667056076</v>
      </c>
      <c r="D12" s="2">
        <v>0.6993438564745974</v>
      </c>
      <c r="E12" s="2">
        <v>0.6929629026345889</v>
      </c>
      <c r="F12" s="2">
        <v>0.7169863218099297</v>
      </c>
      <c r="G12" s="2">
        <v>0.702204566425322</v>
      </c>
      <c r="H12" s="2">
        <v>0.6468060691648099</v>
      </c>
      <c r="I12" s="2">
        <v>0.6853637597422408</v>
      </c>
      <c r="J12" s="2">
        <v>0.6368398122822578</v>
      </c>
      <c r="K12" s="2">
        <v>0.8035597260964686</v>
      </c>
      <c r="L12" s="2"/>
      <c r="M12" s="2">
        <v>0.4171976197797957</v>
      </c>
      <c r="N12" s="2">
        <v>0.4092117646068913</v>
      </c>
      <c r="O12" s="2">
        <v>0.4177993566712276</v>
      </c>
      <c r="P12" s="2">
        <v>0.44446769244303397</v>
      </c>
      <c r="Q12" s="2">
        <v>0.5769779394032427</v>
      </c>
      <c r="R12" s="2">
        <v>0.5823201644518975</v>
      </c>
      <c r="S12" s="2">
        <v>0.8353413654618473</v>
      </c>
      <c r="T12" s="3" t="s">
        <v>27</v>
      </c>
    </row>
    <row r="13">
      <c r="A13" s="1" t="s">
        <v>11</v>
      </c>
      <c r="B13" s="2">
        <v>0.32971342724941877</v>
      </c>
      <c r="C13" s="2">
        <v>0.33147503536863393</v>
      </c>
      <c r="D13" s="2">
        <v>0.36761723172940625</v>
      </c>
      <c r="E13" s="2">
        <v>0.37601171879628353</v>
      </c>
      <c r="F13" s="2">
        <v>0.389020661521931</v>
      </c>
      <c r="G13" s="2">
        <v>0.39046806282595153</v>
      </c>
      <c r="H13" s="2">
        <v>0.4201676949323889</v>
      </c>
      <c r="I13" s="2">
        <v>0.3794776230476612</v>
      </c>
      <c r="J13" s="2">
        <v>0.39035597236553427</v>
      </c>
      <c r="K13" s="2">
        <v>0.39606212615552583</v>
      </c>
      <c r="L13" s="2">
        <v>0.4171976197797957</v>
      </c>
      <c r="M13" s="2"/>
      <c r="N13" s="2">
        <v>0.8208693925395824</v>
      </c>
      <c r="O13" s="2">
        <v>0.8071895063518645</v>
      </c>
      <c r="P13" s="2">
        <v>0.42774109202554966</v>
      </c>
      <c r="Q13" s="2">
        <v>0.44462919256313277</v>
      </c>
      <c r="R13" s="2">
        <v>0.432149852111592</v>
      </c>
      <c r="S13" s="2">
        <v>0.5635876840696118</v>
      </c>
      <c r="T13" s="3" t="s">
        <v>28</v>
      </c>
    </row>
    <row r="14">
      <c r="A14" s="1" t="s">
        <v>12</v>
      </c>
      <c r="B14" s="2">
        <v>0.3243839757379054</v>
      </c>
      <c r="C14" s="2">
        <v>0.3257166776009536</v>
      </c>
      <c r="D14" s="2">
        <v>0.36951431583881605</v>
      </c>
      <c r="E14" s="2">
        <v>0.37813982864061674</v>
      </c>
      <c r="F14" s="2">
        <v>0.40537598024860233</v>
      </c>
      <c r="G14" s="2">
        <v>0.391700579661804</v>
      </c>
      <c r="H14" s="2">
        <v>0.4049835732818286</v>
      </c>
      <c r="I14" s="2">
        <v>0.38080614169098015</v>
      </c>
      <c r="J14" s="2">
        <v>0.3752296781019395</v>
      </c>
      <c r="K14" s="2">
        <v>0.39617930531268547</v>
      </c>
      <c r="L14" s="2">
        <v>0.4092117646068913</v>
      </c>
      <c r="M14" s="2">
        <v>0.8208693925395824</v>
      </c>
      <c r="N14" s="2"/>
      <c r="O14" s="2">
        <v>0.9213652434326701</v>
      </c>
      <c r="P14" s="2">
        <v>0.4128414597403321</v>
      </c>
      <c r="Q14" s="2">
        <v>0.46615618337805376</v>
      </c>
      <c r="R14" s="2">
        <v>0.4367267871768251</v>
      </c>
      <c r="S14" s="2">
        <v>0.5555555555555556</v>
      </c>
      <c r="T14" s="3" t="s">
        <v>29</v>
      </c>
    </row>
    <row r="15">
      <c r="A15" s="1" t="s">
        <v>13</v>
      </c>
      <c r="B15" s="2">
        <v>0.32526479068909186</v>
      </c>
      <c r="C15" s="2">
        <v>0.32666883547952763</v>
      </c>
      <c r="D15" s="2">
        <v>0.37059905609487775</v>
      </c>
      <c r="E15" s="2">
        <v>0.37063288112403026</v>
      </c>
      <c r="F15" s="2">
        <v>0.39872289582922515</v>
      </c>
      <c r="G15" s="2">
        <v>0.3765918980290018</v>
      </c>
      <c r="H15" s="2">
        <v>0.40626253907843757</v>
      </c>
      <c r="I15" s="2">
        <v>0.38193850720513994</v>
      </c>
      <c r="J15" s="2">
        <v>0.3839403120869509</v>
      </c>
      <c r="K15" s="2">
        <v>0.3974199951574711</v>
      </c>
      <c r="L15" s="2">
        <v>0.4177993566712276</v>
      </c>
      <c r="M15" s="2">
        <v>0.8071895063518645</v>
      </c>
      <c r="N15" s="2">
        <v>0.9213652434326701</v>
      </c>
      <c r="O15" s="2"/>
      <c r="P15" s="2">
        <v>0.4098713303037429</v>
      </c>
      <c r="Q15" s="2">
        <v>0.4426114249448726</v>
      </c>
      <c r="R15" s="2">
        <v>0.4179732245504009</v>
      </c>
      <c r="S15" s="2">
        <v>0.5568942436412316</v>
      </c>
      <c r="T15" s="3" t="s">
        <v>30</v>
      </c>
    </row>
    <row r="16">
      <c r="A16" s="1" t="s">
        <v>14</v>
      </c>
      <c r="B16" s="2">
        <v>0.3333273234290142</v>
      </c>
      <c r="C16" s="2">
        <v>0.34477352489230667</v>
      </c>
      <c r="D16" s="2">
        <v>0.39745686621125836</v>
      </c>
      <c r="E16" s="2">
        <v>0.3459721784544598</v>
      </c>
      <c r="F16" s="2">
        <v>0.4017556014234462</v>
      </c>
      <c r="G16" s="2">
        <v>0.3543831811135074</v>
      </c>
      <c r="H16" s="2">
        <v>0.32838308293828183</v>
      </c>
      <c r="I16" s="2">
        <v>0.3677281105744433</v>
      </c>
      <c r="J16" s="2">
        <v>0.35077420108057766</v>
      </c>
      <c r="K16" s="2">
        <v>0.4087564150709431</v>
      </c>
      <c r="L16" s="2">
        <v>0.44446769244303397</v>
      </c>
      <c r="M16" s="2">
        <v>0.42774109202554966</v>
      </c>
      <c r="N16" s="2">
        <v>0.4128414597403321</v>
      </c>
      <c r="O16" s="2">
        <v>0.4098713303037429</v>
      </c>
      <c r="P16" s="2"/>
      <c r="Q16" s="2">
        <v>0.39447736295444485</v>
      </c>
      <c r="R16" s="2">
        <v>0.41787761912503935</v>
      </c>
      <c r="S16" s="2">
        <v>0.5689424364123159</v>
      </c>
      <c r="T16" s="3" t="s">
        <v>31</v>
      </c>
    </row>
    <row r="17">
      <c r="A17" s="1" t="s">
        <v>15</v>
      </c>
      <c r="B17" s="2">
        <v>0.5149435974581459</v>
      </c>
      <c r="C17" s="2">
        <v>0.5290161408232454</v>
      </c>
      <c r="D17" s="2">
        <v>0.6205681605398228</v>
      </c>
      <c r="E17" s="2">
        <v>0.6075745430783182</v>
      </c>
      <c r="F17" s="2">
        <v>0.6328605701865218</v>
      </c>
      <c r="G17" s="2">
        <v>0.6167567210370031</v>
      </c>
      <c r="H17" s="2">
        <v>0.6140478017845704</v>
      </c>
      <c r="I17" s="2">
        <v>0.5744682284934757</v>
      </c>
      <c r="J17" s="2">
        <v>0.5362635542124002</v>
      </c>
      <c r="K17" s="2">
        <v>0.5431994660929078</v>
      </c>
      <c r="L17" s="2">
        <v>0.5769779394032427</v>
      </c>
      <c r="M17" s="2">
        <v>0.44462919256313277</v>
      </c>
      <c r="N17" s="2">
        <v>0.46615618337805376</v>
      </c>
      <c r="O17" s="2">
        <v>0.4426114249448726</v>
      </c>
      <c r="P17" s="2">
        <v>0.39447736295444485</v>
      </c>
      <c r="Q17" s="2"/>
      <c r="R17" s="2">
        <v>0.5569248747852082</v>
      </c>
      <c r="S17" s="2">
        <v>0.7590361445783133</v>
      </c>
      <c r="T17" s="3" t="s">
        <v>32</v>
      </c>
    </row>
    <row r="18">
      <c r="A18" s="1" t="s">
        <v>16</v>
      </c>
      <c r="B18" s="2">
        <v>0.5812484979644806</v>
      </c>
      <c r="C18" s="2">
        <v>0.5873969924285831</v>
      </c>
      <c r="D18" s="2">
        <v>0.6386447059523175</v>
      </c>
      <c r="E18" s="2">
        <v>0.6016930465220143</v>
      </c>
      <c r="F18" s="2">
        <v>0.6503201029746568</v>
      </c>
      <c r="G18" s="2">
        <v>0.638879842790599</v>
      </c>
      <c r="H18" s="2">
        <v>0.581463142446832</v>
      </c>
      <c r="I18" s="2">
        <v>0.6032494286050952</v>
      </c>
      <c r="J18" s="2">
        <v>0.5814631424468322</v>
      </c>
      <c r="K18" s="2">
        <v>0.5677906113383743</v>
      </c>
      <c r="L18" s="2">
        <v>0.5823201644518975</v>
      </c>
      <c r="M18" s="2">
        <v>0.432149852111592</v>
      </c>
      <c r="N18" s="2">
        <v>0.4367267871768251</v>
      </c>
      <c r="O18" s="2">
        <v>0.4179732245504009</v>
      </c>
      <c r="P18" s="2">
        <v>0.41787761912503935</v>
      </c>
      <c r="Q18" s="2">
        <v>0.5569248747852082</v>
      </c>
      <c r="R18" s="2"/>
      <c r="S18" s="2">
        <v>0.8005354752342704</v>
      </c>
      <c r="T18" s="3" t="s">
        <v>33</v>
      </c>
    </row>
    <row r="21" ht="15.75" customHeight="1">
      <c r="B21" s="3" t="s">
        <v>34</v>
      </c>
      <c r="C21" s="3" t="s">
        <v>35</v>
      </c>
    </row>
    <row r="22" ht="15.75" customHeight="1">
      <c r="B22" s="3">
        <f>0</f>
        <v>0</v>
      </c>
      <c r="C22" s="3">
        <f>COUNTIF(data!B:B,correlation!B22)</f>
        <v>58</v>
      </c>
    </row>
    <row r="23" ht="15.75" customHeight="1">
      <c r="B23" s="3">
        <v>1.0</v>
      </c>
      <c r="C23" s="3">
        <f>COUNTIF(data!B:B,correlation!B23)</f>
        <v>2</v>
      </c>
    </row>
    <row r="24" ht="15.75" customHeight="1">
      <c r="B24" s="3">
        <v>2.0</v>
      </c>
      <c r="C24" s="3">
        <f>COUNTIF(data!B:B,correlation!B24)</f>
        <v>4</v>
      </c>
    </row>
    <row r="25" ht="15.75" customHeight="1">
      <c r="B25" s="3">
        <v>3.0</v>
      </c>
      <c r="C25" s="3">
        <f>COUNTIF(data!B:B,correlation!B25)</f>
        <v>4</v>
      </c>
    </row>
    <row r="26" ht="15.75" customHeight="1">
      <c r="B26" s="3">
        <v>4.0</v>
      </c>
      <c r="C26" s="3">
        <f>COUNTIF(data!B:B,correlation!B26)</f>
        <v>3</v>
      </c>
    </row>
    <row r="27" ht="15.75" customHeight="1">
      <c r="B27" s="3">
        <v>5.0</v>
      </c>
      <c r="C27" s="3">
        <f>COUNTIF(data!B:B,correlation!B27)</f>
        <v>4</v>
      </c>
    </row>
    <row r="28" ht="15.75" customHeight="1">
      <c r="B28" s="3">
        <v>6.0</v>
      </c>
      <c r="C28" s="3">
        <f>COUNTIF(data!B:B,correlation!B28)</f>
        <v>7</v>
      </c>
    </row>
    <row r="29" ht="15.75" customHeight="1">
      <c r="B29" s="3">
        <v>7.0</v>
      </c>
      <c r="C29" s="3">
        <f>COUNTIF(data!B:B,correlation!B29)</f>
        <v>5</v>
      </c>
    </row>
    <row r="30" ht="15.75" customHeight="1">
      <c r="B30" s="3">
        <v>8.0</v>
      </c>
      <c r="C30" s="3">
        <f>COUNTIF(data!B:B,correlation!B30)</f>
        <v>6</v>
      </c>
    </row>
    <row r="31" ht="15.75" customHeight="1">
      <c r="B31" s="3">
        <v>9.0</v>
      </c>
      <c r="C31" s="3">
        <f>COUNTIF(data!B:B,correlation!B31)</f>
        <v>13</v>
      </c>
    </row>
    <row r="32" ht="15.75" customHeight="1">
      <c r="B32" s="3">
        <v>10.0</v>
      </c>
      <c r="C32" s="3">
        <f>COUNTIF(data!B:B,correlation!B32)</f>
        <v>15</v>
      </c>
    </row>
    <row r="33" ht="15.75" customHeight="1">
      <c r="B33" s="3">
        <v>11.0</v>
      </c>
      <c r="C33" s="3">
        <f>COUNTIF(data!B:B,correlation!B33)</f>
        <v>26</v>
      </c>
    </row>
    <row r="34" ht="15.75" customHeight="1">
      <c r="B34" s="3">
        <v>12.0</v>
      </c>
      <c r="C34" s="3">
        <f>COUNTIF(data!B:B,correlation!B34)</f>
        <v>35</v>
      </c>
    </row>
    <row r="35" ht="15.75" customHeight="1">
      <c r="B35" s="3">
        <v>13.0</v>
      </c>
      <c r="C35" s="3">
        <f>COUNTIF(data!B:B,correlation!B35)</f>
        <v>84</v>
      </c>
    </row>
    <row r="36" ht="15.75" customHeight="1">
      <c r="B36" s="3">
        <v>14.0</v>
      </c>
      <c r="C36" s="3">
        <f>COUNTIF(data!B:B,correlation!B36)</f>
        <v>72</v>
      </c>
    </row>
    <row r="37" ht="15.75" customHeight="1">
      <c r="B37" s="3">
        <v>15.0</v>
      </c>
      <c r="C37" s="3">
        <f>COUNTIF(data!B:B,correlation!B37)</f>
        <v>47</v>
      </c>
    </row>
    <row r="38" ht="15.75" customHeight="1">
      <c r="B38" s="3">
        <v>16.0</v>
      </c>
      <c r="C38" s="3">
        <f>COUNTIF(data!B:B,correlation!B38)</f>
        <v>101</v>
      </c>
    </row>
    <row r="39" ht="15.75" customHeight="1">
      <c r="B39" s="3">
        <v>17.0</v>
      </c>
      <c r="C39" s="3">
        <f>COUNTIF(data!B:B,correlation!B39)</f>
        <v>261</v>
      </c>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2:R18">
    <cfRule type="colorScale" priority="1">
      <colorScale>
        <cfvo type="min"/>
        <cfvo type="percentile" val="50"/>
        <cfvo type="max"/>
        <color rgb="FFF8696B"/>
        <color rgb="FFFFEB84"/>
        <color rgb="FF63BE7B"/>
      </colorScale>
    </cfRule>
  </conditionalFormatting>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41.75"/>
    <col customWidth="1" min="6" max="6" width="40.0"/>
  </cols>
  <sheetData>
    <row r="1">
      <c r="A1" s="3" t="str">
        <f>IFERROR(__xludf.DUMMYFUNCTION("IMPORTRANGE(""https://docs.google.com/spreadsheets/d/1xdvLWwNANMgGsL0A1pVDKZ0jr0joVPwqMvvxhb_3z2A/edit?usp=sharing"",""Form Responses 1!A:J"")"),"Timestamp")</f>
        <v>Timestamp</v>
      </c>
      <c r="B1" s="3" t="str">
        <f>IFERROR(__xludf.DUMMYFUNCTION("""COMPUTED_VALUE"""),"Link to the 1st repo")</f>
        <v>Link to the 1st repo</v>
      </c>
      <c r="C1" s="3" t="str">
        <f>IFERROR(__xludf.DUMMYFUNCTION("""COMPUTED_VALUE"""),"How INTERESTING are the findings in the 1st repo's README?")</f>
        <v>How INTERESTING are the findings in the 1st repo's README?</v>
      </c>
      <c r="D1" s="3" t="str">
        <f>IFERROR(__xludf.DUMMYFUNCTION("""COMPUTED_VALUE"""),"How CLEAR and PROFESSIONAL is the 1st repo's code?")</f>
        <v>How CLEAR and PROFESSIONAL is the 1st repo's code?</v>
      </c>
      <c r="E1" s="3" t="str">
        <f>IFERROR(__xludf.DUMMYFUNCTION("""COMPUTED_VALUE"""),"Why did you provide these ratings?")</f>
        <v>Why did you provide these ratings?</v>
      </c>
      <c r="F1" s="3" t="str">
        <f>IFERROR(__xludf.DUMMYFUNCTION("""COMPUTED_VALUE"""),"Link to the 2nd repo")</f>
        <v>Link to the 2nd repo</v>
      </c>
      <c r="G1" s="3" t="str">
        <f>IFERROR(__xludf.DUMMYFUNCTION("""COMPUTED_VALUE"""),"How INTERESTING are the findings in the 2nd repo's README?")</f>
        <v>How INTERESTING are the findings in the 2nd repo's README?</v>
      </c>
      <c r="H1" s="3" t="str">
        <f>IFERROR(__xludf.DUMMYFUNCTION("""COMPUTED_VALUE"""),"How CLEAR and PROFESSIONAL is the 2nd repo's code?")</f>
        <v>How CLEAR and PROFESSIONAL is the 2nd repo's code?</v>
      </c>
      <c r="I1" s="3" t="str">
        <f>IFERROR(__xludf.DUMMYFUNCTION("""COMPUTED_VALUE"""),"Why did you provide these ratings?")</f>
        <v>Why did you provide these ratings?</v>
      </c>
      <c r="J1" s="3" t="str">
        <f>IFERROR(__xludf.DUMMYFUNCTION("""COMPUTED_VALUE"""),"Email Address")</f>
        <v>Email Address</v>
      </c>
      <c r="K1" s="4" t="s">
        <v>36</v>
      </c>
      <c r="L1" s="4" t="s">
        <v>37</v>
      </c>
    </row>
    <row r="2">
      <c r="A2" s="3">
        <f>IFERROR(__xludf.DUMMYFUNCTION("""COMPUTED_VALUE"""),45598.47487310185)</f>
        <v>45598.47487</v>
      </c>
      <c r="B2" s="3" t="str">
        <f>IFERROR(__xludf.DUMMYFUNCTION("""COMPUTED_VALUE"""),"dfdaf")</f>
        <v>dfdaf</v>
      </c>
      <c r="C2" s="3">
        <f>IFERROR(__xludf.DUMMYFUNCTION("""COMPUTED_VALUE"""),3.0)</f>
        <v>3</v>
      </c>
      <c r="D2" s="3">
        <f>IFERROR(__xludf.DUMMYFUNCTION("""COMPUTED_VALUE"""),3.0)</f>
        <v>3</v>
      </c>
      <c r="E2" s="3" t="str">
        <f>IFERROR(__xludf.DUMMYFUNCTION("""COMPUTED_VALUE"""),"sdsds al skdfsldkfj sldkjfls kdjfksdj lfskjdf")</f>
        <v>sdsds al skdfsldkfj sldkjfls kdjfksdj lfskjdf</v>
      </c>
      <c r="F2" s="3" t="str">
        <f>IFERROR(__xludf.DUMMYFUNCTION("""COMPUTED_VALUE"""),"fdfd")</f>
        <v>fdfd</v>
      </c>
      <c r="G2" s="3">
        <f>IFERROR(__xludf.DUMMYFUNCTION("""COMPUTED_VALUE"""),4.0)</f>
        <v>4</v>
      </c>
      <c r="H2" s="3">
        <f>IFERROR(__xludf.DUMMYFUNCTION("""COMPUTED_VALUE"""),5.0)</f>
        <v>5</v>
      </c>
      <c r="I2" s="3" t="str">
        <f>IFERROR(__xludf.DUMMYFUNCTION("""COMPUTED_VALUE"""),"df dfsdfs df sd fsdf sdf sdfsdfsdf")</f>
        <v>df dfsdfs df sd fsdf sdf sdfsdfsdf</v>
      </c>
      <c r="J2" s="3"/>
    </row>
    <row r="3">
      <c r="A3" s="3">
        <f>IFERROR(__xludf.DUMMYFUNCTION("""COMPUTED_VALUE"""),45598.49002387731)</f>
        <v>45598.49002</v>
      </c>
      <c r="B3" s="5" t="str">
        <f>IFERROR(__xludf.DUMMYFUNCTION("""COMPUTED_VALUE"""),"https://github.com/22f1001786-iitm/-Shanghai-200")</f>
        <v>https://github.com/22f1001786-iitm/-Shanghai-200</v>
      </c>
      <c r="C3" s="3">
        <f>IFERROR(__xludf.DUMMYFUNCTION("""COMPUTED_VALUE"""),8.0)</f>
        <v>8</v>
      </c>
      <c r="D3" s="3">
        <f>IFERROR(__xludf.DUMMYFUNCTION("""COMPUTED_VALUE"""),8.0)</f>
        <v>8</v>
      </c>
      <c r="E3" s="3" t="str">
        <f>IFERROR(__xludf.DUMMYFUNCTION("""COMPUTED_VALUE"""),"The repo has Readme and code with three bullet points needed with all the necessary information ")</f>
        <v>The repo has Readme and code with three bullet points needed with all the necessary information </v>
      </c>
      <c r="F3" s="5" t="str">
        <f>IFERROR(__xludf.DUMMYFUNCTION("""COMPUTED_VALUE"""),"https://github.com/surbhi553/Toronto100")</f>
        <v>https://github.com/surbhi553/Toronto100</v>
      </c>
      <c r="G3" s="3">
        <f>IFERROR(__xludf.DUMMYFUNCTION("""COMPUTED_VALUE"""),0.0)</f>
        <v>0</v>
      </c>
      <c r="H3" s="3">
        <f>IFERROR(__xludf.DUMMYFUNCTION("""COMPUTED_VALUE"""),0.0)</f>
        <v>0</v>
      </c>
      <c r="I3" s="3" t="str">
        <f>IFERROR(__xludf.DUMMYFUNCTION("""COMPUTED_VALUE"""),"there is no Readme file or any code")</f>
        <v>there is no Readme file or any code</v>
      </c>
      <c r="J3" s="3" t="str">
        <f>IFERROR(__xludf.DUMMYFUNCTION("""COMPUTED_VALUE"""),"22f2000169@ds.study.iitm.ac.in")</f>
        <v>22f2000169@ds.study.iitm.ac.in</v>
      </c>
      <c r="K3" s="3" t="str">
        <f t="shared" ref="K3:K573" si="1">J3&amp;B3</f>
        <v>22f2000169@ds.study.iitm.ac.inhttps://github.com/22f1001786-iitm/-Shanghai-200</v>
      </c>
      <c r="L3" s="3" t="str">
        <f t="shared" ref="L3:L573" si="2">J3&amp;F3</f>
        <v>22f2000169@ds.study.iitm.ac.inhttps://github.com/surbhi553/Toronto100</v>
      </c>
    </row>
    <row r="4">
      <c r="A4" s="3">
        <f>IFERROR(__xludf.DUMMYFUNCTION("""COMPUTED_VALUE"""),45598.502121412035)</f>
        <v>45598.50212</v>
      </c>
      <c r="B4" s="5" t="str">
        <f>IFERROR(__xludf.DUMMYFUNCTION("""COMPUTED_VALUE"""),"https://github.com/jarin2503/tds-project-1")</f>
        <v>https://github.com/jarin2503/tds-project-1</v>
      </c>
      <c r="C4" s="3">
        <f>IFERROR(__xludf.DUMMYFUNCTION("""COMPUTED_VALUE"""),10.0)</f>
        <v>10</v>
      </c>
      <c r="D4" s="3">
        <f>IFERROR(__xludf.DUMMYFUNCTION("""COMPUTED_VALUE"""),0.0)</f>
        <v>0</v>
      </c>
      <c r="E4" s="3" t="str">
        <f>IFERROR(__xludf.DUMMYFUNCTION("""COMPUTED_VALUE"""),"README: Seems candidate had put some efforts on Project
code: There's no code")</f>
        <v>README: Seems candidate had put some efforts on Project
code: There's no code</v>
      </c>
      <c r="F4" s="5" t="str">
        <f>IFERROR(__xludf.DUMMYFUNCTION("""COMPUTED_VALUE"""),"https://github.com/Akashkansal/TDS_Project1")</f>
        <v>https://github.com/Akashkansal/TDS_Project1</v>
      </c>
      <c r="G4" s="3">
        <f>IFERROR(__xludf.DUMMYFUNCTION("""COMPUTED_VALUE"""),10.0)</f>
        <v>10</v>
      </c>
      <c r="H4" s="3">
        <f>IFERROR(__xludf.DUMMYFUNCTION("""COMPUTED_VALUE"""),10.0)</f>
        <v>10</v>
      </c>
      <c r="I4" s="3" t="str">
        <f>IFERROR(__xludf.DUMMYFUNCTION("""COMPUTED_VALUE"""),"README: Seems candidate had put some efforts on Project
code: Very clear and elegant")</f>
        <v>README: Seems candidate had put some efforts on Project
code: Very clear and elegant</v>
      </c>
      <c r="J4" s="3" t="str">
        <f>IFERROR(__xludf.DUMMYFUNCTION("""COMPUTED_VALUE"""),"22ds2000035@ds.study.iitm.ac.in")</f>
        <v>22ds2000035@ds.study.iitm.ac.in</v>
      </c>
      <c r="K4" s="3" t="str">
        <f t="shared" si="1"/>
        <v>22ds2000035@ds.study.iitm.ac.inhttps://github.com/jarin2503/tds-project-1</v>
      </c>
      <c r="L4" s="3" t="str">
        <f t="shared" si="2"/>
        <v>22ds2000035@ds.study.iitm.ac.inhttps://github.com/Akashkansal/TDS_Project1</v>
      </c>
    </row>
    <row r="5">
      <c r="A5" s="3">
        <f>IFERROR(__xludf.DUMMYFUNCTION("""COMPUTED_VALUE"""),45598.502461701384)</f>
        <v>45598.50246</v>
      </c>
      <c r="B5" s="5" t="str">
        <f>IFERROR(__xludf.DUMMYFUNCTION("""COMPUTED_VALUE"""),"https://github.com/budhilnigam/TDS-Project1")</f>
        <v>https://github.com/budhilnigam/TDS-Project1</v>
      </c>
      <c r="C5" s="3">
        <f>IFERROR(__xludf.DUMMYFUNCTION("""COMPUTED_VALUE"""),10.0)</f>
        <v>10</v>
      </c>
      <c r="D5" s="3">
        <f>IFERROR(__xludf.DUMMYFUNCTION("""COMPUTED_VALUE"""),0.0)</f>
        <v>0</v>
      </c>
      <c r="E5" s="3" t="str">
        <f>IFERROR(__xludf.DUMMYFUNCTION("""COMPUTED_VALUE"""),"Readme file explains about the findings and results very clearly .
There was no code file . ")</f>
        <v>Readme file explains about the findings and results very clearly .
There was no code file . </v>
      </c>
      <c r="F5" s="5" t="str">
        <f>IFERROR(__xludf.DUMMYFUNCTION("""COMPUTED_VALUE"""),"https://github.com/Synchrotron-21/tds-project-1")</f>
        <v>https://github.com/Synchrotron-21/tds-project-1</v>
      </c>
      <c r="G5" s="3">
        <f>IFERROR(__xludf.DUMMYFUNCTION("""COMPUTED_VALUE"""),10.0)</f>
        <v>10</v>
      </c>
      <c r="H5" s="3">
        <f>IFERROR(__xludf.DUMMYFUNCTION("""COMPUTED_VALUE"""),0.0)</f>
        <v>0</v>
      </c>
      <c r="I5" s="3" t="str">
        <f>IFERROR(__xludf.DUMMYFUNCTION("""COMPUTED_VALUE"""),"Readme file explains about the findings and results very clearly .
There was no code file . ")</f>
        <v>Readme file explains about the findings and results very clearly .
There was no code file . </v>
      </c>
      <c r="J5" s="3" t="str">
        <f>IFERROR(__xludf.DUMMYFUNCTION("""COMPUTED_VALUE"""),"22f1001615@ds.study.iitm.ac.in")</f>
        <v>22f1001615@ds.study.iitm.ac.in</v>
      </c>
      <c r="K5" s="3" t="str">
        <f t="shared" si="1"/>
        <v>22f1001615@ds.study.iitm.ac.inhttps://github.com/budhilnigam/TDS-Project1</v>
      </c>
      <c r="L5" s="3" t="str">
        <f t="shared" si="2"/>
        <v>22f1001615@ds.study.iitm.ac.inhttps://github.com/Synchrotron-21/tds-project-1</v>
      </c>
    </row>
    <row r="6">
      <c r="A6" s="3">
        <f>IFERROR(__xludf.DUMMYFUNCTION("""COMPUTED_VALUE"""),45598.516713414356)</f>
        <v>45598.51671</v>
      </c>
      <c r="B6" s="5" t="str">
        <f>IFERROR(__xludf.DUMMYFUNCTION("""COMPUTED_VALUE"""),"https://github.com/IIT-JRV/IIT/tree/main")</f>
        <v>https://github.com/IIT-JRV/IIT/tree/main</v>
      </c>
      <c r="C6" s="3">
        <f>IFERROR(__xludf.DUMMYFUNCTION("""COMPUTED_VALUE"""),10.0)</f>
        <v>10</v>
      </c>
      <c r="D6" s="3">
        <f>IFERROR(__xludf.DUMMYFUNCTION("""COMPUTED_VALUE"""),4.0)</f>
        <v>4</v>
      </c>
      <c r="E6" s="3" t="str">
        <f>IFERROR(__xludf.DUMMYFUNCTION("""COMPUTED_VALUE"""),"I was impressed with Readme, but there was not any code mentioned. The repositories were listed well.")</f>
        <v>I was impressed with Readme, but there was not any code mentioned. The repositories were listed well.</v>
      </c>
      <c r="F6" s="5" t="str">
        <f>IFERROR(__xludf.DUMMYFUNCTION("""COMPUTED_VALUE"""),"https://github.com/Ashly-06/project-1")</f>
        <v>https://github.com/Ashly-06/project-1</v>
      </c>
      <c r="G6" s="3">
        <f>IFERROR(__xludf.DUMMYFUNCTION("""COMPUTED_VALUE"""),8.0)</f>
        <v>8</v>
      </c>
      <c r="H6" s="3">
        <f>IFERROR(__xludf.DUMMYFUNCTION("""COMPUTED_VALUE"""),4.0)</f>
        <v>4</v>
      </c>
      <c r="I6" s="3" t="str">
        <f>IFERROR(__xludf.DUMMYFUNCTION("""COMPUTED_VALUE"""),"There was not any code mentioned. The repositories were listed.")</f>
        <v>There was not any code mentioned. The repositories were listed.</v>
      </c>
      <c r="J6" s="3" t="str">
        <f>IFERROR(__xludf.DUMMYFUNCTION("""COMPUTED_VALUE"""),"23f1001992@ds.study.iitm.ac.in")</f>
        <v>23f1001992@ds.study.iitm.ac.in</v>
      </c>
      <c r="K6" s="3" t="str">
        <f t="shared" si="1"/>
        <v>23f1001992@ds.study.iitm.ac.inhttps://github.com/IIT-JRV/IIT/tree/main</v>
      </c>
      <c r="L6" s="3" t="str">
        <f t="shared" si="2"/>
        <v>23f1001992@ds.study.iitm.ac.inhttps://github.com/Ashly-06/project-1</v>
      </c>
    </row>
    <row r="7">
      <c r="A7" s="3">
        <f>IFERROR(__xludf.DUMMYFUNCTION("""COMPUTED_VALUE"""),45598.51954530092)</f>
        <v>45598.51955</v>
      </c>
      <c r="B7" s="5" t="str">
        <f>IFERROR(__xludf.DUMMYFUNCTION("""COMPUTED_VALUE"""),"https://github.com/sh-yamm/TDS-1")</f>
        <v>https://github.com/sh-yamm/TDS-1</v>
      </c>
      <c r="C7" s="3">
        <f>IFERROR(__xludf.DUMMYFUNCTION("""COMPUTED_VALUE"""),10.0)</f>
        <v>10</v>
      </c>
      <c r="D7" s="3">
        <f>IFERROR(__xludf.DUMMYFUNCTION("""COMPUTED_VALUE"""),10.0)</f>
        <v>10</v>
      </c>
      <c r="E7" s="3" t="str">
        <f>IFERROR(__xludf.DUMMYFUNCTION("""COMPUTED_VALUE"""),"I learnt something interesting and repo is very clear and elegant.")</f>
        <v>I learnt something interesting and repo is very clear and elegant.</v>
      </c>
      <c r="F7" s="5" t="str">
        <f>IFERROR(__xludf.DUMMYFUNCTION("""COMPUTED_VALUE"""),"https://github.com/sage-devv/TDS-Project-1")</f>
        <v>https://github.com/sage-devv/TDS-Project-1</v>
      </c>
      <c r="G7" s="3">
        <f>IFERROR(__xludf.DUMMYFUNCTION("""COMPUTED_VALUE"""),10.0)</f>
        <v>10</v>
      </c>
      <c r="H7" s="3">
        <f>IFERROR(__xludf.DUMMYFUNCTION("""COMPUTED_VALUE"""),10.0)</f>
        <v>10</v>
      </c>
      <c r="I7" s="3" t="str">
        <f>IFERROR(__xludf.DUMMYFUNCTION("""COMPUTED_VALUE"""),"I learnt something interesting and repo is very clear and elegant.")</f>
        <v>I learnt something interesting and repo is very clear and elegant.</v>
      </c>
      <c r="J7" s="3" t="str">
        <f>IFERROR(__xludf.DUMMYFUNCTION("""COMPUTED_VALUE"""),"21f3000834@ds.study.iitm.ac.in")</f>
        <v>21f3000834@ds.study.iitm.ac.in</v>
      </c>
      <c r="K7" s="3" t="str">
        <f t="shared" si="1"/>
        <v>21f3000834@ds.study.iitm.ac.inhttps://github.com/sh-yamm/TDS-1</v>
      </c>
      <c r="L7" s="3" t="str">
        <f t="shared" si="2"/>
        <v>21f3000834@ds.study.iitm.ac.inhttps://github.com/sage-devv/TDS-Project-1</v>
      </c>
    </row>
    <row r="8">
      <c r="A8" s="3">
        <f>IFERROR(__xludf.DUMMYFUNCTION("""COMPUTED_VALUE"""),45598.52802118055)</f>
        <v>45598.52802</v>
      </c>
      <c r="B8" s="5" t="str">
        <f>IFERROR(__xludf.DUMMYFUNCTION("""COMPUTED_VALUE"""),"https://github.com/Alizalily/TDS_Project1")</f>
        <v>https://github.com/Alizalily/TDS_Project1</v>
      </c>
      <c r="C8" s="3">
        <f>IFERROR(__xludf.DUMMYFUNCTION("""COMPUTED_VALUE"""),10.0)</f>
        <v>10</v>
      </c>
      <c r="D8" s="3">
        <f>IFERROR(__xludf.DUMMYFUNCTION("""COMPUTED_VALUE"""),10.0)</f>
        <v>10</v>
      </c>
      <c r="E8" s="3" t="str">
        <f>IFERROR(__xludf.DUMMYFUNCTION("""COMPUTED_VALUE"""),"It contains everything that is needed.and it was good")</f>
        <v>It contains everything that is needed.and it was good</v>
      </c>
      <c r="F8" s="5" t="str">
        <f>IFERROR(__xludf.DUMMYFUNCTION("""COMPUTED_VALUE"""),"https://github.com/Prajchin/TDS_P1")</f>
        <v>https://github.com/Prajchin/TDS_P1</v>
      </c>
      <c r="G8" s="3">
        <f>IFERROR(__xludf.DUMMYFUNCTION("""COMPUTED_VALUE"""),10.0)</f>
        <v>10</v>
      </c>
      <c r="H8" s="3">
        <f>IFERROR(__xludf.DUMMYFUNCTION("""COMPUTED_VALUE"""),10.0)</f>
        <v>10</v>
      </c>
      <c r="I8" s="3" t="str">
        <f>IFERROR(__xludf.DUMMYFUNCTION("""COMPUTED_VALUE"""),"It contains everything that is needed. It was good")</f>
        <v>It contains everything that is needed. It was good</v>
      </c>
      <c r="J8" s="3" t="str">
        <f>IFERROR(__xludf.DUMMYFUNCTION("""COMPUTED_VALUE"""),"21f3001800@ds.study.iitm.ac.in")</f>
        <v>21f3001800@ds.study.iitm.ac.in</v>
      </c>
      <c r="K8" s="3" t="str">
        <f t="shared" si="1"/>
        <v>21f3001800@ds.study.iitm.ac.inhttps://github.com/Alizalily/TDS_Project1</v>
      </c>
      <c r="L8" s="3" t="str">
        <f t="shared" si="2"/>
        <v>21f3001800@ds.study.iitm.ac.inhttps://github.com/Prajchin/TDS_P1</v>
      </c>
    </row>
    <row r="9">
      <c r="A9" s="3">
        <f>IFERROR(__xludf.DUMMYFUNCTION("""COMPUTED_VALUE"""),45598.53788053241)</f>
        <v>45598.53788</v>
      </c>
      <c r="B9" s="5" t="str">
        <f>IFERROR(__xludf.DUMMYFUNCTION("""COMPUTED_VALUE"""),"https://github.com/Aniruddha017/TDSproject1")</f>
        <v>https://github.com/Aniruddha017/TDSproject1</v>
      </c>
      <c r="C9" s="3">
        <f>IFERROR(__xludf.DUMMYFUNCTION("""COMPUTED_VALUE"""),10.0)</f>
        <v>10</v>
      </c>
      <c r="D9" s="3">
        <f>IFERROR(__xludf.DUMMYFUNCTION("""COMPUTED_VALUE"""),0.0)</f>
        <v>0</v>
      </c>
      <c r="E9" s="3" t="str">
        <f>IFERROR(__xludf.DUMMYFUNCTION("""COMPUTED_VALUE"""),"The Readme has good recommendation and analysis")</f>
        <v>The Readme has good recommendation and analysis</v>
      </c>
      <c r="F9" s="5" t="str">
        <f>IFERROR(__xludf.DUMMYFUNCTION("""COMPUTED_VALUE"""),"https://github.com/23f1002051/TDS_Project_1")</f>
        <v>https://github.com/23f1002051/TDS_Project_1</v>
      </c>
      <c r="G9" s="3">
        <f>IFERROR(__xludf.DUMMYFUNCTION("""COMPUTED_VALUE"""),10.0)</f>
        <v>10</v>
      </c>
      <c r="H9" s="3">
        <f>IFERROR(__xludf.DUMMYFUNCTION("""COMPUTED_VALUE"""),10.0)</f>
        <v>10</v>
      </c>
      <c r="I9" s="3" t="str">
        <f>IFERROR(__xludf.DUMMYFUNCTION("""COMPUTED_VALUE"""),"The code is clear and elegant and also the Readme has good enough analysis")</f>
        <v>The code is clear and elegant and also the Readme has good enough analysis</v>
      </c>
      <c r="J9" s="3" t="str">
        <f>IFERROR(__xludf.DUMMYFUNCTION("""COMPUTED_VALUE"""),"23f1002049@ds.study.iitm.ac.in")</f>
        <v>23f1002049@ds.study.iitm.ac.in</v>
      </c>
      <c r="K9" s="3" t="str">
        <f t="shared" si="1"/>
        <v>23f1002049@ds.study.iitm.ac.inhttps://github.com/Aniruddha017/TDSproject1</v>
      </c>
      <c r="L9" s="3" t="str">
        <f t="shared" si="2"/>
        <v>23f1002049@ds.study.iitm.ac.inhttps://github.com/23f1002051/TDS_Project_1</v>
      </c>
    </row>
    <row r="10">
      <c r="A10" s="3">
        <f>IFERROR(__xludf.DUMMYFUNCTION("""COMPUTED_VALUE"""),45598.54322547454)</f>
        <v>45598.54323</v>
      </c>
      <c r="B10" s="5" t="str">
        <f>IFERROR(__xludf.DUMMYFUNCTION("""COMPUTED_VALUE"""),"https://github.com/ViratJinjala/TDS-project-1")</f>
        <v>https://github.com/ViratJinjala/TDS-project-1</v>
      </c>
      <c r="C10" s="3">
        <f>IFERROR(__xludf.DUMMYFUNCTION("""COMPUTED_VALUE"""),0.0)</f>
        <v>0</v>
      </c>
      <c r="D10" s="3">
        <f>IFERROR(__xludf.DUMMYFUNCTION("""COMPUTED_VALUE"""),10.0)</f>
        <v>10</v>
      </c>
      <c r="E10" s="3" t="str">
        <f>IFERROR(__xludf.DUMMYFUNCTION("""COMPUTED_VALUE"""),"The code was very well written but their was no readme")</f>
        <v>The code was very well written but their was no readme</v>
      </c>
      <c r="F10" s="5" t="str">
        <f>IFERROR(__xludf.DUMMYFUNCTION("""COMPUTED_VALUE"""),"https://github.com/anantdev123/Project1")</f>
        <v>https://github.com/anantdev123/Project1</v>
      </c>
      <c r="G10" s="3">
        <f>IFERROR(__xludf.DUMMYFUNCTION("""COMPUTED_VALUE"""),10.0)</f>
        <v>10</v>
      </c>
      <c r="H10" s="3">
        <f>IFERROR(__xludf.DUMMYFUNCTION("""COMPUTED_VALUE"""),10.0)</f>
        <v>10</v>
      </c>
      <c r="I10" s="3" t="str">
        <f>IFERROR(__xludf.DUMMYFUNCTION("""COMPUTED_VALUE"""),"Very well written code and the README is very interesting.")</f>
        <v>Very well written code and the README is very interesting.</v>
      </c>
      <c r="J10" s="3" t="str">
        <f>IFERROR(__xludf.DUMMYFUNCTION("""COMPUTED_VALUE"""),"23f1000092@ds.study.iitm.ac.in")</f>
        <v>23f1000092@ds.study.iitm.ac.in</v>
      </c>
      <c r="K10" s="3" t="str">
        <f t="shared" si="1"/>
        <v>23f1000092@ds.study.iitm.ac.inhttps://github.com/ViratJinjala/TDS-project-1</v>
      </c>
      <c r="L10" s="3" t="str">
        <f t="shared" si="2"/>
        <v>23f1000092@ds.study.iitm.ac.inhttps://github.com/anantdev123/Project1</v>
      </c>
    </row>
    <row r="11">
      <c r="A11" s="3">
        <f>IFERROR(__xludf.DUMMYFUNCTION("""COMPUTED_VALUE"""),45598.588764409724)</f>
        <v>45598.58876</v>
      </c>
      <c r="B11" s="5" t="str">
        <f>IFERROR(__xludf.DUMMYFUNCTION("""COMPUTED_VALUE"""),"https://github.com/niki7777777/TDS-Project-1")</f>
        <v>https://github.com/niki7777777/TDS-Project-1</v>
      </c>
      <c r="C11" s="3">
        <f>IFERROR(__xludf.DUMMYFUNCTION("""COMPUTED_VALUE"""),7.0)</f>
        <v>7</v>
      </c>
      <c r="D11" s="3">
        <f>IFERROR(__xludf.DUMMYFUNCTION("""COMPUTED_VALUE"""),7.0)</f>
        <v>7</v>
      </c>
      <c r="E11" s="3" t="str">
        <f>IFERROR(__xludf.DUMMYFUNCTION("""COMPUTED_VALUE"""),"The findings are quite engaging and insightful, earning a rating of 7, and the code is well-organized and professionally structured, meriting a rating of 7.")</f>
        <v>The findings are quite engaging and insightful, earning a rating of 7, and the code is well-organized and professionally structured, meriting a rating of 7.</v>
      </c>
      <c r="F11" s="5" t="str">
        <f>IFERROR(__xludf.DUMMYFUNCTION("""COMPUTED_VALUE"""),"https://github.com/rohit0490/tdsp1")</f>
        <v>https://github.com/rohit0490/tdsp1</v>
      </c>
      <c r="G11" s="3">
        <f>IFERROR(__xludf.DUMMYFUNCTION("""COMPUTED_VALUE"""),8.0)</f>
        <v>8</v>
      </c>
      <c r="H11" s="3">
        <f>IFERROR(__xludf.DUMMYFUNCTION("""COMPUTED_VALUE"""),8.0)</f>
        <v>8</v>
      </c>
      <c r="I11" s="3" t="str">
        <f>IFERROR(__xludf.DUMMYFUNCTION("""COMPUTED_VALUE"""),"
The findings are very engaging and informative, rated at 8, and the code is well-organized and professionally presented, also rated at 8.")</f>
        <v>
The findings are very engaging and informative, rated at 8, and the code is well-organized and professionally presented, also rated at 8.</v>
      </c>
      <c r="J11" s="3" t="str">
        <f>IFERROR(__xludf.DUMMYFUNCTION("""COMPUTED_VALUE"""),"23f1000356@ds.study.iitm.ac.in")</f>
        <v>23f1000356@ds.study.iitm.ac.in</v>
      </c>
      <c r="K11" s="3" t="str">
        <f t="shared" si="1"/>
        <v>23f1000356@ds.study.iitm.ac.inhttps://github.com/niki7777777/TDS-Project-1</v>
      </c>
      <c r="L11" s="3" t="str">
        <f t="shared" si="2"/>
        <v>23f1000356@ds.study.iitm.ac.inhttps://github.com/rohit0490/tdsp1</v>
      </c>
    </row>
    <row r="12">
      <c r="A12" s="3">
        <f>IFERROR(__xludf.DUMMYFUNCTION("""COMPUTED_VALUE"""),45603.4213290162)</f>
        <v>45603.42133</v>
      </c>
      <c r="B12" s="5" t="str">
        <f>IFERROR(__xludf.DUMMYFUNCTION("""COMPUTED_VALUE"""),"https://github.com/aliabidi00/tds-project-1")</f>
        <v>https://github.com/aliabidi00/tds-project-1</v>
      </c>
      <c r="C12" s="3">
        <f>IFERROR(__xludf.DUMMYFUNCTION("""COMPUTED_VALUE"""),10.0)</f>
        <v>10</v>
      </c>
      <c r="D12" s="3">
        <f>IFERROR(__xludf.DUMMYFUNCTION("""COMPUTED_VALUE"""),10.0)</f>
        <v>10</v>
      </c>
      <c r="E12" s="3" t="str">
        <f>IFERROR(__xludf.DUMMYFUNCTION("""COMPUTED_VALUE"""),"Clear key findings and recommendations given for the analysis")</f>
        <v>Clear key findings and recommendations given for the analysis</v>
      </c>
      <c r="F12" s="5" t="str">
        <f>IFERROR(__xludf.DUMMYFUNCTION("""COMPUTED_VALUE"""),"https://github.com/shwetavyas12/Zurich-50")</f>
        <v>https://github.com/shwetavyas12/Zurich-50</v>
      </c>
      <c r="G12" s="3">
        <f>IFERROR(__xludf.DUMMYFUNCTION("""COMPUTED_VALUE"""),10.0)</f>
        <v>10</v>
      </c>
      <c r="H12" s="3">
        <f>IFERROR(__xludf.DUMMYFUNCTION("""COMPUTED_VALUE"""),10.0)</f>
        <v>10</v>
      </c>
      <c r="I12" s="3" t="str">
        <f>IFERROR(__xludf.DUMMYFUNCTION("""COMPUTED_VALUE"""),"Clear key findings and recommendations given for the analysis and code as well very neat and clean file.
")</f>
        <v>Clear key findings and recommendations given for the analysis and code as well very neat and clean file.
</v>
      </c>
      <c r="J12" s="3" t="str">
        <f>IFERROR(__xludf.DUMMYFUNCTION("""COMPUTED_VALUE"""),"21f2000507@ds.study.iitm.ac.in")</f>
        <v>21f2000507@ds.study.iitm.ac.in</v>
      </c>
      <c r="K12" s="3" t="str">
        <f t="shared" si="1"/>
        <v>21f2000507@ds.study.iitm.ac.inhttps://github.com/aliabidi00/tds-project-1</v>
      </c>
      <c r="L12" s="3" t="str">
        <f t="shared" si="2"/>
        <v>21f2000507@ds.study.iitm.ac.inhttps://github.com/shwetavyas12/Zurich-50</v>
      </c>
    </row>
    <row r="13">
      <c r="A13" s="3">
        <f>IFERROR(__xludf.DUMMYFUNCTION("""COMPUTED_VALUE"""),45598.611806886576)</f>
        <v>45598.61181</v>
      </c>
      <c r="B13" s="5" t="str">
        <f>IFERROR(__xludf.DUMMYFUNCTION("""COMPUTED_VALUE"""),"https://github.com/SAM8402/tds-project1")</f>
        <v>https://github.com/SAM8402/tds-project1</v>
      </c>
      <c r="C13" s="3">
        <f>IFERROR(__xludf.DUMMYFUNCTION("""COMPUTED_VALUE"""),10.0)</f>
        <v>10</v>
      </c>
      <c r="D13" s="3">
        <f>IFERROR(__xludf.DUMMYFUNCTION("""COMPUTED_VALUE"""),10.0)</f>
        <v>10</v>
      </c>
      <c r="E13" s="3" t="str">
        <f>IFERROR(__xludf.DUMMYFUNCTION("""COMPUTED_VALUE"""),"I find it very interesting and elegant ")</f>
        <v>I find it very interesting and elegant </v>
      </c>
      <c r="F13" s="5" t="str">
        <f>IFERROR(__xludf.DUMMYFUNCTION("""COMPUTED_VALUE"""),"https://github.com/Anantvats7/Tdsproject1")</f>
        <v>https://github.com/Anantvats7/Tdsproject1</v>
      </c>
      <c r="G13" s="3">
        <f>IFERROR(__xludf.DUMMYFUNCTION("""COMPUTED_VALUE"""),10.0)</f>
        <v>10</v>
      </c>
      <c r="H13" s="3">
        <f>IFERROR(__xludf.DUMMYFUNCTION("""COMPUTED_VALUE"""),10.0)</f>
        <v>10</v>
      </c>
      <c r="I13" s="3" t="str">
        <f>IFERROR(__xludf.DUMMYFUNCTION("""COMPUTED_VALUE"""),"It was very clear and found interesting ")</f>
        <v>It was very clear and found interesting </v>
      </c>
      <c r="J13" s="3" t="str">
        <f>IFERROR(__xludf.DUMMYFUNCTION("""COMPUTED_VALUE"""),"21f2000168@ds.study.iitm.ac.in")</f>
        <v>21f2000168@ds.study.iitm.ac.in</v>
      </c>
      <c r="K13" s="3" t="str">
        <f t="shared" si="1"/>
        <v>21f2000168@ds.study.iitm.ac.inhttps://github.com/SAM8402/tds-project1</v>
      </c>
      <c r="L13" s="3" t="str">
        <f t="shared" si="2"/>
        <v>21f2000168@ds.study.iitm.ac.inhttps://github.com/Anantvats7/Tdsproject1</v>
      </c>
    </row>
    <row r="14">
      <c r="A14" s="3">
        <f>IFERROR(__xludf.DUMMYFUNCTION("""COMPUTED_VALUE"""),45599.61223313658)</f>
        <v>45599.61223</v>
      </c>
      <c r="B14" s="5" t="str">
        <f>IFERROR(__xludf.DUMMYFUNCTION("""COMPUTED_VALUE"""),"https://github.com/Aishwarya-V-K/Sydney_Github_User")</f>
        <v>https://github.com/Aishwarya-V-K/Sydney_Github_User</v>
      </c>
      <c r="C14" s="3">
        <f>IFERROR(__xludf.DUMMYFUNCTION("""COMPUTED_VALUE"""),10.0)</f>
        <v>10</v>
      </c>
      <c r="D14" s="3">
        <f>IFERROR(__xludf.DUMMYFUNCTION("""COMPUTED_VALUE"""),10.0)</f>
        <v>10</v>
      </c>
      <c r="E14" s="3" t="str">
        <f>IFERROR(__xludf.DUMMYFUNCTION("""COMPUTED_VALUE"""),"There was a detailed and clear explanation for each and every point.")</f>
        <v>There was a detailed and clear explanation for each and every point.</v>
      </c>
      <c r="F14" s="5" t="str">
        <f>IFERROR(__xludf.DUMMYFUNCTION("""COMPUTED_VALUE"""),"https://github.com/SINGHALSAJAL/github_scrapped_iitm")</f>
        <v>https://github.com/SINGHALSAJAL/github_scrapped_iitm</v>
      </c>
      <c r="G14" s="3">
        <f>IFERROR(__xludf.DUMMYFUNCTION("""COMPUTED_VALUE"""),10.0)</f>
        <v>10</v>
      </c>
      <c r="H14" s="3">
        <f>IFERROR(__xludf.DUMMYFUNCTION("""COMPUTED_VALUE"""),10.0)</f>
        <v>10</v>
      </c>
      <c r="I14" s="3" t="str">
        <f>IFERROR(__xludf.DUMMYFUNCTION("""COMPUTED_VALUE"""),"It was up to the mark with brief explanation about the project.")</f>
        <v>It was up to the mark with brief explanation about the project.</v>
      </c>
      <c r="J14" s="3" t="str">
        <f>IFERROR(__xludf.DUMMYFUNCTION("""COMPUTED_VALUE"""),"23f1002450@ds.study.iitm.ac.in")</f>
        <v>23f1002450@ds.study.iitm.ac.in</v>
      </c>
      <c r="K14" s="3" t="str">
        <f t="shared" si="1"/>
        <v>23f1002450@ds.study.iitm.ac.inhttps://github.com/Aishwarya-V-K/Sydney_Github_User</v>
      </c>
      <c r="L14" s="3" t="str">
        <f t="shared" si="2"/>
        <v>23f1002450@ds.study.iitm.ac.inhttps://github.com/SINGHALSAJAL/github_scrapped_iitm</v>
      </c>
    </row>
    <row r="15">
      <c r="A15" s="3">
        <f>IFERROR(__xludf.DUMMYFUNCTION("""COMPUTED_VALUE"""),45598.61302412037)</f>
        <v>45598.61302</v>
      </c>
      <c r="B15" s="5" t="str">
        <f>IFERROR(__xludf.DUMMYFUNCTION("""COMPUTED_VALUE"""),"https://github.com/yyyzznnn/TDS-Project1")</f>
        <v>https://github.com/yyyzznnn/TDS-Project1</v>
      </c>
      <c r="C15" s="3">
        <f>IFERROR(__xludf.DUMMYFUNCTION("""COMPUTED_VALUE"""),5.0)</f>
        <v>5</v>
      </c>
      <c r="D15" s="3">
        <f>IFERROR(__xludf.DUMMYFUNCTION("""COMPUTED_VALUE"""),0.0)</f>
        <v>0</v>
      </c>
      <c r="E15" s="3" t="str">
        <f>IFERROR(__xludf.DUMMYFUNCTION("""COMPUTED_VALUE"""),"1. It has a readme file, but the content of the readme file is not relevant.
2. there is no file")</f>
        <v>1. It has a readme file, but the content of the readme file is not relevant.
2. there is no file</v>
      </c>
      <c r="F15" s="5" t="str">
        <f>IFERROR(__xludf.DUMMYFUNCTION("""COMPUTED_VALUE"""),"https://github.com/pavan-santhosh-iitm/Project1")</f>
        <v>https://github.com/pavan-santhosh-iitm/Project1</v>
      </c>
      <c r="G15" s="3">
        <f>IFERROR(__xludf.DUMMYFUNCTION("""COMPUTED_VALUE"""),10.0)</f>
        <v>10</v>
      </c>
      <c r="H15" s="3">
        <f>IFERROR(__xludf.DUMMYFUNCTION("""COMPUTED_VALUE"""),0.0)</f>
        <v>0</v>
      </c>
      <c r="I15" s="3" t="str">
        <f>IFERROR(__xludf.DUMMYFUNCTION("""COMPUTED_VALUE"""),"1. it has a readme file and the findings are also well structured 
2. there is no code file ")</f>
        <v>1. it has a readme file and the findings are also well structured 
2. there is no code file </v>
      </c>
      <c r="J15" s="3" t="str">
        <f>IFERROR(__xludf.DUMMYFUNCTION("""COMPUTED_VALUE"""),"21f3001902@ds.study.iitm.ac.in")</f>
        <v>21f3001902@ds.study.iitm.ac.in</v>
      </c>
      <c r="K15" s="3" t="str">
        <f t="shared" si="1"/>
        <v>21f3001902@ds.study.iitm.ac.inhttps://github.com/yyyzznnn/TDS-Project1</v>
      </c>
      <c r="L15" s="3" t="str">
        <f t="shared" si="2"/>
        <v>21f3001902@ds.study.iitm.ac.inhttps://github.com/pavan-santhosh-iitm/Project1</v>
      </c>
    </row>
    <row r="16">
      <c r="A16" s="3">
        <f>IFERROR(__xludf.DUMMYFUNCTION("""COMPUTED_VALUE"""),45598.61355523148)</f>
        <v>45598.61356</v>
      </c>
      <c r="B16" s="5" t="str">
        <f>IFERROR(__xludf.DUMMYFUNCTION("""COMPUTED_VALUE"""),"https://github.com/21f1006103/tds-1")</f>
        <v>https://github.com/21f1006103/tds-1</v>
      </c>
      <c r="C16" s="3">
        <f>IFERROR(__xludf.DUMMYFUNCTION("""COMPUTED_VALUE"""),0.0)</f>
        <v>0</v>
      </c>
      <c r="D16" s="3">
        <f>IFERROR(__xludf.DUMMYFUNCTION("""COMPUTED_VALUE"""),0.0)</f>
        <v>0</v>
      </c>
      <c r="E16" s="3" t="str">
        <f>IFERROR(__xludf.DUMMYFUNCTION("""COMPUTED_VALUE"""),"There is no code available in the repo. Also readme.MD file is has only one point that too not clear.")</f>
        <v>There is no code available in the repo. Also readme.MD file is has only one point that too not clear.</v>
      </c>
      <c r="F16" s="5" t="str">
        <f>IFERROR(__xludf.DUMMYFUNCTION("""COMPUTED_VALUE"""),"https://github.com/akshat-shethia/TDS-Project-1-Akshat-Shethia")</f>
        <v>https://github.com/akshat-shethia/TDS-Project-1-Akshat-Shethia</v>
      </c>
      <c r="G16" s="3">
        <f>IFERROR(__xludf.DUMMYFUNCTION("""COMPUTED_VALUE"""),10.0)</f>
        <v>10</v>
      </c>
      <c r="H16" s="3">
        <f>IFERROR(__xludf.DUMMYFUNCTION("""COMPUTED_VALUE"""),10.0)</f>
        <v>10</v>
      </c>
      <c r="I16" s="3" t="str">
        <f>IFERROR(__xludf.DUMMYFUNCTION("""COMPUTED_VALUE"""),"The Detailed jupyter notebook has been provided. Also the readme.md file is very clear professional and given the whole process of analysis. ")</f>
        <v>The Detailed jupyter notebook has been provided. Also the readme.md file is very clear professional and given the whole process of analysis. </v>
      </c>
      <c r="J16" s="3" t="str">
        <f>IFERROR(__xludf.DUMMYFUNCTION("""COMPUTED_VALUE"""),"21f1006961@ds.study.iitm.ac.in")</f>
        <v>21f1006961@ds.study.iitm.ac.in</v>
      </c>
      <c r="K16" s="3" t="str">
        <f t="shared" si="1"/>
        <v>21f1006961@ds.study.iitm.ac.inhttps://github.com/21f1006103/tds-1</v>
      </c>
      <c r="L16" s="3" t="str">
        <f t="shared" si="2"/>
        <v>21f1006961@ds.study.iitm.ac.inhttps://github.com/akshat-shethia/TDS-Project-1-Akshat-Shethia</v>
      </c>
    </row>
    <row r="17">
      <c r="A17" s="3">
        <f>IFERROR(__xludf.DUMMYFUNCTION("""COMPUTED_VALUE"""),45598.614332893514)</f>
        <v>45598.61433</v>
      </c>
      <c r="B17" s="5" t="str">
        <f>IFERROR(__xludf.DUMMYFUNCTION("""COMPUTED_VALUE"""),"https://github.com/IITM-AnandK/AK-Project-Shanghai-200-Followers")</f>
        <v>https://github.com/IITM-AnandK/AK-Project-Shanghai-200-Followers</v>
      </c>
      <c r="C17" s="3">
        <f>IFERROR(__xludf.DUMMYFUNCTION("""COMPUTED_VALUE"""),10.0)</f>
        <v>10</v>
      </c>
      <c r="D17" s="3">
        <f>IFERROR(__xludf.DUMMYFUNCTION("""COMPUTED_VALUE"""),10.0)</f>
        <v>10</v>
      </c>
      <c r="E17" s="3" t="str">
        <f>IFERROR(__xludf.DUMMYFUNCTION("""COMPUTED_VALUE"""),"He has given a precise explanation of the process he has performed. Also Readme file has many interesting facts. Also the code was well mentioned. ")</f>
        <v>He has given a precise explanation of the process he has performed. Also Readme file has many interesting facts. Also the code was well mentioned. </v>
      </c>
      <c r="F17" s="5" t="str">
        <f>IFERROR(__xludf.DUMMYFUNCTION("""COMPUTED_VALUE"""),"https://github.com/devansh-dotcom/tdsproject1-")</f>
        <v>https://github.com/devansh-dotcom/tdsproject1-</v>
      </c>
      <c r="G17" s="3">
        <f>IFERROR(__xludf.DUMMYFUNCTION("""COMPUTED_VALUE"""),8.0)</f>
        <v>8</v>
      </c>
      <c r="H17" s="3">
        <f>IFERROR(__xludf.DUMMYFUNCTION("""COMPUTED_VALUE"""),8.0)</f>
        <v>8</v>
      </c>
      <c r="I17" s="3" t="str">
        <f>IFERROR(__xludf.DUMMYFUNCTION("""COMPUTED_VALUE"""),"All required informations are published in the repository. ")</f>
        <v>All required informations are published in the repository. </v>
      </c>
      <c r="J17" s="3" t="str">
        <f>IFERROR(__xludf.DUMMYFUNCTION("""COMPUTED_VALUE"""),"21f3003136@ds.study.iitm.ac.in")</f>
        <v>21f3003136@ds.study.iitm.ac.in</v>
      </c>
      <c r="K17" s="3" t="str">
        <f t="shared" si="1"/>
        <v>21f3003136@ds.study.iitm.ac.inhttps://github.com/IITM-AnandK/AK-Project-Shanghai-200-Followers</v>
      </c>
      <c r="L17" s="3" t="str">
        <f t="shared" si="2"/>
        <v>21f3003136@ds.study.iitm.ac.inhttps://github.com/devansh-dotcom/tdsproject1-</v>
      </c>
    </row>
    <row r="18">
      <c r="A18" s="3">
        <f>IFERROR(__xludf.DUMMYFUNCTION("""COMPUTED_VALUE"""),45600.86443775463)</f>
        <v>45600.86444</v>
      </c>
      <c r="B18" s="5" t="str">
        <f>IFERROR(__xludf.DUMMYFUNCTION("""COMPUTED_VALUE"""),"https://github.com/S23fVK/tdsProj1")</f>
        <v>https://github.com/S23fVK/tdsProj1</v>
      </c>
      <c r="C18" s="3">
        <f>IFERROR(__xludf.DUMMYFUNCTION("""COMPUTED_VALUE"""),10.0)</f>
        <v>10</v>
      </c>
      <c r="D18" s="3">
        <f>IFERROR(__xludf.DUMMYFUNCTION("""COMPUTED_VALUE"""),10.0)</f>
        <v>10</v>
      </c>
      <c r="E18" s="3" t="str">
        <f>IFERROR(__xludf.DUMMYFUNCTION("""COMPUTED_VALUE"""),"as per his github repo code is clear and also reame file is there analysis is good as well as recommendations .")</f>
        <v>as per his github repo code is clear and also reame file is there analysis is good as well as recommendations .</v>
      </c>
      <c r="F18" s="5" t="str">
        <f>IFERROR(__xludf.DUMMYFUNCTION("""COMPUTED_VALUE"""),"https://github.com/ritikjha7/tds-project-1")</f>
        <v>https://github.com/ritikjha7/tds-project-1</v>
      </c>
      <c r="G18" s="3">
        <f>IFERROR(__xludf.DUMMYFUNCTION("""COMPUTED_VALUE"""),10.0)</f>
        <v>10</v>
      </c>
      <c r="H18" s="3">
        <f>IFERROR(__xludf.DUMMYFUNCTION("""COMPUTED_VALUE"""),10.0)</f>
        <v>10</v>
      </c>
      <c r="I18" s="3" t="str">
        <f>IFERROR(__xludf.DUMMYFUNCTION("""COMPUTED_VALUE"""),"excellent work done by him in his code repo..impressive ")</f>
        <v>excellent work done by him in his code repo..impressive </v>
      </c>
      <c r="J18" s="3" t="str">
        <f>IFERROR(__xludf.DUMMYFUNCTION("""COMPUTED_VALUE"""),"21f3000896@ds.study.iitm.ac.in")</f>
        <v>21f3000896@ds.study.iitm.ac.in</v>
      </c>
      <c r="K18" s="3" t="str">
        <f t="shared" si="1"/>
        <v>21f3000896@ds.study.iitm.ac.inhttps://github.com/S23fVK/tdsProj1</v>
      </c>
      <c r="L18" s="3" t="str">
        <f t="shared" si="2"/>
        <v>21f3000896@ds.study.iitm.ac.inhttps://github.com/ritikjha7/tds-project-1</v>
      </c>
    </row>
    <row r="19">
      <c r="A19" s="3">
        <f>IFERROR(__xludf.DUMMYFUNCTION("""COMPUTED_VALUE"""),45598.62114314815)</f>
        <v>45598.62114</v>
      </c>
      <c r="B19" s="5" t="str">
        <f>IFERROR(__xludf.DUMMYFUNCTION("""COMPUTED_VALUE"""),"https://github.com/SaarthakMaini/tds_project_1/")</f>
        <v>https://github.com/SaarthakMaini/tds_project_1/</v>
      </c>
      <c r="C19" s="3">
        <f>IFERROR(__xludf.DUMMYFUNCTION("""COMPUTED_VALUE"""),8.0)</f>
        <v>8</v>
      </c>
      <c r="D19" s="3">
        <f>IFERROR(__xludf.DUMMYFUNCTION("""COMPUTED_VALUE"""),10.0)</f>
        <v>10</v>
      </c>
      <c r="E19" s="3" t="str">
        <f>IFERROR(__xludf.DUMMYFUNCTION("""COMPUTED_VALUE"""),"Everything look goods, but in Readme file Interesting fact and recommendation is need to be improved more.")</f>
        <v>Everything look goods, but in Readme file Interesting fact and recommendation is need to be improved more.</v>
      </c>
      <c r="F19" s="5" t="str">
        <f>IFERROR(__xludf.DUMMYFUNCTION("""COMPUTED_VALUE"""),"https://github.com/404aalu/tds-project1")</f>
        <v>https://github.com/404aalu/tds-project1</v>
      </c>
      <c r="G19" s="3">
        <f>IFERROR(__xludf.DUMMYFUNCTION("""COMPUTED_VALUE"""),0.0)</f>
        <v>0</v>
      </c>
      <c r="H19" s="3">
        <f>IFERROR(__xludf.DUMMYFUNCTION("""COMPUTED_VALUE"""),0.0)</f>
        <v>0</v>
      </c>
      <c r="I19" s="3" t="str">
        <f>IFERROR(__xludf.DUMMYFUNCTION("""COMPUTED_VALUE"""),"no interesting observation and no code is found in repository.")</f>
        <v>no interesting observation and no code is found in repository.</v>
      </c>
      <c r="J19" s="3" t="str">
        <f>IFERROR(__xludf.DUMMYFUNCTION("""COMPUTED_VALUE"""),"22f1001105@ds.study.iitm.ac.in")</f>
        <v>22f1001105@ds.study.iitm.ac.in</v>
      </c>
      <c r="K19" s="3" t="str">
        <f t="shared" si="1"/>
        <v>22f1001105@ds.study.iitm.ac.inhttps://github.com/SaarthakMaini/tds_project_1/</v>
      </c>
      <c r="L19" s="3" t="str">
        <f t="shared" si="2"/>
        <v>22f1001105@ds.study.iitm.ac.inhttps://github.com/404aalu/tds-project1</v>
      </c>
    </row>
    <row r="20">
      <c r="A20" s="3">
        <f>IFERROR(__xludf.DUMMYFUNCTION("""COMPUTED_VALUE"""),45598.63056780092)</f>
        <v>45598.63057</v>
      </c>
      <c r="B20" s="5" t="str">
        <f>IFERROR(__xludf.DUMMYFUNCTION("""COMPUTED_VALUE"""),"https://github.com/loki1512/TDS-Project-1")</f>
        <v>https://github.com/loki1512/TDS-Project-1</v>
      </c>
      <c r="C20" s="3">
        <f>IFERROR(__xludf.DUMMYFUNCTION("""COMPUTED_VALUE"""),10.0)</f>
        <v>10</v>
      </c>
      <c r="D20" s="3">
        <f>IFERROR(__xludf.DUMMYFUNCTION("""COMPUTED_VALUE"""),10.0)</f>
        <v>10</v>
      </c>
      <c r="E20" s="3" t="str">
        <f>IFERROR(__xludf.DUMMYFUNCTION("""COMPUTED_VALUE"""),"I learnt something fascinating")</f>
        <v>I learnt something fascinating</v>
      </c>
      <c r="F20" s="5" t="str">
        <f>IFERROR(__xludf.DUMMYFUNCTION("""COMPUTED_VALUE"""),"https://github.com/AlgoPenguin/tds-project-1")</f>
        <v>https://github.com/AlgoPenguin/tds-project-1</v>
      </c>
      <c r="G20" s="3">
        <f>IFERROR(__xludf.DUMMYFUNCTION("""COMPUTED_VALUE"""),6.0)</f>
        <v>6</v>
      </c>
      <c r="H20" s="3">
        <f>IFERROR(__xludf.DUMMYFUNCTION("""COMPUTED_VALUE"""),7.0)</f>
        <v>7</v>
      </c>
      <c r="I20" s="3" t="str">
        <f>IFERROR(__xludf.DUMMYFUNCTION("""COMPUTED_VALUE"""),"nothing much added in READme. ")</f>
        <v>nothing much added in READme. </v>
      </c>
      <c r="J20" s="3" t="str">
        <f>IFERROR(__xludf.DUMMYFUNCTION("""COMPUTED_VALUE"""),"22f1000155@ds.study.iitm.ac.in")</f>
        <v>22f1000155@ds.study.iitm.ac.in</v>
      </c>
      <c r="K20" s="3" t="str">
        <f t="shared" si="1"/>
        <v>22f1000155@ds.study.iitm.ac.inhttps://github.com/loki1512/TDS-Project-1</v>
      </c>
      <c r="L20" s="3" t="str">
        <f t="shared" si="2"/>
        <v>22f1000155@ds.study.iitm.ac.inhttps://github.com/AlgoPenguin/tds-project-1</v>
      </c>
    </row>
    <row r="21">
      <c r="A21" s="3">
        <f>IFERROR(__xludf.DUMMYFUNCTION("""COMPUTED_VALUE"""),45598.65892402778)</f>
        <v>45598.65892</v>
      </c>
      <c r="B21" s="3" t="str">
        <f>IFERROR(__xludf.DUMMYFUNCTION("""COMPUTED_VALUE"""),"Yes")</f>
        <v>Yes</v>
      </c>
      <c r="C21" s="3">
        <f>IFERROR(__xludf.DUMMYFUNCTION("""COMPUTED_VALUE"""),10.0)</f>
        <v>10</v>
      </c>
      <c r="D21" s="3">
        <f>IFERROR(__xludf.DUMMYFUNCTION("""COMPUTED_VALUE"""),10.0)</f>
        <v>10</v>
      </c>
      <c r="E21" s="3" t="str">
        <f>IFERROR(__xludf.DUMMYFUNCTION("""COMPUTED_VALUE"""),"bro had the readme file and Code written is so fine.")</f>
        <v>bro had the readme file and Code written is so fine.</v>
      </c>
      <c r="F21" s="3" t="str">
        <f>IFERROR(__xludf.DUMMYFUNCTION("""COMPUTED_VALUE"""),"Yes")</f>
        <v>Yes</v>
      </c>
      <c r="G21" s="3">
        <f>IFERROR(__xludf.DUMMYFUNCTION("""COMPUTED_VALUE"""),10.0)</f>
        <v>10</v>
      </c>
      <c r="H21" s="3">
        <f>IFERROR(__xludf.DUMMYFUNCTION("""COMPUTED_VALUE"""),0.0)</f>
        <v>0</v>
      </c>
      <c r="I21" s="3" t="str">
        <f>IFERROR(__xludf.DUMMYFUNCTION("""COMPUTED_VALUE"""),"Bro had the readme file , but there wan no code.")</f>
        <v>Bro had the readme file , but there wan no code.</v>
      </c>
      <c r="J21" s="3" t="str">
        <f>IFERROR(__xludf.DUMMYFUNCTION("""COMPUTED_VALUE"""),"23f2001033@ds.study.iitm.ac.in")</f>
        <v>23f2001033@ds.study.iitm.ac.in</v>
      </c>
      <c r="K21" s="3" t="str">
        <f t="shared" si="1"/>
        <v>23f2001033@ds.study.iitm.ac.inYes</v>
      </c>
      <c r="L21" s="3" t="str">
        <f t="shared" si="2"/>
        <v>23f2001033@ds.study.iitm.ac.inYes</v>
      </c>
    </row>
    <row r="22">
      <c r="A22" s="3">
        <f>IFERROR(__xludf.DUMMYFUNCTION("""COMPUTED_VALUE"""),45598.87890222222)</f>
        <v>45598.8789</v>
      </c>
      <c r="B22" s="5" t="str">
        <f>IFERROR(__xludf.DUMMYFUNCTION("""COMPUTED_VALUE"""),"https://github.com/Ananya200314/IITM_TDS_P1")</f>
        <v>https://github.com/Ananya200314/IITM_TDS_P1</v>
      </c>
      <c r="C22" s="3">
        <f>IFERROR(__xludf.DUMMYFUNCTION("""COMPUTED_VALUE"""),10.0)</f>
        <v>10</v>
      </c>
      <c r="D22" s="3">
        <f>IFERROR(__xludf.DUMMYFUNCTION("""COMPUTED_VALUE"""),10.0)</f>
        <v>10</v>
      </c>
      <c r="E22" s="3" t="str">
        <f>IFERROR(__xludf.DUMMYFUNCTION("""COMPUTED_VALUE"""),"Good overall I felt there was code and readme also well organised so i gave 10")</f>
        <v>Good overall I felt there was code and readme also well organised so i gave 10</v>
      </c>
      <c r="F22" s="5" t="str">
        <f>IFERROR(__xludf.DUMMYFUNCTION("""COMPUTED_VALUE"""),"https://github.com/Shilajit04/TDS-Project-1")</f>
        <v>https://github.com/Shilajit04/TDS-Project-1</v>
      </c>
      <c r="G22" s="3">
        <f>IFERROR(__xludf.DUMMYFUNCTION("""COMPUTED_VALUE"""),8.0)</f>
        <v>8</v>
      </c>
      <c r="H22" s="3">
        <f>IFERROR(__xludf.DUMMYFUNCTION("""COMPUTED_VALUE"""),9.0)</f>
        <v>9</v>
      </c>
      <c r="I22" s="3" t="str">
        <f>IFERROR(__xludf.DUMMYFUNCTION("""COMPUTED_VALUE"""),"The code was good and readme.md too was well structured but it missed the title so 8/10 ")</f>
        <v>The code was good and readme.md too was well structured but it missed the title so 8/10 </v>
      </c>
      <c r="J22" s="3" t="str">
        <f>IFERROR(__xludf.DUMMYFUNCTION("""COMPUTED_VALUE"""),"23f2002166@ds.study.iitm.ac.in")</f>
        <v>23f2002166@ds.study.iitm.ac.in</v>
      </c>
      <c r="K22" s="3" t="str">
        <f t="shared" si="1"/>
        <v>23f2002166@ds.study.iitm.ac.inhttps://github.com/Ananya200314/IITM_TDS_P1</v>
      </c>
      <c r="L22" s="3" t="str">
        <f t="shared" si="2"/>
        <v>23f2002166@ds.study.iitm.ac.inhttps://github.com/Shilajit04/TDS-Project-1</v>
      </c>
    </row>
    <row r="23">
      <c r="A23" s="3">
        <f>IFERROR(__xludf.DUMMYFUNCTION("""COMPUTED_VALUE"""),45598.6675984375)</f>
        <v>45598.6676</v>
      </c>
      <c r="B23" s="5" t="str">
        <f>IFERROR(__xludf.DUMMYFUNCTION("""COMPUTED_VALUE"""),"https://github.com/shivyatripathi2604/TDS")</f>
        <v>https://github.com/shivyatripathi2604/TDS</v>
      </c>
      <c r="C23" s="3">
        <f>IFERROR(__xludf.DUMMYFUNCTION("""COMPUTED_VALUE"""),0.0)</f>
        <v>0</v>
      </c>
      <c r="D23" s="3">
        <f>IFERROR(__xludf.DUMMYFUNCTION("""COMPUTED_VALUE"""),0.0)</f>
        <v>0</v>
      </c>
      <c r="E23" s="3" t="str">
        <f>IFERROR(__xludf.DUMMYFUNCTION("""COMPUTED_VALUE"""),"README file and Code both are not present.")</f>
        <v>README file and Code both are not present.</v>
      </c>
      <c r="F23" s="5" t="str">
        <f>IFERROR(__xludf.DUMMYFUNCTION("""COMPUTED_VALUE"""),"https://github.com/iambuhari/IITM/")</f>
        <v>https://github.com/iambuhari/IITM/</v>
      </c>
      <c r="G23" s="3">
        <f>IFERROR(__xludf.DUMMYFUNCTION("""COMPUTED_VALUE"""),9.0)</f>
        <v>9</v>
      </c>
      <c r="H23" s="3">
        <f>IFERROR(__xludf.DUMMYFUNCTION("""COMPUTED_VALUE"""),8.0)</f>
        <v>8</v>
      </c>
      <c r="I23" s="3" t="str">
        <f>IFERROR(__xludf.DUMMYFUNCTION("""COMPUTED_VALUE"""),"I found the finding good. Code is clear, however, answers to only some questions were present in the code file.")</f>
        <v>I found the finding good. Code is clear, however, answers to only some questions were present in the code file.</v>
      </c>
      <c r="J23" s="3" t="str">
        <f>IFERROR(__xludf.DUMMYFUNCTION("""COMPUTED_VALUE"""),"22f3001210@ds.study.iitm.ac.in")</f>
        <v>22f3001210@ds.study.iitm.ac.in</v>
      </c>
      <c r="K23" s="3" t="str">
        <f t="shared" si="1"/>
        <v>22f3001210@ds.study.iitm.ac.inhttps://github.com/shivyatripathi2604/TDS</v>
      </c>
      <c r="L23" s="3" t="str">
        <f t="shared" si="2"/>
        <v>22f3001210@ds.study.iitm.ac.inhttps://github.com/iambuhari/IITM/</v>
      </c>
    </row>
    <row r="24">
      <c r="A24" s="3">
        <f>IFERROR(__xludf.DUMMYFUNCTION("""COMPUTED_VALUE"""),45598.669544131946)</f>
        <v>45598.66954</v>
      </c>
      <c r="B24" s="5" t="str">
        <f>IFERROR(__xludf.DUMMYFUNCTION("""COMPUTED_VALUE"""),"https://github.com/harikrishnajiju/github-city-user-analyzer")</f>
        <v>https://github.com/harikrishnajiju/github-city-user-analyzer</v>
      </c>
      <c r="C24" s="3">
        <f>IFERROR(__xludf.DUMMYFUNCTION("""COMPUTED_VALUE"""),6.0)</f>
        <v>6</v>
      </c>
      <c r="D24" s="3">
        <f>IFERROR(__xludf.DUMMYFUNCTION("""COMPUTED_VALUE"""),9.0)</f>
        <v>9</v>
      </c>
      <c r="E24" s="3" t="str">
        <f>IFERROR(__xludf.DUMMYFUNCTION("""COMPUTED_VALUE"""),"In the first repo @harikrishnaiju the readme file content is just copy past of the question statement and some littile modification and in term of code it is good for me.")</f>
        <v>In the first repo @harikrishnaiju the readme file content is just copy past of the question statement and some littile modification and in term of code it is good for me.</v>
      </c>
      <c r="F24" s="5" t="str">
        <f>IFERROR(__xludf.DUMMYFUNCTION("""COMPUTED_VALUE"""),"https://github.com/kdiitm99/tds-project1")</f>
        <v>https://github.com/kdiitm99/tds-project1</v>
      </c>
      <c r="G24" s="3">
        <f>IFERROR(__xludf.DUMMYFUNCTION("""COMPUTED_VALUE"""),9.0)</f>
        <v>9</v>
      </c>
      <c r="H24" s="3">
        <f>IFERROR(__xludf.DUMMYFUNCTION("""COMPUTED_VALUE"""),10.0)</f>
        <v>10</v>
      </c>
      <c r="I24" s="3" t="str">
        <f>IFERROR(__xludf.DUMMYFUNCTION("""COMPUTED_VALUE"""),"Look like have all info with the good explanation the readme file contain all the info which require ")</f>
        <v>Look like have all info with the good explanation the readme file contain all the info which require </v>
      </c>
      <c r="J24" s="3" t="str">
        <f>IFERROR(__xludf.DUMMYFUNCTION("""COMPUTED_VALUE"""),"23f1002973@ds.study.iitm.ac.in")</f>
        <v>23f1002973@ds.study.iitm.ac.in</v>
      </c>
      <c r="K24" s="3" t="str">
        <f t="shared" si="1"/>
        <v>23f1002973@ds.study.iitm.ac.inhttps://github.com/harikrishnajiju/github-city-user-analyzer</v>
      </c>
      <c r="L24" s="3" t="str">
        <f t="shared" si="2"/>
        <v>23f1002973@ds.study.iitm.ac.inhttps://github.com/kdiitm99/tds-project1</v>
      </c>
    </row>
    <row r="25">
      <c r="A25" s="3">
        <f>IFERROR(__xludf.DUMMYFUNCTION("""COMPUTED_VALUE"""),45598.67209648148)</f>
        <v>45598.6721</v>
      </c>
      <c r="B25" s="5" t="str">
        <f>IFERROR(__xludf.DUMMYFUNCTION("""COMPUTED_VALUE"""),"https://github.com/dhirajp1603/IITM-TDS")</f>
        <v>https://github.com/dhirajp1603/IITM-TDS</v>
      </c>
      <c r="C25" s="3">
        <f>IFERROR(__xludf.DUMMYFUNCTION("""COMPUTED_VALUE"""),10.0)</f>
        <v>10</v>
      </c>
      <c r="D25" s="3">
        <f>IFERROR(__xludf.DUMMYFUNCTION("""COMPUTED_VALUE"""),10.0)</f>
        <v>10</v>
      </c>
      <c r="E25" s="3" t="str">
        <f>IFERROR(__xludf.DUMMYFUNCTION("""COMPUTED_VALUE"""),"The data collection process was executed in alignment with the project specifications by leveraging the GitHub API. Users based in Sydney with a follower count exceeding 100 were filtered, and their most recent repositories were systematically retrieved. "&amp;"This approach ensured precise data acquisition, adhering closely to the project requirements.")</f>
        <v>The data collection process was executed in alignment with the project specifications by leveraging the GitHub API. Users based in Sydney with a follower count exceeding 100 were filtered, and their most recent repositories were systematically retrieved. This approach ensured precise data acquisition, adhering closely to the project requirements.</v>
      </c>
      <c r="F25" s="5" t="str">
        <f>IFERROR(__xludf.DUMMYFUNCTION("""COMPUTED_VALUE"""),"https://github.com/spideysanjay007/sanjay_tds_project_1")</f>
        <v>https://github.com/spideysanjay007/sanjay_tds_project_1</v>
      </c>
      <c r="G25" s="3">
        <f>IFERROR(__xludf.DUMMYFUNCTION("""COMPUTED_VALUE"""),9.0)</f>
        <v>9</v>
      </c>
      <c r="H25" s="3">
        <f>IFERROR(__xludf.DUMMYFUNCTION("""COMPUTED_VALUE"""),10.0)</f>
        <v>10</v>
      </c>
      <c r="I25" s="3" t="str">
        <f>IFERROR(__xludf.DUMMYFUNCTION("""COMPUTED_VALUE"""),"The data collection process was executed in alignment with the project specifications by leveraging the GitHub API. Users based in Basel with a follower count exceeding 10 were filtered, and their most recent repositories were systematically retrieved")</f>
        <v>The data collection process was executed in alignment with the project specifications by leveraging the GitHub API. Users based in Basel with a follower count exceeding 10 were filtered, and their most recent repositories were systematically retrieved</v>
      </c>
      <c r="J25" s="3" t="str">
        <f>IFERROR(__xludf.DUMMYFUNCTION("""COMPUTED_VALUE"""),"22f3000954@ds.study.iitm.ac.in")</f>
        <v>22f3000954@ds.study.iitm.ac.in</v>
      </c>
      <c r="K25" s="3" t="str">
        <f t="shared" si="1"/>
        <v>22f3000954@ds.study.iitm.ac.inhttps://github.com/dhirajp1603/IITM-TDS</v>
      </c>
      <c r="L25" s="3" t="str">
        <f t="shared" si="2"/>
        <v>22f3000954@ds.study.iitm.ac.inhttps://github.com/spideysanjay007/sanjay_tds_project_1</v>
      </c>
    </row>
    <row r="26">
      <c r="A26" s="3">
        <f>IFERROR(__xludf.DUMMYFUNCTION("""COMPUTED_VALUE"""),45598.67472255787)</f>
        <v>45598.67472</v>
      </c>
      <c r="B26" s="5" t="str">
        <f>IFERROR(__xludf.DUMMYFUNCTION("""COMPUTED_VALUE"""),"https://github.com/DisRajeeth/proj-1-tds")</f>
        <v>https://github.com/DisRajeeth/proj-1-tds</v>
      </c>
      <c r="C26" s="3">
        <f>IFERROR(__xludf.DUMMYFUNCTION("""COMPUTED_VALUE"""),6.0)</f>
        <v>6</v>
      </c>
      <c r="D26" s="3">
        <f>IFERROR(__xludf.DUMMYFUNCTION("""COMPUTED_VALUE"""),7.0)</f>
        <v>7</v>
      </c>
      <c r="E26" s="3" t="str">
        <f>IFERROR(__xludf.DUMMYFUNCTION("""COMPUTED_VALUE"""),"readme has details on how data was scrapped but there is no statistical info(data value) on the facts listed under the suprising facts and recommendation. Why such a conclusion was made is not supported using the data.
Also the code for answers to 16 que"&amp;"stion is not available. Data scrapping code is clear")</f>
        <v>readme has details on how data was scrapped but there is no statistical info(data value) on the facts listed under the suprising facts and recommendation. Why such a conclusion was made is not supported using the data.
Also the code for answers to 16 question is not available. Data scrapping code is clear</v>
      </c>
      <c r="F26" s="5" t="str">
        <f>IFERROR(__xludf.DUMMYFUNCTION("""COMPUTED_VALUE"""),"https://github.com/22f3002094/Tds-project-1")</f>
        <v>https://github.com/22f3002094/Tds-project-1</v>
      </c>
      <c r="G26" s="3">
        <f>IFERROR(__xludf.DUMMYFUNCTION("""COMPUTED_VALUE"""),10.0)</f>
        <v>10</v>
      </c>
      <c r="H26" s="3">
        <f>IFERROR(__xludf.DUMMYFUNCTION("""COMPUTED_VALUE"""),10.0)</f>
        <v>10</v>
      </c>
      <c r="I26" s="3" t="str">
        <f>IFERROR(__xludf.DUMMYFUNCTION("""COMPUTED_VALUE"""),"Findings are validated with the data. Code for data scrapping along with rate limiting and code snippets for each question is available and clear ")</f>
        <v>Findings are validated with the data. Code for data scrapping along with rate limiting and code snippets for each question is available and clear </v>
      </c>
      <c r="J26" s="3" t="str">
        <f>IFERROR(__xludf.DUMMYFUNCTION("""COMPUTED_VALUE"""),"24ds1000075@ds.study.iitm.ac.in")</f>
        <v>24ds1000075@ds.study.iitm.ac.in</v>
      </c>
      <c r="K26" s="3" t="str">
        <f t="shared" si="1"/>
        <v>24ds1000075@ds.study.iitm.ac.inhttps://github.com/DisRajeeth/proj-1-tds</v>
      </c>
      <c r="L26" s="3" t="str">
        <f t="shared" si="2"/>
        <v>24ds1000075@ds.study.iitm.ac.inhttps://github.com/22f3002094/Tds-project-1</v>
      </c>
    </row>
    <row r="27">
      <c r="A27" s="3">
        <f>IFERROR(__xludf.DUMMYFUNCTION("""COMPUTED_VALUE"""),45598.67719862268)</f>
        <v>45598.6772</v>
      </c>
      <c r="B27" s="5" t="str">
        <f>IFERROR(__xludf.DUMMYFUNCTION("""COMPUTED_VALUE"""),"https://github.com/arshadnit/TDSP1")</f>
        <v>https://github.com/arshadnit/TDSP1</v>
      </c>
      <c r="C27" s="3">
        <f>IFERROR(__xludf.DUMMYFUNCTION("""COMPUTED_VALUE"""),8.0)</f>
        <v>8</v>
      </c>
      <c r="D27" s="3">
        <f>IFERROR(__xludf.DUMMYFUNCTION("""COMPUTED_VALUE"""),0.0)</f>
        <v>0</v>
      </c>
      <c r="E27" s="3" t="str">
        <f>IFERROR(__xludf.DUMMYFUNCTION("""COMPUTED_VALUE"""),"The ReadMe explained everything properly but there is no code and only csv files were present.")</f>
        <v>The ReadMe explained everything properly but there is no code and only csv files were present.</v>
      </c>
      <c r="F27" s="5" t="str">
        <f>IFERROR(__xludf.DUMMYFUNCTION("""COMPUTED_VALUE"""),"https://github.com/ARUNIMADILEEPK/TDS_Project_1")</f>
        <v>https://github.com/ARUNIMADILEEPK/TDS_Project_1</v>
      </c>
      <c r="G27" s="3">
        <f>IFERROR(__xludf.DUMMYFUNCTION("""COMPUTED_VALUE"""),0.0)</f>
        <v>0</v>
      </c>
      <c r="H27" s="3">
        <f>IFERROR(__xludf.DUMMYFUNCTION("""COMPUTED_VALUE"""),0.0)</f>
        <v>0</v>
      </c>
      <c r="I27" s="3" t="str">
        <f>IFERROR(__xludf.DUMMYFUNCTION("""COMPUTED_VALUE"""),"Nothing is present in the repo, only csv files and no readme content. ")</f>
        <v>Nothing is present in the repo, only csv files and no readme content. </v>
      </c>
      <c r="J27" s="3" t="str">
        <f>IFERROR(__xludf.DUMMYFUNCTION("""COMPUTED_VALUE"""),"23f2001366@ds.study.iitm.ac.in")</f>
        <v>23f2001366@ds.study.iitm.ac.in</v>
      </c>
      <c r="K27" s="3" t="str">
        <f t="shared" si="1"/>
        <v>23f2001366@ds.study.iitm.ac.inhttps://github.com/arshadnit/TDSP1</v>
      </c>
      <c r="L27" s="3" t="str">
        <f t="shared" si="2"/>
        <v>23f2001366@ds.study.iitm.ac.inhttps://github.com/ARUNIMADILEEPK/TDS_Project_1</v>
      </c>
    </row>
    <row r="28">
      <c r="A28" s="3">
        <f>IFERROR(__xludf.DUMMYFUNCTION("""COMPUTED_VALUE"""),45598.67744399306)</f>
        <v>45598.67744</v>
      </c>
      <c r="B28" s="5" t="str">
        <f>IFERROR(__xludf.DUMMYFUNCTION("""COMPUTED_VALUE"""),"https://github.com/AnvithaVarre7/Project-1")</f>
        <v>https://github.com/AnvithaVarre7/Project-1</v>
      </c>
      <c r="C28" s="3">
        <f>IFERROR(__xludf.DUMMYFUNCTION("""COMPUTED_VALUE"""),6.0)</f>
        <v>6</v>
      </c>
      <c r="D28" s="3">
        <f>IFERROR(__xludf.DUMMYFUNCTION("""COMPUTED_VALUE"""),0.0)</f>
        <v>0</v>
      </c>
      <c r="E28" s="3" t="str">
        <f>IFERROR(__xludf.DUMMYFUNCTION("""COMPUTED_VALUE"""),"Readme.md file is there but the code is not there")</f>
        <v>Readme.md file is there but the code is not there</v>
      </c>
      <c r="F28" s="5" t="str">
        <f>IFERROR(__xludf.DUMMYFUNCTION("""COMPUTED_VALUE"""),"https://github.com/23f3001726/p1-tds")</f>
        <v>https://github.com/23f3001726/p1-tds</v>
      </c>
      <c r="G28" s="3">
        <f>IFERROR(__xludf.DUMMYFUNCTION("""COMPUTED_VALUE"""),4.0)</f>
        <v>4</v>
      </c>
      <c r="H28" s="3">
        <f>IFERROR(__xludf.DUMMYFUNCTION("""COMPUTED_VALUE"""),7.0)</f>
        <v>7</v>
      </c>
      <c r="I28" s="3" t="str">
        <f>IFERROR(__xludf.DUMMYFUNCTION("""COMPUTED_VALUE"""),"Readme.md file is there also the code is present")</f>
        <v>Readme.md file is there also the code is present</v>
      </c>
      <c r="J28" s="3" t="str">
        <f>IFERROR(__xludf.DUMMYFUNCTION("""COMPUTED_VALUE"""),"23f3001470@ds.study.iitm.ac.in")</f>
        <v>23f3001470@ds.study.iitm.ac.in</v>
      </c>
      <c r="K28" s="3" t="str">
        <f t="shared" si="1"/>
        <v>23f3001470@ds.study.iitm.ac.inhttps://github.com/AnvithaVarre7/Project-1</v>
      </c>
      <c r="L28" s="3" t="str">
        <f t="shared" si="2"/>
        <v>23f3001470@ds.study.iitm.ac.inhttps://github.com/23f3001726/p1-tds</v>
      </c>
    </row>
    <row r="29">
      <c r="A29" s="3">
        <f>IFERROR(__xludf.DUMMYFUNCTION("""COMPUTED_VALUE"""),45598.678746412035)</f>
        <v>45598.67875</v>
      </c>
      <c r="B29" s="5" t="str">
        <f>IFERROR(__xludf.DUMMYFUNCTION("""COMPUTED_VALUE"""),"https://github.com/GIT1001082/TDS_project_1")</f>
        <v>https://github.com/GIT1001082/TDS_project_1</v>
      </c>
      <c r="C29" s="3">
        <f>IFERROR(__xludf.DUMMYFUNCTION("""COMPUTED_VALUE"""),10.0)</f>
        <v>10</v>
      </c>
      <c r="D29" s="3">
        <f>IFERROR(__xludf.DUMMYFUNCTION("""COMPUTED_VALUE"""),0.0)</f>
        <v>0</v>
      </c>
      <c r="E29" s="3" t="str">
        <f>IFERROR(__xludf.DUMMYFUNCTION("""COMPUTED_VALUE"""),"Analytical insights was mentioned in readme file, code files was not pushed")</f>
        <v>Analytical insights was mentioned in readme file, code files was not pushed</v>
      </c>
      <c r="F29" s="5" t="str">
        <f>IFERROR(__xludf.DUMMYFUNCTION("""COMPUTED_VALUE"""),"https://github.com/22f3001192/amitkumar")</f>
        <v>https://github.com/22f3001192/amitkumar</v>
      </c>
      <c r="G29" s="3">
        <f>IFERROR(__xludf.DUMMYFUNCTION("""COMPUTED_VALUE"""),2.0)</f>
        <v>2</v>
      </c>
      <c r="H29" s="3">
        <f>IFERROR(__xludf.DUMMYFUNCTION("""COMPUTED_VALUE"""),0.0)</f>
        <v>0</v>
      </c>
      <c r="I29" s="3" t="str">
        <f>IFERROR(__xludf.DUMMYFUNCTION("""COMPUTED_VALUE"""),"No proper readme file and code files was not pushed")</f>
        <v>No proper readme file and code files was not pushed</v>
      </c>
      <c r="J29" s="3" t="str">
        <f>IFERROR(__xludf.DUMMYFUNCTION("""COMPUTED_VALUE"""),"23ds3000089@ds.study.iitm.ac.in")</f>
        <v>23ds3000089@ds.study.iitm.ac.in</v>
      </c>
      <c r="K29" s="3" t="str">
        <f t="shared" si="1"/>
        <v>23ds3000089@ds.study.iitm.ac.inhttps://github.com/GIT1001082/TDS_project_1</v>
      </c>
      <c r="L29" s="3" t="str">
        <f t="shared" si="2"/>
        <v>23ds3000089@ds.study.iitm.ac.inhttps://github.com/22f3001192/amitkumar</v>
      </c>
    </row>
    <row r="30">
      <c r="A30" s="3">
        <f>IFERROR(__xludf.DUMMYFUNCTION("""COMPUTED_VALUE"""),45598.68681150463)</f>
        <v>45598.68681</v>
      </c>
      <c r="B30" s="5" t="str">
        <f>IFERROR(__xludf.DUMMYFUNCTION("""COMPUTED_VALUE"""),"https://github.com/pratyushjdhv/iitm-tds")</f>
        <v>https://github.com/pratyushjdhv/iitm-tds</v>
      </c>
      <c r="C30" s="3">
        <f>IFERROR(__xludf.DUMMYFUNCTION("""COMPUTED_VALUE"""),10.0)</f>
        <v>10</v>
      </c>
      <c r="D30" s="3">
        <f>IFERROR(__xludf.DUMMYFUNCTION("""COMPUTED_VALUE"""),10.0)</f>
        <v>10</v>
      </c>
      <c r="E30" s="3" t="str">
        <f>IFERROR(__xludf.DUMMYFUNCTION("""COMPUTED_VALUE"""),"Nice Repo. NICE AND CLEAN CODE")</f>
        <v>Nice Repo. NICE AND CLEAN CODE</v>
      </c>
      <c r="F30" s="5" t="str">
        <f>IFERROR(__xludf.DUMMYFUNCTION("""COMPUTED_VALUE"""),"https://github.com/krishna1rpr/tds-project-1")</f>
        <v>https://github.com/krishna1rpr/tds-project-1</v>
      </c>
      <c r="G30" s="3">
        <f>IFERROR(__xludf.DUMMYFUNCTION("""COMPUTED_VALUE"""),10.0)</f>
        <v>10</v>
      </c>
      <c r="H30" s="3">
        <f>IFERROR(__xludf.DUMMYFUNCTION("""COMPUTED_VALUE"""),10.0)</f>
        <v>10</v>
      </c>
      <c r="I30" s="3" t="str">
        <f>IFERROR(__xludf.DUMMYFUNCTION("""COMPUTED_VALUE"""),"NICE AND CLEAN CODE. Good Repo.")</f>
        <v>NICE AND CLEAN CODE. Good Repo.</v>
      </c>
      <c r="J30" s="3" t="str">
        <f>IFERROR(__xludf.DUMMYFUNCTION("""COMPUTED_VALUE"""),"22f2001312@ds.study.iitm.ac.in")</f>
        <v>22f2001312@ds.study.iitm.ac.in</v>
      </c>
      <c r="K30" s="3" t="str">
        <f t="shared" si="1"/>
        <v>22f2001312@ds.study.iitm.ac.inhttps://github.com/pratyushjdhv/iitm-tds</v>
      </c>
      <c r="L30" s="3" t="str">
        <f t="shared" si="2"/>
        <v>22f2001312@ds.study.iitm.ac.inhttps://github.com/krishna1rpr/tds-project-1</v>
      </c>
    </row>
    <row r="31">
      <c r="A31" s="3">
        <f>IFERROR(__xludf.DUMMYFUNCTION("""COMPUTED_VALUE"""),45604.83147358796)</f>
        <v>45604.83147</v>
      </c>
      <c r="B31" s="5" t="str">
        <f>IFERROR(__xludf.DUMMYFUNCTION("""COMPUTED_VALUE"""),"https://github.com/rishikarai23/TDS-PROJECT")</f>
        <v>https://github.com/rishikarai23/TDS-PROJECT</v>
      </c>
      <c r="C31" s="3">
        <f>IFERROR(__xludf.DUMMYFUNCTION("""COMPUTED_VALUE"""),10.0)</f>
        <v>10</v>
      </c>
      <c r="D31" s="3">
        <f>IFERROR(__xludf.DUMMYFUNCTION("""COMPUTED_VALUE"""),9.0)</f>
        <v>9</v>
      </c>
      <c r="E31" s="3" t="str">
        <f>IFERROR(__xludf.DUMMYFUNCTION("""COMPUTED_VALUE"""),"readme file has a lot of insight from the data but it is not summarized.")</f>
        <v>readme file has a lot of insight from the data but it is not summarized.</v>
      </c>
      <c r="F31" s="5" t="str">
        <f>IFERROR(__xludf.DUMMYFUNCTION("""COMPUTED_VALUE"""),"https://github.com/sneh2105/tds_proj1")</f>
        <v>https://github.com/sneh2105/tds_proj1</v>
      </c>
      <c r="G31" s="3">
        <f>IFERROR(__xludf.DUMMYFUNCTION("""COMPUTED_VALUE"""),9.0)</f>
        <v>9</v>
      </c>
      <c r="H31" s="3">
        <f>IFERROR(__xludf.DUMMYFUNCTION("""COMPUTED_VALUE"""),8.0)</f>
        <v>8</v>
      </c>
      <c r="I31" s="3" t="str">
        <f>IFERROR(__xludf.DUMMYFUNCTION("""COMPUTED_VALUE"""),"readme file summarized but code is not provided.")</f>
        <v>readme file summarized but code is not provided.</v>
      </c>
      <c r="J31" s="3" t="str">
        <f>IFERROR(__xludf.DUMMYFUNCTION("""COMPUTED_VALUE"""),"22f3003055@ds.study.iitm.ac.in")</f>
        <v>22f3003055@ds.study.iitm.ac.in</v>
      </c>
      <c r="K31" s="3" t="str">
        <f t="shared" si="1"/>
        <v>22f3003055@ds.study.iitm.ac.inhttps://github.com/rishikarai23/TDS-PROJECT</v>
      </c>
      <c r="L31" s="3" t="str">
        <f t="shared" si="2"/>
        <v>22f3003055@ds.study.iitm.ac.inhttps://github.com/sneh2105/tds_proj1</v>
      </c>
    </row>
    <row r="32">
      <c r="A32" s="3">
        <f>IFERROR(__xludf.DUMMYFUNCTION("""COMPUTED_VALUE"""),45600.053716504626)</f>
        <v>45600.05372</v>
      </c>
      <c r="B32" s="5" t="str">
        <f>IFERROR(__xludf.DUMMYFUNCTION("""COMPUTED_VALUE"""),"https://github.com/bipkrsinghh/TDS-proj")</f>
        <v>https://github.com/bipkrsinghh/TDS-proj</v>
      </c>
      <c r="C32" s="3">
        <f>IFERROR(__xludf.DUMMYFUNCTION("""COMPUTED_VALUE"""),10.0)</f>
        <v>10</v>
      </c>
      <c r="D32" s="3">
        <f>IFERROR(__xludf.DUMMYFUNCTION("""COMPUTED_VALUE"""),10.0)</f>
        <v>10</v>
      </c>
      <c r="E32" s="3" t="str">
        <f>IFERROR(__xludf.DUMMYFUNCTION("""COMPUTED_VALUE"""),"all were available in his repository")</f>
        <v>all were available in his repository</v>
      </c>
      <c r="F32" s="5" t="str">
        <f>IFERROR(__xludf.DUMMYFUNCTION("""COMPUTED_VALUE"""),"https://github.com/Shre-2104/project1tds")</f>
        <v>https://github.com/Shre-2104/project1tds</v>
      </c>
      <c r="G32" s="3">
        <f>IFERROR(__xludf.DUMMYFUNCTION("""COMPUTED_VALUE"""),10.0)</f>
        <v>10</v>
      </c>
      <c r="H32" s="3">
        <f>IFERROR(__xludf.DUMMYFUNCTION("""COMPUTED_VALUE"""),0.0)</f>
        <v>0</v>
      </c>
      <c r="I32" s="3" t="str">
        <f>IFERROR(__xludf.DUMMYFUNCTION("""COMPUTED_VALUE"""),"The repo had readme, users and repositories files")</f>
        <v>The repo had readme, users and repositories files</v>
      </c>
      <c r="J32" s="3" t="str">
        <f>IFERROR(__xludf.DUMMYFUNCTION("""COMPUTED_VALUE"""),"22f3000400@ds.study.iitm.ac.in")</f>
        <v>22f3000400@ds.study.iitm.ac.in</v>
      </c>
      <c r="K32" s="3" t="str">
        <f t="shared" si="1"/>
        <v>22f3000400@ds.study.iitm.ac.inhttps://github.com/bipkrsinghh/TDS-proj</v>
      </c>
      <c r="L32" s="3" t="str">
        <f t="shared" si="2"/>
        <v>22f3000400@ds.study.iitm.ac.inhttps://github.com/Shre-2104/project1tds</v>
      </c>
    </row>
    <row r="33">
      <c r="A33" s="3">
        <f>IFERROR(__xludf.DUMMYFUNCTION("""COMPUTED_VALUE"""),45602.76822400463)</f>
        <v>45602.76822</v>
      </c>
      <c r="B33" s="5" t="str">
        <f>IFERROR(__xludf.DUMMYFUNCTION("""COMPUTED_VALUE"""),"https://github.com/Preena-iitmds/pree_ZurichProj1")</f>
        <v>https://github.com/Preena-iitmds/pree_ZurichProj1</v>
      </c>
      <c r="C33" s="3">
        <f>IFERROR(__xludf.DUMMYFUNCTION("""COMPUTED_VALUE"""),9.0)</f>
        <v>9</v>
      </c>
      <c r="D33" s="3">
        <f>IFERROR(__xludf.DUMMYFUNCTION("""COMPUTED_VALUE"""),9.0)</f>
        <v>9</v>
      </c>
      <c r="E33" s="3" t="str">
        <f>IFERROR(__xludf.DUMMYFUNCTION("""COMPUTED_VALUE"""),"For first criteria, README.md file is present in the repository and it has relevant information. So, I gave 9 points rating.
For second criteria, code files are present in the repository. So, I gave 9 point rating.")</f>
        <v>For first criteria, README.md file is present in the repository and it has relevant information. So, I gave 9 points rating.
For second criteria, code files are present in the repository. So, I gave 9 point rating.</v>
      </c>
      <c r="F33" s="5" t="str">
        <f>IFERROR(__xludf.DUMMYFUNCTION("""COMPUTED_VALUE"""),"https://github.com/nihalkumar833/tds")</f>
        <v>https://github.com/nihalkumar833/tds</v>
      </c>
      <c r="G33" s="3">
        <f>IFERROR(__xludf.DUMMYFUNCTION("""COMPUTED_VALUE"""),9.0)</f>
        <v>9</v>
      </c>
      <c r="H33" s="3">
        <f>IFERROR(__xludf.DUMMYFUNCTION("""COMPUTED_VALUE"""),0.0)</f>
        <v>0</v>
      </c>
      <c r="I33" s="3" t="str">
        <f>IFERROR(__xludf.DUMMYFUNCTION("""COMPUTED_VALUE"""),"For first criteria, README.md file is present in the repository and it has relevant information. So, I gave 9 points rating.
For second criteria, there are no code files present in the repository. So, I gave 0 point rating.")</f>
        <v>For first criteria, README.md file is present in the repository and it has relevant information. So, I gave 9 points rating.
For second criteria, there are no code files present in the repository. So, I gave 0 point rating.</v>
      </c>
      <c r="J33" s="3" t="str">
        <f>IFERROR(__xludf.DUMMYFUNCTION("""COMPUTED_VALUE"""),"22f3000983@ds.study.iitm.ac.in")</f>
        <v>22f3000983@ds.study.iitm.ac.in</v>
      </c>
      <c r="K33" s="3" t="str">
        <f t="shared" si="1"/>
        <v>22f3000983@ds.study.iitm.ac.inhttps://github.com/Preena-iitmds/pree_ZurichProj1</v>
      </c>
      <c r="L33" s="3" t="str">
        <f t="shared" si="2"/>
        <v>22f3000983@ds.study.iitm.ac.inhttps://github.com/nihalkumar833/tds</v>
      </c>
    </row>
    <row r="34">
      <c r="A34" s="3">
        <f>IFERROR(__xludf.DUMMYFUNCTION("""COMPUTED_VALUE"""),45598.698880428245)</f>
        <v>45598.69888</v>
      </c>
      <c r="B34" s="5" t="str">
        <f>IFERROR(__xludf.DUMMYFUNCTION("""COMPUTED_VALUE"""),"https://github.com/22f3001377/Pro1")</f>
        <v>https://github.com/22f3001377/Pro1</v>
      </c>
      <c r="C34" s="3">
        <f>IFERROR(__xludf.DUMMYFUNCTION("""COMPUTED_VALUE"""),10.0)</f>
        <v>10</v>
      </c>
      <c r="D34" s="3">
        <f>IFERROR(__xludf.DUMMYFUNCTION("""COMPUTED_VALUE"""),8.0)</f>
        <v>8</v>
      </c>
      <c r="E34" s="3" t="str">
        <f>IFERROR(__xludf.DUMMYFUNCTION("""COMPUTED_VALUE"""),"The repo looks very professional and is well documented.")</f>
        <v>The repo looks very professional and is well documented.</v>
      </c>
      <c r="F34" s="5" t="str">
        <f>IFERROR(__xludf.DUMMYFUNCTION("""COMPUTED_VALUE"""),"https://github.com/nirmaldeep-p/TDS-Project-1")</f>
        <v>https://github.com/nirmaldeep-p/TDS-Project-1</v>
      </c>
      <c r="G34" s="3">
        <f>IFERROR(__xludf.DUMMYFUNCTION("""COMPUTED_VALUE"""),2.0)</f>
        <v>2</v>
      </c>
      <c r="H34" s="3">
        <f>IFERROR(__xludf.DUMMYFUNCTION("""COMPUTED_VALUE"""),0.0)</f>
        <v>0</v>
      </c>
      <c r="I34" s="3" t="str">
        <f>IFERROR(__xludf.DUMMYFUNCTION("""COMPUTED_VALUE"""),"Code is not present in the repo")</f>
        <v>Code is not present in the repo</v>
      </c>
      <c r="J34" s="3" t="str">
        <f>IFERROR(__xludf.DUMMYFUNCTION("""COMPUTED_VALUE"""),"22f3001506@ds.study.iitm.ac.in")</f>
        <v>22f3001506@ds.study.iitm.ac.in</v>
      </c>
      <c r="K34" s="3" t="str">
        <f t="shared" si="1"/>
        <v>22f3001506@ds.study.iitm.ac.inhttps://github.com/22f3001377/Pro1</v>
      </c>
      <c r="L34" s="3" t="str">
        <f t="shared" si="2"/>
        <v>22f3001506@ds.study.iitm.ac.inhttps://github.com/nirmaldeep-p/TDS-Project-1</v>
      </c>
    </row>
    <row r="35">
      <c r="A35" s="3">
        <f>IFERROR(__xludf.DUMMYFUNCTION("""COMPUTED_VALUE"""),45598.70127269676)</f>
        <v>45598.70127</v>
      </c>
      <c r="B35" s="5" t="str">
        <f>IFERROR(__xludf.DUMMYFUNCTION("""COMPUTED_VALUE"""),"https://github.com/Udita1122/23f1000092")</f>
        <v>https://github.com/Udita1122/23f1000092</v>
      </c>
      <c r="C35" s="3">
        <f>IFERROR(__xludf.DUMMYFUNCTION("""COMPUTED_VALUE"""),5.0)</f>
        <v>5</v>
      </c>
      <c r="D35" s="3">
        <f>IFERROR(__xludf.DUMMYFUNCTION("""COMPUTED_VALUE"""),5.0)</f>
        <v>5</v>
      </c>
      <c r="E35" s="3" t="str">
        <f>IFERROR(__xludf.DUMMYFUNCTION("""COMPUTED_VALUE"""),"Easy Access to readme document it means readme is created by peer and content of readme document is average means clear to some point")</f>
        <v>Easy Access to readme document it means readme is created by peer and content of readme document is average means clear to some point</v>
      </c>
      <c r="F35" s="5" t="str">
        <f>IFERROR(__xludf.DUMMYFUNCTION("""COMPUTED_VALUE"""),"https://github.com/gyanesh-iitmiimb/TDSProject1/blob")</f>
        <v>https://github.com/gyanesh-iitmiimb/TDSProject1/blob</v>
      </c>
      <c r="G35" s="3">
        <f>IFERROR(__xludf.DUMMYFUNCTION("""COMPUTED_VALUE"""),0.0)</f>
        <v>0</v>
      </c>
      <c r="H35" s="3">
        <f>IFERROR(__xludf.DUMMYFUNCTION("""COMPUTED_VALUE"""),0.0)</f>
        <v>0</v>
      </c>
      <c r="I35" s="3" t="str">
        <f>IFERROR(__xludf.DUMMYFUNCTION("""COMPUTED_VALUE"""),"Not able to access the link given it means readme document is not created by the peer")</f>
        <v>Not able to access the link given it means readme document is not created by the peer</v>
      </c>
      <c r="J35" s="3" t="str">
        <f>IFERROR(__xludf.DUMMYFUNCTION("""COMPUTED_VALUE"""),"23f1000583@ds.study.iitm.ac.in")</f>
        <v>23f1000583@ds.study.iitm.ac.in</v>
      </c>
      <c r="K35" s="3" t="str">
        <f t="shared" si="1"/>
        <v>23f1000583@ds.study.iitm.ac.inhttps://github.com/Udita1122/23f1000092</v>
      </c>
      <c r="L35" s="3" t="str">
        <f t="shared" si="2"/>
        <v>23f1000583@ds.study.iitm.ac.inhttps://github.com/gyanesh-iitmiimb/TDSProject1/blob</v>
      </c>
    </row>
    <row r="36">
      <c r="A36" s="3">
        <f>IFERROR(__xludf.DUMMYFUNCTION("""COMPUTED_VALUE"""),45598.705428009256)</f>
        <v>45598.70543</v>
      </c>
      <c r="B36" s="5" t="str">
        <f>IFERROR(__xludf.DUMMYFUNCTION("""COMPUTED_VALUE"""),"https://github.com/dhaanicodes/project1")</f>
        <v>https://github.com/dhaanicodes/project1</v>
      </c>
      <c r="C36" s="3">
        <f>IFERROR(__xludf.DUMMYFUNCTION("""COMPUTED_VALUE"""),10.0)</f>
        <v>10</v>
      </c>
      <c r="D36" s="3">
        <f>IFERROR(__xludf.DUMMYFUNCTION("""COMPUTED_VALUE"""),10.0)</f>
        <v>10</v>
      </c>
      <c r="E36" s="3" t="str">
        <f>IFERROR(__xludf.DUMMYFUNCTION("""COMPUTED_VALUE"""),"......................................................")</f>
        <v>......................................................</v>
      </c>
      <c r="F36" s="5" t="str">
        <f>IFERROR(__xludf.DUMMYFUNCTION("""COMPUTED_VALUE"""),"https://github.com/dhaanicodes/project1")</f>
        <v>https://github.com/dhaanicodes/project1</v>
      </c>
      <c r="G36" s="3">
        <f>IFERROR(__xludf.DUMMYFUNCTION("""COMPUTED_VALUE"""),10.0)</f>
        <v>10</v>
      </c>
      <c r="H36" s="3">
        <f>IFERROR(__xludf.DUMMYFUNCTION("""COMPUTED_VALUE"""),10.0)</f>
        <v>10</v>
      </c>
      <c r="I36" s="3" t="str">
        <f>IFERROR(__xludf.DUMMYFUNCTION("""COMPUTED_VALUE"""),"..................................................................")</f>
        <v>..................................................................</v>
      </c>
      <c r="J36" s="3" t="str">
        <f>IFERROR(__xludf.DUMMYFUNCTION("""COMPUTED_VALUE"""),"23f1003126@ds.study.iitm.ac.in")</f>
        <v>23f1003126@ds.study.iitm.ac.in</v>
      </c>
      <c r="K36" s="3" t="str">
        <f t="shared" si="1"/>
        <v>23f1003126@ds.study.iitm.ac.inhttps://github.com/dhaanicodes/project1</v>
      </c>
      <c r="L36" s="3" t="str">
        <f t="shared" si="2"/>
        <v>23f1003126@ds.study.iitm.ac.inhttps://github.com/dhaanicodes/project1</v>
      </c>
    </row>
    <row r="37">
      <c r="A37" s="3">
        <f>IFERROR(__xludf.DUMMYFUNCTION("""COMPUTED_VALUE"""),45598.70680616898)</f>
        <v>45598.70681</v>
      </c>
      <c r="B37" s="5" t="str">
        <f>IFERROR(__xludf.DUMMYFUNCTION("""COMPUTED_VALUE"""),"https://github.com/Karthikey2003/tdsproj1")</f>
        <v>https://github.com/Karthikey2003/tdsproj1</v>
      </c>
      <c r="C37" s="3">
        <f>IFERROR(__xludf.DUMMYFUNCTION("""COMPUTED_VALUE"""),10.0)</f>
        <v>10</v>
      </c>
      <c r="D37" s="3">
        <f>IFERROR(__xludf.DUMMYFUNCTION("""COMPUTED_VALUE"""),10.0)</f>
        <v>10</v>
      </c>
      <c r="E37" s="3" t="str">
        <f>IFERROR(__xludf.DUMMYFUNCTION("""COMPUTED_VALUE"""),"The README was in proper format and length and contained interesting insights. The code was properly commented and indented.")</f>
        <v>The README was in proper format and length and contained interesting insights. The code was properly commented and indented.</v>
      </c>
      <c r="F37" s="5" t="str">
        <f>IFERROR(__xludf.DUMMYFUNCTION("""COMPUTED_VALUE"""),"https://github.com/Viswa-iitm/TDS-project-1/")</f>
        <v>https://github.com/Viswa-iitm/TDS-project-1/</v>
      </c>
      <c r="G37" s="3">
        <f>IFERROR(__xludf.DUMMYFUNCTION("""COMPUTED_VALUE"""),10.0)</f>
        <v>10</v>
      </c>
      <c r="H37" s="3">
        <f>IFERROR(__xludf.DUMMYFUNCTION("""COMPUTED_VALUE"""),10.0)</f>
        <v>10</v>
      </c>
      <c r="I37" s="3" t="str">
        <f>IFERROR(__xludf.DUMMYFUNCTION("""COMPUTED_VALUE"""),"The README was in proper format and length and contained interesting insights. The code was properly commented and indented.")</f>
        <v>The README was in proper format and length and contained interesting insights. The code was properly commented and indented.</v>
      </c>
      <c r="J37" s="3" t="str">
        <f>IFERROR(__xludf.DUMMYFUNCTION("""COMPUTED_VALUE"""),"23f1001947@ds.study.iitm.ac.in")</f>
        <v>23f1001947@ds.study.iitm.ac.in</v>
      </c>
      <c r="K37" s="3" t="str">
        <f t="shared" si="1"/>
        <v>23f1001947@ds.study.iitm.ac.inhttps://github.com/Karthikey2003/tdsproj1</v>
      </c>
      <c r="L37" s="3" t="str">
        <f t="shared" si="2"/>
        <v>23f1001947@ds.study.iitm.ac.inhttps://github.com/Viswa-iitm/TDS-project-1/</v>
      </c>
    </row>
    <row r="38">
      <c r="A38" s="3">
        <f>IFERROR(__xludf.DUMMYFUNCTION("""COMPUTED_VALUE"""),45598.70960836805)</f>
        <v>45598.70961</v>
      </c>
      <c r="B38" s="5" t="str">
        <f>IFERROR(__xludf.DUMMYFUNCTION("""COMPUTED_VALUE"""),"https://github.com/devp1866/tds_project_1")</f>
        <v>https://github.com/devp1866/tds_project_1</v>
      </c>
      <c r="C38" s="3">
        <f>IFERROR(__xludf.DUMMYFUNCTION("""COMPUTED_VALUE"""),5.0)</f>
        <v>5</v>
      </c>
      <c r="D38" s="3">
        <f>IFERROR(__xludf.DUMMYFUNCTION("""COMPUTED_VALUE"""),5.0)</f>
        <v>5</v>
      </c>
      <c r="E38" s="3" t="str">
        <f>IFERROR(__xludf.DUMMYFUNCTION("""COMPUTED_VALUE"""),"In this repo, readme documentation is met the expectation but code given in repo, met the expectation with some flaws in code in scrapping section.")</f>
        <v>In this repo, readme documentation is met the expectation but code given in repo, met the expectation with some flaws in code in scrapping section.</v>
      </c>
      <c r="F38" s="5" t="str">
        <f>IFERROR(__xludf.DUMMYFUNCTION("""COMPUTED_VALUE"""),"https://github.com/devishijain/TDS-Project-1")</f>
        <v>https://github.com/devishijain/TDS-Project-1</v>
      </c>
      <c r="G38" s="3">
        <f>IFERROR(__xludf.DUMMYFUNCTION("""COMPUTED_VALUE"""),1.0)</f>
        <v>1</v>
      </c>
      <c r="H38" s="3">
        <f>IFERROR(__xludf.DUMMYFUNCTION("""COMPUTED_VALUE"""),0.0)</f>
        <v>0</v>
      </c>
      <c r="I38" s="3" t="str">
        <f>IFERROR(__xludf.DUMMYFUNCTION("""COMPUTED_VALUE"""),"In this repo, it doesn't have code for scrapping and also for 16 questions given in portal")</f>
        <v>In this repo, it doesn't have code for scrapping and also for 16 questions given in portal</v>
      </c>
      <c r="J38" s="3" t="str">
        <f>IFERROR(__xludf.DUMMYFUNCTION("""COMPUTED_VALUE"""),"23f1002688@ds.study.iitm.ac.in")</f>
        <v>23f1002688@ds.study.iitm.ac.in</v>
      </c>
      <c r="K38" s="3" t="str">
        <f t="shared" si="1"/>
        <v>23f1002688@ds.study.iitm.ac.inhttps://github.com/devp1866/tds_project_1</v>
      </c>
      <c r="L38" s="3" t="str">
        <f t="shared" si="2"/>
        <v>23f1002688@ds.study.iitm.ac.inhttps://github.com/devishijain/TDS-Project-1</v>
      </c>
    </row>
    <row r="39">
      <c r="A39" s="3">
        <f>IFERROR(__xludf.DUMMYFUNCTION("""COMPUTED_VALUE"""),45598.85634115741)</f>
        <v>45598.85634</v>
      </c>
      <c r="B39" s="5" t="str">
        <f>IFERROR(__xludf.DUMMYFUNCTION("""COMPUTED_VALUE"""),"https://github.com/sujatrobhadra/TDS_Project_1")</f>
        <v>https://github.com/sujatrobhadra/TDS_Project_1</v>
      </c>
      <c r="C39" s="3">
        <f>IFERROR(__xludf.DUMMYFUNCTION("""COMPUTED_VALUE"""),10.0)</f>
        <v>10</v>
      </c>
      <c r="D39" s="3">
        <f>IFERROR(__xludf.DUMMYFUNCTION("""COMPUTED_VALUE"""),0.0)</f>
        <v>0</v>
      </c>
      <c r="E39" s="3" t="str">
        <f>IFERROR(__xludf.DUMMYFUNCTION("""COMPUTED_VALUE"""),"for the README.md I did find a lot of interesting things, whereas there was no REPO code.")</f>
        <v>for the README.md I did find a lot of interesting things, whereas there was no REPO code.</v>
      </c>
      <c r="F39" s="5" t="str">
        <f>IFERROR(__xludf.DUMMYFUNCTION("""COMPUTED_VALUE"""),"https://github.com/Nishtha65/TDS-Project1")</f>
        <v>https://github.com/Nishtha65/TDS-Project1</v>
      </c>
      <c r="G39" s="3">
        <f>IFERROR(__xludf.DUMMYFUNCTION("""COMPUTED_VALUE"""),10.0)</f>
        <v>10</v>
      </c>
      <c r="H39" s="3">
        <f>IFERROR(__xludf.DUMMYFUNCTION("""COMPUTED_VALUE"""),10.0)</f>
        <v>10</v>
      </c>
      <c r="I39" s="3" t="str">
        <f>IFERROR(__xludf.DUMMYFUNCTION("""COMPUTED_VALUE"""),"the README.md file was very concise and comprehensive. the repo code was very elegant.")</f>
        <v>the README.md file was very concise and comprehensive. the repo code was very elegant.</v>
      </c>
      <c r="J39" s="3" t="str">
        <f>IFERROR(__xludf.DUMMYFUNCTION("""COMPUTED_VALUE"""),"23f1002462@ds.study.iitm.ac.in")</f>
        <v>23f1002462@ds.study.iitm.ac.in</v>
      </c>
      <c r="K39" s="3" t="str">
        <f t="shared" si="1"/>
        <v>23f1002462@ds.study.iitm.ac.inhttps://github.com/sujatrobhadra/TDS_Project_1</v>
      </c>
      <c r="L39" s="3" t="str">
        <f t="shared" si="2"/>
        <v>23f1002462@ds.study.iitm.ac.inhttps://github.com/Nishtha65/TDS-Project1</v>
      </c>
    </row>
    <row r="40">
      <c r="A40" s="3">
        <f>IFERROR(__xludf.DUMMYFUNCTION("""COMPUTED_VALUE"""),45598.7130775463)</f>
        <v>45598.71308</v>
      </c>
      <c r="B40" s="5" t="str">
        <f>IFERROR(__xludf.DUMMYFUNCTION("""COMPUTED_VALUE"""),"https://github.com/Chitraksha-Sharma/Project_1_TDS")</f>
        <v>https://github.com/Chitraksha-Sharma/Project_1_TDS</v>
      </c>
      <c r="C40" s="3">
        <f>IFERROR(__xludf.DUMMYFUNCTION("""COMPUTED_VALUE"""),6.0)</f>
        <v>6</v>
      </c>
      <c r="D40" s="3">
        <f>IFERROR(__xludf.DUMMYFUNCTION("""COMPUTED_VALUE"""),0.0)</f>
        <v>0</v>
      </c>
      <c r="E40" s="3" t="str">
        <f>IFERROR(__xludf.DUMMYFUNCTION("""COMPUTED_VALUE"""),"The ReadMe is written with the information of the data but no code is available")</f>
        <v>The ReadMe is written with the information of the data but no code is available</v>
      </c>
      <c r="F40" s="5" t="str">
        <f>IFERROR(__xludf.DUMMYFUNCTION("""COMPUTED_VALUE"""),"https://github.com/AmanManiTiwari/Tools-In-Data-Science-Project-1")</f>
        <v>https://github.com/AmanManiTiwari/Tools-In-Data-Science-Project-1</v>
      </c>
      <c r="G40" s="3">
        <f>IFERROR(__xludf.DUMMYFUNCTION("""COMPUTED_VALUE"""),6.0)</f>
        <v>6</v>
      </c>
      <c r="H40" s="3">
        <f>IFERROR(__xludf.DUMMYFUNCTION("""COMPUTED_VALUE"""),10.0)</f>
        <v>10</v>
      </c>
      <c r="I40" s="3" t="str">
        <f>IFERROR(__xludf.DUMMYFUNCTION("""COMPUTED_VALUE"""),"The readMe gives the intro information well and the code is well written")</f>
        <v>The readMe gives the intro information well and the code is well written</v>
      </c>
      <c r="J40" s="3" t="str">
        <f>IFERROR(__xludf.DUMMYFUNCTION("""COMPUTED_VALUE"""),"21f3002415@ds.study.iitm.ac.in")</f>
        <v>21f3002415@ds.study.iitm.ac.in</v>
      </c>
      <c r="K40" s="3" t="str">
        <f t="shared" si="1"/>
        <v>21f3002415@ds.study.iitm.ac.inhttps://github.com/Chitraksha-Sharma/Project_1_TDS</v>
      </c>
      <c r="L40" s="3" t="str">
        <f t="shared" si="2"/>
        <v>21f3002415@ds.study.iitm.ac.inhttps://github.com/AmanManiTiwari/Tools-In-Data-Science-Project-1</v>
      </c>
    </row>
    <row r="41">
      <c r="A41" s="3">
        <f>IFERROR(__xludf.DUMMYFUNCTION("""COMPUTED_VALUE"""),45601.87281403935)</f>
        <v>45601.87281</v>
      </c>
      <c r="B41" s="5" t="str">
        <f>IFERROR(__xludf.DUMMYFUNCTION("""COMPUTED_VALUE"""),"https://github.com/aarfeeniitm/TDS-Project-1")</f>
        <v>https://github.com/aarfeeniitm/TDS-Project-1</v>
      </c>
      <c r="C41" s="3">
        <f>IFERROR(__xludf.DUMMYFUNCTION("""COMPUTED_VALUE"""),9.0)</f>
        <v>9</v>
      </c>
      <c r="D41" s="3">
        <f>IFERROR(__xludf.DUMMYFUNCTION("""COMPUTED_VALUE"""),7.0)</f>
        <v>7</v>
      </c>
      <c r="E41" s="3" t="str">
        <f>IFERROR(__xludf.DUMMYFUNCTION("""COMPUTED_VALUE"""),"README file has all the required points in good detail maybe not the most interesting insights hence 9.The code has wrong answers for 12 and 15 questions which NaN this only occurs when the data in users.csv and repositories.csv files are not formatted pr"&amp;"operly hence 7.")</f>
        <v>README file has all the required points in good detail maybe not the most interesting insights hence 9.The code has wrong answers for 12 and 15 questions which NaN this only occurs when the data in users.csv and repositories.csv files are not formatted properly hence 7.</v>
      </c>
      <c r="F41" s="5" t="str">
        <f>IFERROR(__xludf.DUMMYFUNCTION("""COMPUTED_VALUE"""),"https://github.com/srijan789/tdsproj1")</f>
        <v>https://github.com/srijan789/tdsproj1</v>
      </c>
      <c r="G41" s="3">
        <f>IFERROR(__xludf.DUMMYFUNCTION("""COMPUTED_VALUE"""),8.0)</f>
        <v>8</v>
      </c>
      <c r="H41" s="3">
        <f>IFERROR(__xludf.DUMMYFUNCTION("""COMPUTED_VALUE"""),10.0)</f>
        <v>10</v>
      </c>
      <c r="I41" s="3" t="str">
        <f>IFERROR(__xludf.DUMMYFUNCTION("""COMPUTED_VALUE"""),"he README file had all three required points maybe not the most interesting points but covered the requirement hence 8. The code was clear had all required parts and clean with comments hence 10.")</f>
        <v>he README file had all three required points maybe not the most interesting points but covered the requirement hence 8. The code was clear had all required parts and clean with comments hence 10.</v>
      </c>
      <c r="J41" s="3" t="str">
        <f>IFERROR(__xludf.DUMMYFUNCTION("""COMPUTED_VALUE"""),"21f1006373@ds.study.iitm.ac.in")</f>
        <v>21f1006373@ds.study.iitm.ac.in</v>
      </c>
      <c r="K41" s="3" t="str">
        <f t="shared" si="1"/>
        <v>21f1006373@ds.study.iitm.ac.inhttps://github.com/aarfeeniitm/TDS-Project-1</v>
      </c>
      <c r="L41" s="3" t="str">
        <f t="shared" si="2"/>
        <v>21f1006373@ds.study.iitm.ac.inhttps://github.com/srijan789/tdsproj1</v>
      </c>
    </row>
    <row r="42">
      <c r="A42" s="3">
        <f>IFERROR(__xludf.DUMMYFUNCTION("""COMPUTED_VALUE"""),45598.71509025463)</f>
        <v>45598.71509</v>
      </c>
      <c r="B42" s="5" t="str">
        <f>IFERROR(__xludf.DUMMYFUNCTION("""COMPUTED_VALUE"""),"https://github.com/sufyan-12/TDS-PR1")</f>
        <v>https://github.com/sufyan-12/TDS-PR1</v>
      </c>
      <c r="C42" s="3">
        <f>IFERROR(__xludf.DUMMYFUNCTION("""COMPUTED_VALUE"""),8.0)</f>
        <v>8</v>
      </c>
      <c r="D42" s="3">
        <f>IFERROR(__xludf.DUMMYFUNCTION("""COMPUTED_VALUE"""),8.0)</f>
        <v>8</v>
      </c>
      <c r="E42" s="3" t="str">
        <f>IFERROR(__xludf.DUMMYFUNCTION("""COMPUTED_VALUE"""),"1)The repo can be made still intresting by mentioning all the details of the analysis in a professional way.
2)The code is not up to the mark, he can write the codes in a much better way for the best optimal code and analysis.
3) No review of repostiory.c"&amp;"sv file, its in raw form.")</f>
        <v>1)The repo can be made still intresting by mentioning all the details of the analysis in a professional way.
2)The code is not up to the mark, he can write the codes in a much better way for the best optimal code and analysis.
3) No review of repostiory.csv file, its in raw form.</v>
      </c>
      <c r="F42" s="5" t="str">
        <f>IFERROR(__xludf.DUMMYFUNCTION("""COMPUTED_VALUE"""),"https://github.com/theduskyrobe/TDS1")</f>
        <v>https://github.com/theduskyrobe/TDS1</v>
      </c>
      <c r="G42" s="3">
        <f>IFERROR(__xludf.DUMMYFUNCTION("""COMPUTED_VALUE"""),9.0)</f>
        <v>9</v>
      </c>
      <c r="H42" s="3">
        <f>IFERROR(__xludf.DUMMYFUNCTION("""COMPUTED_VALUE"""),10.0)</f>
        <v>10</v>
      </c>
      <c r="I42" s="3" t="str">
        <f>IFERROR(__xludf.DUMMYFUNCTION("""COMPUTED_VALUE"""),"The work is good, the code is been implemented correctly and the repo is also clean and analysis of the data were presented in a good way")</f>
        <v>The work is good, the code is been implemented correctly and the repo is also clean and analysis of the data were presented in a good way</v>
      </c>
      <c r="J42" s="3" t="str">
        <f>IFERROR(__xludf.DUMMYFUNCTION("""COMPUTED_VALUE"""),"22f3001512@ds.study.iitm.ac.in")</f>
        <v>22f3001512@ds.study.iitm.ac.in</v>
      </c>
      <c r="K42" s="3" t="str">
        <f t="shared" si="1"/>
        <v>22f3001512@ds.study.iitm.ac.inhttps://github.com/sufyan-12/TDS-PR1</v>
      </c>
      <c r="L42" s="3" t="str">
        <f t="shared" si="2"/>
        <v>22f3001512@ds.study.iitm.ac.inhttps://github.com/theduskyrobe/TDS1</v>
      </c>
    </row>
    <row r="43">
      <c r="A43" s="3">
        <f>IFERROR(__xludf.DUMMYFUNCTION("""COMPUTED_VALUE"""),45598.7178388426)</f>
        <v>45598.71784</v>
      </c>
      <c r="B43" s="5" t="str">
        <f>IFERROR(__xludf.DUMMYFUNCTION("""COMPUTED_VALUE"""),"https://github.com/22f3001377/Pro1")</f>
        <v>https://github.com/22f3001377/Pro1</v>
      </c>
      <c r="C43" s="3">
        <f>IFERROR(__xludf.DUMMYFUNCTION("""COMPUTED_VALUE"""),10.0)</f>
        <v>10</v>
      </c>
      <c r="D43" s="3">
        <f>IFERROR(__xludf.DUMMYFUNCTION("""COMPUTED_VALUE"""),10.0)</f>
        <v>10</v>
      </c>
      <c r="E43" s="3" t="str">
        <f>IFERROR(__xludf.DUMMYFUNCTION("""COMPUTED_VALUE"""),"Because it was genuinely done well.")</f>
        <v>Because it was genuinely done well.</v>
      </c>
      <c r="F43" s="5" t="str">
        <f>IFERROR(__xludf.DUMMYFUNCTION("""COMPUTED_VALUE"""),"https://github.com/nirmaldeep-p/TDS-Project-1")</f>
        <v>https://github.com/nirmaldeep-p/TDS-Project-1</v>
      </c>
      <c r="G43" s="3">
        <f>IFERROR(__xludf.DUMMYFUNCTION("""COMPUTED_VALUE"""),6.0)</f>
        <v>6</v>
      </c>
      <c r="H43" s="3">
        <f>IFERROR(__xludf.DUMMYFUNCTION("""COMPUTED_VALUE"""),0.0)</f>
        <v>0</v>
      </c>
      <c r="I43" s="3" t="str">
        <f>IFERROR(__xludf.DUMMYFUNCTION("""COMPUTED_VALUE"""),"There weren't really any findings given.")</f>
        <v>There weren't really any findings given.</v>
      </c>
      <c r="J43" s="3" t="str">
        <f>IFERROR(__xludf.DUMMYFUNCTION("""COMPUTED_VALUE"""),"22f2001193@ds.study.iitm.ac.in")</f>
        <v>22f2001193@ds.study.iitm.ac.in</v>
      </c>
      <c r="K43" s="3" t="str">
        <f t="shared" si="1"/>
        <v>22f2001193@ds.study.iitm.ac.inhttps://github.com/22f3001377/Pro1</v>
      </c>
      <c r="L43" s="3" t="str">
        <f t="shared" si="2"/>
        <v>22f2001193@ds.study.iitm.ac.inhttps://github.com/nirmaldeep-p/TDS-Project-1</v>
      </c>
    </row>
    <row r="44">
      <c r="A44" s="3">
        <f>IFERROR(__xludf.DUMMYFUNCTION("""COMPUTED_VALUE"""),45598.72053789352)</f>
        <v>45598.72054</v>
      </c>
      <c r="B44" s="5" t="str">
        <f>IFERROR(__xludf.DUMMYFUNCTION("""COMPUTED_VALUE"""),"https://github.com/RutikaKanaujiya/barcelona_assignment")</f>
        <v>https://github.com/RutikaKanaujiya/barcelona_assignment</v>
      </c>
      <c r="C44" s="3">
        <f>IFERROR(__xludf.DUMMYFUNCTION("""COMPUTED_VALUE"""),6.0)</f>
        <v>6</v>
      </c>
      <c r="D44" s="3">
        <f>IFERROR(__xludf.DUMMYFUNCTION("""COMPUTED_VALUE"""),8.0)</f>
        <v>8</v>
      </c>
      <c r="E44" s="3" t="str">
        <f>IFERROR(__xludf.DUMMYFUNCTION("""COMPUTED_VALUE"""),"I learnt something new from this repo.")</f>
        <v>I learnt something new from this repo.</v>
      </c>
      <c r="F44" s="5" t="str">
        <f>IFERROR(__xludf.DUMMYFUNCTION("""COMPUTED_VALUE"""),"https://github.com/SiriusOrion0301/TDS-PROJECT-1")</f>
        <v>https://github.com/SiriusOrion0301/TDS-PROJECT-1</v>
      </c>
      <c r="G44" s="3">
        <f>IFERROR(__xludf.DUMMYFUNCTION("""COMPUTED_VALUE"""),7.0)</f>
        <v>7</v>
      </c>
      <c r="H44" s="3">
        <f>IFERROR(__xludf.DUMMYFUNCTION("""COMPUTED_VALUE"""),7.0)</f>
        <v>7</v>
      </c>
      <c r="I44" s="3" t="str">
        <f>IFERROR(__xludf.DUMMYFUNCTION("""COMPUTED_VALUE"""),"I learnt something new from this repo.")</f>
        <v>I learnt something new from this repo.</v>
      </c>
      <c r="J44" s="3" t="str">
        <f>IFERROR(__xludf.DUMMYFUNCTION("""COMPUTED_VALUE"""),"23f2003747@ds.study.iitm.ac.in")</f>
        <v>23f2003747@ds.study.iitm.ac.in</v>
      </c>
      <c r="K44" s="3" t="str">
        <f t="shared" si="1"/>
        <v>23f2003747@ds.study.iitm.ac.inhttps://github.com/RutikaKanaujiya/barcelona_assignment</v>
      </c>
      <c r="L44" s="3" t="str">
        <f t="shared" si="2"/>
        <v>23f2003747@ds.study.iitm.ac.inhttps://github.com/SiriusOrion0301/TDS-PROJECT-1</v>
      </c>
    </row>
    <row r="45">
      <c r="A45" s="3">
        <f>IFERROR(__xludf.DUMMYFUNCTION("""COMPUTED_VALUE"""),45598.72123549768)</f>
        <v>45598.72124</v>
      </c>
      <c r="B45" s="5" t="str">
        <f>IFERROR(__xludf.DUMMYFUNCTION("""COMPUTED_VALUE"""),"https://github.com/Sgytuy/Tools-in-Data-Science---Project-1/tree/main")</f>
        <v>https://github.com/Sgytuy/Tools-in-Data-Science---Project-1/tree/main</v>
      </c>
      <c r="C45" s="3">
        <f>IFERROR(__xludf.DUMMYFUNCTION("""COMPUTED_VALUE"""),9.0)</f>
        <v>9</v>
      </c>
      <c r="D45" s="3">
        <f>IFERROR(__xludf.DUMMYFUNCTION("""COMPUTED_VALUE"""),5.0)</f>
        <v>5</v>
      </c>
      <c r="E45" s="3" t="str">
        <f>IFERROR(__xludf.DUMMYFUNCTION("""COMPUTED_VALUE"""),"The code is not clear and the readme doesnt have 2 sections that were required")</f>
        <v>The code is not clear and the readme doesnt have 2 sections that were required</v>
      </c>
      <c r="F45" s="5" t="str">
        <f>IFERROR(__xludf.DUMMYFUNCTION("""COMPUTED_VALUE"""),"https://github.com/mfzlur/tds-iitm-project1")</f>
        <v>https://github.com/mfzlur/tds-iitm-project1</v>
      </c>
      <c r="G45" s="3">
        <f>IFERROR(__xludf.DUMMYFUNCTION("""COMPUTED_VALUE"""),10.0)</f>
        <v>10</v>
      </c>
      <c r="H45" s="3">
        <f>IFERROR(__xludf.DUMMYFUNCTION("""COMPUTED_VALUE"""),10.0)</f>
        <v>10</v>
      </c>
      <c r="I45" s="3" t="str">
        <f>IFERROR(__xludf.DUMMYFUNCTION("""COMPUTED_VALUE"""),"neat and clean, all required details and codes have been provided")</f>
        <v>neat and clean, all required details and codes have been provided</v>
      </c>
      <c r="J45" s="3" t="str">
        <f>IFERROR(__xludf.DUMMYFUNCTION("""COMPUTED_VALUE"""),"23f1001880@ds.study.iitm.ac.in")</f>
        <v>23f1001880@ds.study.iitm.ac.in</v>
      </c>
      <c r="K45" s="3" t="str">
        <f t="shared" si="1"/>
        <v>23f1001880@ds.study.iitm.ac.inhttps://github.com/Sgytuy/Tools-in-Data-Science---Project-1/tree/main</v>
      </c>
      <c r="L45" s="3" t="str">
        <f t="shared" si="2"/>
        <v>23f1001880@ds.study.iitm.ac.inhttps://github.com/mfzlur/tds-iitm-project1</v>
      </c>
    </row>
    <row r="46">
      <c r="A46" s="3">
        <f>IFERROR(__xludf.DUMMYFUNCTION("""COMPUTED_VALUE"""),45598.72148090278)</f>
        <v>45598.72148</v>
      </c>
      <c r="B46" s="5" t="str">
        <f>IFERROR(__xludf.DUMMYFUNCTION("""COMPUTED_VALUE"""),"https://github.com/niki7777777/TDS-Project-1")</f>
        <v>https://github.com/niki7777777/TDS-Project-1</v>
      </c>
      <c r="C46" s="3">
        <f>IFERROR(__xludf.DUMMYFUNCTION("""COMPUTED_VALUE"""),9.0)</f>
        <v>9</v>
      </c>
      <c r="D46" s="3">
        <f>IFERROR(__xludf.DUMMYFUNCTION("""COMPUTED_VALUE"""),0.0)</f>
        <v>0</v>
      </c>
      <c r="E46" s="3" t="str">
        <f>IFERROR(__xludf.DUMMYFUNCTION("""COMPUTED_VALUE"""),"Finding and readme file is clearly relevant but code file is missing.")</f>
        <v>Finding and readme file is clearly relevant but code file is missing.</v>
      </c>
      <c r="F46" s="5" t="str">
        <f>IFERROR(__xludf.DUMMYFUNCTION("""COMPUTED_VALUE"""),"https://github.com/rohit0490/tdsp1")</f>
        <v>https://github.com/rohit0490/tdsp1</v>
      </c>
      <c r="G46" s="3">
        <f>IFERROR(__xludf.DUMMYFUNCTION("""COMPUTED_VALUE"""),9.0)</f>
        <v>9</v>
      </c>
      <c r="H46" s="3">
        <f>IFERROR(__xludf.DUMMYFUNCTION("""COMPUTED_VALUE"""),9.0)</f>
        <v>9</v>
      </c>
      <c r="I46" s="3" t="str">
        <f>IFERROR(__xludf.DUMMYFUNCTION("""COMPUTED_VALUE"""),"All required findings and code is clearly mentioned.")</f>
        <v>All required findings and code is clearly mentioned.</v>
      </c>
      <c r="J46" s="3" t="str">
        <f>IFERROR(__xludf.DUMMYFUNCTION("""COMPUTED_VALUE"""),"22f1000990@ds.study.iitm.ac.in")</f>
        <v>22f1000990@ds.study.iitm.ac.in</v>
      </c>
      <c r="K46" s="3" t="str">
        <f t="shared" si="1"/>
        <v>22f1000990@ds.study.iitm.ac.inhttps://github.com/niki7777777/TDS-Project-1</v>
      </c>
      <c r="L46" s="3" t="str">
        <f t="shared" si="2"/>
        <v>22f1000990@ds.study.iitm.ac.inhttps://github.com/rohit0490/tdsp1</v>
      </c>
    </row>
    <row r="47">
      <c r="A47" s="3">
        <f>IFERROR(__xludf.DUMMYFUNCTION("""COMPUTED_VALUE"""),45599.37540114584)</f>
        <v>45599.3754</v>
      </c>
      <c r="B47" s="5" t="str">
        <f>IFERROR(__xludf.DUMMYFUNCTION("""COMPUTED_VALUE"""),"https://github.com/febixcf/tds-project1")</f>
        <v>https://github.com/febixcf/tds-project1</v>
      </c>
      <c r="C47" s="3">
        <f>IFERROR(__xludf.DUMMYFUNCTION("""COMPUTED_VALUE"""),10.0)</f>
        <v>10</v>
      </c>
      <c r="D47" s="3">
        <f>IFERROR(__xludf.DUMMYFUNCTION("""COMPUTED_VALUE"""),10.0)</f>
        <v>10</v>
      </c>
      <c r="E47" s="3" t="str">
        <f>IFERROR(__xludf.DUMMYFUNCTION("""COMPUTED_VALUE"""),"There is a finding where many people are not licensing. So, it is evident that the person is doing quite a bit of analysis.")</f>
        <v>There is a finding where many people are not licensing. So, it is evident that the person is doing quite a bit of analysis.</v>
      </c>
      <c r="F47" s="5" t="str">
        <f>IFERROR(__xludf.DUMMYFUNCTION("""COMPUTED_VALUE"""),"https://forms.gle/qjSEztCfP6oG65gp8")</f>
        <v>https://forms.gle/qjSEztCfP6oG65gp8</v>
      </c>
      <c r="G47" s="3">
        <f>IFERROR(__xludf.DUMMYFUNCTION("""COMPUTED_VALUE"""),10.0)</f>
        <v>10</v>
      </c>
      <c r="H47" s="3">
        <f>IFERROR(__xludf.DUMMYFUNCTION("""COMPUTED_VALUE"""),10.0)</f>
        <v>10</v>
      </c>
      <c r="I47" s="3" t="str">
        <f>IFERROR(__xludf.DUMMYFUNCTION("""COMPUTED_VALUE"""),"The person has created his own column to do analysis. The work he/she had done is evident through graphs which is related.")</f>
        <v>The person has created his own column to do analysis. The work he/she had done is evident through graphs which is related.</v>
      </c>
      <c r="J47" s="3" t="str">
        <f>IFERROR(__xludf.DUMMYFUNCTION("""COMPUTED_VALUE"""),"21f3002425@ds.study.iitm.ac.in")</f>
        <v>21f3002425@ds.study.iitm.ac.in</v>
      </c>
      <c r="K47" s="3" t="str">
        <f t="shared" si="1"/>
        <v>21f3002425@ds.study.iitm.ac.inhttps://github.com/febixcf/tds-project1</v>
      </c>
      <c r="L47" s="3" t="str">
        <f t="shared" si="2"/>
        <v>21f3002425@ds.study.iitm.ac.inhttps://forms.gle/qjSEztCfP6oG65gp8</v>
      </c>
    </row>
    <row r="48">
      <c r="A48" s="3">
        <f>IFERROR(__xludf.DUMMYFUNCTION("""COMPUTED_VALUE"""),45636.13843293981)</f>
        <v>45636.13843</v>
      </c>
      <c r="B48" s="5" t="str">
        <f>IFERROR(__xludf.DUMMYFUNCTION("""COMPUTED_VALUE"""),"https://github.com/RutikaKanaujiya/barcelona_assignment")</f>
        <v>https://github.com/RutikaKanaujiya/barcelona_assignment</v>
      </c>
      <c r="C48" s="3">
        <f>IFERROR(__xludf.DUMMYFUNCTION("""COMPUTED_VALUE"""),0.0)</f>
        <v>0</v>
      </c>
      <c r="D48" s="3">
        <f>IFERROR(__xludf.DUMMYFUNCTION("""COMPUTED_VALUE"""),3.0)</f>
        <v>3</v>
      </c>
      <c r="E48" s="3" t="str">
        <f>IFERROR(__xludf.DUMMYFUNCTION("""COMPUTED_VALUE"""),"There was ntg written in readme file")</f>
        <v>There was ntg written in readme file</v>
      </c>
      <c r="F48" s="5" t="str">
        <f>IFERROR(__xludf.DUMMYFUNCTION("""COMPUTED_VALUE"""),"https://github.com/SiriusOrion0301/TDS-PROJECT-1")</f>
        <v>https://github.com/SiriusOrion0301/TDS-PROJECT-1</v>
      </c>
      <c r="G48" s="3">
        <f>IFERROR(__xludf.DUMMYFUNCTION("""COMPUTED_VALUE"""),7.0)</f>
        <v>7</v>
      </c>
      <c r="H48" s="3">
        <f>IFERROR(__xludf.DUMMYFUNCTION("""COMPUTED_VALUE"""),7.0)</f>
        <v>7</v>
      </c>
      <c r="I48" s="3" t="str">
        <f>IFERROR(__xludf.DUMMYFUNCTION("""COMPUTED_VALUE"""),"There is readme file properly writtened and there are csv files")</f>
        <v>There is readme file properly writtened and there are csv files</v>
      </c>
      <c r="J48" s="3" t="str">
        <f>IFERROR(__xludf.DUMMYFUNCTION("""COMPUTED_VALUE"""),"22f3000190@ds.study.iitm.ac.in")</f>
        <v>22f3000190@ds.study.iitm.ac.in</v>
      </c>
      <c r="K48" s="3" t="str">
        <f t="shared" si="1"/>
        <v>22f3000190@ds.study.iitm.ac.inhttps://github.com/RutikaKanaujiya/barcelona_assignment</v>
      </c>
      <c r="L48" s="3" t="str">
        <f t="shared" si="2"/>
        <v>22f3000190@ds.study.iitm.ac.inhttps://github.com/SiriusOrion0301/TDS-PROJECT-1</v>
      </c>
    </row>
    <row r="49">
      <c r="A49" s="3">
        <f>IFERROR(__xludf.DUMMYFUNCTION("""COMPUTED_VALUE"""),45598.95979953704)</f>
        <v>45598.9598</v>
      </c>
      <c r="B49" s="5" t="str">
        <f>IFERROR(__xludf.DUMMYFUNCTION("""COMPUTED_VALUE"""),"https://github.com/SarveshMSIITM/TDS-P1")</f>
        <v>https://github.com/SarveshMSIITM/TDS-P1</v>
      </c>
      <c r="C49" s="3">
        <f>IFERROR(__xludf.DUMMYFUNCTION("""COMPUTED_VALUE"""),3.0)</f>
        <v>3</v>
      </c>
      <c r="D49" s="3">
        <f>IFERROR(__xludf.DUMMYFUNCTION("""COMPUTED_VALUE"""),7.0)</f>
        <v>7</v>
      </c>
      <c r="E49" s="3" t="str">
        <f>IFERROR(__xludf.DUMMYFUNCTION("""COMPUTED_VALUE"""),"Source code for data collection exist but does not have code for analysis done, also findings in the readme mentions that many developers in this community does not utilize both github projects and wiki, however looking at the repositories.csv out of 2269"&amp;"6 rows 22063 rows contains has_projects True and 19165 rows contains has_wiki True, Rationale behind this finding and observation was not shared with justification.  ")</f>
        <v>Source code for data collection exist but does not have code for analysis done, also findings in the readme mentions that many developers in this community does not utilize both github projects and wiki, however looking at the repositories.csv out of 22696 rows 22063 rows contains has_projects True and 19165 rows contains has_wiki True, Rationale behind this finding and observation was not shared with justification.  </v>
      </c>
      <c r="F49" s="5" t="str">
        <f>IFERROR(__xludf.DUMMYFUNCTION("""COMPUTED_VALUE"""),"https://github.com/kamalesh-79/tdsproj/tree/main1")</f>
        <v>https://github.com/kamalesh-79/tdsproj/tree/main1</v>
      </c>
      <c r="G49" s="3">
        <f>IFERROR(__xludf.DUMMYFUNCTION("""COMPUTED_VALUE"""),1.0)</f>
        <v>1</v>
      </c>
      <c r="H49" s="3">
        <f>IFERROR(__xludf.DUMMYFUNCTION("""COMPUTED_VALUE"""),7.0)</f>
        <v>7</v>
      </c>
      <c r="I49" s="3" t="str">
        <f>IFERROR(__xludf.DUMMYFUNCTION("""COMPUTED_VALUE"""),"Github main branch link provided in the email does not have the README.md file however student seems to have main1 as the default branch which contains README.md file. In both the branches, source code for data collection exist but does not have code for "&amp;"analysis done. And the README.md file in main1 branch too does not contain any details about the findings, and the other branch does not contain README.md")</f>
        <v>Github main branch link provided in the email does not have the README.md file however student seems to have main1 as the default branch which contains README.md file. In both the branches, source code for data collection exist but does not have code for analysis done. And the README.md file in main1 branch too does not contain any details about the findings, and the other branch does not contain README.md</v>
      </c>
      <c r="J49" s="3" t="str">
        <f>IFERROR(__xludf.DUMMYFUNCTION("""COMPUTED_VALUE"""),"23f1000647@ds.study.iitm.ac.in")</f>
        <v>23f1000647@ds.study.iitm.ac.in</v>
      </c>
      <c r="K49" s="3" t="str">
        <f t="shared" si="1"/>
        <v>23f1000647@ds.study.iitm.ac.inhttps://github.com/SarveshMSIITM/TDS-P1</v>
      </c>
      <c r="L49" s="3" t="str">
        <f t="shared" si="2"/>
        <v>23f1000647@ds.study.iitm.ac.inhttps://github.com/kamalesh-79/tdsproj/tree/main1</v>
      </c>
    </row>
    <row r="50">
      <c r="A50" s="3">
        <f>IFERROR(__xludf.DUMMYFUNCTION("""COMPUTED_VALUE"""),45598.73513130787)</f>
        <v>45598.73513</v>
      </c>
      <c r="B50" s="5" t="str">
        <f>IFERROR(__xludf.DUMMYFUNCTION("""COMPUTED_VALUE"""),"https://github.com/SrujanKVK/23f2003652-ds.study.iitm.ac.in__London-500")</f>
        <v>https://github.com/SrujanKVK/23f2003652-ds.study.iitm.ac.in__London-500</v>
      </c>
      <c r="C50" s="3">
        <f>IFERROR(__xludf.DUMMYFUNCTION("""COMPUTED_VALUE"""),5.0)</f>
        <v>5</v>
      </c>
      <c r="D50" s="3">
        <f>IFERROR(__xludf.DUMMYFUNCTION("""COMPUTED_VALUE"""),0.0)</f>
        <v>0</v>
      </c>
      <c r="E50" s="3" t="str">
        <f>IFERROR(__xludf.DUMMYFUNCTION("""COMPUTED_VALUE"""),"The third point is very generic and does not follow from analysis. Seems low effort/rushed. No code has been uploaded till now. Will be willing to change my rating if provided with code.")</f>
        <v>The third point is very generic and does not follow from analysis. Seems low effort/rushed. No code has been uploaded till now. Will be willing to change my rating if provided with code.</v>
      </c>
      <c r="F50" s="5" t="str">
        <f>IFERROR(__xludf.DUMMYFUNCTION("""COMPUTED_VALUE"""),"https://github.com/pranjal300799/TDS-proj1")</f>
        <v>https://github.com/pranjal300799/TDS-proj1</v>
      </c>
      <c r="G50" s="3">
        <f>IFERROR(__xludf.DUMMYFUNCTION("""COMPUTED_VALUE"""),6.0)</f>
        <v>6</v>
      </c>
      <c r="H50" s="3">
        <f>IFERROR(__xludf.DUMMYFUNCTION("""COMPUTED_VALUE"""),8.0)</f>
        <v>8</v>
      </c>
      <c r="I50" s="3" t="str">
        <f>IFERROR(__xludf.DUMMYFUNCTION("""COMPUTED_VALUE"""),"Reducing points because, 1) The developer action is targeted at a different demographic than what was analyzed. 2) Code looks Chat-GPT generated, so reducing few points as I can't guarantee usage of Chat-GPT. 3) """"""Indian tech scene in india where deve"&amp;"lopers like to stick to companies"""""" is stated but not substantiated in any way. 4) """"""csv_file = 'repositories.csv'  # Replace with the correct path"""""" Does not seem to be written by human ;) Using Chat-GPT is fine with me, so I am giving a 8.")</f>
        <v>Reducing points because, 1) The developer action is targeted at a different demographic than what was analyzed. 2) Code looks Chat-GPT generated, so reducing few points as I can't guarantee usage of Chat-GPT. 3) """Indian tech scene in india where developers like to stick to companies""" is stated but not substantiated in any way. 4) """csv_file = 'repositories.csv'  # Replace with the correct path""" Does not seem to be written by human ;) Using Chat-GPT is fine with me, so I am giving a 8.</v>
      </c>
      <c r="J50" s="3" t="str">
        <f>IFERROR(__xludf.DUMMYFUNCTION("""COMPUTED_VALUE"""),"22f3001421@ds.study.iitm.ac.in")</f>
        <v>22f3001421@ds.study.iitm.ac.in</v>
      </c>
      <c r="K50" s="3" t="str">
        <f t="shared" si="1"/>
        <v>22f3001421@ds.study.iitm.ac.inhttps://github.com/SrujanKVK/23f2003652-ds.study.iitm.ac.in__London-500</v>
      </c>
      <c r="L50" s="3" t="str">
        <f t="shared" si="2"/>
        <v>22f3001421@ds.study.iitm.ac.inhttps://github.com/pranjal300799/TDS-proj1</v>
      </c>
    </row>
    <row r="51">
      <c r="A51" s="3">
        <f>IFERROR(__xludf.DUMMYFUNCTION("""COMPUTED_VALUE"""),45599.02053996528)</f>
        <v>45599.02054</v>
      </c>
      <c r="B51" s="5" t="str">
        <f>IFERROR(__xludf.DUMMYFUNCTION("""COMPUTED_VALUE"""),"https://github.com/nishant1909/TDS-Project-1")</f>
        <v>https://github.com/nishant1909/TDS-Project-1</v>
      </c>
      <c r="C51" s="3">
        <f>IFERROR(__xludf.DUMMYFUNCTION("""COMPUTED_VALUE"""),10.0)</f>
        <v>10</v>
      </c>
      <c r="D51" s="3">
        <f>IFERROR(__xludf.DUMMYFUNCTION("""COMPUTED_VALUE"""),0.0)</f>
        <v>0</v>
      </c>
      <c r="E51" s="3" t="str">
        <f>IFERROR(__xludf.DUMMYFUNCTION("""COMPUTED_VALUE"""),"The README.md file includes the required points. The code is not present at the time of review.")</f>
        <v>The README.md file includes the required points. The code is not present at the time of review.</v>
      </c>
      <c r="F51" s="5" t="str">
        <f>IFERROR(__xludf.DUMMYFUNCTION("""COMPUTED_VALUE"""),"https://github.com/saritakumari23/proj1")</f>
        <v>https://github.com/saritakumari23/proj1</v>
      </c>
      <c r="G51" s="3">
        <f>IFERROR(__xludf.DUMMYFUNCTION("""COMPUTED_VALUE"""),0.0)</f>
        <v>0</v>
      </c>
      <c r="H51" s="3">
        <f>IFERROR(__xludf.DUMMYFUNCTION("""COMPUTED_VALUE"""),0.0)</f>
        <v>0</v>
      </c>
      <c r="I51" s="3" t="str">
        <f>IFERROR(__xludf.DUMMYFUNCTION("""COMPUTED_VALUE"""),"There is a detailed explanation of the CSV files but no findings are there and code is not present at the time of review.")</f>
        <v>There is a detailed explanation of the CSV files but no findings are there and code is not present at the time of review.</v>
      </c>
      <c r="J51" s="3" t="str">
        <f>IFERROR(__xludf.DUMMYFUNCTION("""COMPUTED_VALUE"""),"22f3000182@ds.study.iitm.ac.in")</f>
        <v>22f3000182@ds.study.iitm.ac.in</v>
      </c>
      <c r="K51" s="3" t="str">
        <f t="shared" si="1"/>
        <v>22f3000182@ds.study.iitm.ac.inhttps://github.com/nishant1909/TDS-Project-1</v>
      </c>
      <c r="L51" s="3" t="str">
        <f t="shared" si="2"/>
        <v>22f3000182@ds.study.iitm.ac.inhttps://github.com/saritakumari23/proj1</v>
      </c>
    </row>
    <row r="52">
      <c r="A52" s="3">
        <f>IFERROR(__xludf.DUMMYFUNCTION("""COMPUTED_VALUE"""),45598.73645069444)</f>
        <v>45598.73645</v>
      </c>
      <c r="B52" s="5" t="str">
        <f>IFERROR(__xludf.DUMMYFUNCTION("""COMPUTED_VALUE"""),"https://github.com/Gajanan09/GithubAustinUsers/blob/main/main.py")</f>
        <v>https://github.com/Gajanan09/GithubAustinUsers/blob/main/main.py</v>
      </c>
      <c r="C52" s="3">
        <f>IFERROR(__xludf.DUMMYFUNCTION("""COMPUTED_VALUE"""),10.0)</f>
        <v>10</v>
      </c>
      <c r="D52" s="3">
        <f>IFERROR(__xludf.DUMMYFUNCTION("""COMPUTED_VALUE"""),10.0)</f>
        <v>10</v>
      </c>
      <c r="E52" s="3" t="str">
        <f>IFERROR(__xludf.DUMMYFUNCTION("""COMPUTED_VALUE"""),"Readme was clean informative and code was clean")</f>
        <v>Readme was clean informative and code was clean</v>
      </c>
      <c r="F52" s="5" t="str">
        <f>IFERROR(__xludf.DUMMYFUNCTION("""COMPUTED_VALUE"""),"https://github.com/vanshikaaraisinghani/TDSProjectt")</f>
        <v>https://github.com/vanshikaaraisinghani/TDSProjectt</v>
      </c>
      <c r="G52" s="3">
        <f>IFERROR(__xludf.DUMMYFUNCTION("""COMPUTED_VALUE"""),0.0)</f>
        <v>0</v>
      </c>
      <c r="H52" s="3">
        <f>IFERROR(__xludf.DUMMYFUNCTION("""COMPUTED_VALUE"""),0.0)</f>
        <v>0</v>
      </c>
      <c r="I52" s="3" t="str">
        <f>IFERROR(__xludf.DUMMYFUNCTION("""COMPUTED_VALUE"""),"There is no code or readme. I could only see a blank readme and 2 csv")</f>
        <v>There is no code or readme. I could only see a blank readme and 2 csv</v>
      </c>
      <c r="J52" s="3" t="str">
        <f>IFERROR(__xludf.DUMMYFUNCTION("""COMPUTED_VALUE"""),"21f2001301@ds.study.iitm.ac.in")</f>
        <v>21f2001301@ds.study.iitm.ac.in</v>
      </c>
      <c r="K52" s="3" t="str">
        <f t="shared" si="1"/>
        <v>21f2001301@ds.study.iitm.ac.inhttps://github.com/Gajanan09/GithubAustinUsers/blob/main/main.py</v>
      </c>
      <c r="L52" s="3" t="str">
        <f t="shared" si="2"/>
        <v>21f2001301@ds.study.iitm.ac.inhttps://github.com/vanshikaaraisinghani/TDSProjectt</v>
      </c>
    </row>
    <row r="53">
      <c r="A53" s="3">
        <f>IFERROR(__xludf.DUMMYFUNCTION("""COMPUTED_VALUE"""),45598.73785392361)</f>
        <v>45598.73785</v>
      </c>
      <c r="B53" s="5" t="str">
        <f>IFERROR(__xludf.DUMMYFUNCTION("""COMPUTED_VALUE"""),"https://github.com/rishitaguptaaa/IITM_TDS_Project1")</f>
        <v>https://github.com/rishitaguptaaa/IITM_TDS_Project1</v>
      </c>
      <c r="C53" s="3">
        <f>IFERROR(__xludf.DUMMYFUNCTION("""COMPUTED_VALUE"""),8.0)</f>
        <v>8</v>
      </c>
      <c r="D53" s="3">
        <f>IFERROR(__xludf.DUMMYFUNCTION("""COMPUTED_VALUE"""),10.0)</f>
        <v>10</v>
      </c>
      <c r="E53" s="3" t="str">
        <f>IFERROR(__xludf.DUMMYFUNCTION("""COMPUTED_VALUE"""),"The README.md has things explained very well, so, I gave an eight, 8 and not 10 because I wasn't convinced with the point number-2.
The code part doesn't has the code for users.csv and repository.csv being scrapped very well explained. So, full marks for"&amp;" that.")</f>
        <v>The README.md has things explained very well, so, I gave an eight, 8 and not 10 because I wasn't convinced with the point number-2.
The code part doesn't has the code for users.csv and repository.csv being scrapped very well explained. So, full marks for that.</v>
      </c>
      <c r="F53" s="5" t="str">
        <f>IFERROR(__xludf.DUMMYFUNCTION("""COMPUTED_VALUE"""),"https://github.com/Vscode918/Moscow-users/")</f>
        <v>https://github.com/Vscode918/Moscow-users/</v>
      </c>
      <c r="G53" s="3">
        <f>IFERROR(__xludf.DUMMYFUNCTION("""COMPUTED_VALUE"""),9.0)</f>
        <v>9</v>
      </c>
      <c r="H53" s="3">
        <f>IFERROR(__xludf.DUMMYFUNCTION("""COMPUTED_VALUE"""),7.0)</f>
        <v>7</v>
      </c>
      <c r="I53" s="3" t="str">
        <f>IFERROR(__xludf.DUMMYFUNCTION("""COMPUTED_VALUE"""),"The README.md has 3 points(as asked for, but, the points are very clear).
The code part is fine, but, the user has done a school boy error, and, that is, he's written his Github access token and, that's just not acceptable at this stage, so, I have docke"&amp;"d three point.")</f>
        <v>The README.md has 3 points(as asked for, but, the points are very clear).
The code part is fine, but, the user has done a school boy error, and, that is, he's written his Github access token and, that's just not acceptable at this stage, so, I have docked three point.</v>
      </c>
      <c r="J53" s="3" t="str">
        <f>IFERROR(__xludf.DUMMYFUNCTION("""COMPUTED_VALUE"""),"22f3000757@ds.study.iitm.ac.in")</f>
        <v>22f3000757@ds.study.iitm.ac.in</v>
      </c>
      <c r="K53" s="3" t="str">
        <f t="shared" si="1"/>
        <v>22f3000757@ds.study.iitm.ac.inhttps://github.com/rishitaguptaaa/IITM_TDS_Project1</v>
      </c>
      <c r="L53" s="3" t="str">
        <f t="shared" si="2"/>
        <v>22f3000757@ds.study.iitm.ac.inhttps://github.com/Vscode918/Moscow-users/</v>
      </c>
    </row>
    <row r="54">
      <c r="A54" s="3">
        <f>IFERROR(__xludf.DUMMYFUNCTION("""COMPUTED_VALUE"""),45598.73951803241)</f>
        <v>45598.73952</v>
      </c>
      <c r="B54" s="5" t="str">
        <f>IFERROR(__xludf.DUMMYFUNCTION("""COMPUTED_VALUE"""),"https://github.com/harshshah-codes/TDS-project-1")</f>
        <v>https://github.com/harshshah-codes/TDS-project-1</v>
      </c>
      <c r="C54" s="3">
        <f>IFERROR(__xludf.DUMMYFUNCTION("""COMPUTED_VALUE"""),10.0)</f>
        <v>10</v>
      </c>
      <c r="D54" s="3">
        <f>IFERROR(__xludf.DUMMYFUNCTION("""COMPUTED_VALUE"""),10.0)</f>
        <v>10</v>
      </c>
      <c r="E54" s="3" t="str">
        <f>IFERROR(__xludf.DUMMYFUNCTION("""COMPUTED_VALUE"""),"quite neat and clean code and interesting observations")</f>
        <v>quite neat and clean code and interesting observations</v>
      </c>
      <c r="F54" s="5" t="str">
        <f>IFERROR(__xludf.DUMMYFUNCTION("""COMPUTED_VALUE"""),"https://github.com/DSAshv/TDS-Project1")</f>
        <v>https://github.com/DSAshv/TDS-Project1</v>
      </c>
      <c r="G54" s="3">
        <f>IFERROR(__xludf.DUMMYFUNCTION("""COMPUTED_VALUE"""),10.0)</f>
        <v>10</v>
      </c>
      <c r="H54" s="3">
        <f>IFERROR(__xludf.DUMMYFUNCTION("""COMPUTED_VALUE"""),10.0)</f>
        <v>10</v>
      </c>
      <c r="I54" s="3" t="str">
        <f>IFERROR(__xludf.DUMMYFUNCTION("""COMPUTED_VALUE"""),"quite neat and clean code and interesting observations")</f>
        <v>quite neat and clean code and interesting observations</v>
      </c>
      <c r="J54" s="3" t="str">
        <f>IFERROR(__xludf.DUMMYFUNCTION("""COMPUTED_VALUE"""),"22f3001578@ds.study.iitm.ac.in")</f>
        <v>22f3001578@ds.study.iitm.ac.in</v>
      </c>
      <c r="K54" s="3" t="str">
        <f t="shared" si="1"/>
        <v>22f3001578@ds.study.iitm.ac.inhttps://github.com/harshshah-codes/TDS-project-1</v>
      </c>
      <c r="L54" s="3" t="str">
        <f t="shared" si="2"/>
        <v>22f3001578@ds.study.iitm.ac.inhttps://github.com/DSAshv/TDS-Project1</v>
      </c>
    </row>
    <row r="55">
      <c r="A55" s="3">
        <f>IFERROR(__xludf.DUMMYFUNCTION("""COMPUTED_VALUE"""),45598.86849569445)</f>
        <v>45598.8685</v>
      </c>
      <c r="B55" s="5" t="str">
        <f>IFERROR(__xludf.DUMMYFUNCTION("""COMPUTED_VALUE"""),"https://github.com/Nimbus29/TDS-Project_1")</f>
        <v>https://github.com/Nimbus29/TDS-Project_1</v>
      </c>
      <c r="C55" s="3">
        <f>IFERROR(__xludf.DUMMYFUNCTION("""COMPUTED_VALUE"""),10.0)</f>
        <v>10</v>
      </c>
      <c r="D55" s="3">
        <f>IFERROR(__xludf.DUMMYFUNCTION("""COMPUTED_VALUE"""),10.0)</f>
        <v>10</v>
      </c>
      <c r="E55" s="3" t="str">
        <f>IFERROR(__xludf.DUMMYFUNCTION("""COMPUTED_VALUE"""),"I can provide 4 star rating out of 5 star rating,you read.me file write a observing fact ,that is amazing.so I appreciate it and 2nd condition you fail the criteria do not contain code in your repo amazing")</f>
        <v>I can provide 4 star rating out of 5 star rating,you read.me file write a observing fact ,that is amazing.so I appreciate it and 2nd condition you fail the criteria do not contain code in your repo amazing</v>
      </c>
      <c r="F55" s="5" t="str">
        <f>IFERROR(__xludf.DUMMYFUNCTION("""COMPUTED_VALUE"""),"https://github.com/Nachiket-GORE/TDS-project-1")</f>
        <v>https://github.com/Nachiket-GORE/TDS-project-1</v>
      </c>
      <c r="G55" s="3">
        <f>IFERROR(__xludf.DUMMYFUNCTION("""COMPUTED_VALUE"""),10.0)</f>
        <v>10</v>
      </c>
      <c r="H55" s="3">
        <f>IFERROR(__xludf.DUMMYFUNCTION("""COMPUTED_VALUE"""),10.0)</f>
        <v>10</v>
      </c>
      <c r="I55" s="3" t="str">
        <f>IFERROR(__xludf.DUMMYFUNCTION("""COMPUTED_VALUE"""),"I can provide 4 star rating out of 5 star rating,you read.me file write a observing fact ,that is amazing.so I appreciate it and 2nd condition you fail the criteria do not contain code in your repo amazing")</f>
        <v>I can provide 4 star rating out of 5 star rating,you read.me file write a observing fact ,that is amazing.so I appreciate it and 2nd condition you fail the criteria do not contain code in your repo amazing</v>
      </c>
      <c r="J55" s="3" t="str">
        <f>IFERROR(__xludf.DUMMYFUNCTION("""COMPUTED_VALUE"""),"23f1000404@ds.study.iitm.ac.in")</f>
        <v>23f1000404@ds.study.iitm.ac.in</v>
      </c>
      <c r="K55" s="3" t="str">
        <f t="shared" si="1"/>
        <v>23f1000404@ds.study.iitm.ac.inhttps://github.com/Nimbus29/TDS-Project_1</v>
      </c>
      <c r="L55" s="3" t="str">
        <f t="shared" si="2"/>
        <v>23f1000404@ds.study.iitm.ac.inhttps://github.com/Nachiket-GORE/TDS-project-1</v>
      </c>
    </row>
    <row r="56">
      <c r="A56" s="3">
        <f>IFERROR(__xludf.DUMMYFUNCTION("""COMPUTED_VALUE"""),45598.749420092594)</f>
        <v>45598.74942</v>
      </c>
      <c r="B56" s="5" t="str">
        <f>IFERROR(__xludf.DUMMYFUNCTION("""COMPUTED_VALUE"""),"https://github.com/manojp23/TDS-Project-1")</f>
        <v>https://github.com/manojp23/TDS-Project-1</v>
      </c>
      <c r="C56" s="3">
        <f>IFERROR(__xludf.DUMMYFUNCTION("""COMPUTED_VALUE"""),10.0)</f>
        <v>10</v>
      </c>
      <c r="D56" s="3">
        <f>IFERROR(__xludf.DUMMYFUNCTION("""COMPUTED_VALUE"""),10.0)</f>
        <v>10</v>
      </c>
      <c r="E56" s="3" t="str">
        <f>IFERROR(__xludf.DUMMYFUNCTION("""COMPUTED_VALUE"""),"Code and redme are clear and professional")</f>
        <v>Code and redme are clear and professional</v>
      </c>
      <c r="F56" s="5" t="str">
        <f>IFERROR(__xludf.DUMMYFUNCTION("""COMPUTED_VALUE"""),"https://github.com/IITM-007/Project1/tree/main")</f>
        <v>https://github.com/IITM-007/Project1/tree/main</v>
      </c>
      <c r="G56" s="3">
        <f>IFERROR(__xludf.DUMMYFUNCTION("""COMPUTED_VALUE"""),10.0)</f>
        <v>10</v>
      </c>
      <c r="H56" s="3">
        <f>IFERROR(__xludf.DUMMYFUNCTION("""COMPUTED_VALUE"""),10.0)</f>
        <v>10</v>
      </c>
      <c r="I56" s="3" t="str">
        <f>IFERROR(__xludf.DUMMYFUNCTION("""COMPUTED_VALUE"""),"Code and readme are clear and professional")</f>
        <v>Code and readme are clear and professional</v>
      </c>
      <c r="J56" s="3" t="str">
        <f>IFERROR(__xludf.DUMMYFUNCTION("""COMPUTED_VALUE"""),"23f1002078@ds.study.iitm.ac.in")</f>
        <v>23f1002078@ds.study.iitm.ac.in</v>
      </c>
      <c r="K56" s="3" t="str">
        <f t="shared" si="1"/>
        <v>23f1002078@ds.study.iitm.ac.inhttps://github.com/manojp23/TDS-Project-1</v>
      </c>
      <c r="L56" s="3" t="str">
        <f t="shared" si="2"/>
        <v>23f1002078@ds.study.iitm.ac.inhttps://github.com/IITM-007/Project1/tree/main</v>
      </c>
    </row>
    <row r="57">
      <c r="A57" s="3">
        <f>IFERROR(__xludf.DUMMYFUNCTION("""COMPUTED_VALUE"""),45598.75001534722)</f>
        <v>45598.75002</v>
      </c>
      <c r="B57" s="5" t="str">
        <f>IFERROR(__xludf.DUMMYFUNCTION("""COMPUTED_VALUE"""),"https://github.com/sri-4122/TDS-PROJECT1-FINAL")</f>
        <v>https://github.com/sri-4122/TDS-PROJECT1-FINAL</v>
      </c>
      <c r="C57" s="3">
        <f>IFERROR(__xludf.DUMMYFUNCTION("""COMPUTED_VALUE"""),10.0)</f>
        <v>10</v>
      </c>
      <c r="D57" s="3">
        <f>IFERROR(__xludf.DUMMYFUNCTION("""COMPUTED_VALUE"""),8.0)</f>
        <v>8</v>
      </c>
      <c r="E57" s="3" t="str">
        <f>IFERROR(__xludf.DUMMYFUNCTION("""COMPUTED_VALUE"""),"The findings were unique and interesting and the data was cleaned and analyzed properly. The student has provided a clear summary of the data.")</f>
        <v>The findings were unique and interesting and the data was cleaned and analyzed properly. The student has provided a clear summary of the data.</v>
      </c>
      <c r="F57" s="5" t="str">
        <f>IFERROR(__xludf.DUMMYFUNCTION("""COMPUTED_VALUE"""),"https://github.com/jayasri-js/github-london-users")</f>
        <v>https://github.com/jayasri-js/github-london-users</v>
      </c>
      <c r="G57" s="3">
        <f>IFERROR(__xludf.DUMMYFUNCTION("""COMPUTED_VALUE"""),8.0)</f>
        <v>8</v>
      </c>
      <c r="H57" s="3">
        <f>IFERROR(__xludf.DUMMYFUNCTION("""COMPUTED_VALUE"""),8.0)</f>
        <v>8</v>
      </c>
      <c r="I57" s="3" t="str">
        <f>IFERROR(__xludf.DUMMYFUNCTION("""COMPUTED_VALUE"""),"The findings could have been expressed in a more detailed manner.")</f>
        <v>The findings could have been expressed in a more detailed manner.</v>
      </c>
      <c r="J57" s="3" t="str">
        <f>IFERROR(__xludf.DUMMYFUNCTION("""COMPUTED_VALUE"""),"22f2000774@ds.study.iitm.ac.in")</f>
        <v>22f2000774@ds.study.iitm.ac.in</v>
      </c>
      <c r="K57" s="3" t="str">
        <f t="shared" si="1"/>
        <v>22f2000774@ds.study.iitm.ac.inhttps://github.com/sri-4122/TDS-PROJECT1-FINAL</v>
      </c>
      <c r="L57" s="3" t="str">
        <f t="shared" si="2"/>
        <v>22f2000774@ds.study.iitm.ac.inhttps://github.com/jayasri-js/github-london-users</v>
      </c>
    </row>
    <row r="58">
      <c r="A58" s="3">
        <f>IFERROR(__xludf.DUMMYFUNCTION("""COMPUTED_VALUE"""),45598.75189150463)</f>
        <v>45598.75189</v>
      </c>
      <c r="B58" s="5" t="str">
        <f>IFERROR(__xludf.DUMMYFUNCTION("""COMPUTED_VALUE"""),"https://github.com/Aryan-Mishra24/TDS_PROJECT1")</f>
        <v>https://github.com/Aryan-Mishra24/TDS_PROJECT1</v>
      </c>
      <c r="C58" s="3">
        <f>IFERROR(__xludf.DUMMYFUNCTION("""COMPUTED_VALUE"""),7.0)</f>
        <v>7</v>
      </c>
      <c r="D58" s="3">
        <f>IFERROR(__xludf.DUMMYFUNCTION("""COMPUTED_VALUE"""),0.0)</f>
        <v>0</v>
      </c>
      <c r="E58" s="3" t="str">
        <f>IFERROR(__xludf.DUMMYFUNCTION("""COMPUTED_VALUE"""),"Actually, he only attached the extracted file where he extracted the data. He's not attached the code. My review time 15:30 and date: 02-11-2024")</f>
        <v>Actually, he only attached the extracted file where he extracted the data. He's not attached the code. My review time 15:30 and date: 02-11-2024</v>
      </c>
      <c r="F58" s="5" t="str">
        <f>IFERROR(__xludf.DUMMYFUNCTION("""COMPUTED_VALUE"""),"https://github.com/suraj22f3/TDS_Project1")</f>
        <v>https://github.com/suraj22f3/TDS_Project1</v>
      </c>
      <c r="G58" s="3">
        <f>IFERROR(__xludf.DUMMYFUNCTION("""COMPUTED_VALUE"""),7.0)</f>
        <v>7</v>
      </c>
      <c r="H58" s="3">
        <f>IFERROR(__xludf.DUMMYFUNCTION("""COMPUTED_VALUE"""),0.0)</f>
        <v>0</v>
      </c>
      <c r="I58" s="3" t="str">
        <f>IFERROR(__xludf.DUMMYFUNCTION("""COMPUTED_VALUE"""),"Actually, he only attached readme file, users and respoitories files. He's not attached the code. My review time 15:31 and date: 02-11-2024")</f>
        <v>Actually, he only attached readme file, users and respoitories files. He's not attached the code. My review time 15:31 and date: 02-11-2024</v>
      </c>
      <c r="J58" s="3" t="str">
        <f>IFERROR(__xludf.DUMMYFUNCTION("""COMPUTED_VALUE"""),"22f3001023@ds.study.iitm.ac.in")</f>
        <v>22f3001023@ds.study.iitm.ac.in</v>
      </c>
      <c r="K58" s="3" t="str">
        <f t="shared" si="1"/>
        <v>22f3001023@ds.study.iitm.ac.inhttps://github.com/Aryan-Mishra24/TDS_PROJECT1</v>
      </c>
      <c r="L58" s="3" t="str">
        <f t="shared" si="2"/>
        <v>22f3001023@ds.study.iitm.ac.inhttps://github.com/suraj22f3/TDS_Project1</v>
      </c>
    </row>
    <row r="59">
      <c r="A59" s="3">
        <f>IFERROR(__xludf.DUMMYFUNCTION("""COMPUTED_VALUE"""),45598.757816620375)</f>
        <v>45598.75782</v>
      </c>
      <c r="B59" s="5" t="str">
        <f>IFERROR(__xludf.DUMMYFUNCTION("""COMPUTED_VALUE"""),"https://github.com/Rajat1164/tdsproject")</f>
        <v>https://github.com/Rajat1164/tdsproject</v>
      </c>
      <c r="C59" s="3">
        <f>IFERROR(__xludf.DUMMYFUNCTION("""COMPUTED_VALUE"""),8.0)</f>
        <v>8</v>
      </c>
      <c r="D59" s="3">
        <f>IFERROR(__xludf.DUMMYFUNCTION("""COMPUTED_VALUE"""),10.0)</f>
        <v>10</v>
      </c>
      <c r="E59" s="3" t="str">
        <f>IFERROR(__xludf.DUMMYFUNCTION("""COMPUTED_VALUE"""),"I find findings are INTERESTING in the Repo , Code is Clear")</f>
        <v>I find findings are INTERESTING in the Repo , Code is Clear</v>
      </c>
      <c r="F59" s="5" t="str">
        <f>IFERROR(__xludf.DUMMYFUNCTION("""COMPUTED_VALUE"""),"https://github.com/payalggn/TDS_Project1")</f>
        <v>https://github.com/payalggn/TDS_Project1</v>
      </c>
      <c r="G59" s="3">
        <f>IFERROR(__xludf.DUMMYFUNCTION("""COMPUTED_VALUE"""),10.0)</f>
        <v>10</v>
      </c>
      <c r="H59" s="3">
        <f>IFERROR(__xludf.DUMMYFUNCTION("""COMPUTED_VALUE"""),10.0)</f>
        <v>10</v>
      </c>
      <c r="I59" s="3" t="str">
        <f>IFERROR(__xludf.DUMMYFUNCTION("""COMPUTED_VALUE"""),"I find findings are INTERESTING in the Repo , Code is Clear")</f>
        <v>I find findings are INTERESTING in the Repo , Code is Clear</v>
      </c>
      <c r="J59" s="3" t="str">
        <f>IFERROR(__xludf.DUMMYFUNCTION("""COMPUTED_VALUE"""),"23f1002092@ds.study.iitm.ac.in")</f>
        <v>23f1002092@ds.study.iitm.ac.in</v>
      </c>
      <c r="K59" s="3" t="str">
        <f t="shared" si="1"/>
        <v>23f1002092@ds.study.iitm.ac.inhttps://github.com/Rajat1164/tdsproject</v>
      </c>
      <c r="L59" s="3" t="str">
        <f t="shared" si="2"/>
        <v>23f1002092@ds.study.iitm.ac.inhttps://github.com/payalggn/TDS_Project1</v>
      </c>
    </row>
    <row r="60">
      <c r="A60" s="3">
        <f>IFERROR(__xludf.DUMMYFUNCTION("""COMPUTED_VALUE"""),45598.75950929398)</f>
        <v>45598.75951</v>
      </c>
      <c r="B60" s="5" t="str">
        <f>IFERROR(__xludf.DUMMYFUNCTION("""COMPUTED_VALUE"""),"https://github.com/reddevilrohith/TDS_PROJ1")</f>
        <v>https://github.com/reddevilrohith/TDS_PROJ1</v>
      </c>
      <c r="C60" s="3">
        <f>IFERROR(__xludf.DUMMYFUNCTION("""COMPUTED_VALUE"""),7.0)</f>
        <v>7</v>
      </c>
      <c r="D60" s="3">
        <f>IFERROR(__xludf.DUMMYFUNCTION("""COMPUTED_VALUE"""),0.0)</f>
        <v>0</v>
      </c>
      <c r="E60" s="3" t="str">
        <f>IFERROR(__xludf.DUMMYFUNCTION("""COMPUTED_VALUE"""),"I got some insights from the readme file")</f>
        <v>I got some insights from the readme file</v>
      </c>
      <c r="F60" s="5" t="str">
        <f>IFERROR(__xludf.DUMMYFUNCTION("""COMPUTED_VALUE"""),"https://github.com/22f2001150/TDS-project-1")</f>
        <v>https://github.com/22f2001150/TDS-project-1</v>
      </c>
      <c r="G60" s="3">
        <f>IFERROR(__xludf.DUMMYFUNCTION("""COMPUTED_VALUE"""),7.0)</f>
        <v>7</v>
      </c>
      <c r="H60" s="3">
        <f>IFERROR(__xludf.DUMMYFUNCTION("""COMPUTED_VALUE"""),8.0)</f>
        <v>8</v>
      </c>
      <c r="I60" s="3" t="str">
        <f>IFERROR(__xludf.DUMMYFUNCTION("""COMPUTED_VALUE"""),"I got some insights from the readme file.The code was clear as to how scraping was done.")</f>
        <v>I got some insights from the readme file.The code was clear as to how scraping was done.</v>
      </c>
      <c r="J60" s="3" t="str">
        <f>IFERROR(__xludf.DUMMYFUNCTION("""COMPUTED_VALUE"""),"22f2000481@ds.study.iitm.ac.in")</f>
        <v>22f2000481@ds.study.iitm.ac.in</v>
      </c>
      <c r="K60" s="3" t="str">
        <f t="shared" si="1"/>
        <v>22f2000481@ds.study.iitm.ac.inhttps://github.com/reddevilrohith/TDS_PROJ1</v>
      </c>
      <c r="L60" s="3" t="str">
        <f t="shared" si="2"/>
        <v>22f2000481@ds.study.iitm.ac.inhttps://github.com/22f2001150/TDS-project-1</v>
      </c>
    </row>
    <row r="61">
      <c r="A61" s="3">
        <f>IFERROR(__xludf.DUMMYFUNCTION("""COMPUTED_VALUE"""),45598.76059373842)</f>
        <v>45598.76059</v>
      </c>
      <c r="B61" s="5" t="str">
        <f>IFERROR(__xludf.DUMMYFUNCTION("""COMPUTED_VALUE"""),"https://github.com/KarthikKalashLGS/TDSProject1")</f>
        <v>https://github.com/KarthikKalashLGS/TDSProject1</v>
      </c>
      <c r="C61" s="3">
        <f>IFERROR(__xludf.DUMMYFUNCTION("""COMPUTED_VALUE"""),9.0)</f>
        <v>9</v>
      </c>
      <c r="D61" s="3">
        <f>IFERROR(__xludf.DUMMYFUNCTION("""COMPUTED_VALUE"""),9.0)</f>
        <v>9</v>
      </c>
      <c r="E61" s="3" t="str">
        <f>IFERROR(__xludf.DUMMYFUNCTION("""COMPUTED_VALUE"""),"The Scraper was in one script was easy to read and understand , the analysis was insightful")</f>
        <v>The Scraper was in one script was easy to read and understand , the analysis was insightful</v>
      </c>
      <c r="F61" s="5" t="str">
        <f>IFERROR(__xludf.DUMMYFUNCTION("""COMPUTED_VALUE"""),"https://github.com/Saba-Usman/TDS-Project-1")</f>
        <v>https://github.com/Saba-Usman/TDS-Project-1</v>
      </c>
      <c r="G61" s="3">
        <f>IFERROR(__xludf.DUMMYFUNCTION("""COMPUTED_VALUE"""),9.0)</f>
        <v>9</v>
      </c>
      <c r="H61" s="3">
        <f>IFERROR(__xludf.DUMMYFUNCTION("""COMPUTED_VALUE"""),9.0)</f>
        <v>9</v>
      </c>
      <c r="I61" s="3" t="str">
        <f>IFERROR(__xludf.DUMMYFUNCTION("""COMPUTED_VALUE"""),"Nice clean Repo analysis and Scarping was done in one file hence easy to go through , goof documentation as well ")</f>
        <v>Nice clean Repo analysis and Scarping was done in one file hence easy to go through , goof documentation as well </v>
      </c>
      <c r="J61" s="3" t="str">
        <f>IFERROR(__xludf.DUMMYFUNCTION("""COMPUTED_VALUE"""),"22f1000213@ds.study.iitm.ac.in")</f>
        <v>22f1000213@ds.study.iitm.ac.in</v>
      </c>
      <c r="K61" s="3" t="str">
        <f t="shared" si="1"/>
        <v>22f1000213@ds.study.iitm.ac.inhttps://github.com/KarthikKalashLGS/TDSProject1</v>
      </c>
      <c r="L61" s="3" t="str">
        <f t="shared" si="2"/>
        <v>22f1000213@ds.study.iitm.ac.inhttps://github.com/Saba-Usman/TDS-Project-1</v>
      </c>
    </row>
    <row r="62">
      <c r="A62" s="3">
        <f>IFERROR(__xludf.DUMMYFUNCTION("""COMPUTED_VALUE"""),45598.76549712963)</f>
        <v>45598.7655</v>
      </c>
      <c r="B62" s="5" t="str">
        <f>IFERROR(__xludf.DUMMYFUNCTION("""COMPUTED_VALUE"""),"https://github.com/stu2262/IITM_TDS_Proj1")</f>
        <v>https://github.com/stu2262/IITM_TDS_Proj1</v>
      </c>
      <c r="C62" s="3">
        <f>IFERROR(__xludf.DUMMYFUNCTION("""COMPUTED_VALUE"""),7.0)</f>
        <v>7</v>
      </c>
      <c r="D62" s="3">
        <f>IFERROR(__xludf.DUMMYFUNCTION("""COMPUTED_VALUE"""),9.0)</f>
        <v>9</v>
      </c>
      <c r="E62" s="3" t="str">
        <f>IFERROR(__xludf.DUMMYFUNCTION("""COMPUTED_VALUE"""),"The in detail explanation provided in the readme file")</f>
        <v>The in detail explanation provided in the readme file</v>
      </c>
      <c r="F62" s="5" t="str">
        <f>IFERROR(__xludf.DUMMYFUNCTION("""COMPUTED_VALUE"""),"https://github.com/manojpaul9986/tds_project1")</f>
        <v>https://github.com/manojpaul9986/tds_project1</v>
      </c>
      <c r="G62" s="3">
        <f>IFERROR(__xludf.DUMMYFUNCTION("""COMPUTED_VALUE"""),7.0)</f>
        <v>7</v>
      </c>
      <c r="H62" s="3">
        <f>IFERROR(__xludf.DUMMYFUNCTION("""COMPUTED_VALUE"""),7.0)</f>
        <v>7</v>
      </c>
      <c r="I62" s="3" t="str">
        <f>IFERROR(__xludf.DUMMYFUNCTION("""COMPUTED_VALUE"""),"No too much in detail explanation was provided ")</f>
        <v>No too much in detail explanation was provided </v>
      </c>
      <c r="J62" s="3" t="str">
        <f>IFERROR(__xludf.DUMMYFUNCTION("""COMPUTED_VALUE"""),"21f3000628@ds.study.iitm.ac.in")</f>
        <v>21f3000628@ds.study.iitm.ac.in</v>
      </c>
      <c r="K62" s="3" t="str">
        <f t="shared" si="1"/>
        <v>21f3000628@ds.study.iitm.ac.inhttps://github.com/stu2262/IITM_TDS_Proj1</v>
      </c>
      <c r="L62" s="3" t="str">
        <f t="shared" si="2"/>
        <v>21f3000628@ds.study.iitm.ac.inhttps://github.com/manojpaul9986/tds_project1</v>
      </c>
    </row>
    <row r="63">
      <c r="A63" s="3">
        <f>IFERROR(__xludf.DUMMYFUNCTION("""COMPUTED_VALUE"""),45598.76728306713)</f>
        <v>45598.76728</v>
      </c>
      <c r="B63" s="5" t="str">
        <f>IFERROR(__xludf.DUMMYFUNCTION("""COMPUTED_VALUE"""),"https://github.com/shivyatripathi2604/TDS")</f>
        <v>https://github.com/shivyatripathi2604/TDS</v>
      </c>
      <c r="C63" s="3">
        <f>IFERROR(__xludf.DUMMYFUNCTION("""COMPUTED_VALUE"""),0.0)</f>
        <v>0</v>
      </c>
      <c r="D63" s="3">
        <f>IFERROR(__xludf.DUMMYFUNCTION("""COMPUTED_VALUE"""),0.0)</f>
        <v>0</v>
      </c>
      <c r="E63" s="3" t="str">
        <f>IFERROR(__xludf.DUMMYFUNCTION("""COMPUTED_VALUE"""),"The repo  just had the user.csv and the repositories.csv file.... and no code or readme files as such")</f>
        <v>The repo  just had the user.csv and the repositories.csv file.... and no code or readme files as such</v>
      </c>
      <c r="F63" s="5" t="str">
        <f>IFERROR(__xludf.DUMMYFUNCTION("""COMPUTED_VALUE"""),"https://github.com/iambuhari/IITM/")</f>
        <v>https://github.com/iambuhari/IITM/</v>
      </c>
      <c r="G63" s="3">
        <f>IFERROR(__xludf.DUMMYFUNCTION("""COMPUTED_VALUE"""),10.0)</f>
        <v>10</v>
      </c>
      <c r="H63" s="3">
        <f>IFERROR(__xludf.DUMMYFUNCTION("""COMPUTED_VALUE"""),8.0)</f>
        <v>8</v>
      </c>
      <c r="I63" s="3" t="str">
        <f>IFERROR(__xludf.DUMMYFUNCTION("""COMPUTED_VALUE"""),"This repo was very well organised and had all the needed files , I had a well documented readme... so i gave it a 10 and the code was well written but was split up in parts so a 8 ")</f>
        <v>This repo was very well organised and had all the needed files , I had a well documented readme... so i gave it a 10 and the code was well written but was split up in parts so a 8 </v>
      </c>
      <c r="J63" s="3" t="str">
        <f>IFERROR(__xludf.DUMMYFUNCTION("""COMPUTED_VALUE"""),"23f1002620@ds.study.iitm.ac.in")</f>
        <v>23f1002620@ds.study.iitm.ac.in</v>
      </c>
      <c r="K63" s="3" t="str">
        <f t="shared" si="1"/>
        <v>23f1002620@ds.study.iitm.ac.inhttps://github.com/shivyatripathi2604/TDS</v>
      </c>
      <c r="L63" s="3" t="str">
        <f t="shared" si="2"/>
        <v>23f1002620@ds.study.iitm.ac.inhttps://github.com/iambuhari/IITM/</v>
      </c>
    </row>
    <row r="64">
      <c r="A64" s="3">
        <f>IFERROR(__xludf.DUMMYFUNCTION("""COMPUTED_VALUE"""),45598.770313229164)</f>
        <v>45598.77031</v>
      </c>
      <c r="B64" s="5" t="str">
        <f>IFERROR(__xludf.DUMMYFUNCTION("""COMPUTED_VALUE"""),"https://github.com/rishisni/TDS-Project-1")</f>
        <v>https://github.com/rishisni/TDS-Project-1</v>
      </c>
      <c r="C64" s="3">
        <f>IFERROR(__xludf.DUMMYFUNCTION("""COMPUTED_VALUE"""),10.0)</f>
        <v>10</v>
      </c>
      <c r="D64" s="3">
        <f>IFERROR(__xludf.DUMMYFUNCTION("""COMPUTED_VALUE"""),10.0)</f>
        <v>10</v>
      </c>
      <c r="E64" s="3" t="str">
        <f>IFERROR(__xludf.DUMMYFUNCTION("""COMPUTED_VALUE"""),"He done the project properly Readme file and code given properly by him and follows the instructions very well. Good Job! ")</f>
        <v>He done the project properly Readme file and code given properly by him and follows the instructions very well. Good Job! </v>
      </c>
      <c r="F64" s="5" t="str">
        <f>IFERROR(__xludf.DUMMYFUNCTION("""COMPUTED_VALUE"""),"https://github.com/Alge199/TDS-Project-1")</f>
        <v>https://github.com/Alge199/TDS-Project-1</v>
      </c>
      <c r="G64" s="3">
        <f>IFERROR(__xludf.DUMMYFUNCTION("""COMPUTED_VALUE"""),10.0)</f>
        <v>10</v>
      </c>
      <c r="H64" s="3">
        <f>IFERROR(__xludf.DUMMYFUNCTION("""COMPUTED_VALUE"""),10.0)</f>
        <v>10</v>
      </c>
      <c r="I64" s="3" t="str">
        <f>IFERROR(__xludf.DUMMYFUNCTION("""COMPUTED_VALUE"""),"Done the project properly Readme file and code given properly by Alge199 and follows the instructions very well. Good Job! ")</f>
        <v>Done the project properly Readme file and code given properly by Alge199 and follows the instructions very well. Good Job! </v>
      </c>
      <c r="J64" s="3" t="str">
        <f>IFERROR(__xludf.DUMMYFUNCTION("""COMPUTED_VALUE"""),"22f1001637@ds.study.iitm.ac.in")</f>
        <v>22f1001637@ds.study.iitm.ac.in</v>
      </c>
      <c r="K64" s="3" t="str">
        <f t="shared" si="1"/>
        <v>22f1001637@ds.study.iitm.ac.inhttps://github.com/rishisni/TDS-Project-1</v>
      </c>
      <c r="L64" s="3" t="str">
        <f t="shared" si="2"/>
        <v>22f1001637@ds.study.iitm.ac.inhttps://github.com/Alge199/TDS-Project-1</v>
      </c>
    </row>
    <row r="65">
      <c r="A65" s="3">
        <f>IFERROR(__xludf.DUMMYFUNCTION("""COMPUTED_VALUE"""),45598.7703620949)</f>
        <v>45598.77036</v>
      </c>
      <c r="B65" s="5" t="str">
        <f>IFERROR(__xludf.DUMMYFUNCTION("""COMPUTED_VALUE"""),"https://github.com/so-what-ik/TDS_Project1")</f>
        <v>https://github.com/so-what-ik/TDS_Project1</v>
      </c>
      <c r="C65" s="3">
        <f>IFERROR(__xludf.DUMMYFUNCTION("""COMPUTED_VALUE"""),2.0)</f>
        <v>2</v>
      </c>
      <c r="D65" s="3">
        <f>IFERROR(__xludf.DUMMYFUNCTION("""COMPUTED_VALUE"""),9.0)</f>
        <v>9</v>
      </c>
      <c r="E65" s="3" t="str">
        <f>IFERROR(__xludf.DUMMYFUNCTION("""COMPUTED_VALUE"""),"1. The repo contains code as fetch_repos.py and fetch_users.py. It is neatly written. However, there is no code/sheet to show what analysis was performed and how the findings are arrived at. 
2. The key insight mentioned in the Readme.md file, which sugge"&amp;"sts that longer bios correlate with more followers, appears to be a speculative statement lacking supporting evidence.
3. The project description in the Readme.md file is merely a rephrased version of the project statement and does not provide any extra d"&amp;"etails.")</f>
        <v>1. The repo contains code as fetch_repos.py and fetch_users.py. It is neatly written. However, there is no code/sheet to show what analysis was performed and how the findings are arrived at. 
2. The key insight mentioned in the Readme.md file, which suggests that longer bios correlate with more followers, appears to be a speculative statement lacking supporting evidence.
3. The project description in the Readme.md file is merely a rephrased version of the project statement and does not provide any extra details.</v>
      </c>
      <c r="F65" s="5" t="str">
        <f>IFERROR(__xludf.DUMMYFUNCTION("""COMPUTED_VALUE"""),"https://github.com/harini-perumandla/TDS-P1")</f>
        <v>https://github.com/harini-perumandla/TDS-P1</v>
      </c>
      <c r="G65" s="3">
        <f>IFERROR(__xludf.DUMMYFUNCTION("""COMPUTED_VALUE"""),6.0)</f>
        <v>6</v>
      </c>
      <c r="H65" s="3">
        <f>IFERROR(__xludf.DUMMYFUNCTION("""COMPUTED_VALUE"""),9.0)</f>
        <v>9</v>
      </c>
      <c r="I65" s="3" t="str">
        <f>IFERROR(__xludf.DUMMYFUNCTION("""COMPUTED_VALUE"""),"1. Readme.md has good information. Good analysis.
2. Under insights, it was written that JavaScript and Python dominate overall usage, but ""niche communities"" prefer Rust and Go. There is no explanation of what parameters put a user into niche community"&amp;" and why.
3. No code or sheet that shows how analysis is done.
4. The insights and the recommendations provided are not in sync. ")</f>
        <v>1. Readme.md has good information. Good analysis.
2. Under insights, it was written that JavaScript and Python dominate overall usage, but "niche communities" prefer Rust and Go. There is no explanation of what parameters put a user into niche community and why.
3. No code or sheet that shows how analysis is done.
4. The insights and the recommendations provided are not in sync. </v>
      </c>
      <c r="J65" s="3" t="str">
        <f>IFERROR(__xludf.DUMMYFUNCTION("""COMPUTED_VALUE"""),"22f3002986@ds.study.iitm.ac.in")</f>
        <v>22f3002986@ds.study.iitm.ac.in</v>
      </c>
      <c r="K65" s="3" t="str">
        <f t="shared" si="1"/>
        <v>22f3002986@ds.study.iitm.ac.inhttps://github.com/so-what-ik/TDS_Project1</v>
      </c>
      <c r="L65" s="3" t="str">
        <f t="shared" si="2"/>
        <v>22f3002986@ds.study.iitm.ac.inhttps://github.com/harini-perumandla/TDS-P1</v>
      </c>
    </row>
    <row r="66">
      <c r="A66" s="3">
        <f>IFERROR(__xludf.DUMMYFUNCTION("""COMPUTED_VALUE"""),45598.77056020833)</f>
        <v>45598.77056</v>
      </c>
      <c r="B66" s="5" t="str">
        <f>IFERROR(__xludf.DUMMYFUNCTION("""COMPUTED_VALUE"""),"https://github.com/akshaykashyap003/tds_project1")</f>
        <v>https://github.com/akshaykashyap003/tds_project1</v>
      </c>
      <c r="C66" s="3">
        <f>IFERROR(__xludf.DUMMYFUNCTION("""COMPUTED_VALUE"""),6.0)</f>
        <v>6</v>
      </c>
      <c r="D66" s="3">
        <f>IFERROR(__xludf.DUMMYFUNCTION("""COMPUTED_VALUE"""),10.0)</f>
        <v>10</v>
      </c>
      <c r="E66" s="3" t="str">
        <f>IFERROR(__xludf.DUMMYFUNCTION("""COMPUTED_VALUE"""),"The readme file doesn't have summary in three bullet points and code is very clear and elegant.")</f>
        <v>The readme file doesn't have summary in three bullet points and code is very clear and elegant.</v>
      </c>
      <c r="F66" s="5" t="str">
        <f>IFERROR(__xludf.DUMMYFUNCTION("""COMPUTED_VALUE"""),"https://github.com/kik893/Project-1")</f>
        <v>https://github.com/kik893/Project-1</v>
      </c>
      <c r="G66" s="3">
        <f>IFERROR(__xludf.DUMMYFUNCTION("""COMPUTED_VALUE"""),10.0)</f>
        <v>10</v>
      </c>
      <c r="H66" s="3">
        <f>IFERROR(__xludf.DUMMYFUNCTION("""COMPUTED_VALUE"""),10.0)</f>
        <v>10</v>
      </c>
      <c r="I66" s="3" t="str">
        <f>IFERROR(__xludf.DUMMYFUNCTION("""COMPUTED_VALUE"""),"Readme file is looking good with all three required bullet points and code is very clear and elegant")</f>
        <v>Readme file is looking good with all three required bullet points and code is very clear and elegant</v>
      </c>
      <c r="J66" s="3" t="str">
        <f>IFERROR(__xludf.DUMMYFUNCTION("""COMPUTED_VALUE"""),"22f2000455@ds.study.iitm.ac.in")</f>
        <v>22f2000455@ds.study.iitm.ac.in</v>
      </c>
      <c r="K66" s="3" t="str">
        <f t="shared" si="1"/>
        <v>22f2000455@ds.study.iitm.ac.inhttps://github.com/akshaykashyap003/tds_project1</v>
      </c>
      <c r="L66" s="3" t="str">
        <f t="shared" si="2"/>
        <v>22f2000455@ds.study.iitm.ac.inhttps://github.com/kik893/Project-1</v>
      </c>
    </row>
    <row r="67">
      <c r="A67" s="3">
        <f>IFERROR(__xludf.DUMMYFUNCTION("""COMPUTED_VALUE"""),45598.772494641205)</f>
        <v>45598.77249</v>
      </c>
      <c r="B67" s="5" t="str">
        <f>IFERROR(__xludf.DUMMYFUNCTION("""COMPUTED_VALUE"""),"https://github.com/AarushiVe/chennai50")</f>
        <v>https://github.com/AarushiVe/chennai50</v>
      </c>
      <c r="C67" s="3">
        <f>IFERROR(__xludf.DUMMYFUNCTION("""COMPUTED_VALUE"""),2.0)</f>
        <v>2</v>
      </c>
      <c r="D67" s="3">
        <f>IFERROR(__xludf.DUMMYFUNCTION("""COMPUTED_VALUE"""),5.0)</f>
        <v>5</v>
      </c>
      <c r="E67" s="3" t="str">
        <f>IFERROR(__xludf.DUMMYFUNCTION("""COMPUTED_VALUE"""),"The reason being there aren't any useful finding in the README file. Also the code, though better, is very much difficult to comprehend and understand. Also the author has copied the code from CHATGPT.")</f>
        <v>The reason being there aren't any useful finding in the README file. Also the code, though better, is very much difficult to comprehend and understand. Also the author has copied the code from CHATGPT.</v>
      </c>
      <c r="F67" s="5" t="str">
        <f>IFERROR(__xludf.DUMMYFUNCTION("""COMPUTED_VALUE"""),"https://github.com/22f3000130/TDS_PROJECT_1")</f>
        <v>https://github.com/22f3000130/TDS_PROJECT_1</v>
      </c>
      <c r="G67" s="3">
        <f>IFERROR(__xludf.DUMMYFUNCTION("""COMPUTED_VALUE"""),2.0)</f>
        <v>2</v>
      </c>
      <c r="H67" s="3">
        <f>IFERROR(__xludf.DUMMYFUNCTION("""COMPUTED_VALUE"""),5.0)</f>
        <v>5</v>
      </c>
      <c r="I67" s="3" t="str">
        <f>IFERROR(__xludf.DUMMYFUNCTION("""COMPUTED_VALUE"""),"The reason being there aren't any useful finding in the README file. Also the code, though much better from everything else, is difficult to comprehend and understand. Also the author has copied all the code from CHATGPT.")</f>
        <v>The reason being there aren't any useful finding in the README file. Also the code, though much better from everything else, is difficult to comprehend and understand. Also the author has copied all the code from CHATGPT.</v>
      </c>
      <c r="J67" s="3" t="str">
        <f>IFERROR(__xludf.DUMMYFUNCTION("""COMPUTED_VALUE"""),"22f3002622@ds.study.iitm.ac.in")</f>
        <v>22f3002622@ds.study.iitm.ac.in</v>
      </c>
      <c r="K67" s="3" t="str">
        <f t="shared" si="1"/>
        <v>22f3002622@ds.study.iitm.ac.inhttps://github.com/AarushiVe/chennai50</v>
      </c>
      <c r="L67" s="3" t="str">
        <f t="shared" si="2"/>
        <v>22f3002622@ds.study.iitm.ac.inhttps://github.com/22f3000130/TDS_PROJECT_1</v>
      </c>
    </row>
    <row r="68">
      <c r="A68" s="3">
        <f>IFERROR(__xludf.DUMMYFUNCTION("""COMPUTED_VALUE"""),45600.043335208335)</f>
        <v>45600.04334</v>
      </c>
      <c r="B68" s="5" t="str">
        <f>IFERROR(__xludf.DUMMYFUNCTION("""COMPUTED_VALUE"""),"https://github.com/VishakhAgarwal/proj1")</f>
        <v>https://github.com/VishakhAgarwal/proj1</v>
      </c>
      <c r="C68" s="3">
        <f>IFERROR(__xludf.DUMMYFUNCTION("""COMPUTED_VALUE"""),0.0)</f>
        <v>0</v>
      </c>
      <c r="D68" s="3">
        <f>IFERROR(__xludf.DUMMYFUNCTION("""COMPUTED_VALUE"""),0.0)</f>
        <v>0</v>
      </c>
      <c r="E68" s="3" t="str">
        <f>IFERROR(__xludf.DUMMYFUNCTION("""COMPUTED_VALUE"""),"The README was empty and no code was provided in the repository")</f>
        <v>The README was empty and no code was provided in the repository</v>
      </c>
      <c r="F68" s="5" t="str">
        <f>IFERROR(__xludf.DUMMYFUNCTION("""COMPUTED_VALUE"""),"https://github.com/vaishnavich44/Beijing-GitHub-Analysis")</f>
        <v>https://github.com/vaishnavich44/Beijing-GitHub-Analysis</v>
      </c>
      <c r="G68" s="3">
        <f>IFERROR(__xludf.DUMMYFUNCTION("""COMPUTED_VALUE"""),10.0)</f>
        <v>10</v>
      </c>
      <c r="H68" s="3">
        <f>IFERROR(__xludf.DUMMYFUNCTION("""COMPUTED_VALUE"""),10.0)</f>
        <v>10</v>
      </c>
      <c r="I68" s="3" t="str">
        <f>IFERROR(__xludf.DUMMYFUNCTION("""COMPUTED_VALUE"""),"The findings mentioned in the README are actually very insightful and backed by data, and will be of immense help to developers to increase their engagement and popularity. The code demonstrates  clarity and efficiency and also effectively checks correlat"&amp;"ions between multiple variables. The inclusion of well-designed charts enhances the visualization of the data, making insights easy to interpret.")</f>
        <v>The findings mentioned in the README are actually very insightful and backed by data, and will be of immense help to developers to increase their engagement and popularity. The code demonstrates  clarity and efficiency and also effectively checks correlations between multiple variables. The inclusion of well-designed charts enhances the visualization of the data, making insights easy to interpret.</v>
      </c>
      <c r="J68" s="3" t="str">
        <f>IFERROR(__xludf.DUMMYFUNCTION("""COMPUTED_VALUE"""),"24ds1000028@ds.study.iitm.ac.in")</f>
        <v>24ds1000028@ds.study.iitm.ac.in</v>
      </c>
      <c r="K68" s="3" t="str">
        <f t="shared" si="1"/>
        <v>24ds1000028@ds.study.iitm.ac.inhttps://github.com/VishakhAgarwal/proj1</v>
      </c>
      <c r="L68" s="3" t="str">
        <f t="shared" si="2"/>
        <v>24ds1000028@ds.study.iitm.ac.inhttps://github.com/vaishnavich44/Beijing-GitHub-Analysis</v>
      </c>
    </row>
    <row r="69">
      <c r="A69" s="3">
        <f>IFERROR(__xludf.DUMMYFUNCTION("""COMPUTED_VALUE"""),45598.773541250004)</f>
        <v>45598.77354</v>
      </c>
      <c r="B69" s="5" t="str">
        <f>IFERROR(__xludf.DUMMYFUNCTION("""COMPUTED_VALUE"""),"https://github.com/notnikita21/TDS-Project-1")</f>
        <v>https://github.com/notnikita21/TDS-Project-1</v>
      </c>
      <c r="C69" s="3">
        <f>IFERROR(__xludf.DUMMYFUNCTION("""COMPUTED_VALUE"""),5.0)</f>
        <v>5</v>
      </c>
      <c r="D69" s="3">
        <f>IFERROR(__xludf.DUMMYFUNCTION("""COMPUTED_VALUE"""),2.0)</f>
        <v>2</v>
      </c>
      <c r="E69" s="3" t="str">
        <f>IFERROR(__xludf.DUMMYFUNCTION("""COMPUTED_VALUE"""),"His readme Consists of just how he got the Files no Clear Explanation , No Code")</f>
        <v>His readme Consists of just how he got the Files no Clear Explanation , No Code</v>
      </c>
      <c r="F69" s="5" t="str">
        <f>IFERROR(__xludf.DUMMYFUNCTION("""COMPUTED_VALUE"""),"https://github.com/23f1001172/melbourne-users-data")</f>
        <v>https://github.com/23f1001172/melbourne-users-data</v>
      </c>
      <c r="G69" s="3">
        <f>IFERROR(__xludf.DUMMYFUNCTION("""COMPUTED_VALUE"""),8.0)</f>
        <v>8</v>
      </c>
      <c r="H69" s="3">
        <f>IFERROR(__xludf.DUMMYFUNCTION("""COMPUTED_VALUE"""),1.0)</f>
        <v>1</v>
      </c>
      <c r="I69" s="3" t="str">
        <f>IFERROR(__xludf.DUMMYFUNCTION("""COMPUTED_VALUE"""),"No code and the Readme file was Good")</f>
        <v>No code and the Readme file was Good</v>
      </c>
      <c r="J69" s="3" t="str">
        <f>IFERROR(__xludf.DUMMYFUNCTION("""COMPUTED_VALUE"""),"23f1000997@ds.study.iitm.ac.in")</f>
        <v>23f1000997@ds.study.iitm.ac.in</v>
      </c>
      <c r="K69" s="3" t="str">
        <f t="shared" si="1"/>
        <v>23f1000997@ds.study.iitm.ac.inhttps://github.com/notnikita21/TDS-Project-1</v>
      </c>
      <c r="L69" s="3" t="str">
        <f t="shared" si="2"/>
        <v>23f1000997@ds.study.iitm.ac.inhttps://github.com/23f1001172/melbourne-users-data</v>
      </c>
    </row>
    <row r="70">
      <c r="A70" s="3">
        <f>IFERROR(__xludf.DUMMYFUNCTION("""COMPUTED_VALUE"""),45598.7743165162)</f>
        <v>45598.77432</v>
      </c>
      <c r="B70" s="5" t="str">
        <f>IFERROR(__xludf.DUMMYFUNCTION("""COMPUTED_VALUE"""),"https://github.com/VijeethC300/BangaloreGitHubUsers")</f>
        <v>https://github.com/VijeethC300/BangaloreGitHubUsers</v>
      </c>
      <c r="C70" s="3">
        <f>IFERROR(__xludf.DUMMYFUNCTION("""COMPUTED_VALUE"""),10.0)</f>
        <v>10</v>
      </c>
      <c r="D70" s="3">
        <f>IFERROR(__xludf.DUMMYFUNCTION("""COMPUTED_VALUE"""),8.0)</f>
        <v>8</v>
      </c>
      <c r="E70" s="3" t="str">
        <f>IFERROR(__xludf.DUMMYFUNCTION("""COMPUTED_VALUE"""),"README file have 3 proper interesting and surprising facts with data insights also. Code is also properly written.")</f>
        <v>README file have 3 proper interesting and surprising facts with data insights also. Code is also properly written.</v>
      </c>
      <c r="F70" s="5" t="str">
        <f>IFERROR(__xludf.DUMMYFUNCTION("""COMPUTED_VALUE"""),"https://github.com/21f2001015/tds-project-1")</f>
        <v>https://github.com/21f2001015/tds-project-1</v>
      </c>
      <c r="G70" s="3">
        <f>IFERROR(__xludf.DUMMYFUNCTION("""COMPUTED_VALUE"""),7.0)</f>
        <v>7</v>
      </c>
      <c r="H70" s="3">
        <f>IFERROR(__xludf.DUMMYFUNCTION("""COMPUTED_VALUE"""),10.0)</f>
        <v>10</v>
      </c>
      <c r="I70" s="3" t="str">
        <f>IFERROR(__xludf.DUMMYFUNCTION("""COMPUTED_VALUE"""),"README file is there and its decently written, could have add more facts and insights.
Code for the project is properly given with google collab file also, so that good.")</f>
        <v>README file is there and its decently written, could have add more facts and insights.
Code for the project is properly given with google collab file also, so that good.</v>
      </c>
      <c r="J70" s="3" t="str">
        <f>IFERROR(__xludf.DUMMYFUNCTION("""COMPUTED_VALUE"""),"22f3003170@ds.study.iitm.ac.in")</f>
        <v>22f3003170@ds.study.iitm.ac.in</v>
      </c>
      <c r="K70" s="3" t="str">
        <f t="shared" si="1"/>
        <v>22f3003170@ds.study.iitm.ac.inhttps://github.com/VijeethC300/BangaloreGitHubUsers</v>
      </c>
      <c r="L70" s="3" t="str">
        <f t="shared" si="2"/>
        <v>22f3003170@ds.study.iitm.ac.inhttps://github.com/21f2001015/tds-project-1</v>
      </c>
    </row>
    <row r="71">
      <c r="A71" s="3">
        <f>IFERROR(__xludf.DUMMYFUNCTION("""COMPUTED_VALUE"""),45598.77657270833)</f>
        <v>45598.77657</v>
      </c>
      <c r="B71" s="5" t="str">
        <f>IFERROR(__xludf.DUMMYFUNCTION("""COMPUTED_VALUE"""),"https://github.com/Nimbus29/TDS-Project_1")</f>
        <v>https://github.com/Nimbus29/TDS-Project_1</v>
      </c>
      <c r="C71" s="3">
        <f>IFERROR(__xludf.DUMMYFUNCTION("""COMPUTED_VALUE"""),8.0)</f>
        <v>8</v>
      </c>
      <c r="D71" s="3">
        <f>IFERROR(__xludf.DUMMYFUNCTION("""COMPUTED_VALUE"""),5.0)</f>
        <v>5</v>
      </c>
      <c r="E71" s="3" t="str">
        <f>IFERROR(__xludf.DUMMYFUNCTION("""COMPUTED_VALUE"""),"There is a good readme but there is no code ")</f>
        <v>There is a good readme but there is no code </v>
      </c>
      <c r="F71" s="5" t="str">
        <f>IFERROR(__xludf.DUMMYFUNCTION("""COMPUTED_VALUE"""),"https://github.com/Nachiket-GORE/TDS-project-1")</f>
        <v>https://github.com/Nachiket-GORE/TDS-project-1</v>
      </c>
      <c r="G71" s="3">
        <f>IFERROR(__xludf.DUMMYFUNCTION("""COMPUTED_VALUE"""),10.0)</f>
        <v>10</v>
      </c>
      <c r="H71" s="3">
        <f>IFERROR(__xludf.DUMMYFUNCTION("""COMPUTED_VALUE"""),5.0)</f>
        <v>5</v>
      </c>
      <c r="I71" s="3" t="str">
        <f>IFERROR(__xludf.DUMMYFUNCTION("""COMPUTED_VALUE"""),"There is a good readme but there is no code ")</f>
        <v>There is a good readme but there is no code </v>
      </c>
      <c r="J71" s="3" t="str">
        <f>IFERROR(__xludf.DUMMYFUNCTION("""COMPUTED_VALUE"""),"22f3000813@ds.study.iitm.ac.in")</f>
        <v>22f3000813@ds.study.iitm.ac.in</v>
      </c>
      <c r="K71" s="3" t="str">
        <f t="shared" si="1"/>
        <v>22f3000813@ds.study.iitm.ac.inhttps://github.com/Nimbus29/TDS-Project_1</v>
      </c>
      <c r="L71" s="3" t="str">
        <f t="shared" si="2"/>
        <v>22f3000813@ds.study.iitm.ac.inhttps://github.com/Nachiket-GORE/TDS-project-1</v>
      </c>
    </row>
    <row r="72">
      <c r="A72" s="3">
        <f>IFERROR(__xludf.DUMMYFUNCTION("""COMPUTED_VALUE"""),45604.078427650464)</f>
        <v>45604.07843</v>
      </c>
      <c r="B72" s="5" t="str">
        <f>IFERROR(__xludf.DUMMYFUNCTION("""COMPUTED_VALUE"""),"https://github.com/Jayaraja-SK/TDS-Project1")</f>
        <v>https://github.com/Jayaraja-SK/TDS-Project1</v>
      </c>
      <c r="C72" s="3">
        <f>IFERROR(__xludf.DUMMYFUNCTION("""COMPUTED_VALUE"""),8.0)</f>
        <v>8</v>
      </c>
      <c r="D72" s="3">
        <f>IFERROR(__xludf.DUMMYFUNCTION("""COMPUTED_VALUE"""),8.0)</f>
        <v>8</v>
      </c>
      <c r="E72" s="3" t="str">
        <f>IFERROR(__xludf.DUMMYFUNCTION("""COMPUTED_VALUE"""),"fetching of data was incomplete and findings are not as presentable but analysis was done well and findings are interesting")</f>
        <v>fetching of data was incomplete and findings are not as presentable but analysis was done well and findings are interesting</v>
      </c>
      <c r="F72" s="5" t="str">
        <f>IFERROR(__xludf.DUMMYFUNCTION("""COMPUTED_VALUE"""),"https://github.com/singh-akhand/tds-project-1")</f>
        <v>https://github.com/singh-akhand/tds-project-1</v>
      </c>
      <c r="G72" s="3">
        <f>IFERROR(__xludf.DUMMYFUNCTION("""COMPUTED_VALUE"""),10.0)</f>
        <v>10</v>
      </c>
      <c r="H72" s="3">
        <f>IFERROR(__xludf.DUMMYFUNCTION("""COMPUTED_VALUE"""),10.0)</f>
        <v>10</v>
      </c>
      <c r="I72" s="3" t="str">
        <f>IFERROR(__xludf.DUMMYFUNCTION("""COMPUTED_VALUE"""),"very good effort with good insights")</f>
        <v>very good effort with good insights</v>
      </c>
      <c r="J72" s="3" t="str">
        <f>IFERROR(__xludf.DUMMYFUNCTION("""COMPUTED_VALUE"""),"23f3004035@ds.study.iitm.ac.in")</f>
        <v>23f3004035@ds.study.iitm.ac.in</v>
      </c>
      <c r="K72" s="3" t="str">
        <f t="shared" si="1"/>
        <v>23f3004035@ds.study.iitm.ac.inhttps://github.com/Jayaraja-SK/TDS-Project1</v>
      </c>
      <c r="L72" s="3" t="str">
        <f t="shared" si="2"/>
        <v>23f3004035@ds.study.iitm.ac.inhttps://github.com/singh-akhand/tds-project-1</v>
      </c>
    </row>
    <row r="73">
      <c r="A73" s="3">
        <f>IFERROR(__xludf.DUMMYFUNCTION("""COMPUTED_VALUE"""),45603.459565694444)</f>
        <v>45603.45957</v>
      </c>
      <c r="B73" s="5" t="str">
        <f>IFERROR(__xludf.DUMMYFUNCTION("""COMPUTED_VALUE"""),"https://github.com/NEELU9931/tds5")</f>
        <v>https://github.com/NEELU9931/tds5</v>
      </c>
      <c r="C73" s="3">
        <f>IFERROR(__xludf.DUMMYFUNCTION("""COMPUTED_VALUE"""),9.0)</f>
        <v>9</v>
      </c>
      <c r="D73" s="3">
        <f>IFERROR(__xludf.DUMMYFUNCTION("""COMPUTED_VALUE"""),0.0)</f>
        <v>0</v>
      </c>
      <c r="E73" s="3" t="str">
        <f>IFERROR(__xludf.DUMMYFUNCTION("""COMPUTED_VALUE"""),"The 1st repo's README says that people from non-tech roles are active on GitHub from Barcelona and have a higher repository count with 100+ followers. This is an interesting insight as I expected people from tech roles to have the higher repository count."&amp;"
The 1st repo's README does not have any code.")</f>
        <v>The 1st repo's README says that people from non-tech roles are active on GitHub from Barcelona and have a higher repository count with 100+ followers. This is an interesting insight as I expected people from tech roles to have the higher repository count.
The 1st repo's README does not have any code.</v>
      </c>
      <c r="F73" s="5" t="str">
        <f>IFERROR(__xludf.DUMMYFUNCTION("""COMPUTED_VALUE"""),"https://github.com/darshu2806/tdsproj1")</f>
        <v>https://github.com/darshu2806/tdsproj1</v>
      </c>
      <c r="G73" s="3">
        <f>IFERROR(__xludf.DUMMYFUNCTION("""COMPUTED_VALUE"""),7.0)</f>
        <v>7</v>
      </c>
      <c r="H73" s="3">
        <f>IFERROR(__xludf.DUMMYFUNCTION("""COMPUTED_VALUE"""),0.0)</f>
        <v>0</v>
      </c>
      <c r="I73" s="3" t="str">
        <f>IFERROR(__xludf.DUMMYFUNCTION("""COMPUTED_VALUE"""),"There was no code. 
The insight that developers use diverse languages seems obvious. But the recommendation for creating collaborative environments is good.")</f>
        <v>There was no code. 
The insight that developers use diverse languages seems obvious. But the recommendation for creating collaborative environments is good.</v>
      </c>
      <c r="J73" s="3" t="str">
        <f>IFERROR(__xludf.DUMMYFUNCTION("""COMPUTED_VALUE"""),"22f2000852@ds.study.iitm.ac.in")</f>
        <v>22f2000852@ds.study.iitm.ac.in</v>
      </c>
      <c r="K73" s="3" t="str">
        <f t="shared" si="1"/>
        <v>22f2000852@ds.study.iitm.ac.inhttps://github.com/NEELU9931/tds5</v>
      </c>
      <c r="L73" s="3" t="str">
        <f t="shared" si="2"/>
        <v>22f2000852@ds.study.iitm.ac.inhttps://github.com/darshu2806/tdsproj1</v>
      </c>
    </row>
    <row r="74">
      <c r="A74" s="3">
        <f>IFERROR(__xludf.DUMMYFUNCTION("""COMPUTED_VALUE"""),45598.78473854167)</f>
        <v>45598.78474</v>
      </c>
      <c r="B74" s="5" t="str">
        <f>IFERROR(__xludf.DUMMYFUNCTION("""COMPUTED_VALUE"""),"https://github.com/anand-ballabh/TDS-Project-1")</f>
        <v>https://github.com/anand-ballabh/TDS-Project-1</v>
      </c>
      <c r="C74" s="3">
        <f>IFERROR(__xludf.DUMMYFUNCTION("""COMPUTED_VALUE"""),6.0)</f>
        <v>6</v>
      </c>
      <c r="D74" s="3">
        <f>IFERROR(__xludf.DUMMYFUNCTION("""COMPUTED_VALUE"""),8.0)</f>
        <v>8</v>
      </c>
      <c r="E74" s="3" t="str">
        <f>IFERROR(__xludf.DUMMYFUNCTION("""COMPUTED_VALUE"""),"I think README can be improve but the code part of this repo are really good, every this is clear and easy to understand")</f>
        <v>I think README can be improve but the code part of this repo are really good, every this is clear and easy to understand</v>
      </c>
      <c r="F74" s="5" t="str">
        <f>IFERROR(__xludf.DUMMYFUNCTION("""COMPUTED_VALUE"""),"https://github.com/adityach123/main")</f>
        <v>https://github.com/adityach123/main</v>
      </c>
      <c r="G74" s="3">
        <f>IFERROR(__xludf.DUMMYFUNCTION("""COMPUTED_VALUE"""),5.0)</f>
        <v>5</v>
      </c>
      <c r="H74" s="3">
        <f>IFERROR(__xludf.DUMMYFUNCTION("""COMPUTED_VALUE"""),6.0)</f>
        <v>6</v>
      </c>
      <c r="I74" s="3" t="str">
        <f>IFERROR(__xludf.DUMMYFUNCTION("""COMPUTED_VALUE"""),"I think README can be improve by giving more info in it but the code part of this repo are look like gpt generated maybe i'm wrong but its look like gpt generated")</f>
        <v>I think README can be improve by giving more info in it but the code part of this repo are look like gpt generated maybe i'm wrong but its look like gpt generated</v>
      </c>
      <c r="J74" s="3" t="str">
        <f>IFERROR(__xludf.DUMMYFUNCTION("""COMPUTED_VALUE"""),"22f1001972@ds.study.iitm.ac.in")</f>
        <v>22f1001972@ds.study.iitm.ac.in</v>
      </c>
      <c r="K74" s="3" t="str">
        <f t="shared" si="1"/>
        <v>22f1001972@ds.study.iitm.ac.inhttps://github.com/anand-ballabh/TDS-Project-1</v>
      </c>
      <c r="L74" s="3" t="str">
        <f t="shared" si="2"/>
        <v>22f1001972@ds.study.iitm.ac.inhttps://github.com/adityach123/main</v>
      </c>
    </row>
    <row r="75">
      <c r="A75" s="3">
        <f>IFERROR(__xludf.DUMMYFUNCTION("""COMPUTED_VALUE"""),45598.789405682866)</f>
        <v>45598.78941</v>
      </c>
      <c r="B75" s="5" t="str">
        <f>IFERROR(__xludf.DUMMYFUNCTION("""COMPUTED_VALUE"""),"https://github.com/rebornphoenix01/TDSProject1")</f>
        <v>https://github.com/rebornphoenix01/TDSProject1</v>
      </c>
      <c r="C75" s="3">
        <f>IFERROR(__xludf.DUMMYFUNCTION("""COMPUTED_VALUE"""),10.0)</f>
        <v>10</v>
      </c>
      <c r="D75" s="3">
        <f>IFERROR(__xludf.DUMMYFUNCTION("""COMPUTED_VALUE"""),10.0)</f>
        <v>10</v>
      </c>
      <c r="E75" s="3" t="str">
        <f>IFERROR(__xludf.DUMMYFUNCTION("""COMPUTED_VALUE"""),"i found the readme section to be very eye catching , clear and neat")</f>
        <v>i found the readme section to be very eye catching , clear and neat</v>
      </c>
      <c r="F75" s="5" t="str">
        <f>IFERROR(__xludf.DUMMYFUNCTION("""COMPUTED_VALUE"""),"https://github.com/SaloniSingh1254/seattle200")</f>
        <v>https://github.com/SaloniSingh1254/seattle200</v>
      </c>
      <c r="G75" s="3">
        <f>IFERROR(__xludf.DUMMYFUNCTION("""COMPUTED_VALUE"""),5.0)</f>
        <v>5</v>
      </c>
      <c r="H75" s="3">
        <f>IFERROR(__xludf.DUMMYFUNCTION("""COMPUTED_VALUE"""),5.0)</f>
        <v>5</v>
      </c>
      <c r="I75" s="3" t="str">
        <f>IFERROR(__xludf.DUMMYFUNCTION("""COMPUTED_VALUE"""),"code was available for few questions and i readme file was congested ")</f>
        <v>code was available for few questions and i readme file was congested </v>
      </c>
      <c r="J75" s="3" t="str">
        <f>IFERROR(__xludf.DUMMYFUNCTION("""COMPUTED_VALUE"""),"23f3004372@ds.study.iitm.ac.in")</f>
        <v>23f3004372@ds.study.iitm.ac.in</v>
      </c>
      <c r="K75" s="3" t="str">
        <f t="shared" si="1"/>
        <v>23f3004372@ds.study.iitm.ac.inhttps://github.com/rebornphoenix01/TDSProject1</v>
      </c>
      <c r="L75" s="3" t="str">
        <f t="shared" si="2"/>
        <v>23f3004372@ds.study.iitm.ac.inhttps://github.com/SaloniSingh1254/seattle200</v>
      </c>
    </row>
    <row r="76">
      <c r="A76" s="3">
        <f>IFERROR(__xludf.DUMMYFUNCTION("""COMPUTED_VALUE"""),45598.86862306713)</f>
        <v>45598.86862</v>
      </c>
      <c r="B76" s="5" t="str">
        <f>IFERROR(__xludf.DUMMYFUNCTION("""COMPUTED_VALUE"""),"https://github.com/Avinash94567")</f>
        <v>https://github.com/Avinash94567</v>
      </c>
      <c r="C76" s="3">
        <f>IFERROR(__xludf.DUMMYFUNCTION("""COMPUTED_VALUE"""),10.0)</f>
        <v>10</v>
      </c>
      <c r="D76" s="3">
        <f>IFERROR(__xludf.DUMMYFUNCTION("""COMPUTED_VALUE"""),10.0)</f>
        <v>10</v>
      </c>
      <c r="E76" s="3" t="str">
        <f>IFERROR(__xludf.DUMMYFUNCTION("""COMPUTED_VALUE"""),"There is readme file along with the details of the project. There are also codes attached in a neat way. ")</f>
        <v>There is readme file along with the details of the project. There are also codes attached in a neat way. </v>
      </c>
      <c r="F76" s="5" t="str">
        <f>IFERROR(__xludf.DUMMYFUNCTION("""COMPUTED_VALUE"""),"https://github.com/Anirudh-starhash/TDS-Project-1")</f>
        <v>https://github.com/Anirudh-starhash/TDS-Project-1</v>
      </c>
      <c r="G76" s="3">
        <f>IFERROR(__xludf.DUMMYFUNCTION("""COMPUTED_VALUE"""),10.0)</f>
        <v>10</v>
      </c>
      <c r="H76" s="3">
        <f>IFERROR(__xludf.DUMMYFUNCTION("""COMPUTED_VALUE"""),10.0)</f>
        <v>10</v>
      </c>
      <c r="I76" s="3" t="str">
        <f>IFERROR(__xludf.DUMMYFUNCTION("""COMPUTED_VALUE"""),"There are both Read.me and code files with very detailed explanation of the problem assigned to them ")</f>
        <v>There are both Read.me and code files with very detailed explanation of the problem assigned to them </v>
      </c>
      <c r="J76" s="3" t="str">
        <f>IFERROR(__xludf.DUMMYFUNCTION("""COMPUTED_VALUE"""),"22f1001626@ds.study.iitm.ac.in")</f>
        <v>22f1001626@ds.study.iitm.ac.in</v>
      </c>
      <c r="K76" s="3" t="str">
        <f t="shared" si="1"/>
        <v>22f1001626@ds.study.iitm.ac.inhttps://github.com/Avinash94567</v>
      </c>
      <c r="L76" s="3" t="str">
        <f t="shared" si="2"/>
        <v>22f1001626@ds.study.iitm.ac.inhttps://github.com/Anirudh-starhash/TDS-Project-1</v>
      </c>
    </row>
    <row r="77">
      <c r="A77" s="3">
        <f>IFERROR(__xludf.DUMMYFUNCTION("""COMPUTED_VALUE"""),45598.79309871528)</f>
        <v>45598.7931</v>
      </c>
      <c r="B77" s="5" t="str">
        <f>IFERROR(__xludf.DUMMYFUNCTION("""COMPUTED_VALUE"""),"https://github.com/kvaishnavidevi/tds-project-tokyo-200")</f>
        <v>https://github.com/kvaishnavidevi/tds-project-tokyo-200</v>
      </c>
      <c r="C77" s="3">
        <f>IFERROR(__xludf.DUMMYFUNCTION("""COMPUTED_VALUE"""),7.0)</f>
        <v>7</v>
      </c>
      <c r="D77" s="3">
        <f>IFERROR(__xludf.DUMMYFUNCTION("""COMPUTED_VALUE"""),9.0)</f>
        <v>9</v>
      </c>
      <c r="E77" s="3" t="str">
        <f>IFERROR(__xludf.DUMMYFUNCTION("""COMPUTED_VALUE"""),"The README.md was very short and non descriptive. The code was good and understandable")</f>
        <v>The README.md was very short and non descriptive. The code was good and understandable</v>
      </c>
      <c r="F77" s="5" t="str">
        <f>IFERROR(__xludf.DUMMYFUNCTION("""COMPUTED_VALUE"""),"https://github.com/praveen37bn/now_project1")</f>
        <v>https://github.com/praveen37bn/now_project1</v>
      </c>
      <c r="G77" s="3">
        <f>IFERROR(__xludf.DUMMYFUNCTION("""COMPUTED_VALUE"""),8.0)</f>
        <v>8</v>
      </c>
      <c r="H77" s="3">
        <f>IFERROR(__xludf.DUMMYFUNCTION("""COMPUTED_VALUE"""),6.0)</f>
        <v>6</v>
      </c>
      <c r="I77" s="3" t="str">
        <f>IFERROR(__xludf.DUMMYFUNCTION("""COMPUTED_VALUE"""),"Although the Readme was not as descriptive it still was understandable and clear .As for the code only the scrapper part was there how the questions was solved was not there")</f>
        <v>Although the Readme was not as descriptive it still was understandable and clear .As for the code only the scrapper part was there how the questions was solved was not there</v>
      </c>
      <c r="J77" s="3" t="str">
        <f>IFERROR(__xludf.DUMMYFUNCTION("""COMPUTED_VALUE"""),"22f3003067@ds.study.iitm.ac.in")</f>
        <v>22f3003067@ds.study.iitm.ac.in</v>
      </c>
      <c r="K77" s="3" t="str">
        <f t="shared" si="1"/>
        <v>22f3003067@ds.study.iitm.ac.inhttps://github.com/kvaishnavidevi/tds-project-tokyo-200</v>
      </c>
      <c r="L77" s="3" t="str">
        <f t="shared" si="2"/>
        <v>22f3003067@ds.study.iitm.ac.inhttps://github.com/praveen37bn/now_project1</v>
      </c>
    </row>
    <row r="78">
      <c r="A78" s="3">
        <f>IFERROR(__xludf.DUMMYFUNCTION("""COMPUTED_VALUE"""),45598.793282280094)</f>
        <v>45598.79328</v>
      </c>
      <c r="B78" s="5" t="str">
        <f>IFERROR(__xludf.DUMMYFUNCTION("""COMPUTED_VALUE"""),"https://github.com/iitmrs/Project1")</f>
        <v>https://github.com/iitmrs/Project1</v>
      </c>
      <c r="C78" s="3">
        <f>IFERROR(__xludf.DUMMYFUNCTION("""COMPUTED_VALUE"""),8.0)</f>
        <v>8</v>
      </c>
      <c r="D78" s="3">
        <f>IFERROR(__xludf.DUMMYFUNCTION("""COMPUTED_VALUE"""),10.0)</f>
        <v>10</v>
      </c>
      <c r="E78" s="3" t="str">
        <f>IFERROR(__xludf.DUMMYFUNCTION("""COMPUTED_VALUE"""),"There is enough analysis but could be more specific and codes are well written in my pov.")</f>
        <v>There is enough analysis but could be more specific and codes are well written in my pov.</v>
      </c>
      <c r="F78" s="5" t="str">
        <f>IFERROR(__xludf.DUMMYFUNCTION("""COMPUTED_VALUE"""),"https://github.com/KRISHBORANA/Sydney-100")</f>
        <v>https://github.com/KRISHBORANA/Sydney-100</v>
      </c>
      <c r="G78" s="3">
        <f>IFERROR(__xludf.DUMMYFUNCTION("""COMPUTED_VALUE"""),10.0)</f>
        <v>10</v>
      </c>
      <c r="H78" s="3">
        <f>IFERROR(__xludf.DUMMYFUNCTION("""COMPUTED_VALUE"""),10.0)</f>
        <v>10</v>
      </c>
      <c r="I78" s="3" t="str">
        <f>IFERROR(__xludf.DUMMYFUNCTION("""COMPUTED_VALUE"""),"I see there a very descriptive and detailed analysis and well written points which looks quite interesting. ")</f>
        <v>I see there a very descriptive and detailed analysis and well written points which looks quite interesting. </v>
      </c>
      <c r="J78" s="3" t="str">
        <f>IFERROR(__xludf.DUMMYFUNCTION("""COMPUTED_VALUE"""),"21f1001940@ds.study.iitm.ac.in")</f>
        <v>21f1001940@ds.study.iitm.ac.in</v>
      </c>
      <c r="K78" s="3" t="str">
        <f t="shared" si="1"/>
        <v>21f1001940@ds.study.iitm.ac.inhttps://github.com/iitmrs/Project1</v>
      </c>
      <c r="L78" s="3" t="str">
        <f t="shared" si="2"/>
        <v>21f1001940@ds.study.iitm.ac.inhttps://github.com/KRISHBORANA/Sydney-100</v>
      </c>
    </row>
    <row r="79">
      <c r="A79" s="3">
        <f>IFERROR(__xludf.DUMMYFUNCTION("""COMPUTED_VALUE"""),45598.794186018524)</f>
        <v>45598.79419</v>
      </c>
      <c r="B79" s="5" t="str">
        <f>IFERROR(__xludf.DUMMYFUNCTION("""COMPUTED_VALUE"""),"https://github.com/ragavkish/tds-sg-analysis")</f>
        <v>https://github.com/ragavkish/tds-sg-analysis</v>
      </c>
      <c r="C79" s="3">
        <f>IFERROR(__xludf.DUMMYFUNCTION("""COMPUTED_VALUE"""),9.0)</f>
        <v>9</v>
      </c>
      <c r="D79" s="3">
        <f>IFERROR(__xludf.DUMMYFUNCTION("""COMPUTED_VALUE"""),9.0)</f>
        <v>9</v>
      </c>
      <c r="E79" s="3" t="str">
        <f>IFERROR(__xludf.DUMMYFUNCTION("""COMPUTED_VALUE"""),"The repository was well organized and it was easy to find out the files and the code had minimal comments that were easy to read too. ")</f>
        <v>The repository was well organized and it was easy to find out the files and the code had minimal comments that were easy to read too. </v>
      </c>
      <c r="F79" s="5" t="str">
        <f>IFERROR(__xludf.DUMMYFUNCTION("""COMPUTED_VALUE"""),"https://github.com/tarunarora6029/tdsgit")</f>
        <v>https://github.com/tarunarora6029/tdsgit</v>
      </c>
      <c r="G79" s="3">
        <f>IFERROR(__xludf.DUMMYFUNCTION("""COMPUTED_VALUE"""),9.0)</f>
        <v>9</v>
      </c>
      <c r="H79" s="3">
        <f>IFERROR(__xludf.DUMMYFUNCTION("""COMPUTED_VALUE"""),9.0)</f>
        <v>9</v>
      </c>
      <c r="I79" s="3" t="str">
        <f>IFERROR(__xludf.DUMMYFUNCTION("""COMPUTED_VALUE"""),"The readme.md file had all the explanations about the analysis. Code for scrapping the data was legit and layman.")</f>
        <v>The readme.md file had all the explanations about the analysis. Code for scrapping the data was legit and layman.</v>
      </c>
      <c r="J79" s="3" t="str">
        <f>IFERROR(__xludf.DUMMYFUNCTION("""COMPUTED_VALUE"""),"22f3000399@ds.study.iitm.ac.in")</f>
        <v>22f3000399@ds.study.iitm.ac.in</v>
      </c>
      <c r="K79" s="3" t="str">
        <f t="shared" si="1"/>
        <v>22f3000399@ds.study.iitm.ac.inhttps://github.com/ragavkish/tds-sg-analysis</v>
      </c>
      <c r="L79" s="3" t="str">
        <f t="shared" si="2"/>
        <v>22f3000399@ds.study.iitm.ac.inhttps://github.com/tarunarora6029/tdsgit</v>
      </c>
    </row>
    <row r="80">
      <c r="A80" s="3">
        <f>IFERROR(__xludf.DUMMYFUNCTION("""COMPUTED_VALUE"""),45598.79546521991)</f>
        <v>45598.79547</v>
      </c>
      <c r="B80" s="5" t="str">
        <f>IFERROR(__xludf.DUMMYFUNCTION("""COMPUTED_VALUE"""),"https://github.com/sapiitm/tds")</f>
        <v>https://github.com/sapiitm/tds</v>
      </c>
      <c r="C80" s="3">
        <f>IFERROR(__xludf.DUMMYFUNCTION("""COMPUTED_VALUE"""),10.0)</f>
        <v>10</v>
      </c>
      <c r="D80" s="3">
        <f>IFERROR(__xludf.DUMMYFUNCTION("""COMPUTED_VALUE"""),10.0)</f>
        <v>10</v>
      </c>
      <c r="E80" s="3" t="str">
        <f>IFERROR(__xludf.DUMMYFUNCTION("""COMPUTED_VALUE"""),"The code was clean and the findings written in the README file were also interesting. The student has put in efforts to complete the project.")</f>
        <v>The code was clean and the findings written in the README file were also interesting. The student has put in efforts to complete the project.</v>
      </c>
      <c r="F80" s="5" t="str">
        <f>IFERROR(__xludf.DUMMYFUNCTION("""COMPUTED_VALUE"""),"https://github.com/Srinidhi-Krishnan30/TDSProject1")</f>
        <v>https://github.com/Srinidhi-Krishnan30/TDSProject1</v>
      </c>
      <c r="G80" s="3">
        <f>IFERROR(__xludf.DUMMYFUNCTION("""COMPUTED_VALUE"""),10.0)</f>
        <v>10</v>
      </c>
      <c r="H80" s="3">
        <f>IFERROR(__xludf.DUMMYFUNCTION("""COMPUTED_VALUE"""),0.0)</f>
        <v>0</v>
      </c>
      <c r="I80" s="3" t="str">
        <f>IFERROR(__xludf.DUMMYFUNCTION("""COMPUTED_VALUE"""),"The repo did not have the code. The Readme file was present and had good findings about the language mostly used in Toronto which is Python.")</f>
        <v>The repo did not have the code. The Readme file was present and had good findings about the language mostly used in Toronto which is Python.</v>
      </c>
      <c r="J80" s="3" t="str">
        <f>IFERROR(__xludf.DUMMYFUNCTION("""COMPUTED_VALUE"""),"21f3002143@ds.study.iitm.ac.in")</f>
        <v>21f3002143@ds.study.iitm.ac.in</v>
      </c>
      <c r="K80" s="3" t="str">
        <f t="shared" si="1"/>
        <v>21f3002143@ds.study.iitm.ac.inhttps://github.com/sapiitm/tds</v>
      </c>
      <c r="L80" s="3" t="str">
        <f t="shared" si="2"/>
        <v>21f3002143@ds.study.iitm.ac.inhttps://github.com/Srinidhi-Krishnan30/TDSProject1</v>
      </c>
    </row>
    <row r="81">
      <c r="A81" s="3">
        <f>IFERROR(__xludf.DUMMYFUNCTION("""COMPUTED_VALUE"""),45598.79942783565)</f>
        <v>45598.79943</v>
      </c>
      <c r="B81" s="5" t="str">
        <f>IFERROR(__xludf.DUMMYFUNCTION("""COMPUTED_VALUE"""),"https://github.com/Yogesh-005/pro1")</f>
        <v>https://github.com/Yogesh-005/pro1</v>
      </c>
      <c r="C81" s="3">
        <f>IFERROR(__xludf.DUMMYFUNCTION("""COMPUTED_VALUE"""),6.0)</f>
        <v>6</v>
      </c>
      <c r="D81" s="3">
        <f>IFERROR(__xludf.DUMMYFUNCTION("""COMPUTED_VALUE"""),6.0)</f>
        <v>6</v>
      </c>
      <c r="E81" s="3" t="str">
        <f>IFERROR(__xludf.DUMMYFUNCTION("""COMPUTED_VALUE"""),"
The README provides useful information that effectively summarizes the project.
The code demonstrates a clear and organized approach, making it easy to follow.")</f>
        <v>
The README provides useful information that effectively summarizes the project.
The code demonstrates a clear and organized approach, making it easy to follow.</v>
      </c>
      <c r="F81" s="5" t="str">
        <f>IFERROR(__xludf.DUMMYFUNCTION("""COMPUTED_VALUE"""),"https://github.com/20vishnu27/TDS_Project-1")</f>
        <v>https://github.com/20vishnu27/TDS_Project-1</v>
      </c>
      <c r="G81" s="3">
        <f>IFERROR(__xludf.DUMMYFUNCTION("""COMPUTED_VALUE"""),3.0)</f>
        <v>3</v>
      </c>
      <c r="H81" s="3">
        <f>IFERROR(__xludf.DUMMYFUNCTION("""COMPUTED_VALUE"""),0.0)</f>
        <v>0</v>
      </c>
      <c r="I81" s="3" t="str">
        <f>IFERROR(__xludf.DUMMYFUNCTION("""COMPUTED_VALUE"""),"
The README effectively summarizes the project.
The code was not present in the repository.")</f>
        <v>
The README effectively summarizes the project.
The code was not present in the repository.</v>
      </c>
      <c r="J81" s="3" t="str">
        <f>IFERROR(__xludf.DUMMYFUNCTION("""COMPUTED_VALUE"""),"22f3003270@ds.study.iitm.ac.in")</f>
        <v>22f3003270@ds.study.iitm.ac.in</v>
      </c>
      <c r="K81" s="3" t="str">
        <f t="shared" si="1"/>
        <v>22f3003270@ds.study.iitm.ac.inhttps://github.com/Yogesh-005/pro1</v>
      </c>
      <c r="L81" s="3" t="str">
        <f t="shared" si="2"/>
        <v>22f3003270@ds.study.iitm.ac.inhttps://github.com/20vishnu27/TDS_Project-1</v>
      </c>
    </row>
    <row r="82">
      <c r="A82" s="3">
        <f>IFERROR(__xludf.DUMMYFUNCTION("""COMPUTED_VALUE"""),45598.802154687495)</f>
        <v>45598.80215</v>
      </c>
      <c r="B82" s="5" t="str">
        <f>IFERROR(__xludf.DUMMYFUNCTION("""COMPUTED_VALUE"""),"https://github.com/NEELU9931/tds5")</f>
        <v>https://github.com/NEELU9931/tds5</v>
      </c>
      <c r="C82" s="3">
        <f>IFERROR(__xludf.DUMMYFUNCTION("""COMPUTED_VALUE"""),8.0)</f>
        <v>8</v>
      </c>
      <c r="D82" s="3">
        <f>IFERROR(__xludf.DUMMYFUNCTION("""COMPUTED_VALUE"""),0.0)</f>
        <v>0</v>
      </c>
      <c r="E82" s="3" t="str">
        <f>IFERROR(__xludf.DUMMYFUNCTION("""COMPUTED_VALUE"""),"I learnt something new from the findings of the GitHub repo, the findings were that there were unexpected high repository counts with people having 100 or more followers who were having diverse skill-set in non-tech scope. however user only had users.csv "&amp;"and repositories.csv but unfortunately I couldn't find any code doing data collection as well as analysis.")</f>
        <v>I learnt something new from the findings of the GitHub repo, the findings were that there were unexpected high repository counts with people having 100 or more followers who were having diverse skill-set in non-tech scope. however user only had users.csv and repositories.csv but unfortunately I couldn't find any code doing data collection as well as analysis.</v>
      </c>
      <c r="F82" s="5" t="str">
        <f>IFERROR(__xludf.DUMMYFUNCTION("""COMPUTED_VALUE"""),"https://github.com/darshu2806/tdsproj1")</f>
        <v>https://github.com/darshu2806/tdsproj1</v>
      </c>
      <c r="G82" s="3">
        <f>IFERROR(__xludf.DUMMYFUNCTION("""COMPUTED_VALUE"""),8.0)</f>
        <v>8</v>
      </c>
      <c r="H82" s="3">
        <f>IFERROR(__xludf.DUMMYFUNCTION("""COMPUTED_VALUE"""),0.0)</f>
        <v>0</v>
      </c>
      <c r="I82" s="3" t="str">
        <f>IFERROR(__xludf.DUMMYFUNCTION("""COMPUTED_VALUE"""),"the interesting finding of this repo was that in london, people having 500 or more followers have been doing high frequency work across multiple repositories with diverse skill set of programming languages. they are constantly working on open-source devel"&amp;"oper tools to enhance productivity. this was interesting finding. unfortunately here as well, there were only readme, users.csv and repositories.csv but no datacollection and analysis code...")</f>
        <v>the interesting finding of this repo was that in london, people having 500 or more followers have been doing high frequency work across multiple repositories with diverse skill set of programming languages. they are constantly working on open-source developer tools to enhance productivity. this was interesting finding. unfortunately here as well, there were only readme, users.csv and repositories.csv but no datacollection and analysis code...</v>
      </c>
      <c r="J82" s="3" t="str">
        <f>IFERROR(__xludf.DUMMYFUNCTION("""COMPUTED_VALUE"""),"22f3000312@ds.study.iitm.ac.in")</f>
        <v>22f3000312@ds.study.iitm.ac.in</v>
      </c>
      <c r="K82" s="3" t="str">
        <f t="shared" si="1"/>
        <v>22f3000312@ds.study.iitm.ac.inhttps://github.com/NEELU9931/tds5</v>
      </c>
      <c r="L82" s="3" t="str">
        <f t="shared" si="2"/>
        <v>22f3000312@ds.study.iitm.ac.inhttps://github.com/darshu2806/tdsproj1</v>
      </c>
    </row>
    <row r="83">
      <c r="A83" s="3">
        <f>IFERROR(__xludf.DUMMYFUNCTION("""COMPUTED_VALUE"""),45598.805933888885)</f>
        <v>45598.80593</v>
      </c>
      <c r="B83" s="5" t="str">
        <f>IFERROR(__xludf.DUMMYFUNCTION("""COMPUTED_VALUE"""),"https://github.com/BISWASAHANA/GitScrapy")</f>
        <v>https://github.com/BISWASAHANA/GitScrapy</v>
      </c>
      <c r="C83" s="3">
        <f>IFERROR(__xludf.DUMMYFUNCTION("""COMPUTED_VALUE"""),9.0)</f>
        <v>9</v>
      </c>
      <c r="D83" s="3">
        <f>IFERROR(__xludf.DUMMYFUNCTION("""COMPUTED_VALUE"""),9.0)</f>
        <v>9</v>
      </c>
      <c r="E83" s="3" t="str">
        <f>IFERROR(__xludf.DUMMYFUNCTION("""COMPUTED_VALUE"""),"The code and the findings are accurate")</f>
        <v>The code and the findings are accurate</v>
      </c>
      <c r="F83" s="5" t="str">
        <f>IFERROR(__xludf.DUMMYFUNCTION("""COMPUTED_VALUE"""),"https://github.com/harikrishnan51688/TDS_Project_1")</f>
        <v>https://github.com/harikrishnan51688/TDS_Project_1</v>
      </c>
      <c r="G83" s="3">
        <f>IFERROR(__xludf.DUMMYFUNCTION("""COMPUTED_VALUE"""),9.0)</f>
        <v>9</v>
      </c>
      <c r="H83" s="3">
        <f>IFERROR(__xludf.DUMMYFUNCTION("""COMPUTED_VALUE"""),9.0)</f>
        <v>9</v>
      </c>
      <c r="I83" s="3" t="str">
        <f>IFERROR(__xludf.DUMMYFUNCTION("""COMPUTED_VALUE"""),"The code and the findings are okay")</f>
        <v>The code and the findings are okay</v>
      </c>
      <c r="J83" s="3" t="str">
        <f>IFERROR(__xludf.DUMMYFUNCTION("""COMPUTED_VALUE"""),"23f1000694@ds.study.iitm.ac.in")</f>
        <v>23f1000694@ds.study.iitm.ac.in</v>
      </c>
      <c r="K83" s="3" t="str">
        <f t="shared" si="1"/>
        <v>23f1000694@ds.study.iitm.ac.inhttps://github.com/BISWASAHANA/GitScrapy</v>
      </c>
      <c r="L83" s="3" t="str">
        <f t="shared" si="2"/>
        <v>23f1000694@ds.study.iitm.ac.inhttps://github.com/harikrishnan51688/TDS_Project_1</v>
      </c>
    </row>
    <row r="84">
      <c r="A84" s="3">
        <f>IFERROR(__xludf.DUMMYFUNCTION("""COMPUTED_VALUE"""),45598.808818923615)</f>
        <v>45598.80882</v>
      </c>
      <c r="B84" s="5" t="str">
        <f>IFERROR(__xludf.DUMMYFUNCTION("""COMPUTED_VALUE"""),"https://github.com/GeekAnanya21/TDS_project1")</f>
        <v>https://github.com/GeekAnanya21/TDS_project1</v>
      </c>
      <c r="C84" s="3">
        <f>IFERROR(__xludf.DUMMYFUNCTION("""COMPUTED_VALUE"""),9.0)</f>
        <v>9</v>
      </c>
      <c r="D84" s="3">
        <f>IFERROR(__xludf.DUMMYFUNCTION("""COMPUTED_VALUE"""),10.0)</f>
        <v>10</v>
      </c>
      <c r="E84" s="3" t="str">
        <f>IFERROR(__xludf.DUMMYFUNCTION("""COMPUTED_VALUE"""),"I really appreciated how the README.md gave me a clear picture of their data gathering and analysis process. It’s great to see how much detail they included—it really adds context to their work! The code itself is quite clear, but breaking up the longer s"&amp;"ections into smaller, more modular pieces could enhance readability. Overall, fantastic job!")</f>
        <v>I really appreciated how the README.md gave me a clear picture of their data gathering and analysis process. It’s great to see how much detail they included—it really adds context to their work! The code itself is quite clear, but breaking up the longer sections into smaller, more modular pieces could enhance readability. Overall, fantastic job!</v>
      </c>
      <c r="F84" s="5" t="str">
        <f>IFERROR(__xludf.DUMMYFUNCTION("""COMPUTED_VALUE"""),"https://github.com/arya-v-iitm/TDS-Project1")</f>
        <v>https://github.com/arya-v-iitm/TDS-Project1</v>
      </c>
      <c r="G84" s="3">
        <f>IFERROR(__xludf.DUMMYFUNCTION("""COMPUTED_VALUE"""),10.0)</f>
        <v>10</v>
      </c>
      <c r="H84" s="3">
        <f>IFERROR(__xludf.DUMMYFUNCTION("""COMPUTED_VALUE"""),0.0)</f>
        <v>0</v>
      </c>
      <c r="I84" s="3" t="str">
        <f>IFERROR(__xludf.DUMMYFUNCTION("""COMPUTED_VALUE"""),"I found the README insightful. It briefly explains their process for gathering data on developers in Chennai. The surprising finding about longer bios correlating with fewer followers is really interesting—it suggests that being concise could be beneficia"&amp;"l for engagement. I would have loved to see some code or a more detailed explanation of their methodology to better understand how they arrived at this insight. Overall, great job!")</f>
        <v>I found the README insightful. It briefly explains their process for gathering data on developers in Chennai. The surprising finding about longer bios correlating with fewer followers is really interesting—it suggests that being concise could be beneficial for engagement. I would have loved to see some code or a more detailed explanation of their methodology to better understand how they arrived at this insight. Overall, great job!</v>
      </c>
      <c r="J84" s="3" t="str">
        <f>IFERROR(__xludf.DUMMYFUNCTION("""COMPUTED_VALUE"""),"21f1005773@ds.study.iitm.ac.in")</f>
        <v>21f1005773@ds.study.iitm.ac.in</v>
      </c>
      <c r="K84" s="3" t="str">
        <f t="shared" si="1"/>
        <v>21f1005773@ds.study.iitm.ac.inhttps://github.com/GeekAnanya21/TDS_project1</v>
      </c>
      <c r="L84" s="3" t="str">
        <f t="shared" si="2"/>
        <v>21f1005773@ds.study.iitm.ac.inhttps://github.com/arya-v-iitm/TDS-Project1</v>
      </c>
    </row>
    <row r="85">
      <c r="A85" s="3">
        <f>IFERROR(__xludf.DUMMYFUNCTION("""COMPUTED_VALUE"""),45598.83261025463)</f>
        <v>45598.83261</v>
      </c>
      <c r="B85" s="5" t="str">
        <f>IFERROR(__xludf.DUMMYFUNCTION("""COMPUTED_VALUE"""),"https://github.com/AdithyaLingam/tds_project_24f1002079")</f>
        <v>https://github.com/AdithyaLingam/tds_project_24f1002079</v>
      </c>
      <c r="C85" s="3">
        <f>IFERROR(__xludf.DUMMYFUNCTION("""COMPUTED_VALUE"""),9.0)</f>
        <v>9</v>
      </c>
      <c r="D85" s="3">
        <f>IFERROR(__xludf.DUMMYFUNCTION("""COMPUTED_VALUE"""),10.0)</f>
        <v>10</v>
      </c>
      <c r="E85" s="3" t="str">
        <f>IFERROR(__xludf.DUMMYFUNCTION("""COMPUTED_VALUE"""),"Readme has good insight of data extension, trend analysis and suggestion. The code is also clean showing extraction, data analysis and additionally summarizing the result in PDF report with chart is a good work.")</f>
        <v>Readme has good insight of data extension, trend analysis and suggestion. The code is also clean showing extraction, data analysis and additionally summarizing the result in PDF report with chart is a good work.</v>
      </c>
      <c r="F85" s="5" t="str">
        <f>IFERROR(__xludf.DUMMYFUNCTION("""COMPUTED_VALUE"""),"https://github.com/b-panda/Dublin-GitHub-Users")</f>
        <v>https://github.com/b-panda/Dublin-GitHub-Users</v>
      </c>
      <c r="G85" s="3">
        <f>IFERROR(__xludf.DUMMYFUNCTION("""COMPUTED_VALUE"""),5.0)</f>
        <v>5</v>
      </c>
      <c r="H85" s="3">
        <f>IFERROR(__xludf.DUMMYFUNCTION("""COMPUTED_VALUE"""),6.0)</f>
        <v>6</v>
      </c>
      <c r="I85" s="3" t="str">
        <f>IFERROR(__xludf.DUMMYFUNCTION("""COMPUTED_VALUE"""),"The README currently covers only data extraction, lacking any analysis or trend insights derived from the data. The code includes only the extraction process; adding examples of data analysis and trend identification would greatly enhance its value.")</f>
        <v>The README currently covers only data extraction, lacking any analysis or trend insights derived from the data. The code includes only the extraction process; adding examples of data analysis and trend identification would greatly enhance its value.</v>
      </c>
      <c r="J85" s="3" t="str">
        <f>IFERROR(__xludf.DUMMYFUNCTION("""COMPUTED_VALUE"""),"21f1002727@ds.study.iitm.ac.in")</f>
        <v>21f1002727@ds.study.iitm.ac.in</v>
      </c>
      <c r="K85" s="3" t="str">
        <f t="shared" si="1"/>
        <v>21f1002727@ds.study.iitm.ac.inhttps://github.com/AdithyaLingam/tds_project_24f1002079</v>
      </c>
      <c r="L85" s="3" t="str">
        <f t="shared" si="2"/>
        <v>21f1002727@ds.study.iitm.ac.inhttps://github.com/b-panda/Dublin-GitHub-Users</v>
      </c>
    </row>
    <row r="86">
      <c r="A86" s="3">
        <f>IFERROR(__xludf.DUMMYFUNCTION("""COMPUTED_VALUE"""),45598.83348582176)</f>
        <v>45598.83349</v>
      </c>
      <c r="B86" s="5" t="str">
        <f>IFERROR(__xludf.DUMMYFUNCTION("""COMPUTED_VALUE"""),"https://github.com/hardikshub01/TDS-Project-1")</f>
        <v>https://github.com/hardikshub01/TDS-Project-1</v>
      </c>
      <c r="C86" s="3">
        <f>IFERROR(__xludf.DUMMYFUNCTION("""COMPUTED_VALUE"""),5.0)</f>
        <v>5</v>
      </c>
      <c r="D86" s="3">
        <f>IFERROR(__xludf.DUMMYFUNCTION("""COMPUTED_VALUE"""),0.0)</f>
        <v>0</v>
      </c>
      <c r="E86" s="3" t="str">
        <f>IFERROR(__xludf.DUMMYFUNCTION("""COMPUTED_VALUE"""),"It was all one line explanation and it seems blunt and nothing new I learnt, and there is no code in the github")</f>
        <v>It was all one line explanation and it seems blunt and nothing new I learnt, and there is no code in the github</v>
      </c>
      <c r="F86" s="5" t="str">
        <f>IFERROR(__xludf.DUMMYFUNCTION("""COMPUTED_VALUE"""),"https://github.com/Vishu-Ahlawat/tds_p1")</f>
        <v>https://github.com/Vishu-Ahlawat/tds_p1</v>
      </c>
      <c r="G86" s="3">
        <f>IFERROR(__xludf.DUMMYFUNCTION("""COMPUTED_VALUE"""),8.0)</f>
        <v>8</v>
      </c>
      <c r="H86" s="3">
        <f>IFERROR(__xludf.DUMMYFUNCTION("""COMPUTED_VALUE"""),5.0)</f>
        <v>5</v>
      </c>
      <c r="I86" s="3" t="str">
        <f>IFERROR(__xludf.DUMMYFUNCTION("""COMPUTED_VALUE"""),"He explained how he did the things, and he has only scrape code only")</f>
        <v>He explained how he did the things, and he has only scrape code only</v>
      </c>
      <c r="J86" s="3" t="str">
        <f>IFERROR(__xludf.DUMMYFUNCTION("""COMPUTED_VALUE"""),"23f1001734@ds.study.iitm.ac.in")</f>
        <v>23f1001734@ds.study.iitm.ac.in</v>
      </c>
      <c r="K86" s="3" t="str">
        <f t="shared" si="1"/>
        <v>23f1001734@ds.study.iitm.ac.inhttps://github.com/hardikshub01/TDS-Project-1</v>
      </c>
      <c r="L86" s="3" t="str">
        <f t="shared" si="2"/>
        <v>23f1001734@ds.study.iitm.ac.inhttps://github.com/Vishu-Ahlawat/tds_p1</v>
      </c>
    </row>
    <row r="87">
      <c r="A87" s="3">
        <f>IFERROR(__xludf.DUMMYFUNCTION("""COMPUTED_VALUE"""),45598.83560184028)</f>
        <v>45598.8356</v>
      </c>
      <c r="B87" s="5" t="str">
        <f>IFERROR(__xludf.DUMMYFUNCTION("""COMPUTED_VALUE"""),"https://github.com/yali369/Boston")</f>
        <v>https://github.com/yali369/Boston</v>
      </c>
      <c r="C87" s="3">
        <f>IFERROR(__xludf.DUMMYFUNCTION("""COMPUTED_VALUE"""),10.0)</f>
        <v>10</v>
      </c>
      <c r="D87" s="3">
        <f>IFERROR(__xludf.DUMMYFUNCTION("""COMPUTED_VALUE"""),10.0)</f>
        <v>10</v>
      </c>
      <c r="E87" s="3" t="str">
        <f>IFERROR(__xludf.DUMMYFUNCTION("""COMPUTED_VALUE"""),"The repo has all the insights and datas required.")</f>
        <v>The repo has all the insights and datas required.</v>
      </c>
      <c r="F87" s="5" t="str">
        <f>IFERROR(__xludf.DUMMYFUNCTION("""COMPUTED_VALUE"""),"https://github.com/microdev1/tds-p1")</f>
        <v>https://github.com/microdev1/tds-p1</v>
      </c>
      <c r="G87" s="3">
        <f>IFERROR(__xludf.DUMMYFUNCTION("""COMPUTED_VALUE"""),10.0)</f>
        <v>10</v>
      </c>
      <c r="H87" s="3">
        <f>IFERROR(__xludf.DUMMYFUNCTION("""COMPUTED_VALUE"""),10.0)</f>
        <v>10</v>
      </c>
      <c r="I87" s="3" t="str">
        <f>IFERROR(__xludf.DUMMYFUNCTION("""COMPUTED_VALUE""")," the repo is having the findings and details.")</f>
        <v> the repo is having the findings and details.</v>
      </c>
      <c r="J87" s="3" t="str">
        <f>IFERROR(__xludf.DUMMYFUNCTION("""COMPUTED_VALUE"""),"22f3002336@ds.study.iitm.ac.in")</f>
        <v>22f3002336@ds.study.iitm.ac.in</v>
      </c>
      <c r="K87" s="3" t="str">
        <f t="shared" si="1"/>
        <v>22f3002336@ds.study.iitm.ac.inhttps://github.com/yali369/Boston</v>
      </c>
      <c r="L87" s="3" t="str">
        <f t="shared" si="2"/>
        <v>22f3002336@ds.study.iitm.ac.inhttps://github.com/microdev1/tds-p1</v>
      </c>
    </row>
    <row r="88">
      <c r="A88" s="3">
        <f>IFERROR(__xludf.DUMMYFUNCTION("""COMPUTED_VALUE"""),45598.838221342594)</f>
        <v>45598.83822</v>
      </c>
      <c r="B88" s="5" t="str">
        <f>IFERROR(__xludf.DUMMYFUNCTION("""COMPUTED_VALUE"""),"https://github.com/Rushiiljindal/TDS-project1")</f>
        <v>https://github.com/Rushiiljindal/TDS-project1</v>
      </c>
      <c r="C88" s="3">
        <f>IFERROR(__xludf.DUMMYFUNCTION("""COMPUTED_VALUE"""),4.0)</f>
        <v>4</v>
      </c>
      <c r="D88" s="3">
        <f>IFERROR(__xludf.DUMMYFUNCTION("""COMPUTED_VALUE"""),6.0)</f>
        <v>6</v>
      </c>
      <c r="E88" s="3" t="str">
        <f>IFERROR(__xludf.DUMMYFUNCTION("""COMPUTED_VALUE"""),"I provide 4 rating for readme file because it only make file and not  explain content details.
In code section i provide 6 rating because it is understandable.")</f>
        <v>I provide 4 rating for readme file because it only make file and not  explain content details.
In code section i provide 6 rating because it is understandable.</v>
      </c>
      <c r="F88" s="5" t="str">
        <f>IFERROR(__xludf.DUMMYFUNCTION("""COMPUTED_VALUE"""),"https://github.com/kp-bhara/tds_proj1_stockholm_100")</f>
        <v>https://github.com/kp-bhara/tds_proj1_stockholm_100</v>
      </c>
      <c r="G88" s="3">
        <f>IFERROR(__xludf.DUMMYFUNCTION("""COMPUTED_VALUE"""),9.0)</f>
        <v>9</v>
      </c>
      <c r="H88" s="3">
        <f>IFERROR(__xludf.DUMMYFUNCTION("""COMPUTED_VALUE"""),7.0)</f>
        <v>7</v>
      </c>
      <c r="I88" s="3" t="str">
        <f>IFERROR(__xludf.DUMMYFUNCTION("""COMPUTED_VALUE"""),"Readme file is very nice and repo file is also good.")</f>
        <v>Readme file is very nice and repo file is also good.</v>
      </c>
      <c r="J88" s="3" t="str">
        <f>IFERROR(__xludf.DUMMYFUNCTION("""COMPUTED_VALUE"""),"23f2005504@ds.study.iitm.ac.in")</f>
        <v>23f2005504@ds.study.iitm.ac.in</v>
      </c>
      <c r="K88" s="3" t="str">
        <f t="shared" si="1"/>
        <v>23f2005504@ds.study.iitm.ac.inhttps://github.com/Rushiiljindal/TDS-project1</v>
      </c>
      <c r="L88" s="3" t="str">
        <f t="shared" si="2"/>
        <v>23f2005504@ds.study.iitm.ac.inhttps://github.com/kp-bhara/tds_proj1_stockholm_100</v>
      </c>
    </row>
    <row r="89">
      <c r="A89" s="3">
        <f>IFERROR(__xludf.DUMMYFUNCTION("""COMPUTED_VALUE"""),45598.85000414352)</f>
        <v>45598.85</v>
      </c>
      <c r="B89" s="5" t="str">
        <f>IFERROR(__xludf.DUMMYFUNCTION("""COMPUTED_VALUE"""),"https://github.com/JS121000/BERLINPROJECT")</f>
        <v>https://github.com/JS121000/BERLINPROJECT</v>
      </c>
      <c r="C89" s="3">
        <f>IFERROR(__xludf.DUMMYFUNCTION("""COMPUTED_VALUE"""),2.0)</f>
        <v>2</v>
      </c>
      <c r="D89" s="3">
        <f>IFERROR(__xludf.DUMMYFUNCTION("""COMPUTED_VALUE"""),0.0)</f>
        <v>0</v>
      </c>
      <c r="E89" s="3" t="str">
        <f>IFERROR(__xludf.DUMMYFUNCTION("""COMPUTED_VALUE"""),"The readme does not have key insights or code for me to check but only 4 lines from the question")</f>
        <v>The readme does not have key insights or code for me to check but only 4 lines from the question</v>
      </c>
      <c r="F89" s="5" t="str">
        <f>IFERROR(__xludf.DUMMYFUNCTION("""COMPUTED_VALUE"""),"https://github.com/madhavanrmiitm/tds-project1")</f>
        <v>https://github.com/madhavanrmiitm/tds-project1</v>
      </c>
      <c r="G89" s="3">
        <f>IFERROR(__xludf.DUMMYFUNCTION("""COMPUTED_VALUE"""),10.0)</f>
        <v>10</v>
      </c>
      <c r="H89" s="3">
        <f>IFERROR(__xludf.DUMMYFUNCTION("""COMPUTED_VALUE"""),10.0)</f>
        <v>10</v>
      </c>
      <c r="I89" s="3" t="str">
        <f>IFERROR(__xludf.DUMMYFUNCTION("""COMPUTED_VALUE"""),"The readme was well structured with key insights and the code was pasted with outputs too")</f>
        <v>The readme was well structured with key insights and the code was pasted with outputs too</v>
      </c>
      <c r="J89" s="3" t="str">
        <f>IFERROR(__xludf.DUMMYFUNCTION("""COMPUTED_VALUE"""),"22f3000852@ds.study.iitm.ac.in")</f>
        <v>22f3000852@ds.study.iitm.ac.in</v>
      </c>
      <c r="K89" s="3" t="str">
        <f t="shared" si="1"/>
        <v>22f3000852@ds.study.iitm.ac.inhttps://github.com/JS121000/BERLINPROJECT</v>
      </c>
      <c r="L89" s="3" t="str">
        <f t="shared" si="2"/>
        <v>22f3000852@ds.study.iitm.ac.inhttps://github.com/madhavanrmiitm/tds-project1</v>
      </c>
    </row>
    <row r="90">
      <c r="A90" s="3">
        <f>IFERROR(__xludf.DUMMYFUNCTION("""COMPUTED_VALUE"""),45598.85142832176)</f>
        <v>45598.85143</v>
      </c>
      <c r="B90" s="5" t="str">
        <f>IFERROR(__xludf.DUMMYFUNCTION("""COMPUTED_VALUE"""),"https://github.com/LavinyaIITM/Project01_TDS")</f>
        <v>https://github.com/LavinyaIITM/Project01_TDS</v>
      </c>
      <c r="C90" s="3">
        <f>IFERROR(__xludf.DUMMYFUNCTION("""COMPUTED_VALUE"""),10.0)</f>
        <v>10</v>
      </c>
      <c r="D90" s="3">
        <f>IFERROR(__xludf.DUMMYFUNCTION("""COMPUTED_VALUE"""),10.0)</f>
        <v>10</v>
      </c>
      <c r="E90" s="3" t="str">
        <f>IFERROR(__xludf.DUMMYFUNCTION("""COMPUTED_VALUE"""),"The Project was clear and professional, and I learnt a few interesting facts from the dataset studied by the student.")</f>
        <v>The Project was clear and professional, and I learnt a few interesting facts from the dataset studied by the student.</v>
      </c>
      <c r="F90" s="5" t="str">
        <f>IFERROR(__xludf.DUMMYFUNCTION("""COMPUTED_VALUE"""),"https://github.com/Shreya5619/TDS-Project1")</f>
        <v>https://github.com/Shreya5619/TDS-Project1</v>
      </c>
      <c r="G90" s="3">
        <f>IFERROR(__xludf.DUMMYFUNCTION("""COMPUTED_VALUE"""),10.0)</f>
        <v>10</v>
      </c>
      <c r="H90" s="3">
        <f>IFERROR(__xludf.DUMMYFUNCTION("""COMPUTED_VALUE"""),10.0)</f>
        <v>10</v>
      </c>
      <c r="I90" s="3" t="str">
        <f>IFERROR(__xludf.DUMMYFUNCTION("""COMPUTED_VALUE"""),"It was elegant and simple, yet highly informative.")</f>
        <v>It was elegant and simple, yet highly informative.</v>
      </c>
      <c r="J90" s="3" t="str">
        <f>IFERROR(__xludf.DUMMYFUNCTION("""COMPUTED_VALUE"""),"23f2002702@ds.study.iitm.ac.in")</f>
        <v>23f2002702@ds.study.iitm.ac.in</v>
      </c>
      <c r="K90" s="3" t="str">
        <f t="shared" si="1"/>
        <v>23f2002702@ds.study.iitm.ac.inhttps://github.com/LavinyaIITM/Project01_TDS</v>
      </c>
      <c r="L90" s="3" t="str">
        <f t="shared" si="2"/>
        <v>23f2002702@ds.study.iitm.ac.inhttps://github.com/Shreya5619/TDS-Project1</v>
      </c>
    </row>
    <row r="91">
      <c r="A91" s="3">
        <f>IFERROR(__xludf.DUMMYFUNCTION("""COMPUTED_VALUE"""),45598.8530758912)</f>
        <v>45598.85308</v>
      </c>
      <c r="B91" s="5" t="str">
        <f>IFERROR(__xludf.DUMMYFUNCTION("""COMPUTED_VALUE"""),"https://github.com/Rushiiljindal/TDS-project1/tree/main")</f>
        <v>https://github.com/Rushiiljindal/TDS-project1/tree/main</v>
      </c>
      <c r="C91" s="3">
        <f>IFERROR(__xludf.DUMMYFUNCTION("""COMPUTED_VALUE"""),10.0)</f>
        <v>10</v>
      </c>
      <c r="D91" s="3">
        <f>IFERROR(__xludf.DUMMYFUNCTION("""COMPUTED_VALUE"""),10.0)</f>
        <v>10</v>
      </c>
      <c r="E91" s="3" t="str">
        <f>IFERROR(__xludf.DUMMYFUNCTION("""COMPUTED_VALUE"""),"the code was clear and correct ")</f>
        <v>the code was clear and correct </v>
      </c>
      <c r="F91" s="5" t="str">
        <f>IFERROR(__xludf.DUMMYFUNCTION("""COMPUTED_VALUE"""),"https://github.com/kp-bhara/tds_proj1_stockholm_100/tree/main")</f>
        <v>https://github.com/kp-bhara/tds_proj1_stockholm_100/tree/main</v>
      </c>
      <c r="G91" s="3">
        <f>IFERROR(__xludf.DUMMYFUNCTION("""COMPUTED_VALUE"""),10.0)</f>
        <v>10</v>
      </c>
      <c r="H91" s="3">
        <f>IFERROR(__xludf.DUMMYFUNCTION("""COMPUTED_VALUE"""),10.0)</f>
        <v>10</v>
      </c>
      <c r="I91" s="3" t="str">
        <f>IFERROR(__xludf.DUMMYFUNCTION("""COMPUTED_VALUE"""),"the code was clear and correct  ")</f>
        <v>the code was clear and correct  </v>
      </c>
      <c r="J91" s="3" t="str">
        <f>IFERROR(__xludf.DUMMYFUNCTION("""COMPUTED_VALUE"""),"23ds1000023@ds.study.iitm.ac.in")</f>
        <v>23ds1000023@ds.study.iitm.ac.in</v>
      </c>
      <c r="K91" s="3" t="str">
        <f t="shared" si="1"/>
        <v>23ds1000023@ds.study.iitm.ac.inhttps://github.com/Rushiiljindal/TDS-project1/tree/main</v>
      </c>
      <c r="L91" s="3" t="str">
        <f t="shared" si="2"/>
        <v>23ds1000023@ds.study.iitm.ac.inhttps://github.com/kp-bhara/tds_proj1_stockholm_100/tree/main</v>
      </c>
    </row>
    <row r="92">
      <c r="A92" s="3">
        <f>IFERROR(__xludf.DUMMYFUNCTION("""COMPUTED_VALUE"""),45598.85481568287)</f>
        <v>45598.85482</v>
      </c>
      <c r="B92" s="5" t="str">
        <f>IFERROR(__xludf.DUMMYFUNCTION("""COMPUTED_VALUE"""),"https://github.com/SaicharanRitwik39/TDSProject1_TermSepDec2024")</f>
        <v>https://github.com/SaicharanRitwik39/TDSProject1_TermSepDec2024</v>
      </c>
      <c r="C92" s="3">
        <f>IFERROR(__xludf.DUMMYFUNCTION("""COMPUTED_VALUE"""),10.0)</f>
        <v>10</v>
      </c>
      <c r="D92" s="3">
        <f>IFERROR(__xludf.DUMMYFUNCTION("""COMPUTED_VALUE"""),9.0)</f>
        <v>9</v>
      </c>
      <c r="E92" s="3" t="str">
        <f>IFERROR(__xludf.DUMMYFUNCTION("""COMPUTED_VALUE"""),"readme is to the point and interesting point is given... and in case of code some errors are their.. which could be removed from .ipynb file")</f>
        <v>readme is to the point and interesting point is given... and in case of code some errors are their.. which could be removed from .ipynb file</v>
      </c>
      <c r="F92" s="5" t="str">
        <f>IFERROR(__xludf.DUMMYFUNCTION("""COMPUTED_VALUE"""),"https://github.com/samikb07/tds-project-1")</f>
        <v>https://github.com/samikb07/tds-project-1</v>
      </c>
      <c r="G92" s="3">
        <f>IFERROR(__xludf.DUMMYFUNCTION("""COMPUTED_VALUE"""),10.0)</f>
        <v>10</v>
      </c>
      <c r="H92" s="3">
        <f>IFERROR(__xludf.DUMMYFUNCTION("""COMPUTED_VALUE"""),10.0)</f>
        <v>10</v>
      </c>
      <c r="I92" s="3" t="str">
        <f>IFERROR(__xludf.DUMMYFUNCTION("""COMPUTED_VALUE"""),"readme is present with description &amp; proper code files are their in systematic way..")</f>
        <v>readme is present with description &amp; proper code files are their in systematic way..</v>
      </c>
      <c r="J92" s="3" t="str">
        <f>IFERROR(__xludf.DUMMYFUNCTION("""COMPUTED_VALUE"""),"23f2004159@ds.study.iitm.ac.in")</f>
        <v>23f2004159@ds.study.iitm.ac.in</v>
      </c>
      <c r="K92" s="3" t="str">
        <f t="shared" si="1"/>
        <v>23f2004159@ds.study.iitm.ac.inhttps://github.com/SaicharanRitwik39/TDSProject1_TermSepDec2024</v>
      </c>
      <c r="L92" s="3" t="str">
        <f t="shared" si="2"/>
        <v>23f2004159@ds.study.iitm.ac.inhttps://github.com/samikb07/tds-project-1</v>
      </c>
    </row>
    <row r="93">
      <c r="A93" s="3">
        <f>IFERROR(__xludf.DUMMYFUNCTION("""COMPUTED_VALUE"""),45598.85996350694)</f>
        <v>45598.85996</v>
      </c>
      <c r="B93" s="5" t="str">
        <f>IFERROR(__xludf.DUMMYFUNCTION("""COMPUTED_VALUE"""),"https://github.com/srupat/tds_project_1")</f>
        <v>https://github.com/srupat/tds_project_1</v>
      </c>
      <c r="C93" s="3">
        <f>IFERROR(__xludf.DUMMYFUNCTION("""COMPUTED_VALUE"""),10.0)</f>
        <v>10</v>
      </c>
      <c r="D93" s="3">
        <f>IFERROR(__xludf.DUMMYFUNCTION("""COMPUTED_VALUE"""),10.0)</f>
        <v>10</v>
      </c>
      <c r="E93" s="3" t="str">
        <f>IFERROR(__xludf.DUMMYFUNCTION("""COMPUTED_VALUE"""),"They are very clear and elegant ")</f>
        <v>They are very clear and elegant </v>
      </c>
      <c r="F93" s="5" t="str">
        <f>IFERROR(__xludf.DUMMYFUNCTION("""COMPUTED_VALUE"""),"https://github.com/Srilekha-05/github-barcelona-users")</f>
        <v>https://github.com/Srilekha-05/github-barcelona-users</v>
      </c>
      <c r="G93" s="3">
        <f>IFERROR(__xludf.DUMMYFUNCTION("""COMPUTED_VALUE"""),10.0)</f>
        <v>10</v>
      </c>
      <c r="H93" s="3">
        <f>IFERROR(__xludf.DUMMYFUNCTION("""COMPUTED_VALUE"""),10.0)</f>
        <v>10</v>
      </c>
      <c r="I93" s="3" t="str">
        <f>IFERROR(__xludf.DUMMYFUNCTION("""COMPUTED_VALUE"""),"It is nice and intersecting. 
")</f>
        <v>It is nice and intersecting. 
</v>
      </c>
      <c r="J93" s="3" t="str">
        <f>IFERROR(__xludf.DUMMYFUNCTION("""COMPUTED_VALUE"""),"22f3002877@ds.study.iitm.ac.in")</f>
        <v>22f3002877@ds.study.iitm.ac.in</v>
      </c>
      <c r="K93" s="3" t="str">
        <f t="shared" si="1"/>
        <v>22f3002877@ds.study.iitm.ac.inhttps://github.com/srupat/tds_project_1</v>
      </c>
      <c r="L93" s="3" t="str">
        <f t="shared" si="2"/>
        <v>22f3002877@ds.study.iitm.ac.inhttps://github.com/Srilekha-05/github-barcelona-users</v>
      </c>
    </row>
    <row r="94">
      <c r="A94" s="3">
        <f>IFERROR(__xludf.DUMMYFUNCTION("""COMPUTED_VALUE"""),45598.86016489583)</f>
        <v>45598.86016</v>
      </c>
      <c r="B94" s="5" t="str">
        <f>IFERROR(__xludf.DUMMYFUNCTION("""COMPUTED_VALUE"""),"https://github.com/Anustup24/TDS")</f>
        <v>https://github.com/Anustup24/TDS</v>
      </c>
      <c r="C94" s="3">
        <f>IFERROR(__xludf.DUMMYFUNCTION("""COMPUTED_VALUE"""),8.0)</f>
        <v>8</v>
      </c>
      <c r="D94" s="3">
        <f>IFERROR(__xludf.DUMMYFUNCTION("""COMPUTED_VALUE"""),7.0)</f>
        <v>7</v>
      </c>
      <c r="E94" s="3" t="str">
        <f>IFERROR(__xludf.DUMMYFUNCTION("""COMPUTED_VALUE"""),"student has prepared a juypter notebook for extracting the user repos. He has prepared the solution for questions using python ")</f>
        <v>student has prepared a juypter notebook for extracting the user repos. He has prepared the solution for questions using python </v>
      </c>
      <c r="F94" s="5" t="str">
        <f>IFERROR(__xludf.DUMMYFUNCTION("""COMPUTED_VALUE"""),"https://github.com/pranavtiwari-this/tdm-project1")</f>
        <v>https://github.com/pranavtiwari-this/tdm-project1</v>
      </c>
      <c r="G94" s="3">
        <f>IFERROR(__xludf.DUMMYFUNCTION("""COMPUTED_VALUE"""),7.0)</f>
        <v>7</v>
      </c>
      <c r="H94" s="3">
        <f>IFERROR(__xludf.DUMMYFUNCTION("""COMPUTED_VALUE"""),8.0)</f>
        <v>8</v>
      </c>
      <c r="I94" s="3" t="str">
        <f>IFERROR(__xludf.DUMMYFUNCTION("""COMPUTED_VALUE"""),"student has prepared a juypter notebook for extracting the user repos. He has prepared the solution using python and he has used a chart for one of the question to analyze.")</f>
        <v>student has prepared a juypter notebook for extracting the user repos. He has prepared the solution using python and he has used a chart for one of the question to analyze.</v>
      </c>
      <c r="J94" s="3" t="str">
        <f>IFERROR(__xludf.DUMMYFUNCTION("""COMPUTED_VALUE"""),"22f3001493@ds.study.iitm.ac.in")</f>
        <v>22f3001493@ds.study.iitm.ac.in</v>
      </c>
      <c r="K94" s="3" t="str">
        <f t="shared" si="1"/>
        <v>22f3001493@ds.study.iitm.ac.inhttps://github.com/Anustup24/TDS</v>
      </c>
      <c r="L94" s="3" t="str">
        <f t="shared" si="2"/>
        <v>22f3001493@ds.study.iitm.ac.inhttps://github.com/pranavtiwari-this/tdm-project1</v>
      </c>
    </row>
    <row r="95">
      <c r="A95" s="3">
        <f>IFERROR(__xludf.DUMMYFUNCTION("""COMPUTED_VALUE"""),45598.86104857639)</f>
        <v>45598.86105</v>
      </c>
      <c r="B95" s="5" t="str">
        <f>IFERROR(__xludf.DUMMYFUNCTION("""COMPUTED_VALUE"""),"https://github.com/na-ch7/TDS-Project-1")</f>
        <v>https://github.com/na-ch7/TDS-Project-1</v>
      </c>
      <c r="C95" s="3">
        <f>IFERROR(__xludf.DUMMYFUNCTION("""COMPUTED_VALUE"""),10.0)</f>
        <v>10</v>
      </c>
      <c r="D95" s="3">
        <f>IFERROR(__xludf.DUMMYFUNCTION("""COMPUTED_VALUE"""),10.0)</f>
        <v>10</v>
      </c>
      <c r="E95" s="3" t="str">
        <f>IFERROR(__xludf.DUMMYFUNCTION("""COMPUTED_VALUE"""),"I found it interesting. Readme. Md file was present ")</f>
        <v>I found it interesting. Readme. Md file was present </v>
      </c>
      <c r="F95" s="5" t="str">
        <f>IFERROR(__xludf.DUMMYFUNCTION("""COMPUTED_VALUE"""),"https://github.com/ShivamAgrawal100/TDS-Project1")</f>
        <v>https://github.com/ShivamAgrawal100/TDS-Project1</v>
      </c>
      <c r="G95" s="3">
        <f>IFERROR(__xludf.DUMMYFUNCTION("""COMPUTED_VALUE"""),10.0)</f>
        <v>10</v>
      </c>
      <c r="H95" s="3">
        <f>IFERROR(__xludf.DUMMYFUNCTION("""COMPUTED_VALUE"""),10.0)</f>
        <v>10</v>
      </c>
      <c r="I95" s="3" t="str">
        <f>IFERROR(__xludf.DUMMYFUNCTION("""COMPUTED_VALUE"""),"I found it interesting. Readme.md file is present. ")</f>
        <v>I found it interesting. Readme.md file is present. </v>
      </c>
      <c r="J95" s="3" t="str">
        <f>IFERROR(__xludf.DUMMYFUNCTION("""COMPUTED_VALUE"""),"23f1002687@ds.study.iitm.ac.in")</f>
        <v>23f1002687@ds.study.iitm.ac.in</v>
      </c>
      <c r="K95" s="3" t="str">
        <f t="shared" si="1"/>
        <v>23f1002687@ds.study.iitm.ac.inhttps://github.com/na-ch7/TDS-Project-1</v>
      </c>
      <c r="L95" s="3" t="str">
        <f t="shared" si="2"/>
        <v>23f1002687@ds.study.iitm.ac.inhttps://github.com/ShivamAgrawal100/TDS-Project1</v>
      </c>
    </row>
    <row r="96">
      <c r="A96" s="3">
        <f>IFERROR(__xludf.DUMMYFUNCTION("""COMPUTED_VALUE"""),45598.86423806713)</f>
        <v>45598.86424</v>
      </c>
      <c r="B96" s="5" t="str">
        <f>IFERROR(__xludf.DUMMYFUNCTION("""COMPUTED_VALUE"""),"https://github.com/23f1000698/proj1")</f>
        <v>https://github.com/23f1000698/proj1</v>
      </c>
      <c r="C96" s="3">
        <f>IFERROR(__xludf.DUMMYFUNCTION("""COMPUTED_VALUE"""),10.0)</f>
        <v>10</v>
      </c>
      <c r="D96" s="3">
        <f>IFERROR(__xludf.DUMMYFUNCTION("""COMPUTED_VALUE"""),10.0)</f>
        <v>10</v>
      </c>
      <c r="E96" s="3" t="str">
        <f>IFERROR(__xludf.DUMMYFUNCTION("""COMPUTED_VALUE"""),"His/Her Data was clear and accurate")</f>
        <v>His/Her Data was clear and accurate</v>
      </c>
      <c r="F96" s="5" t="str">
        <f>IFERROR(__xludf.DUMMYFUNCTION("""COMPUTED_VALUE"""),"https://github.com/imstrk04/TDSProject_1")</f>
        <v>https://github.com/imstrk04/TDSProject_1</v>
      </c>
      <c r="G96" s="3">
        <f>IFERROR(__xludf.DUMMYFUNCTION("""COMPUTED_VALUE"""),10.0)</f>
        <v>10</v>
      </c>
      <c r="H96" s="3">
        <f>IFERROR(__xludf.DUMMYFUNCTION("""COMPUTED_VALUE"""),10.0)</f>
        <v>10</v>
      </c>
      <c r="I96" s="3" t="str">
        <f>IFERROR(__xludf.DUMMYFUNCTION("""COMPUTED_VALUE"""),"His/Her Data was clear and accurate")</f>
        <v>His/Her Data was clear and accurate</v>
      </c>
      <c r="J96" s="3" t="str">
        <f>IFERROR(__xludf.DUMMYFUNCTION("""COMPUTED_VALUE"""),"23f1001610@ds.study.iitm.ac.in")</f>
        <v>23f1001610@ds.study.iitm.ac.in</v>
      </c>
      <c r="K96" s="3" t="str">
        <f t="shared" si="1"/>
        <v>23f1001610@ds.study.iitm.ac.inhttps://github.com/23f1000698/proj1</v>
      </c>
      <c r="L96" s="3" t="str">
        <f t="shared" si="2"/>
        <v>23f1001610@ds.study.iitm.ac.inhttps://github.com/imstrk04/TDSProject_1</v>
      </c>
    </row>
    <row r="97">
      <c r="A97" s="3">
        <f>IFERROR(__xludf.DUMMYFUNCTION("""COMPUTED_VALUE"""),45598.865878854165)</f>
        <v>45598.86588</v>
      </c>
      <c r="B97" s="5" t="str">
        <f>IFERROR(__xludf.DUMMYFUNCTION("""COMPUTED_VALUE"""),"https://github.com/student2403/tds-project-1")</f>
        <v>https://github.com/student2403/tds-project-1</v>
      </c>
      <c r="C97" s="3">
        <f>IFERROR(__xludf.DUMMYFUNCTION("""COMPUTED_VALUE"""),5.0)</f>
        <v>5</v>
      </c>
      <c r="D97" s="3">
        <f>IFERROR(__xludf.DUMMYFUNCTION("""COMPUTED_VALUE"""),10.0)</f>
        <v>10</v>
      </c>
      <c r="E97" s="3" t="str">
        <f>IFERROR(__xludf.DUMMYFUNCTION("""COMPUTED_VALUE"""),"The code looks clear and professional. However the findings are quite interesting but the findings are not looking as based on the scaped data. As there is not mentioned type of job, company and project.")</f>
        <v>The code looks clear and professional. However the findings are quite interesting but the findings are not looking as based on the scaped data. As there is not mentioned type of job, company and project.</v>
      </c>
      <c r="F97" s="5" t="str">
        <f>IFERROR(__xludf.DUMMYFUNCTION("""COMPUTED_VALUE"""),"https://github.com/Aditya647bc/tds1")</f>
        <v>https://github.com/Aditya647bc/tds1</v>
      </c>
      <c r="G97" s="3">
        <f>IFERROR(__xludf.DUMMYFUNCTION("""COMPUTED_VALUE"""),8.0)</f>
        <v>8</v>
      </c>
      <c r="H97" s="3">
        <f>IFERROR(__xludf.DUMMYFUNCTION("""COMPUTED_VALUE"""),10.0)</f>
        <v>10</v>
      </c>
      <c r="I97" s="3" t="str">
        <f>IFERROR(__xludf.DUMMYFUNCTION("""COMPUTED_VALUE"""),"The findings are quite interesting however it could be more fascinating. The code is clear and professional.")</f>
        <v>The findings are quite interesting however it could be more fascinating. The code is clear and professional.</v>
      </c>
      <c r="J97" s="3" t="str">
        <f>IFERROR(__xludf.DUMMYFUNCTION("""COMPUTED_VALUE"""),"23f1001467@ds.study.iitm.ac.in")</f>
        <v>23f1001467@ds.study.iitm.ac.in</v>
      </c>
      <c r="K97" s="3" t="str">
        <f t="shared" si="1"/>
        <v>23f1001467@ds.study.iitm.ac.inhttps://github.com/student2403/tds-project-1</v>
      </c>
      <c r="L97" s="3" t="str">
        <f t="shared" si="2"/>
        <v>23f1001467@ds.study.iitm.ac.inhttps://github.com/Aditya647bc/tds1</v>
      </c>
    </row>
    <row r="98">
      <c r="A98" s="3">
        <f>IFERROR(__xludf.DUMMYFUNCTION("""COMPUTED_VALUE"""),45598.86601864583)</f>
        <v>45598.86602</v>
      </c>
      <c r="B98" s="5" t="str">
        <f>IFERROR(__xludf.DUMMYFUNCTION("""COMPUTED_VALUE"""),"https://github.com/srupat/tds_project_1")</f>
        <v>https://github.com/srupat/tds_project_1</v>
      </c>
      <c r="C98" s="3">
        <f>IFERROR(__xludf.DUMMYFUNCTION("""COMPUTED_VALUE"""),10.0)</f>
        <v>10</v>
      </c>
      <c r="D98" s="3">
        <f>IFERROR(__xludf.DUMMYFUNCTION("""COMPUTED_VALUE"""),10.0)</f>
        <v>10</v>
      </c>
      <c r="E98" s="3" t="str">
        <f>IFERROR(__xludf.DUMMYFUNCTION("""COMPUTED_VALUE"""),"README provides a decent overview of the project, the findings could use more depth and explanation. I appreciated the effort, the code is also well organized and easy to understand, showing a great level of skill")</f>
        <v>README provides a decent overview of the project, the findings could use more depth and explanation. I appreciated the effort, the code is also well organized and easy to understand, showing a great level of skill</v>
      </c>
      <c r="F98" s="5" t="str">
        <f>IFERROR(__xludf.DUMMYFUNCTION("""COMPUTED_VALUE"""),"https://github.com/Srilekha-05/github-barcelona-users")</f>
        <v>https://github.com/Srilekha-05/github-barcelona-users</v>
      </c>
      <c r="G98" s="3">
        <f>IFERROR(__xludf.DUMMYFUNCTION("""COMPUTED_VALUE"""),10.0)</f>
        <v>10</v>
      </c>
      <c r="H98" s="3">
        <f>IFERROR(__xludf.DUMMYFUNCTION("""COMPUTED_VALUE"""),10.0)</f>
        <v>10</v>
      </c>
      <c r="I98" s="3" t="str">
        <f>IFERROR(__xludf.DUMMYFUNCTION("""COMPUTED_VALUE"""),"README provides a decent overview of the project, the findings could use more depth and explanation. I appreciated the effort, the code is also well organized and easy to understand, showing a great level of skill")</f>
        <v>README provides a decent overview of the project, the findings could use more depth and explanation. I appreciated the effort, the code is also well organized and easy to understand, showing a great level of skill</v>
      </c>
      <c r="J98" s="3" t="str">
        <f>IFERROR(__xludf.DUMMYFUNCTION("""COMPUTED_VALUE"""),"23f2004499@ds.study.iitm.ac.in")</f>
        <v>23f2004499@ds.study.iitm.ac.in</v>
      </c>
      <c r="K98" s="3" t="str">
        <f t="shared" si="1"/>
        <v>23f2004499@ds.study.iitm.ac.inhttps://github.com/srupat/tds_project_1</v>
      </c>
      <c r="L98" s="3" t="str">
        <f t="shared" si="2"/>
        <v>23f2004499@ds.study.iitm.ac.inhttps://github.com/Srilekha-05/github-barcelona-users</v>
      </c>
    </row>
    <row r="99">
      <c r="A99" s="3">
        <f>IFERROR(__xludf.DUMMYFUNCTION("""COMPUTED_VALUE"""),45598.87568997685)</f>
        <v>45598.87569</v>
      </c>
      <c r="B99" s="5" t="str">
        <f>IFERROR(__xludf.DUMMYFUNCTION("""COMPUTED_VALUE"""),"https://github.com/22f3000190/Seattle-200---TDM")</f>
        <v>https://github.com/22f3000190/Seattle-200---TDM</v>
      </c>
      <c r="C99" s="3">
        <f>IFERROR(__xludf.DUMMYFUNCTION("""COMPUTED_VALUE"""),10.0)</f>
        <v>10</v>
      </c>
      <c r="D99" s="3">
        <f>IFERROR(__xludf.DUMMYFUNCTION("""COMPUTED_VALUE"""),10.0)</f>
        <v>10</v>
      </c>
      <c r="E99" s="3" t="str">
        <f>IFERROR(__xludf.DUMMYFUNCTION("""COMPUTED_VALUE"""),"All the files were available and README.md was well written.")</f>
        <v>All the files were available and README.md was well written.</v>
      </c>
      <c r="F99" s="5" t="str">
        <f>IFERROR(__xludf.DUMMYFUNCTION("""COMPUTED_VALUE"""),"https://github.com/RishabhBarthwal28/TDS-PROJECT-1")</f>
        <v>https://github.com/RishabhBarthwal28/TDS-PROJECT-1</v>
      </c>
      <c r="G99" s="3">
        <f>IFERROR(__xludf.DUMMYFUNCTION("""COMPUTED_VALUE"""),10.0)</f>
        <v>10</v>
      </c>
      <c r="H99" s="3">
        <f>IFERROR(__xludf.DUMMYFUNCTION("""COMPUTED_VALUE"""),10.0)</f>
        <v>10</v>
      </c>
      <c r="I99" s="3" t="str">
        <f>IFERROR(__xludf.DUMMYFUNCTION("""COMPUTED_VALUE"""),"All the files were available and README.md was well written.")</f>
        <v>All the files were available and README.md was well written.</v>
      </c>
      <c r="J99" s="3" t="str">
        <f>IFERROR(__xludf.DUMMYFUNCTION("""COMPUTED_VALUE"""),"23f2003785@ds.study.iitm.ac.in")</f>
        <v>23f2003785@ds.study.iitm.ac.in</v>
      </c>
      <c r="K99" s="3" t="str">
        <f t="shared" si="1"/>
        <v>23f2003785@ds.study.iitm.ac.inhttps://github.com/22f3000190/Seattle-200---TDM</v>
      </c>
      <c r="L99" s="3" t="str">
        <f t="shared" si="2"/>
        <v>23f2003785@ds.study.iitm.ac.inhttps://github.com/RishabhBarthwal28/TDS-PROJECT-1</v>
      </c>
    </row>
    <row r="100">
      <c r="A100" s="3">
        <f>IFERROR(__xludf.DUMMYFUNCTION("""COMPUTED_VALUE"""),45598.877743715275)</f>
        <v>45598.87774</v>
      </c>
      <c r="B100" s="5" t="str">
        <f>IFERROR(__xludf.DUMMYFUNCTION("""COMPUTED_VALUE"""),"https://github.com/0rajnishk/tds-p1")</f>
        <v>https://github.com/0rajnishk/tds-p1</v>
      </c>
      <c r="C100" s="3">
        <f>IFERROR(__xludf.DUMMYFUNCTION("""COMPUTED_VALUE"""),10.0)</f>
        <v>10</v>
      </c>
      <c r="D100" s="3">
        <f>IFERROR(__xludf.DUMMYFUNCTION("""COMPUTED_VALUE"""),10.0)</f>
        <v>10</v>
      </c>
      <c r="E100" s="3" t="str">
        <f>IFERROR(__xludf.DUMMYFUNCTION("""COMPUTED_VALUE"""),"I wish my submission was this good.")</f>
        <v>I wish my submission was this good.</v>
      </c>
      <c r="F100" s="5" t="str">
        <f>IFERROR(__xludf.DUMMYFUNCTION("""COMPUTED_VALUE"""),"https://github.com/Priyam4437/barcelona-github-scrape")</f>
        <v>https://github.com/Priyam4437/barcelona-github-scrape</v>
      </c>
      <c r="G100" s="3">
        <f>IFERROR(__xludf.DUMMYFUNCTION("""COMPUTED_VALUE"""),0.0)</f>
        <v>0</v>
      </c>
      <c r="H100" s="3">
        <f>IFERROR(__xludf.DUMMYFUNCTION("""COMPUTED_VALUE"""),0.0)</f>
        <v>0</v>
      </c>
      <c r="I100" s="3" t="str">
        <f>IFERROR(__xludf.DUMMYFUNCTION("""COMPUTED_VALUE"""),"The repo did not have any code and the README was empty.")</f>
        <v>The repo did not have any code and the README was empty.</v>
      </c>
      <c r="J100" s="3" t="str">
        <f>IFERROR(__xludf.DUMMYFUNCTION("""COMPUTED_VALUE"""),"22f2000784@ds.study.iitm.ac.in")</f>
        <v>22f2000784@ds.study.iitm.ac.in</v>
      </c>
      <c r="K100" s="3" t="str">
        <f t="shared" si="1"/>
        <v>22f2000784@ds.study.iitm.ac.inhttps://github.com/0rajnishk/tds-p1</v>
      </c>
      <c r="L100" s="3" t="str">
        <f t="shared" si="2"/>
        <v>22f2000784@ds.study.iitm.ac.inhttps://github.com/Priyam4437/barcelona-github-scrape</v>
      </c>
    </row>
    <row r="101">
      <c r="A101" s="3">
        <f>IFERROR(__xludf.DUMMYFUNCTION("""COMPUTED_VALUE"""),45598.88410672454)</f>
        <v>45598.88411</v>
      </c>
      <c r="B101" s="5" t="str">
        <f>IFERROR(__xludf.DUMMYFUNCTION("""COMPUTED_VALUE"""),"https://github.com/rsjay1976/TDS-Project1")</f>
        <v>https://github.com/rsjay1976/TDS-Project1</v>
      </c>
      <c r="C101" s="3">
        <f>IFERROR(__xludf.DUMMYFUNCTION("""COMPUTED_VALUE"""),10.0)</f>
        <v>10</v>
      </c>
      <c r="D101" s="3">
        <f>IFERROR(__xludf.DUMMYFUNCTION("""COMPUTED_VALUE"""),10.0)</f>
        <v>10</v>
      </c>
      <c r="E101" s="3" t="str">
        <f>IFERROR(__xludf.DUMMYFUNCTION("""COMPUTED_VALUE"""),"The repository is well-structured, making it easy to navigate and understand your project layout. Including more detailed documentation would make it even more user-friendly.")</f>
        <v>The repository is well-structured, making it easy to navigate and understand your project layout. Including more detailed documentation would make it even more user-friendly.</v>
      </c>
      <c r="F101" s="5" t="str">
        <f>IFERROR(__xludf.DUMMYFUNCTION("""COMPUTED_VALUE"""),"https://github.com/ayushi-006/TDS_project_1")</f>
        <v>https://github.com/ayushi-006/TDS_project_1</v>
      </c>
      <c r="G101" s="3">
        <f>IFERROR(__xludf.DUMMYFUNCTION("""COMPUTED_VALUE"""),10.0)</f>
        <v>10</v>
      </c>
      <c r="H101" s="3">
        <f>IFERROR(__xludf.DUMMYFUNCTION("""COMPUTED_VALUE"""),10.0)</f>
        <v>10</v>
      </c>
      <c r="I101" s="3" t="str">
        <f>IFERROR(__xludf.DUMMYFUNCTION("""COMPUTED_VALUE"""),"Great use of code comments and README for guidance! Adding more examples or usage cases would help users get started faster.")</f>
        <v>Great use of code comments and README for guidance! Adding more examples or usage cases would help users get started faster.</v>
      </c>
      <c r="J101" s="3" t="str">
        <f>IFERROR(__xludf.DUMMYFUNCTION("""COMPUTED_VALUE"""),"22f2001632@ds.study.iitm.ac.in")</f>
        <v>22f2001632@ds.study.iitm.ac.in</v>
      </c>
      <c r="K101" s="3" t="str">
        <f t="shared" si="1"/>
        <v>22f2001632@ds.study.iitm.ac.inhttps://github.com/rsjay1976/TDS-Project1</v>
      </c>
      <c r="L101" s="3" t="str">
        <f t="shared" si="2"/>
        <v>22f2001632@ds.study.iitm.ac.inhttps://github.com/ayushi-006/TDS_project_1</v>
      </c>
    </row>
    <row r="102">
      <c r="A102" s="3">
        <f>IFERROR(__xludf.DUMMYFUNCTION("""COMPUTED_VALUE"""),45598.888554652774)</f>
        <v>45598.88855</v>
      </c>
      <c r="B102" s="5" t="str">
        <f>IFERROR(__xludf.DUMMYFUNCTION("""COMPUTED_VALUE"""),"https://github.com/AfnanShamsi/TDS-Project-1/tree/main")</f>
        <v>https://github.com/AfnanShamsi/TDS-Project-1/tree/main</v>
      </c>
      <c r="C102" s="3">
        <f>IFERROR(__xludf.DUMMYFUNCTION("""COMPUTED_VALUE"""),8.0)</f>
        <v>8</v>
      </c>
      <c r="D102" s="3">
        <f>IFERROR(__xludf.DUMMYFUNCTION("""COMPUTED_VALUE"""),8.0)</f>
        <v>8</v>
      </c>
      <c r="E102" s="3" t="str">
        <f>IFERROR(__xludf.DUMMYFUNCTION("""COMPUTED_VALUE"""),"Python code is directly extracting all the values needed for creating the raw excel files of User and repository files")</f>
        <v>Python code is directly extracting all the values needed for creating the raw excel files of User and repository files</v>
      </c>
      <c r="F102" s="5" t="str">
        <f>IFERROR(__xludf.DUMMYFUNCTION("""COMPUTED_VALUE"""),"https://github.com/adith-ds/project1")</f>
        <v>https://github.com/adith-ds/project1</v>
      </c>
      <c r="G102" s="3">
        <f>IFERROR(__xludf.DUMMYFUNCTION("""COMPUTED_VALUE"""),5.0)</f>
        <v>5</v>
      </c>
      <c r="H102" s="3">
        <f>IFERROR(__xludf.DUMMYFUNCTION("""COMPUTED_VALUE"""),4.0)</f>
        <v>4</v>
      </c>
      <c r="I102" s="3" t="str">
        <f>IFERROR(__xludf.DUMMYFUNCTION("""COMPUTED_VALUE"""),"Code is specific to solving few questions , actual code for data scraping is not available ")</f>
        <v>Code is specific to solving few questions , actual code for data scraping is not available </v>
      </c>
      <c r="J102" s="3" t="str">
        <f>IFERROR(__xludf.DUMMYFUNCTION("""COMPUTED_VALUE"""),"24f1002112@ds.study.iitm.ac.in")</f>
        <v>24f1002112@ds.study.iitm.ac.in</v>
      </c>
      <c r="K102" s="3" t="str">
        <f t="shared" si="1"/>
        <v>24f1002112@ds.study.iitm.ac.inhttps://github.com/AfnanShamsi/TDS-Project-1/tree/main</v>
      </c>
      <c r="L102" s="3" t="str">
        <f t="shared" si="2"/>
        <v>24f1002112@ds.study.iitm.ac.inhttps://github.com/adith-ds/project1</v>
      </c>
    </row>
    <row r="103">
      <c r="A103" s="3">
        <f>IFERROR(__xludf.DUMMYFUNCTION("""COMPUTED_VALUE"""),45598.89091973379)</f>
        <v>45598.89092</v>
      </c>
      <c r="B103" s="5" t="str">
        <f>IFERROR(__xludf.DUMMYFUNCTION("""COMPUTED_VALUE"""),"https://github.com/AarushiVe/chennai50")</f>
        <v>https://github.com/AarushiVe/chennai50</v>
      </c>
      <c r="C103" s="3">
        <f>IFERROR(__xludf.DUMMYFUNCTION("""COMPUTED_VALUE"""),10.0)</f>
        <v>10</v>
      </c>
      <c r="D103" s="3">
        <f>IFERROR(__xludf.DUMMYFUNCTION("""COMPUTED_VALUE"""),10.0)</f>
        <v>10</v>
      </c>
      <c r="E103" s="3" t="str">
        <f>IFERROR(__xludf.DUMMYFUNCTION("""COMPUTED_VALUE"""),"Good readme content. The code also seemed efficient.")</f>
        <v>Good readme content. The code also seemed efficient.</v>
      </c>
      <c r="F103" s="5" t="str">
        <f>IFERROR(__xludf.DUMMYFUNCTION("""COMPUTED_VALUE"""),"https://github.com/22f3000130/TDS_PROJECT_1")</f>
        <v>https://github.com/22f3000130/TDS_PROJECT_1</v>
      </c>
      <c r="G103" s="3">
        <f>IFERROR(__xludf.DUMMYFUNCTION("""COMPUTED_VALUE"""),9.0)</f>
        <v>9</v>
      </c>
      <c r="H103" s="3">
        <f>IFERROR(__xludf.DUMMYFUNCTION("""COMPUTED_VALUE"""),10.0)</f>
        <v>10</v>
      </c>
      <c r="I103" s="3" t="str">
        <f>IFERROR(__xludf.DUMMYFUNCTION("""COMPUTED_VALUE"""),"The code is very clean and direct.")</f>
        <v>The code is very clean and direct.</v>
      </c>
      <c r="J103" s="3" t="str">
        <f>IFERROR(__xludf.DUMMYFUNCTION("""COMPUTED_VALUE"""),"22f3000089@ds.study.iitm.ac.in")</f>
        <v>22f3000089@ds.study.iitm.ac.in</v>
      </c>
      <c r="K103" s="3" t="str">
        <f t="shared" si="1"/>
        <v>22f3000089@ds.study.iitm.ac.inhttps://github.com/AarushiVe/chennai50</v>
      </c>
      <c r="L103" s="3" t="str">
        <f t="shared" si="2"/>
        <v>22f3000089@ds.study.iitm.ac.inhttps://github.com/22f3000130/TDS_PROJECT_1</v>
      </c>
    </row>
    <row r="104">
      <c r="A104" s="3">
        <f>IFERROR(__xludf.DUMMYFUNCTION("""COMPUTED_VALUE"""),45598.892758726855)</f>
        <v>45598.89276</v>
      </c>
      <c r="B104" s="5" t="str">
        <f>IFERROR(__xludf.DUMMYFUNCTION("""COMPUTED_VALUE"""),"https://github.com/GauriTr/TDS_project_1")</f>
        <v>https://github.com/GauriTr/TDS_project_1</v>
      </c>
      <c r="C104" s="3">
        <f>IFERROR(__xludf.DUMMYFUNCTION("""COMPUTED_VALUE"""),7.0)</f>
        <v>7</v>
      </c>
      <c r="D104" s="3">
        <f>IFERROR(__xludf.DUMMYFUNCTION("""COMPUTED_VALUE"""),0.0)</f>
        <v>0</v>
      </c>
      <c r="E104" s="3" t="str">
        <f>IFERROR(__xludf.DUMMYFUNCTION("""COMPUTED_VALUE"""),"The finding are not much interesting and consists of general statistical findings. The repo doesn't have any code! Anyway Analysis is done with very good approach and everything seems fine.")</f>
        <v>The finding are not much interesting and consists of general statistical findings. The repo doesn't have any code! Anyway Analysis is done with very good approach and everything seems fine.</v>
      </c>
      <c r="F104" s="5" t="str">
        <f>IFERROR(__xludf.DUMMYFUNCTION("""COMPUTED_VALUE"""),"https://github.com/Meet-XML/Tds_pro1")</f>
        <v>https://github.com/Meet-XML/Tds_pro1</v>
      </c>
      <c r="G104" s="3">
        <f>IFERROR(__xludf.DUMMYFUNCTION("""COMPUTED_VALUE"""),6.0)</f>
        <v>6</v>
      </c>
      <c r="H104" s="3">
        <f>IFERROR(__xludf.DUMMYFUNCTION("""COMPUTED_VALUE"""),10.0)</f>
        <v>10</v>
      </c>
      <c r="I104" s="3" t="str">
        <f>IFERROR(__xludf.DUMMYFUNCTION("""COMPUTED_VALUE"""),"There is only 1 finding and recommendations is irrelevant of the finding. Otherwise codes for scrapping and analysis are well written. ")</f>
        <v>There is only 1 finding and recommendations is irrelevant of the finding. Otherwise codes for scrapping and analysis are well written. </v>
      </c>
      <c r="J104" s="3" t="str">
        <f>IFERROR(__xludf.DUMMYFUNCTION("""COMPUTED_VALUE"""),"22f3001838@ds.study.iitm.ac.in")</f>
        <v>22f3001838@ds.study.iitm.ac.in</v>
      </c>
      <c r="K104" s="3" t="str">
        <f t="shared" si="1"/>
        <v>22f3001838@ds.study.iitm.ac.inhttps://github.com/GauriTr/TDS_project_1</v>
      </c>
      <c r="L104" s="3" t="str">
        <f t="shared" si="2"/>
        <v>22f3001838@ds.study.iitm.ac.inhttps://github.com/Meet-XML/Tds_pro1</v>
      </c>
    </row>
    <row r="105">
      <c r="A105" s="3">
        <f>IFERROR(__xludf.DUMMYFUNCTION("""COMPUTED_VALUE"""),45600.86143512731)</f>
        <v>45600.86144</v>
      </c>
      <c r="B105" s="5" t="str">
        <f>IFERROR(__xludf.DUMMYFUNCTION("""COMPUTED_VALUE"""),"https://github.com/RaghavKapil24/tds-project")</f>
        <v>https://github.com/RaghavKapil24/tds-project</v>
      </c>
      <c r="C105" s="3">
        <f>IFERROR(__xludf.DUMMYFUNCTION("""COMPUTED_VALUE"""),8.0)</f>
        <v>8</v>
      </c>
      <c r="D105" s="3">
        <f>IFERROR(__xludf.DUMMYFUNCTION("""COMPUTED_VALUE"""),7.0)</f>
        <v>7</v>
      </c>
      <c r="E105" s="3" t="str">
        <f>IFERROR(__xludf.DUMMYFUNCTION("""COMPUTED_VALUE"""),"Date and Time of Review: 2/11/2024 18:55 IST
1. Provided 0 in code's question because there is no code present in the repo at the time of review.
2. The analysis\findings points are well written but can be made more interesting by providing reasoning for"&amp;" why the committer find the fact he mentioned as surprising. So gave 8 for it.
Updated : 4/11/2024 18:10 IST
1. Modified the coding score from 0 to 7 since the repo owner has now commited the code. The quiz questions analysis looks good however, the scra"&amp;"ping code is pasted in ReadMe file. Ideally it would have been great had the owner uploaded it as a separate pynb file. Professional code is one which is working with minor configuration changes once checked out from git.")</f>
        <v>Date and Time of Review: 2/11/2024 18:55 IST
1. Provided 0 in code's question because there is no code present in the repo at the time of review.
2. The analysis\findings points are well written but can be made more interesting by providing reasoning for why the committer find the fact he mentioned as surprising. So gave 8 for it.
Updated : 4/11/2024 18:10 IST
1. Modified the coding score from 0 to 7 since the repo owner has now commited the code. The quiz questions analysis looks good however, the scraping code is pasted in ReadMe file. Ideally it would have been great had the owner uploaded it as a separate pynb file. Professional code is one which is working with minor configuration changes once checked out from git.</v>
      </c>
      <c r="F105" s="5" t="str">
        <f>IFERROR(__xludf.DUMMYFUNCTION("""COMPUTED_VALUE"""),"https://github.com/DurgaPriyaY/proj1")</f>
        <v>https://github.com/DurgaPriyaY/proj1</v>
      </c>
      <c r="G105" s="3">
        <f>IFERROR(__xludf.DUMMYFUNCTION("""COMPUTED_VALUE"""),4.0)</f>
        <v>4</v>
      </c>
      <c r="H105" s="3">
        <f>IFERROR(__xludf.DUMMYFUNCTION("""COMPUTED_VALUE"""),5.0)</f>
        <v>5</v>
      </c>
      <c r="I105" s="3" t="str">
        <f>IFERROR(__xludf.DUMMYFUNCTION("""COMPUTED_VALUE"""),"Date and Time of Review: 2/11/2024 18:55 IST
1. Provided 0 in code's question because there is no code present in the repo at the time of review.
2. The ReadMe file seems nothing but scrambled text put together. There is no interesting finding or develop"&amp;"er recommendation captured in it. All it contains is the process followed to answer the quiz questions. So gave 4 for it.
Updated : 4/11/2024 18:10 IST
1. Modified the coding score from 0 to 5 since the repo owner has now commited the code. However, it o"&amp;"nly has the code for scraping, it does not have code for quiz questions. The scraping code looks good, although looks more like generated from chatGPT but is good enough for scraping.")</f>
        <v>Date and Time of Review: 2/11/2024 18:55 IST
1. Provided 0 in code's question because there is no code present in the repo at the time of review.
2. The ReadMe file seems nothing but scrambled text put together. There is no interesting finding or developer recommendation captured in it. All it contains is the process followed to answer the quiz questions. So gave 4 for it.
Updated : 4/11/2024 18:10 IST
1. Modified the coding score from 0 to 5 since the repo owner has now commited the code. However, it only has the code for scraping, it does not have code for quiz questions. The scraping code looks good, although looks more like generated from chatGPT but is good enough for scraping.</v>
      </c>
      <c r="J105" s="3" t="str">
        <f>IFERROR(__xludf.DUMMYFUNCTION("""COMPUTED_VALUE"""),"23ds3000248@ds.study.iitm.ac.in")</f>
        <v>23ds3000248@ds.study.iitm.ac.in</v>
      </c>
      <c r="K105" s="3" t="str">
        <f t="shared" si="1"/>
        <v>23ds3000248@ds.study.iitm.ac.inhttps://github.com/RaghavKapil24/tds-project</v>
      </c>
      <c r="L105" s="3" t="str">
        <f t="shared" si="2"/>
        <v>23ds3000248@ds.study.iitm.ac.inhttps://github.com/DurgaPriyaY/proj1</v>
      </c>
    </row>
    <row r="106">
      <c r="A106" s="3">
        <f>IFERROR(__xludf.DUMMYFUNCTION("""COMPUTED_VALUE"""),45598.8942194213)</f>
        <v>45598.89422</v>
      </c>
      <c r="B106" s="5" t="str">
        <f>IFERROR(__xludf.DUMMYFUNCTION("""COMPUTED_VALUE"""),"https://github.com/AjithSaiCh/tds_project1/tree/main")</f>
        <v>https://github.com/AjithSaiCh/tds_project1/tree/main</v>
      </c>
      <c r="C106" s="3">
        <f>IFERROR(__xludf.DUMMYFUNCTION("""COMPUTED_VALUE"""),8.0)</f>
        <v>8</v>
      </c>
      <c r="D106" s="3">
        <f>IFERROR(__xludf.DUMMYFUNCTION("""COMPUTED_VALUE"""),10.0)</f>
        <v>10</v>
      </c>
      <c r="E106" s="3" t="str">
        <f>IFERROR(__xludf.DUMMYFUNCTION("""COMPUTED_VALUE"""),"There was clear and professional code in the repo also the read me tells about what is in the repo.")</f>
        <v>There was clear and professional code in the repo also the read me tells about what is in the repo.</v>
      </c>
      <c r="F106" s="5" t="str">
        <f>IFERROR(__xludf.DUMMYFUNCTION("""COMPUTED_VALUE"""),"https://github.com/Navreet5002/tds_proj1")</f>
        <v>https://github.com/Navreet5002/tds_proj1</v>
      </c>
      <c r="G106" s="3">
        <f>IFERROR(__xludf.DUMMYFUNCTION("""COMPUTED_VALUE"""),5.0)</f>
        <v>5</v>
      </c>
      <c r="H106" s="3">
        <f>IFERROR(__xludf.DUMMYFUNCTION("""COMPUTED_VALUE"""),0.0)</f>
        <v>0</v>
      </c>
      <c r="I106" s="3" t="str">
        <f>IFERROR(__xludf.DUMMYFUNCTION("""COMPUTED_VALUE"""),"There's no code and readme doesn't have findings but still readme tells about what the person have provided in the repo")</f>
        <v>There's no code and readme doesn't have findings but still readme tells about what the person have provided in the repo</v>
      </c>
      <c r="J106" s="3" t="str">
        <f>IFERROR(__xludf.DUMMYFUNCTION("""COMPUTED_VALUE"""),"23f2001475@ds.study.iitm.ac.in")</f>
        <v>23f2001475@ds.study.iitm.ac.in</v>
      </c>
      <c r="K106" s="3" t="str">
        <f t="shared" si="1"/>
        <v>23f2001475@ds.study.iitm.ac.inhttps://github.com/AjithSaiCh/tds_project1/tree/main</v>
      </c>
      <c r="L106" s="3" t="str">
        <f t="shared" si="2"/>
        <v>23f2001475@ds.study.iitm.ac.inhttps://github.com/Navreet5002/tds_proj1</v>
      </c>
    </row>
    <row r="107">
      <c r="A107" s="3">
        <f>IFERROR(__xludf.DUMMYFUNCTION("""COMPUTED_VALUE"""),45599.556761597225)</f>
        <v>45599.55676</v>
      </c>
      <c r="B107" s="5" t="str">
        <f>IFERROR(__xludf.DUMMYFUNCTION("""COMPUTED_VALUE"""),"https://github.com/Saradha24ds1000095/TDS_Project1/")</f>
        <v>https://github.com/Saradha24ds1000095/TDS_Project1/</v>
      </c>
      <c r="C107" s="3">
        <f>IFERROR(__xludf.DUMMYFUNCTION("""COMPUTED_VALUE"""),4.0)</f>
        <v>4</v>
      </c>
      <c r="D107" s="3">
        <f>IFERROR(__xludf.DUMMYFUNCTION("""COMPUTED_VALUE"""),3.0)</f>
        <v>3</v>
      </c>
      <c r="E107" s="3" t="str">
        <f>IFERROR(__xludf.DUMMYFUNCTION("""COMPUTED_VALUE"""),"The repo only had code for fetching the user and repo data, not the notebook used for solving the questions. Additionally, in the readme file, the answer to the third question is not related to the data. The student is describing a problem that they thems"&amp;"elves faced, not one that is reflected by the data.")</f>
        <v>The repo only had code for fetching the user and repo data, not the notebook used for solving the questions. Additionally, in the readme file, the answer to the third question is not related to the data. The student is describing a problem that they themselves faced, not one that is reflected by the data.</v>
      </c>
      <c r="F107" s="5" t="str">
        <f>IFERROR(__xludf.DUMMYFUNCTION("""COMPUTED_VALUE"""),"https://github.com/Ajmalkajm/TDS-Project_1")</f>
        <v>https://github.com/Ajmalkajm/TDS-Project_1</v>
      </c>
      <c r="G107" s="3">
        <f>IFERROR(__xludf.DUMMYFUNCTION("""COMPUTED_VALUE"""),8.0)</f>
        <v>8</v>
      </c>
      <c r="H107" s="3">
        <f>IFERROR(__xludf.DUMMYFUNCTION("""COMPUTED_VALUE"""),9.0)</f>
        <v>9</v>
      </c>
      <c r="I107" s="3" t="str">
        <f>IFERROR(__xludf.DUMMYFUNCTION("""COMPUTED_VALUE"""),"The repo is well maintained with clearly written code for both the fetching and the analysis. Additionally, the analysis done by the student is relevant to the topic and clear cut")</f>
        <v>The repo is well maintained with clearly written code for both the fetching and the analysis. Additionally, the analysis done by the student is relevant to the topic and clear cut</v>
      </c>
      <c r="J107" s="3" t="str">
        <f>IFERROR(__xludf.DUMMYFUNCTION("""COMPUTED_VALUE"""),"24ds2000109@ds.study.iitm.ac.in")</f>
        <v>24ds2000109@ds.study.iitm.ac.in</v>
      </c>
      <c r="K107" s="3" t="str">
        <f t="shared" si="1"/>
        <v>24ds2000109@ds.study.iitm.ac.inhttps://github.com/Saradha24ds1000095/TDS_Project1/</v>
      </c>
      <c r="L107" s="3" t="str">
        <f t="shared" si="2"/>
        <v>24ds2000109@ds.study.iitm.ac.inhttps://github.com/Ajmalkajm/TDS-Project_1</v>
      </c>
    </row>
    <row r="108">
      <c r="A108" s="3">
        <f>IFERROR(__xludf.DUMMYFUNCTION("""COMPUTED_VALUE"""),45598.903837962964)</f>
        <v>45598.90384</v>
      </c>
      <c r="B108" s="5" t="str">
        <f>IFERROR(__xludf.DUMMYFUNCTION("""COMPUTED_VALUE"""),"https://github.com/loki1512/TDS-Project-1/blob/main/README.md")</f>
        <v>https://github.com/loki1512/TDS-Project-1/blob/main/README.md</v>
      </c>
      <c r="C108" s="3">
        <f>IFERROR(__xludf.DUMMYFUNCTION("""COMPUTED_VALUE"""),6.0)</f>
        <v>6</v>
      </c>
      <c r="D108" s="3">
        <f>IFERROR(__xludf.DUMMYFUNCTION("""COMPUTED_VALUE"""),9.0)</f>
        <v>9</v>
      </c>
      <c r="E108" s="3" t="str">
        <f>IFERROR(__xludf.DUMMYFUNCTION("""COMPUTED_VALUE"""),"There seems to be lot of effort put to find interesting insights, hence I gave 9 for the efforts in the code. But there was not very fruitful insights at the end , hence 6 for insights.")</f>
        <v>There seems to be lot of effort put to find interesting insights, hence I gave 9 for the efforts in the code. But there was not very fruitful insights at the end , hence 6 for insights.</v>
      </c>
      <c r="F108" s="5" t="str">
        <f>IFERROR(__xludf.DUMMYFUNCTION("""COMPUTED_VALUE"""),"https://github.com/AlgoPenguin/tds-project-1/blob/main/README.md")</f>
        <v>https://github.com/AlgoPenguin/tds-project-1/blob/main/README.md</v>
      </c>
      <c r="G108" s="3">
        <f>IFERROR(__xludf.DUMMYFUNCTION("""COMPUTED_VALUE"""),5.0)</f>
        <v>5</v>
      </c>
      <c r="H108" s="3">
        <f>IFERROR(__xludf.DUMMYFUNCTION("""COMPUTED_VALUE"""),6.0)</f>
        <v>6</v>
      </c>
      <c r="I108" s="3" t="str">
        <f>IFERROR(__xludf.DUMMYFUNCTION("""COMPUTED_VALUE"""),"Scrape Code seems to clean and elegant but incomplete as no colab code and results were provided to back the insights which is unfortunate. Hence, 6 for code and 5 for insights.")</f>
        <v>Scrape Code seems to clean and elegant but incomplete as no colab code and results were provided to back the insights which is unfortunate. Hence, 6 for code and 5 for insights.</v>
      </c>
      <c r="J108" s="3" t="str">
        <f>IFERROR(__xludf.DUMMYFUNCTION("""COMPUTED_VALUE"""),"21f1006954@ds.study.iitm.ac.in")</f>
        <v>21f1006954@ds.study.iitm.ac.in</v>
      </c>
      <c r="K108" s="3" t="str">
        <f t="shared" si="1"/>
        <v>21f1006954@ds.study.iitm.ac.inhttps://github.com/loki1512/TDS-Project-1/blob/main/README.md</v>
      </c>
      <c r="L108" s="3" t="str">
        <f t="shared" si="2"/>
        <v>21f1006954@ds.study.iitm.ac.inhttps://github.com/AlgoPenguin/tds-project-1/blob/main/README.md</v>
      </c>
    </row>
    <row r="109">
      <c r="A109" s="3">
        <f>IFERROR(__xludf.DUMMYFUNCTION("""COMPUTED_VALUE"""),45598.905614710646)</f>
        <v>45598.90561</v>
      </c>
      <c r="B109" s="5" t="str">
        <f>IFERROR(__xludf.DUMMYFUNCTION("""COMPUTED_VALUE"""),"https://github.com/Saransh1329/main")</f>
        <v>https://github.com/Saransh1329/main</v>
      </c>
      <c r="C109" s="3">
        <f>IFERROR(__xludf.DUMMYFUNCTION("""COMPUTED_VALUE"""),9.0)</f>
        <v>9</v>
      </c>
      <c r="D109" s="3">
        <f>IFERROR(__xludf.DUMMYFUNCTION("""COMPUTED_VALUE"""),9.0)</f>
        <v>9</v>
      </c>
      <c r="E109" s="3" t="str">
        <f>IFERROR(__xludf.DUMMYFUNCTION("""COMPUTED_VALUE"""),"good with a professional way of presentation")</f>
        <v>good with a professional way of presentation</v>
      </c>
      <c r="F109" s="5" t="str">
        <f>IFERROR(__xludf.DUMMYFUNCTION("""COMPUTED_VALUE"""),"https://github.com/Sh1617/Project1")</f>
        <v>https://github.com/Sh1617/Project1</v>
      </c>
      <c r="G109" s="3">
        <f>IFERROR(__xludf.DUMMYFUNCTION("""COMPUTED_VALUE"""),8.0)</f>
        <v>8</v>
      </c>
      <c r="H109" s="3">
        <f>IFERROR(__xludf.DUMMYFUNCTION("""COMPUTED_VALUE"""),8.0)</f>
        <v>8</v>
      </c>
      <c r="I109" s="3" t="str">
        <f>IFERROR(__xludf.DUMMYFUNCTION("""COMPUTED_VALUE"""),"Good rating but there i some more data or explanation is useful to visit")</f>
        <v>Good rating but there i some more data or explanation is useful to visit</v>
      </c>
      <c r="J109" s="3" t="str">
        <f>IFERROR(__xludf.DUMMYFUNCTION("""COMPUTED_VALUE"""),"23f3003721@ds.study.iitm.ac.in")</f>
        <v>23f3003721@ds.study.iitm.ac.in</v>
      </c>
      <c r="K109" s="3" t="str">
        <f t="shared" si="1"/>
        <v>23f3003721@ds.study.iitm.ac.inhttps://github.com/Saransh1329/main</v>
      </c>
      <c r="L109" s="3" t="str">
        <f t="shared" si="2"/>
        <v>23f3003721@ds.study.iitm.ac.inhttps://github.com/Sh1617/Project1</v>
      </c>
    </row>
    <row r="110">
      <c r="A110" s="3">
        <f>IFERROR(__xludf.DUMMYFUNCTION("""COMPUTED_VALUE"""),45598.907541249995)</f>
        <v>45598.90754</v>
      </c>
      <c r="B110" s="5" t="str">
        <f>IFERROR(__xludf.DUMMYFUNCTION("""COMPUTED_VALUE"""),"https://github.com/shinadeveloper/TDS-Project-1")</f>
        <v>https://github.com/shinadeveloper/TDS-Project-1</v>
      </c>
      <c r="C110" s="3">
        <f>IFERROR(__xludf.DUMMYFUNCTION("""COMPUTED_VALUE"""),8.0)</f>
        <v>8</v>
      </c>
      <c r="D110" s="3">
        <f>IFERROR(__xludf.DUMMYFUNCTION("""COMPUTED_VALUE"""),8.0)</f>
        <v>8</v>
      </c>
      <c r="E110" s="3" t="str">
        <f>IFERROR(__xludf.DUMMYFUNCTION("""COMPUTED_VALUE"""),"Quite good and very informative, although the arrangement of files was haphazard")</f>
        <v>Quite good and very informative, although the arrangement of files was haphazard</v>
      </c>
      <c r="F110" s="5" t="str">
        <f>IFERROR(__xludf.DUMMYFUNCTION("""COMPUTED_VALUE"""),"https://github.com/Aadi0703/TDS-project1")</f>
        <v>https://github.com/Aadi0703/TDS-project1</v>
      </c>
      <c r="G110" s="3">
        <f>IFERROR(__xludf.DUMMYFUNCTION("""COMPUTED_VALUE"""),9.0)</f>
        <v>9</v>
      </c>
      <c r="H110" s="3">
        <f>IFERROR(__xludf.DUMMYFUNCTION("""COMPUTED_VALUE"""),9.0)</f>
        <v>9</v>
      </c>
      <c r="I110" s="3" t="str">
        <f>IFERROR(__xludf.DUMMYFUNCTION("""COMPUTED_VALUE"""),"Really nice, very informative upon how the operations were performed")</f>
        <v>Really nice, very informative upon how the operations were performed</v>
      </c>
      <c r="J110" s="3" t="str">
        <f>IFERROR(__xludf.DUMMYFUNCTION("""COMPUTED_VALUE"""),"23f2002936@ds.study.iitm.ac.in")</f>
        <v>23f2002936@ds.study.iitm.ac.in</v>
      </c>
      <c r="K110" s="3" t="str">
        <f t="shared" si="1"/>
        <v>23f2002936@ds.study.iitm.ac.inhttps://github.com/shinadeveloper/TDS-Project-1</v>
      </c>
      <c r="L110" s="3" t="str">
        <f t="shared" si="2"/>
        <v>23f2002936@ds.study.iitm.ac.inhttps://github.com/Aadi0703/TDS-project1</v>
      </c>
    </row>
    <row r="111">
      <c r="A111" s="3">
        <f>IFERROR(__xludf.DUMMYFUNCTION("""COMPUTED_VALUE"""),45598.90963246528)</f>
        <v>45598.90963</v>
      </c>
      <c r="B111" s="5" t="str">
        <f>IFERROR(__xludf.DUMMYFUNCTION("""COMPUTED_VALUE"""),"https://github.com/n3055/Chennai-50_223f3004177")</f>
        <v>https://github.com/n3055/Chennai-50_223f3004177</v>
      </c>
      <c r="C111" s="3">
        <f>IFERROR(__xludf.DUMMYFUNCTION("""COMPUTED_VALUE"""),7.0)</f>
        <v>7</v>
      </c>
      <c r="D111" s="3">
        <f>IFERROR(__xludf.DUMMYFUNCTION("""COMPUTED_VALUE"""),7.0)</f>
        <v>7</v>
      </c>
      <c r="E111" s="3" t="str">
        <f>IFERROR(__xludf.DUMMYFUNCTION("""COMPUTED_VALUE"""),"its clear and elegant . Can understand much details")</f>
        <v>its clear and elegant . Can understand much details</v>
      </c>
      <c r="F111" s="5" t="str">
        <f>IFERROR(__xludf.DUMMYFUNCTION("""COMPUTED_VALUE"""),"https://github.com/gadilashashank/tds_p1")</f>
        <v>https://github.com/gadilashashank/tds_p1</v>
      </c>
      <c r="G111" s="3">
        <f>IFERROR(__xludf.DUMMYFUNCTION("""COMPUTED_VALUE"""),7.0)</f>
        <v>7</v>
      </c>
      <c r="H111" s="3">
        <f>IFERROR(__xludf.DUMMYFUNCTION("""COMPUTED_VALUE"""),7.0)</f>
        <v>7</v>
      </c>
      <c r="I111" s="3" t="str">
        <f>IFERROR(__xludf.DUMMYFUNCTION("""COMPUTED_VALUE"""),"its clear and elegant . Can understand much details")</f>
        <v>its clear and elegant . Can understand much details</v>
      </c>
      <c r="J111" s="3" t="str">
        <f>IFERROR(__xludf.DUMMYFUNCTION("""COMPUTED_VALUE"""),"23f3004354@ds.study.iitm.ac.in")</f>
        <v>23f3004354@ds.study.iitm.ac.in</v>
      </c>
      <c r="K111" s="3" t="str">
        <f t="shared" si="1"/>
        <v>23f3004354@ds.study.iitm.ac.inhttps://github.com/n3055/Chennai-50_223f3004177</v>
      </c>
      <c r="L111" s="3" t="str">
        <f t="shared" si="2"/>
        <v>23f3004354@ds.study.iitm.ac.inhttps://github.com/gadilashashank/tds_p1</v>
      </c>
    </row>
    <row r="112">
      <c r="A112" s="3">
        <f>IFERROR(__xludf.DUMMYFUNCTION("""COMPUTED_VALUE"""),45598.910463402775)</f>
        <v>45598.91046</v>
      </c>
      <c r="B112" s="5" t="str">
        <f>IFERROR(__xludf.DUMMYFUNCTION("""COMPUTED_VALUE"""),"https://github.com/ragavkish/tds-sg-analysis")</f>
        <v>https://github.com/ragavkish/tds-sg-analysis</v>
      </c>
      <c r="C112" s="3">
        <f>IFERROR(__xludf.DUMMYFUNCTION("""COMPUTED_VALUE"""),7.0)</f>
        <v>7</v>
      </c>
      <c r="D112" s="3">
        <f>IFERROR(__xludf.DUMMYFUNCTION("""COMPUTED_VALUE"""),7.0)</f>
        <v>7</v>
      </c>
      <c r="E112" s="3" t="str">
        <f>IFERROR(__xludf.DUMMYFUNCTION("""COMPUTED_VALUE"""),"Code is good and readme file provides insights but is more general could be more precise")</f>
        <v>Code is good and readme file provides insights but is more general could be more precise</v>
      </c>
      <c r="F112" s="5" t="str">
        <f>IFERROR(__xludf.DUMMYFUNCTION("""COMPUTED_VALUE"""),"https://github.com/tarunarora6029/tdsgit")</f>
        <v>https://github.com/tarunarora6029/tdsgit</v>
      </c>
      <c r="G112" s="3">
        <f>IFERROR(__xludf.DUMMYFUNCTION("""COMPUTED_VALUE"""),6.0)</f>
        <v>6</v>
      </c>
      <c r="H112" s="3">
        <f>IFERROR(__xludf.DUMMYFUNCTION("""COMPUTED_VALUE"""),6.0)</f>
        <v>6</v>
      </c>
      <c r="I112" s="3" t="str">
        <f>IFERROR(__xludf.DUMMYFUNCTION("""COMPUTED_VALUE"""),"Code and readme file both are not clear and concise.")</f>
        <v>Code and readme file both are not clear and concise.</v>
      </c>
      <c r="J112" s="3" t="str">
        <f>IFERROR(__xludf.DUMMYFUNCTION("""COMPUTED_VALUE"""),"23f1000075@ds.study.iitm.ac.in")</f>
        <v>23f1000075@ds.study.iitm.ac.in</v>
      </c>
      <c r="K112" s="3" t="str">
        <f t="shared" si="1"/>
        <v>23f1000075@ds.study.iitm.ac.inhttps://github.com/ragavkish/tds-sg-analysis</v>
      </c>
      <c r="L112" s="3" t="str">
        <f t="shared" si="2"/>
        <v>23f1000075@ds.study.iitm.ac.inhttps://github.com/tarunarora6029/tdsgit</v>
      </c>
    </row>
    <row r="113">
      <c r="A113" s="3">
        <f>IFERROR(__xludf.DUMMYFUNCTION("""COMPUTED_VALUE"""),45598.92783028935)</f>
        <v>45598.92783</v>
      </c>
      <c r="B113" s="5" t="str">
        <f>IFERROR(__xludf.DUMMYFUNCTION("""COMPUTED_VALUE"""),"https://github.com/Tarun-Kandarpa/Beijing-Github-Users")</f>
        <v>https://github.com/Tarun-Kandarpa/Beijing-Github-Users</v>
      </c>
      <c r="C113" s="3">
        <f>IFERROR(__xludf.DUMMYFUNCTION("""COMPUTED_VALUE"""),9.0)</f>
        <v>9</v>
      </c>
      <c r="D113" s="3">
        <f>IFERROR(__xludf.DUMMYFUNCTION("""COMPUTED_VALUE"""),9.0)</f>
        <v>9</v>
      </c>
      <c r="E113" s="3" t="str">
        <f>IFERROR(__xludf.DUMMYFUNCTION("""COMPUTED_VALUE"""),"He didn't provide code for how he fetched the data and how he went about the analysis method.")</f>
        <v>He didn't provide code for how he fetched the data and how he went about the analysis method.</v>
      </c>
      <c r="F113" s="5" t="str">
        <f>IFERROR(__xludf.DUMMYFUNCTION("""COMPUTED_VALUE"""),"https://github.com/AvinashRajender/tdsproject1")</f>
        <v>https://github.com/AvinashRajender/tdsproject1</v>
      </c>
      <c r="G113" s="3">
        <f>IFERROR(__xludf.DUMMYFUNCTION("""COMPUTED_VALUE"""),10.0)</f>
        <v>10</v>
      </c>
      <c r="H113" s="3">
        <f>IFERROR(__xludf.DUMMYFUNCTION("""COMPUTED_VALUE"""),10.0)</f>
        <v>10</v>
      </c>
      <c r="I113" s="3" t="str">
        <f>IFERROR(__xludf.DUMMYFUNCTION("""COMPUTED_VALUE"""),"I could understand how he fetched the data. He also delineated his approach.")</f>
        <v>I could understand how he fetched the data. He also delineated his approach.</v>
      </c>
      <c r="J113" s="3" t="str">
        <f>IFERROR(__xludf.DUMMYFUNCTION("""COMPUTED_VALUE"""),"23f1002315@ds.study.iitm.ac.in")</f>
        <v>23f1002315@ds.study.iitm.ac.in</v>
      </c>
      <c r="K113" s="3" t="str">
        <f t="shared" si="1"/>
        <v>23f1002315@ds.study.iitm.ac.inhttps://github.com/Tarun-Kandarpa/Beijing-Github-Users</v>
      </c>
      <c r="L113" s="3" t="str">
        <f t="shared" si="2"/>
        <v>23f1002315@ds.study.iitm.ac.inhttps://github.com/AvinashRajender/tdsproject1</v>
      </c>
    </row>
    <row r="114">
      <c r="A114" s="3">
        <f>IFERROR(__xludf.DUMMYFUNCTION("""COMPUTED_VALUE"""),45598.92947358797)</f>
        <v>45598.92947</v>
      </c>
      <c r="B114" s="5" t="str">
        <f>IFERROR(__xludf.DUMMYFUNCTION("""COMPUTED_VALUE"""),"https://github.com/pittu0802/Myfirstrepo")</f>
        <v>https://github.com/pittu0802/Myfirstrepo</v>
      </c>
      <c r="C114" s="3">
        <f>IFERROR(__xludf.DUMMYFUNCTION("""COMPUTED_VALUE"""),4.0)</f>
        <v>4</v>
      </c>
      <c r="D114" s="3">
        <f>IFERROR(__xludf.DUMMYFUNCTION("""COMPUTED_VALUE"""),0.0)</f>
        <v>0</v>
      </c>
      <c r="E114" s="3" t="str">
        <f>IFERROR(__xludf.DUMMYFUNCTION("""COMPUTED_VALUE"""),"Project is incomplete and doesn't have any code.")</f>
        <v>Project is incomplete and doesn't have any code.</v>
      </c>
      <c r="F114" s="5" t="str">
        <f>IFERROR(__xludf.DUMMYFUNCTION("""COMPUTED_VALUE"""),"https://github.com/AnshikaSinha2005/Anshika-project")</f>
        <v>https://github.com/AnshikaSinha2005/Anshika-project</v>
      </c>
      <c r="G114" s="3">
        <f>IFERROR(__xludf.DUMMYFUNCTION("""COMPUTED_VALUE"""),8.0)</f>
        <v>8</v>
      </c>
      <c r="H114" s="3">
        <f>IFERROR(__xludf.DUMMYFUNCTION("""COMPUTED_VALUE"""),9.0)</f>
        <v>9</v>
      </c>
      <c r="I114" s="3" t="str">
        <f>IFERROR(__xludf.DUMMYFUNCTION("""COMPUTED_VALUE"""),"All the work was to the point but some of the codes are missing.")</f>
        <v>All the work was to the point but some of the codes are missing.</v>
      </c>
      <c r="J114" s="3" t="str">
        <f>IFERROR(__xludf.DUMMYFUNCTION("""COMPUTED_VALUE"""),"23f2000961@ds.study.iitm.ac.in")</f>
        <v>23f2000961@ds.study.iitm.ac.in</v>
      </c>
      <c r="K114" s="3" t="str">
        <f t="shared" si="1"/>
        <v>23f2000961@ds.study.iitm.ac.inhttps://github.com/pittu0802/Myfirstrepo</v>
      </c>
      <c r="L114" s="3" t="str">
        <f t="shared" si="2"/>
        <v>23f2000961@ds.study.iitm.ac.inhttps://github.com/AnshikaSinha2005/Anshika-project</v>
      </c>
    </row>
    <row r="115">
      <c r="A115" s="3">
        <f>IFERROR(__xludf.DUMMYFUNCTION("""COMPUTED_VALUE"""),45598.937008113426)</f>
        <v>45598.93701</v>
      </c>
      <c r="B115" s="5" t="str">
        <f>IFERROR(__xludf.DUMMYFUNCTION("""COMPUTED_VALUE"""),"https://github.com/shriman-narayan-iitm/Barcelona")</f>
        <v>https://github.com/shriman-narayan-iitm/Barcelona</v>
      </c>
      <c r="C115" s="3">
        <f>IFERROR(__xludf.DUMMYFUNCTION("""COMPUTED_VALUE"""),10.0)</f>
        <v>10</v>
      </c>
      <c r="D115" s="3">
        <f>IFERROR(__xludf.DUMMYFUNCTION("""COMPUTED_VALUE"""),10.0)</f>
        <v>10</v>
      </c>
      <c r="E115" s="3" t="str">
        <f>IFERROR(__xludf.DUMMYFUNCTION("""COMPUTED_VALUE"""),"Find it very appropriate according to project.")</f>
        <v>Find it very appropriate according to project.</v>
      </c>
      <c r="F115" s="5" t="str">
        <f>IFERROR(__xludf.DUMMYFUNCTION("""COMPUTED_VALUE"""),"https://github.com/iitmgito/project1")</f>
        <v>https://github.com/iitmgito/project1</v>
      </c>
      <c r="G115" s="3">
        <f>IFERROR(__xludf.DUMMYFUNCTION("""COMPUTED_VALUE"""),10.0)</f>
        <v>10</v>
      </c>
      <c r="H115" s="3">
        <f>IFERROR(__xludf.DUMMYFUNCTION("""COMPUTED_VALUE"""),10.0)</f>
        <v>10</v>
      </c>
      <c r="I115" s="3" t="str">
        <f>IFERROR(__xludf.DUMMYFUNCTION("""COMPUTED_VALUE"""),"Find it very appropriate according to project.")</f>
        <v>Find it very appropriate according to project.</v>
      </c>
      <c r="J115" s="3" t="str">
        <f>IFERROR(__xludf.DUMMYFUNCTION("""COMPUTED_VALUE"""),"23f1002850@ds.study.iitm.ac.in")</f>
        <v>23f1002850@ds.study.iitm.ac.in</v>
      </c>
      <c r="K115" s="3" t="str">
        <f t="shared" si="1"/>
        <v>23f1002850@ds.study.iitm.ac.inhttps://github.com/shriman-narayan-iitm/Barcelona</v>
      </c>
      <c r="L115" s="3" t="str">
        <f t="shared" si="2"/>
        <v>23f1002850@ds.study.iitm.ac.inhttps://github.com/iitmgito/project1</v>
      </c>
    </row>
    <row r="116">
      <c r="A116" s="3">
        <f>IFERROR(__xludf.DUMMYFUNCTION("""COMPUTED_VALUE"""),45598.945176863424)</f>
        <v>45598.94518</v>
      </c>
      <c r="B116" s="5" t="str">
        <f>IFERROR(__xludf.DUMMYFUNCTION("""COMPUTED_VALUE"""),"https://github.com/Kirthictrl/TDS-Project-1")</f>
        <v>https://github.com/Kirthictrl/TDS-Project-1</v>
      </c>
      <c r="C116" s="3">
        <f>IFERROR(__xludf.DUMMYFUNCTION("""COMPUTED_VALUE"""),8.0)</f>
        <v>8</v>
      </c>
      <c r="D116" s="3">
        <f>IFERROR(__xludf.DUMMYFUNCTION("""COMPUTED_VALUE"""),0.0)</f>
        <v>0</v>
      </c>
      <c r="E116" s="3" t="str">
        <f>IFERROR(__xludf.DUMMYFUNCTION("""COMPUTED_VALUE"""),"The findings are good but there is no code in the repo hence the ratings")</f>
        <v>The findings are good but there is no code in the repo hence the ratings</v>
      </c>
      <c r="F116" s="5" t="str">
        <f>IFERROR(__xludf.DUMMYFUNCTION("""COMPUTED_VALUE"""),"https://github.com/pushpa761/TDS-project-1")</f>
        <v>https://github.com/pushpa761/TDS-project-1</v>
      </c>
      <c r="G116" s="3">
        <f>IFERROR(__xludf.DUMMYFUNCTION("""COMPUTED_VALUE"""),10.0)</f>
        <v>10</v>
      </c>
      <c r="H116" s="3">
        <f>IFERROR(__xludf.DUMMYFUNCTION("""COMPUTED_VALUE"""),10.0)</f>
        <v>10</v>
      </c>
      <c r="I116" s="3" t="str">
        <f>IFERROR(__xludf.DUMMYFUNCTION("""COMPUTED_VALUE"""),"The findings are pretty unique and the repo's code is very professional ")</f>
        <v>The findings are pretty unique and the repo's code is very professional </v>
      </c>
      <c r="J116" s="3" t="str">
        <f>IFERROR(__xludf.DUMMYFUNCTION("""COMPUTED_VALUE"""),"21f2000042@ds.study.iitm.ac.in")</f>
        <v>21f2000042@ds.study.iitm.ac.in</v>
      </c>
      <c r="K116" s="3" t="str">
        <f t="shared" si="1"/>
        <v>21f2000042@ds.study.iitm.ac.inhttps://github.com/Kirthictrl/TDS-Project-1</v>
      </c>
      <c r="L116" s="3" t="str">
        <f t="shared" si="2"/>
        <v>21f2000042@ds.study.iitm.ac.inhttps://github.com/pushpa761/TDS-project-1</v>
      </c>
    </row>
    <row r="117">
      <c r="A117" s="3">
        <f>IFERROR(__xludf.DUMMYFUNCTION("""COMPUTED_VALUE"""),45598.94570600694)</f>
        <v>45598.94571</v>
      </c>
      <c r="B117" s="5" t="str">
        <f>IFERROR(__xludf.DUMMYFUNCTION("""COMPUTED_VALUE"""),"https://github.com/tanyakamboj123/TDS-project1")</f>
        <v>https://github.com/tanyakamboj123/TDS-project1</v>
      </c>
      <c r="C117" s="3">
        <f>IFERROR(__xludf.DUMMYFUNCTION("""COMPUTED_VALUE"""),10.0)</f>
        <v>10</v>
      </c>
      <c r="D117" s="3">
        <f>IFERROR(__xludf.DUMMYFUNCTION("""COMPUTED_VALUE"""),10.0)</f>
        <v>10</v>
      </c>
      <c r="E117" s="3" t="str">
        <f>IFERROR(__xludf.DUMMYFUNCTION("""COMPUTED_VALUE"""),"I found that the repo was well worked and the readme file clearly indicated how intense reasearch was done. I found the fact quite intresting. The codes were well structured as well.")</f>
        <v>I found that the repo was well worked and the readme file clearly indicated how intense reasearch was done. I found the fact quite intresting. The codes were well structured as well.</v>
      </c>
      <c r="F117" s="5" t="str">
        <f>IFERROR(__xludf.DUMMYFUNCTION("""COMPUTED_VALUE"""),"https://github.com/YASH-MAHESHWAR1/TDS_Project1")</f>
        <v>https://github.com/YASH-MAHESHWAR1/TDS_Project1</v>
      </c>
      <c r="G117" s="3">
        <f>IFERROR(__xludf.DUMMYFUNCTION("""COMPUTED_VALUE"""),8.0)</f>
        <v>8</v>
      </c>
      <c r="H117" s="3">
        <f>IFERROR(__xludf.DUMMYFUNCTION("""COMPUTED_VALUE"""),0.0)</f>
        <v>0</v>
      </c>
      <c r="I117" s="3" t="str">
        <f>IFERROR(__xludf.DUMMYFUNCTION("""COMPUTED_VALUE"""),"While the facts were fascinating, the points were not structured. And there wasn't a code file.")</f>
        <v>While the facts were fascinating, the points were not structured. And there wasn't a code file.</v>
      </c>
      <c r="J117" s="3" t="str">
        <f>IFERROR(__xludf.DUMMYFUNCTION("""COMPUTED_VALUE"""),"23f2002904@ds.study.iitm.ac.in")</f>
        <v>23f2002904@ds.study.iitm.ac.in</v>
      </c>
      <c r="K117" s="3" t="str">
        <f t="shared" si="1"/>
        <v>23f2002904@ds.study.iitm.ac.inhttps://github.com/tanyakamboj123/TDS-project1</v>
      </c>
      <c r="L117" s="3" t="str">
        <f t="shared" si="2"/>
        <v>23f2002904@ds.study.iitm.ac.inhttps://github.com/YASH-MAHESHWAR1/TDS_Project1</v>
      </c>
    </row>
    <row r="118">
      <c r="A118" s="3">
        <f>IFERROR(__xludf.DUMMYFUNCTION("""COMPUTED_VALUE"""),45598.95159210648)</f>
        <v>45598.95159</v>
      </c>
      <c r="B118" s="5" t="str">
        <f>IFERROR(__xludf.DUMMYFUNCTION("""COMPUTED_VALUE"""),"https://github.com/DevanshA1105/Project_1_TDS")</f>
        <v>https://github.com/DevanshA1105/Project_1_TDS</v>
      </c>
      <c r="C118" s="3">
        <f>IFERROR(__xludf.DUMMYFUNCTION("""COMPUTED_VALUE"""),10.0)</f>
        <v>10</v>
      </c>
      <c r="D118" s="3">
        <f>IFERROR(__xludf.DUMMYFUNCTION("""COMPUTED_VALUE"""),0.0)</f>
        <v>0</v>
      </c>
      <c r="E118" s="3" t="str">
        <f>IFERROR(__xludf.DUMMYFUNCTION("""COMPUTED_VALUE"""),"I find the insights very interesting, and there was no code file")</f>
        <v>I find the insights very interesting, and there was no code file</v>
      </c>
      <c r="F118" s="5" t="str">
        <f>IFERROR(__xludf.DUMMYFUNCTION("""COMPUTED_VALUE"""),"https://github.com/TheMHarsh/TDS_P1")</f>
        <v>https://github.com/TheMHarsh/TDS_P1</v>
      </c>
      <c r="G118" s="3">
        <f>IFERROR(__xludf.DUMMYFUNCTION("""COMPUTED_VALUE"""),10.0)</f>
        <v>10</v>
      </c>
      <c r="H118" s="3">
        <f>IFERROR(__xludf.DUMMYFUNCTION("""COMPUTED_VALUE"""),7.0)</f>
        <v>7</v>
      </c>
      <c r="I118" s="3" t="str">
        <f>IFERROR(__xludf.DUMMYFUNCTION("""COMPUTED_VALUE"""),"The insights were quite interesting but the code file did not have the code for requesting the data from github api")</f>
        <v>The insights were quite interesting but the code file did not have the code for requesting the data from github api</v>
      </c>
      <c r="J118" s="3" t="str">
        <f>IFERROR(__xludf.DUMMYFUNCTION("""COMPUTED_VALUE"""),"22f3001404@ds.study.iitm.ac.in")</f>
        <v>22f3001404@ds.study.iitm.ac.in</v>
      </c>
      <c r="K118" s="3" t="str">
        <f t="shared" si="1"/>
        <v>22f3001404@ds.study.iitm.ac.inhttps://github.com/DevanshA1105/Project_1_TDS</v>
      </c>
      <c r="L118" s="3" t="str">
        <f t="shared" si="2"/>
        <v>22f3001404@ds.study.iitm.ac.inhttps://github.com/TheMHarsh/TDS_P1</v>
      </c>
    </row>
    <row r="119">
      <c r="A119" s="3">
        <f>IFERROR(__xludf.DUMMYFUNCTION("""COMPUTED_VALUE"""),45598.953288703706)</f>
        <v>45598.95329</v>
      </c>
      <c r="B119" s="5" t="str">
        <f>IFERROR(__xludf.DUMMYFUNCTION("""COMPUTED_VALUE"""),"https://github.com/manoharvvs/BarcelonaTDS")</f>
        <v>https://github.com/manoharvvs/BarcelonaTDS</v>
      </c>
      <c r="C119" s="3">
        <f>IFERROR(__xludf.DUMMYFUNCTION("""COMPUTED_VALUE"""),10.0)</f>
        <v>10</v>
      </c>
      <c r="D119" s="3">
        <f>IFERROR(__xludf.DUMMYFUNCTION("""COMPUTED_VALUE"""),10.0)</f>
        <v>10</v>
      </c>
      <c r="E119" s="3" t="str">
        <f>IFERROR(__xludf.DUMMYFUNCTION("""COMPUTED_VALUE"""),"it's done all work which is needed for full rating")</f>
        <v>it's done all work which is needed for full rating</v>
      </c>
      <c r="F119" s="5" t="str">
        <f>IFERROR(__xludf.DUMMYFUNCTION("""COMPUTED_VALUE"""),"https://github.com/LuckyArya27/tds-project1")</f>
        <v>https://github.com/LuckyArya27/tds-project1</v>
      </c>
      <c r="G119" s="3">
        <f>IFERROR(__xludf.DUMMYFUNCTION("""COMPUTED_VALUE"""),10.0)</f>
        <v>10</v>
      </c>
      <c r="H119" s="3">
        <f>IFERROR(__xludf.DUMMYFUNCTION("""COMPUTED_VALUE"""),10.0)</f>
        <v>10</v>
      </c>
      <c r="I119" s="3" t="str">
        <f>IFERROR(__xludf.DUMMYFUNCTION("""COMPUTED_VALUE"""),"it's done all work which is needed for full rating")</f>
        <v>it's done all work which is needed for full rating</v>
      </c>
      <c r="J119" s="3" t="str">
        <f>IFERROR(__xludf.DUMMYFUNCTION("""COMPUTED_VALUE"""),"22f3001953@ds.study.iitm.ac.in")</f>
        <v>22f3001953@ds.study.iitm.ac.in</v>
      </c>
      <c r="K119" s="3" t="str">
        <f t="shared" si="1"/>
        <v>22f3001953@ds.study.iitm.ac.inhttps://github.com/manoharvvs/BarcelonaTDS</v>
      </c>
      <c r="L119" s="3" t="str">
        <f t="shared" si="2"/>
        <v>22f3001953@ds.study.iitm.ac.inhttps://github.com/LuckyArya27/tds-project1</v>
      </c>
    </row>
    <row r="120">
      <c r="A120" s="3">
        <f>IFERROR(__xludf.DUMMYFUNCTION("""COMPUTED_VALUE"""),45598.96313892362)</f>
        <v>45598.96314</v>
      </c>
      <c r="B120" s="5" t="str">
        <f>IFERROR(__xludf.DUMMYFUNCTION("""COMPUTED_VALUE"""),"https://github.com/harshithbabu-git/Tools-in-DS-Project-1")</f>
        <v>https://github.com/harshithbabu-git/Tools-in-DS-Project-1</v>
      </c>
      <c r="C120" s="3">
        <f>IFERROR(__xludf.DUMMYFUNCTION("""COMPUTED_VALUE"""),0.0)</f>
        <v>0</v>
      </c>
      <c r="D120" s="3">
        <f>IFERROR(__xludf.DUMMYFUNCTION("""COMPUTED_VALUE"""),1.0)</f>
        <v>1</v>
      </c>
      <c r="E120" s="3" t="str">
        <f>IFERROR(__xludf.DUMMYFUNCTION("""COMPUTED_VALUE"""),"all the .py files are empty except one where only scraping code is given. there are no findings that are related to the given data, student has only given insights which couldn't have been made from the data.")</f>
        <v>all the .py files are empty except one where only scraping code is given. there are no findings that are related to the given data, student has only given insights which couldn't have been made from the data.</v>
      </c>
      <c r="F120" s="5" t="str">
        <f>IFERROR(__xludf.DUMMYFUNCTION("""COMPUTED_VALUE"""),"https://github.com/imposter7/seattle-github-users")</f>
        <v>https://github.com/imposter7/seattle-github-users</v>
      </c>
      <c r="G120" s="3">
        <f>IFERROR(__xludf.DUMMYFUNCTION("""COMPUTED_VALUE"""),8.0)</f>
        <v>8</v>
      </c>
      <c r="H120" s="3">
        <f>IFERROR(__xludf.DUMMYFUNCTION("""COMPUTED_VALUE"""),4.0)</f>
        <v>4</v>
      </c>
      <c r="I120" s="3" t="str">
        <f>IFERROR(__xludf.DUMMYFUNCTION("""COMPUTED_VALUE"""),"there are few interesting findings backed my data indicating strong understanding of the concept, it would be interesting to flesh out just a single finding rather than give multiple ones. there is no code for analysis provided only the code for scraping "&amp;"the data which is quite clear.")</f>
        <v>there are few interesting findings backed my data indicating strong understanding of the concept, it would be interesting to flesh out just a single finding rather than give multiple ones. there is no code for analysis provided only the code for scraping the data which is quite clear.</v>
      </c>
      <c r="J120" s="3" t="str">
        <f>IFERROR(__xludf.DUMMYFUNCTION("""COMPUTED_VALUE"""),"23f1002940@ds.study.iitm.ac.in")</f>
        <v>23f1002940@ds.study.iitm.ac.in</v>
      </c>
      <c r="K120" s="3" t="str">
        <f t="shared" si="1"/>
        <v>23f1002940@ds.study.iitm.ac.inhttps://github.com/harshithbabu-git/Tools-in-DS-Project-1</v>
      </c>
      <c r="L120" s="3" t="str">
        <f t="shared" si="2"/>
        <v>23f1002940@ds.study.iitm.ac.inhttps://github.com/imposter7/seattle-github-users</v>
      </c>
    </row>
    <row r="121">
      <c r="A121" s="3">
        <f>IFERROR(__xludf.DUMMYFUNCTION("""COMPUTED_VALUE"""),45598.96463587963)</f>
        <v>45598.96464</v>
      </c>
      <c r="B121" s="5" t="str">
        <f>IFERROR(__xludf.DUMMYFUNCTION("""COMPUTED_VALUE"""),"https://github.com/Codephile14/TDS_Project1")</f>
        <v>https://github.com/Codephile14/TDS_Project1</v>
      </c>
      <c r="C121" s="3">
        <f>IFERROR(__xludf.DUMMYFUNCTION("""COMPUTED_VALUE"""),10.0)</f>
        <v>10</v>
      </c>
      <c r="D121" s="3">
        <f>IFERROR(__xludf.DUMMYFUNCTION("""COMPUTED_VALUE"""),10.0)</f>
        <v>10</v>
      </c>
      <c r="E121" s="3" t="str">
        <f>IFERROR(__xludf.DUMMYFUNCTION("""COMPUTED_VALUE"""),"student displayed exceptional professionalism throughout their work, consistently providing valuable insights and going above and beyond to meet all requirements. Their dedication and attention to detail were truly impressive.")</f>
        <v>student displayed exceptional professionalism throughout their work, consistently providing valuable insights and going above and beyond to meet all requirements. Their dedication and attention to detail were truly impressive.</v>
      </c>
      <c r="F121" s="5" t="str">
        <f>IFERROR(__xludf.DUMMYFUNCTION("""COMPUTED_VALUE"""),"https://github.com/kneedheeee/proj1")</f>
        <v>https://github.com/kneedheeee/proj1</v>
      </c>
      <c r="G121" s="3">
        <f>IFERROR(__xludf.DUMMYFUNCTION("""COMPUTED_VALUE"""),10.0)</f>
        <v>10</v>
      </c>
      <c r="H121" s="3">
        <f>IFERROR(__xludf.DUMMYFUNCTION("""COMPUTED_VALUE"""),10.0)</f>
        <v>10</v>
      </c>
      <c r="I121" s="3" t="str">
        <f>IFERROR(__xludf.DUMMYFUNCTION("""COMPUTED_VALUE"""),"student displayed exceptional professionalism throughout their work, consistently providing valuable insights and going above and beyond to meet all requirements. Their dedication and attention to detail were truly impressive.")</f>
        <v>student displayed exceptional professionalism throughout their work, consistently providing valuable insights and going above and beyond to meet all requirements. Their dedication and attention to detail were truly impressive.</v>
      </c>
      <c r="J121" s="3" t="str">
        <f>IFERROR(__xludf.DUMMYFUNCTION("""COMPUTED_VALUE"""),"22f1000753@ds.study.iitm.ac.in")</f>
        <v>22f1000753@ds.study.iitm.ac.in</v>
      </c>
      <c r="K121" s="3" t="str">
        <f t="shared" si="1"/>
        <v>22f1000753@ds.study.iitm.ac.inhttps://github.com/Codephile14/TDS_Project1</v>
      </c>
      <c r="L121" s="3" t="str">
        <f t="shared" si="2"/>
        <v>22f1000753@ds.study.iitm.ac.inhttps://github.com/kneedheeee/proj1</v>
      </c>
    </row>
    <row r="122">
      <c r="A122" s="3">
        <f>IFERROR(__xludf.DUMMYFUNCTION("""COMPUTED_VALUE"""),45598.97021590278)</f>
        <v>45598.97022</v>
      </c>
      <c r="B122" s="5" t="str">
        <f>IFERROR(__xludf.DUMMYFUNCTION("""COMPUTED_VALUE"""),"https://github.com/theiitman/tds_project_1_03777")</f>
        <v>https://github.com/theiitman/tds_project_1_03777</v>
      </c>
      <c r="C122" s="3">
        <f>IFERROR(__xludf.DUMMYFUNCTION("""COMPUTED_VALUE"""),9.0)</f>
        <v>9</v>
      </c>
      <c r="D122" s="3">
        <f>IFERROR(__xludf.DUMMYFUNCTION("""COMPUTED_VALUE"""),8.0)</f>
        <v>8</v>
      </c>
      <c r="E122" s="3" t="str">
        <f>IFERROR(__xludf.DUMMYFUNCTION("""COMPUTED_VALUE"""),"I found the details are very clear and included good suggestions.")</f>
        <v>I found the details are very clear and included good suggestions.</v>
      </c>
      <c r="F122" s="5" t="str">
        <f>IFERROR(__xludf.DUMMYFUNCTION("""COMPUTED_VALUE"""),"https://github.com/shamanthakiitm/TDS-Project-1")</f>
        <v>https://github.com/shamanthakiitm/TDS-Project-1</v>
      </c>
      <c r="G122" s="3">
        <f>IFERROR(__xludf.DUMMYFUNCTION("""COMPUTED_VALUE"""),7.0)</f>
        <v>7</v>
      </c>
      <c r="H122" s="3">
        <f>IFERROR(__xludf.DUMMYFUNCTION("""COMPUTED_VALUE"""),8.0)</f>
        <v>8</v>
      </c>
      <c r="I122" s="3" t="str">
        <f>IFERROR(__xludf.DUMMYFUNCTION("""COMPUTED_VALUE"""),"Explanation is good but its too lengthy.")</f>
        <v>Explanation is good but its too lengthy.</v>
      </c>
      <c r="J122" s="3" t="str">
        <f>IFERROR(__xludf.DUMMYFUNCTION("""COMPUTED_VALUE"""),"23f2001154@ds.study.iitm.ac.in")</f>
        <v>23f2001154@ds.study.iitm.ac.in</v>
      </c>
      <c r="K122" s="3" t="str">
        <f t="shared" si="1"/>
        <v>23f2001154@ds.study.iitm.ac.inhttps://github.com/theiitman/tds_project_1_03777</v>
      </c>
      <c r="L122" s="3" t="str">
        <f t="shared" si="2"/>
        <v>23f2001154@ds.study.iitm.ac.inhttps://github.com/shamanthakiitm/TDS-Project-1</v>
      </c>
    </row>
    <row r="123">
      <c r="A123" s="3">
        <f>IFERROR(__xludf.DUMMYFUNCTION("""COMPUTED_VALUE"""),45598.982178969905)</f>
        <v>45598.98218</v>
      </c>
      <c r="B123" s="5" t="str">
        <f>IFERROR(__xludf.DUMMYFUNCTION("""COMPUTED_VALUE"""),"https://github.com/Ashly-06/project-1")</f>
        <v>https://github.com/Ashly-06/project-1</v>
      </c>
      <c r="C123" s="3">
        <f>IFERROR(__xludf.DUMMYFUNCTION("""COMPUTED_VALUE"""),8.0)</f>
        <v>8</v>
      </c>
      <c r="D123" s="3">
        <f>IFERROR(__xludf.DUMMYFUNCTION("""COMPUTED_VALUE"""),0.0)</f>
        <v>0</v>
      </c>
      <c r="E123" s="3" t="str">
        <f>IFERROR(__xludf.DUMMYFUNCTION("""COMPUTED_VALUE"""),"There were no codes so i gave 0 for it and 8 for the README based on the findings, facts and presentation.")</f>
        <v>There were no codes so i gave 0 for it and 8 for the README based on the findings, facts and presentation.</v>
      </c>
      <c r="F123" s="5" t="str">
        <f>IFERROR(__xludf.DUMMYFUNCTION("""COMPUTED_VALUE"""),"https://github.com/IIT-JRV/IIT/tree/main")</f>
        <v>https://github.com/IIT-JRV/IIT/tree/main</v>
      </c>
      <c r="G123" s="3">
        <f>IFERROR(__xludf.DUMMYFUNCTION("""COMPUTED_VALUE"""),9.0)</f>
        <v>9</v>
      </c>
      <c r="H123" s="3">
        <f>IFERROR(__xludf.DUMMYFUNCTION("""COMPUTED_VALUE"""),10.0)</f>
        <v>10</v>
      </c>
      <c r="I123" s="3" t="str">
        <f>IFERROR(__xludf.DUMMYFUNCTION("""COMPUTED_VALUE"""),"9 for readme for its clarity,the information, and its presentation.10 for the codes as well, for its clarity. They were clear,presentable and better than mine. ")</f>
        <v>9 for readme for its clarity,the information, and its presentation.10 for the codes as well, for its clarity. They were clear,presentable and better than mine. </v>
      </c>
      <c r="J123" s="3" t="str">
        <f>IFERROR(__xludf.DUMMYFUNCTION("""COMPUTED_VALUE"""),"23f2000902@ds.study.iitm.ac.in")</f>
        <v>23f2000902@ds.study.iitm.ac.in</v>
      </c>
      <c r="K123" s="3" t="str">
        <f t="shared" si="1"/>
        <v>23f2000902@ds.study.iitm.ac.inhttps://github.com/Ashly-06/project-1</v>
      </c>
      <c r="L123" s="3" t="str">
        <f t="shared" si="2"/>
        <v>23f2000902@ds.study.iitm.ac.inhttps://github.com/IIT-JRV/IIT/tree/main</v>
      </c>
    </row>
    <row r="124">
      <c r="A124" s="3">
        <f>IFERROR(__xludf.DUMMYFUNCTION("""COMPUTED_VALUE"""),45598.981194004635)</f>
        <v>45598.98119</v>
      </c>
      <c r="B124" s="5" t="str">
        <f>IFERROR(__xludf.DUMMYFUNCTION("""COMPUTED_VALUE"""),"https://github.com/MAUK9086/TDS_Project1")</f>
        <v>https://github.com/MAUK9086/TDS_Project1</v>
      </c>
      <c r="C124" s="3">
        <f>IFERROR(__xludf.DUMMYFUNCTION("""COMPUTED_VALUE"""),9.0)</f>
        <v>9</v>
      </c>
      <c r="D124" s="3">
        <f>IFERROR(__xludf.DUMMYFUNCTION("""COMPUTED_VALUE"""),10.0)</f>
        <v>10</v>
      </c>
      <c r="E124" s="3" t="str">
        <f>IFERROR(__xludf.DUMMYFUNCTION("""COMPUTED_VALUE"""),"Presentaion is good and code is easily readable")</f>
        <v>Presentaion is good and code is easily readable</v>
      </c>
      <c r="F124" s="5" t="str">
        <f>IFERROR(__xludf.DUMMYFUNCTION("""COMPUTED_VALUE"""),"https://github.com/DivyanshuGupta2000129/TDS_Project_1")</f>
        <v>https://github.com/DivyanshuGupta2000129/TDS_Project_1</v>
      </c>
      <c r="G124" s="3">
        <f>IFERROR(__xludf.DUMMYFUNCTION("""COMPUTED_VALUE"""),10.0)</f>
        <v>10</v>
      </c>
      <c r="H124" s="3">
        <f>IFERROR(__xludf.DUMMYFUNCTION("""COMPUTED_VALUE"""),10.0)</f>
        <v>10</v>
      </c>
      <c r="I124" s="3" t="str">
        <f>IFERROR(__xludf.DUMMYFUNCTION("""COMPUTED_VALUE"""),"Presentaion is good and code is easily readable")</f>
        <v>Presentaion is good and code is easily readable</v>
      </c>
      <c r="J124" s="3" t="str">
        <f>IFERROR(__xludf.DUMMYFUNCTION("""COMPUTED_VALUE"""),"23f1003128@ds.study.iitm.ac.in")</f>
        <v>23f1003128@ds.study.iitm.ac.in</v>
      </c>
      <c r="K124" s="3" t="str">
        <f t="shared" si="1"/>
        <v>23f1003128@ds.study.iitm.ac.inhttps://github.com/MAUK9086/TDS_Project1</v>
      </c>
      <c r="L124" s="3" t="str">
        <f t="shared" si="2"/>
        <v>23f1003128@ds.study.iitm.ac.inhttps://github.com/DivyanshuGupta2000129/TDS_Project_1</v>
      </c>
    </row>
    <row r="125">
      <c r="A125" s="3">
        <f>IFERROR(__xludf.DUMMYFUNCTION("""COMPUTED_VALUE"""),45598.987347546295)</f>
        <v>45598.98735</v>
      </c>
      <c r="B125" s="5" t="str">
        <f>IFERROR(__xludf.DUMMYFUNCTION("""COMPUTED_VALUE"""),"https://github.com/22f3001059/TDS-project1")</f>
        <v>https://github.com/22f3001059/TDS-project1</v>
      </c>
      <c r="C125" s="3">
        <f>IFERROR(__xludf.DUMMYFUNCTION("""COMPUTED_VALUE"""),9.0)</f>
        <v>9</v>
      </c>
      <c r="D125" s="3">
        <f>IFERROR(__xludf.DUMMYFUNCTION("""COMPUTED_VALUE"""),10.0)</f>
        <v>10</v>
      </c>
      <c r="E125" s="3" t="str">
        <f>IFERROR(__xludf.DUMMYFUNCTION("""COMPUTED_VALUE"""),"The Readme file is self explanatory and the repository contains csv files along the python scripts for the all the questions given in the project.  ")</f>
        <v>The Readme file is self explanatory and the repository contains csv files along the python scripts for the all the questions given in the project.  </v>
      </c>
      <c r="F125" s="5" t="str">
        <f>IFERROR(__xludf.DUMMYFUNCTION("""COMPUTED_VALUE"""),"https://github.com/lakshyaonweb22/TDS_Project1")</f>
        <v>https://github.com/lakshyaonweb22/TDS_Project1</v>
      </c>
      <c r="G125" s="3">
        <f>IFERROR(__xludf.DUMMYFUNCTION("""COMPUTED_VALUE"""),8.0)</f>
        <v>8</v>
      </c>
      <c r="H125" s="3">
        <f>IFERROR(__xludf.DUMMYFUNCTION("""COMPUTED_VALUE"""),7.0)</f>
        <v>7</v>
      </c>
      <c r="I125" s="3" t="str">
        <f>IFERROR(__xludf.DUMMYFUNCTION("""COMPUTED_VALUE"""),"The repository contained readme.md and the csv files only , I couldn't see any python script that is used to scrap the data.")</f>
        <v>The repository contained readme.md and the csv files only , I couldn't see any python script that is used to scrap the data.</v>
      </c>
      <c r="J125" s="3" t="str">
        <f>IFERROR(__xludf.DUMMYFUNCTION("""COMPUTED_VALUE"""),"22f2001062@ds.study.iitm.ac.in")</f>
        <v>22f2001062@ds.study.iitm.ac.in</v>
      </c>
      <c r="K125" s="3" t="str">
        <f t="shared" si="1"/>
        <v>22f2001062@ds.study.iitm.ac.inhttps://github.com/22f3001059/TDS-project1</v>
      </c>
      <c r="L125" s="3" t="str">
        <f t="shared" si="2"/>
        <v>22f2001062@ds.study.iitm.ac.inhttps://github.com/lakshyaonweb22/TDS_Project1</v>
      </c>
    </row>
    <row r="126">
      <c r="A126" s="3">
        <f>IFERROR(__xludf.DUMMYFUNCTION("""COMPUTED_VALUE"""),45599.001988344906)</f>
        <v>45599.00199</v>
      </c>
      <c r="B126" s="5" t="str">
        <f>IFERROR(__xludf.DUMMYFUNCTION("""COMPUTED_VALUE"""),"https://github.com/mehuljun09/TDS_IITM")</f>
        <v>https://github.com/mehuljun09/TDS_IITM</v>
      </c>
      <c r="C126" s="3">
        <f>IFERROR(__xludf.DUMMYFUNCTION("""COMPUTED_VALUE"""),10.0)</f>
        <v>10</v>
      </c>
      <c r="D126" s="3">
        <f>IFERROR(__xludf.DUMMYFUNCTION("""COMPUTED_VALUE"""),10.0)</f>
        <v>10</v>
      </c>
      <c r="E126" s="3" t="str">
        <f>IFERROR(__xludf.DUMMYFUNCTION("""COMPUTED_VALUE"""),"The README file is very detailed, however there aren't any 3 bullet points as instructed in project link, but seeing the detailed description made me give 10
The code file is very interesting, it involves class and objects that type of approach is new to "&amp;"me, I usually coded in a go, gave the token as a variable, but in this file it was passed as an argument it fascinated me however it is too complex than what i thought ")</f>
        <v>The README file is very detailed, however there aren't any 3 bullet points as instructed in project link, but seeing the detailed description made me give 10
The code file is very interesting, it involves class and objects that type of approach is new to me, I usually coded in a go, gave the token as a variable, but in this file it was passed as an argument it fascinated me however it is too complex than what i thought </v>
      </c>
      <c r="F126" s="5" t="str">
        <f>IFERROR(__xludf.DUMMYFUNCTION("""COMPUTED_VALUE"""),"https://github.com/23f2004417/23f2004417_TDS_Project1")</f>
        <v>https://github.com/23f2004417/23f2004417_TDS_Project1</v>
      </c>
      <c r="G126" s="3">
        <f>IFERROR(__xludf.DUMMYFUNCTION("""COMPUTED_VALUE"""),10.0)</f>
        <v>10</v>
      </c>
      <c r="H126" s="3">
        <f>IFERROR(__xludf.DUMMYFUNCTION("""COMPUTED_VALUE"""),10.0)</f>
        <v>10</v>
      </c>
      <c r="I126" s="3" t="str">
        <f>IFERROR(__xludf.DUMMYFUNCTION("""COMPUTED_VALUE"""),"The readme file is to the point and some details are given about the data 
The code is broken in parts and separate functions are written for different requirements ")</f>
        <v>The readme file is to the point and some details are given about the data 
The code is broken in parts and separate functions are written for different requirements </v>
      </c>
      <c r="J126" s="3" t="str">
        <f>IFERROR(__xludf.DUMMYFUNCTION("""COMPUTED_VALUE"""),"22f3001732@ds.study.iitm.ac.in")</f>
        <v>22f3001732@ds.study.iitm.ac.in</v>
      </c>
      <c r="K126" s="3" t="str">
        <f t="shared" si="1"/>
        <v>22f3001732@ds.study.iitm.ac.inhttps://github.com/mehuljun09/TDS_IITM</v>
      </c>
      <c r="L126" s="3" t="str">
        <f t="shared" si="2"/>
        <v>22f3001732@ds.study.iitm.ac.inhttps://github.com/23f2004417/23f2004417_TDS_Project1</v>
      </c>
    </row>
    <row r="127">
      <c r="A127" s="3">
        <f>IFERROR(__xludf.DUMMYFUNCTION("""COMPUTED_VALUE"""),45599.00248112269)</f>
        <v>45599.00248</v>
      </c>
      <c r="B127" s="5" t="str">
        <f>IFERROR(__xludf.DUMMYFUNCTION("""COMPUTED_VALUE"""),"https://github.com/AlakhyaIITM/proj1/blob/main/README.md")</f>
        <v>https://github.com/AlakhyaIITM/proj1/blob/main/README.md</v>
      </c>
      <c r="C127" s="3">
        <f>IFERROR(__xludf.DUMMYFUNCTION("""COMPUTED_VALUE"""),1.0)</f>
        <v>1</v>
      </c>
      <c r="D127" s="3">
        <f>IFERROR(__xludf.DUMMYFUNCTION("""COMPUTED_VALUE"""),9.0)</f>
        <v>9</v>
      </c>
      <c r="E127" s="3" t="str">
        <f>IFERROR(__xludf.DUMMYFUNCTION("""COMPUTED_VALUE"""),"There is nothing present in the readme section except the word ""proj1""")</f>
        <v>There is nothing present in the readme section except the word "proj1"</v>
      </c>
      <c r="F127" s="5" t="str">
        <f>IFERROR(__xludf.DUMMYFUNCTION("""COMPUTED_VALUE"""),"https://github.com/22f3001914/TDS_Project1/blob/main/README.md")</f>
        <v>https://github.com/22f3001914/TDS_Project1/blob/main/README.md</v>
      </c>
      <c r="G127" s="3">
        <f>IFERROR(__xludf.DUMMYFUNCTION("""COMPUTED_VALUE"""),9.0)</f>
        <v>9</v>
      </c>
      <c r="H127" s="3">
        <f>IFERROR(__xludf.DUMMYFUNCTION("""COMPUTED_VALUE"""),9.0)</f>
        <v>9</v>
      </c>
      <c r="I127" s="3" t="str">
        <f>IFERROR(__xludf.DUMMYFUNCTION("""COMPUTED_VALUE"""),"The readme section is really impressive and the code is also professional")</f>
        <v>The readme section is really impressive and the code is also professional</v>
      </c>
      <c r="J127" s="3" t="str">
        <f>IFERROR(__xludf.DUMMYFUNCTION("""COMPUTED_VALUE"""),"23f1000996@ds.study.iitm.ac.in")</f>
        <v>23f1000996@ds.study.iitm.ac.in</v>
      </c>
      <c r="K127" s="3" t="str">
        <f t="shared" si="1"/>
        <v>23f1000996@ds.study.iitm.ac.inhttps://github.com/AlakhyaIITM/proj1/blob/main/README.md</v>
      </c>
      <c r="L127" s="3" t="str">
        <f t="shared" si="2"/>
        <v>23f1000996@ds.study.iitm.ac.inhttps://github.com/22f3001914/TDS_Project1/blob/main/README.md</v>
      </c>
    </row>
    <row r="128">
      <c r="A128" s="3">
        <f>IFERROR(__xludf.DUMMYFUNCTION("""COMPUTED_VALUE"""),45599.04014525463)</f>
        <v>45599.04015</v>
      </c>
      <c r="B128" s="5" t="str">
        <f>IFERROR(__xludf.DUMMYFUNCTION("""COMPUTED_VALUE"""),"https://github.com/KrishnaDhankar/Project_TDS")</f>
        <v>https://github.com/KrishnaDhankar/Project_TDS</v>
      </c>
      <c r="C128" s="3">
        <f>IFERROR(__xludf.DUMMYFUNCTION("""COMPUTED_VALUE"""),10.0)</f>
        <v>10</v>
      </c>
      <c r="D128" s="3">
        <f>IFERROR(__xludf.DUMMYFUNCTION("""COMPUTED_VALUE"""),10.0)</f>
        <v>10</v>
      </c>
      <c r="E128" s="3" t="str">
        <f>IFERROR(__xludf.DUMMYFUNCTION("""COMPUTED_VALUE"""),"Everything looks good  and fine everything ")</f>
        <v>Everything looks good  and fine everything </v>
      </c>
      <c r="F128" s="5" t="str">
        <f>IFERROR(__xludf.DUMMYFUNCTION("""COMPUTED_VALUE"""),"https://github.com/Anvitha-Reddy-132218/TDS_Assignment")</f>
        <v>https://github.com/Anvitha-Reddy-132218/TDS_Assignment</v>
      </c>
      <c r="G128" s="3">
        <f>IFERROR(__xludf.DUMMYFUNCTION("""COMPUTED_VALUE"""),10.0)</f>
        <v>10</v>
      </c>
      <c r="H128" s="3">
        <f>IFERROR(__xludf.DUMMYFUNCTION("""COMPUTED_VALUE"""),10.0)</f>
        <v>10</v>
      </c>
      <c r="I128" s="3" t="str">
        <f>IFERROR(__xludf.DUMMYFUNCTION("""COMPUTED_VALUE"""),"Everything looks good  and fine everything ")</f>
        <v>Everything looks good  and fine everything </v>
      </c>
      <c r="J128" s="3" t="str">
        <f>IFERROR(__xludf.DUMMYFUNCTION("""COMPUTED_VALUE"""),"23f1000965@ds.study.iitm.ac.in")</f>
        <v>23f1000965@ds.study.iitm.ac.in</v>
      </c>
      <c r="K128" s="3" t="str">
        <f t="shared" si="1"/>
        <v>23f1000965@ds.study.iitm.ac.inhttps://github.com/KrishnaDhankar/Project_TDS</v>
      </c>
      <c r="L128" s="3" t="str">
        <f t="shared" si="2"/>
        <v>23f1000965@ds.study.iitm.ac.inhttps://github.com/Anvitha-Reddy-132218/TDS_Assignment</v>
      </c>
    </row>
    <row r="129">
      <c r="A129" s="3">
        <f>IFERROR(__xludf.DUMMYFUNCTION("""COMPUTED_VALUE"""),45599.04984568287)</f>
        <v>45599.04985</v>
      </c>
      <c r="B129" s="5" t="str">
        <f>IFERROR(__xludf.DUMMYFUNCTION("""COMPUTED_VALUE"""),"https://github.com/24f1002112/Project1TDS")</f>
        <v>https://github.com/24f1002112/Project1TDS</v>
      </c>
      <c r="C129" s="3">
        <f>IFERROR(__xludf.DUMMYFUNCTION("""COMPUTED_VALUE"""),9.0)</f>
        <v>9</v>
      </c>
      <c r="D129" s="3">
        <f>IFERROR(__xludf.DUMMYFUNCTION("""COMPUTED_VALUE"""),10.0)</f>
        <v>10</v>
      </c>
      <c r="E129" s="3" t="str">
        <f>IFERROR(__xludf.DUMMYFUNCTION("""COMPUTED_VALUE"""),"The code is very neat and readable, with comments explaining the code. The findings are insightful.")</f>
        <v>The code is very neat and readable, with comments explaining the code. The findings are insightful.</v>
      </c>
      <c r="F129" s="5" t="str">
        <f>IFERROR(__xludf.DUMMYFUNCTION("""COMPUTED_VALUE"""),"https://github.com/adityaraj2308/projeft1")</f>
        <v>https://github.com/adityaraj2308/projeft1</v>
      </c>
      <c r="G129" s="3">
        <f>IFERROR(__xludf.DUMMYFUNCTION("""COMPUTED_VALUE"""),10.0)</f>
        <v>10</v>
      </c>
      <c r="H129" s="3">
        <f>IFERROR(__xludf.DUMMYFUNCTION("""COMPUTED_VALUE"""),10.0)</f>
        <v>10</v>
      </c>
      <c r="I129" s="3" t="str">
        <f>IFERROR(__xludf.DUMMYFUNCTION("""COMPUTED_VALUE"""),"The insights were unexpected and show good analysis of data. The code was neat and orderly.")</f>
        <v>The insights were unexpected and show good analysis of data. The code was neat and orderly.</v>
      </c>
      <c r="J129" s="3" t="str">
        <f>IFERROR(__xludf.DUMMYFUNCTION("""COMPUTED_VALUE"""),"23f2000934@ds.study.iitm.ac.in")</f>
        <v>23f2000934@ds.study.iitm.ac.in</v>
      </c>
      <c r="K129" s="3" t="str">
        <f t="shared" si="1"/>
        <v>23f2000934@ds.study.iitm.ac.inhttps://github.com/24f1002112/Project1TDS</v>
      </c>
      <c r="L129" s="3" t="str">
        <f t="shared" si="2"/>
        <v>23f2000934@ds.study.iitm.ac.inhttps://github.com/adityaraj2308/projeft1</v>
      </c>
    </row>
    <row r="130">
      <c r="A130" s="3">
        <f>IFERROR(__xludf.DUMMYFUNCTION("""COMPUTED_VALUE"""),45599.05475309028)</f>
        <v>45599.05475</v>
      </c>
      <c r="B130" s="5" t="str">
        <f>IFERROR(__xludf.DUMMYFUNCTION("""COMPUTED_VALUE"""),"https://github.com/gittymadman/TDS_PROJECT_1")</f>
        <v>https://github.com/gittymadman/TDS_PROJECT_1</v>
      </c>
      <c r="C130" s="3">
        <f>IFERROR(__xludf.DUMMYFUNCTION("""COMPUTED_VALUE"""),9.0)</f>
        <v>9</v>
      </c>
      <c r="D130" s="3">
        <f>IFERROR(__xludf.DUMMYFUNCTION("""COMPUTED_VALUE"""),8.0)</f>
        <v>8</v>
      </c>
      <c r="E130" s="3" t="str">
        <f>IFERROR(__xludf.DUMMYFUNCTION("""COMPUTED_VALUE"""),"readme isn't added accurately there are no insights available")</f>
        <v>readme isn't added accurately there are no insights available</v>
      </c>
      <c r="F130" s="5" t="str">
        <f>IFERROR(__xludf.DUMMYFUNCTION("""COMPUTED_VALUE"""),"https://github.com/Hariomkr147/TDS_project1")</f>
        <v>https://github.com/Hariomkr147/TDS_project1</v>
      </c>
      <c r="G130" s="3">
        <f>IFERROR(__xludf.DUMMYFUNCTION("""COMPUTED_VALUE"""),9.0)</f>
        <v>9</v>
      </c>
      <c r="H130" s="3">
        <f>IFERROR(__xludf.DUMMYFUNCTION("""COMPUTED_VALUE"""),8.0)</f>
        <v>8</v>
      </c>
      <c r="I130" s="3" t="str">
        <f>IFERROR(__xludf.DUMMYFUNCTION("""COMPUTED_VALUE"""),"readme isn't added accurately and code is not present. there are no insights available")</f>
        <v>readme isn't added accurately and code is not present. there are no insights available</v>
      </c>
      <c r="J130" s="3" t="str">
        <f>IFERROR(__xludf.DUMMYFUNCTION("""COMPUTED_VALUE"""),"22f3001549@ds.study.iitm.ac.in")</f>
        <v>22f3001549@ds.study.iitm.ac.in</v>
      </c>
      <c r="K130" s="3" t="str">
        <f t="shared" si="1"/>
        <v>22f3001549@ds.study.iitm.ac.inhttps://github.com/gittymadman/TDS_PROJECT_1</v>
      </c>
      <c r="L130" s="3" t="str">
        <f t="shared" si="2"/>
        <v>22f3001549@ds.study.iitm.ac.inhttps://github.com/Hariomkr147/TDS_project1</v>
      </c>
    </row>
    <row r="131">
      <c r="A131" s="3">
        <f>IFERROR(__xludf.DUMMYFUNCTION("""COMPUTED_VALUE"""),45599.060580833335)</f>
        <v>45599.06058</v>
      </c>
      <c r="B131" s="5" t="str">
        <f>IFERROR(__xludf.DUMMYFUNCTION("""COMPUTED_VALUE"""),"https://github.com/Avinash94567/tdsp1")</f>
        <v>https://github.com/Avinash94567/tdsp1</v>
      </c>
      <c r="C131" s="3">
        <f>IFERROR(__xludf.DUMMYFUNCTION("""COMPUTED_VALUE"""),9.0)</f>
        <v>9</v>
      </c>
      <c r="D131" s="3">
        <f>IFERROR(__xludf.DUMMYFUNCTION("""COMPUTED_VALUE"""),9.0)</f>
        <v>9</v>
      </c>
      <c r="E131" s="3" t="str">
        <f>IFERROR(__xludf.DUMMYFUNCTION("""COMPUTED_VALUE"""),"Both README and CODE are structured properly.")</f>
        <v>Both README and CODE are structured properly.</v>
      </c>
      <c r="F131" s="5" t="str">
        <f>IFERROR(__xludf.DUMMYFUNCTION("""COMPUTED_VALUE"""),"https://github.com/Anirudh-starhash/TDS-Project-1")</f>
        <v>https://github.com/Anirudh-starhash/TDS-Project-1</v>
      </c>
      <c r="G131" s="3">
        <f>IFERROR(__xludf.DUMMYFUNCTION("""COMPUTED_VALUE"""),6.0)</f>
        <v>6</v>
      </c>
      <c r="H131" s="3">
        <f>IFERROR(__xludf.DUMMYFUNCTION("""COMPUTED_VALUE"""),9.0)</f>
        <v>9</v>
      </c>
      <c r="I131" s="3" t="str">
        <f>IFERROR(__xludf.DUMMYFUNCTION("""COMPUTED_VALUE"""),"CODE is good. README could be better.")</f>
        <v>CODE is good. README could be better.</v>
      </c>
      <c r="J131" s="3" t="str">
        <f>IFERROR(__xludf.DUMMYFUNCTION("""COMPUTED_VALUE"""),"23f2002105@ds.study.iitm.ac.in")</f>
        <v>23f2002105@ds.study.iitm.ac.in</v>
      </c>
      <c r="K131" s="3" t="str">
        <f t="shared" si="1"/>
        <v>23f2002105@ds.study.iitm.ac.inhttps://github.com/Avinash94567/tdsp1</v>
      </c>
      <c r="L131" s="3" t="str">
        <f t="shared" si="2"/>
        <v>23f2002105@ds.study.iitm.ac.inhttps://github.com/Anirudh-starhash/TDS-Project-1</v>
      </c>
    </row>
    <row r="132">
      <c r="A132" s="3">
        <f>IFERROR(__xludf.DUMMYFUNCTION("""COMPUTED_VALUE"""),45599.06756247685)</f>
        <v>45599.06756</v>
      </c>
      <c r="B132" s="5" t="str">
        <f>IFERROR(__xludf.DUMMYFUNCTION("""COMPUTED_VALUE"""),"https://github.com/21f2001136/tds_1")</f>
        <v>https://github.com/21f2001136/tds_1</v>
      </c>
      <c r="C132" s="3">
        <f>IFERROR(__xludf.DUMMYFUNCTION("""COMPUTED_VALUE"""),8.0)</f>
        <v>8</v>
      </c>
      <c r="D132" s="3">
        <f>IFERROR(__xludf.DUMMYFUNCTION("""COMPUTED_VALUE"""),9.0)</f>
        <v>9</v>
      </c>
      <c r="E132" s="3" t="str">
        <f>IFERROR(__xludf.DUMMYFUNCTION("""COMPUTED_VALUE"""),"The readings were interesting but only works with top 10 login and their followers and following respectively, not so much a real correlation with all the login users and their data.
The code is nicely done, committed without exposing the api key, scrape"&amp;"d correctly, a better clarity would be which question matches to which answer based on each tabular code cell.")</f>
        <v>The readings were interesting but only works with top 10 login and their followers and following respectively, not so much a real correlation with all the login users and their data.
The code is nicely done, committed without exposing the api key, scraped correctly, a better clarity would be which question matches to which answer based on each tabular code cell.</v>
      </c>
      <c r="F132" s="5" t="str">
        <f>IFERROR(__xludf.DUMMYFUNCTION("""COMPUTED_VALUE"""),"https://github.com/22f3002758/TDS-Project1")</f>
        <v>https://github.com/22f3002758/TDS-Project1</v>
      </c>
      <c r="G132" s="3">
        <f>IFERROR(__xludf.DUMMYFUNCTION("""COMPUTED_VALUE"""),10.0)</f>
        <v>10</v>
      </c>
      <c r="H132" s="3">
        <f>IFERROR(__xludf.DUMMYFUNCTION("""COMPUTED_VALUE"""),9.0)</f>
        <v>9</v>
      </c>
      <c r="I132" s="3" t="str">
        <f>IFERROR(__xludf.DUMMYFUNCTION("""COMPUTED_VALUE"""),"The findings were very interesting along with a visualization that proves the findings and readings. The recommendation was also very knowledgeable.
The code is nicely done, committed without exposing the api key, scraped correctly, a better clarity woul"&amp;"d be which question matches to which answer based on each tabular code cell.")</f>
        <v>The findings were very interesting along with a visualization that proves the findings and readings. The recommendation was also very knowledgeable.
The code is nicely done, committed without exposing the api key, scraped correctly, a better clarity would be which question matches to which answer based on each tabular code cell.</v>
      </c>
      <c r="J132" s="3" t="str">
        <f>IFERROR(__xludf.DUMMYFUNCTION("""COMPUTED_VALUE"""),"22f3002743@ds.study.iitm.ac.in")</f>
        <v>22f3002743@ds.study.iitm.ac.in</v>
      </c>
      <c r="K132" s="3" t="str">
        <f t="shared" si="1"/>
        <v>22f3002743@ds.study.iitm.ac.inhttps://github.com/21f2001136/tds_1</v>
      </c>
      <c r="L132" s="3" t="str">
        <f t="shared" si="2"/>
        <v>22f3002743@ds.study.iitm.ac.inhttps://github.com/22f3002758/TDS-Project1</v>
      </c>
    </row>
    <row r="133">
      <c r="A133" s="3">
        <f>IFERROR(__xludf.DUMMYFUNCTION("""COMPUTED_VALUE"""),45599.078063043984)</f>
        <v>45599.07806</v>
      </c>
      <c r="B133" s="5" t="str">
        <f>IFERROR(__xludf.DUMMYFUNCTION("""COMPUTED_VALUE"""),"https://github.com/Amarks14/TDS_P1")</f>
        <v>https://github.com/Amarks14/TDS_P1</v>
      </c>
      <c r="C133" s="3">
        <f>IFERROR(__xludf.DUMMYFUNCTION("""COMPUTED_VALUE"""),10.0)</f>
        <v>10</v>
      </c>
      <c r="D133" s="3">
        <f>IFERROR(__xludf.DUMMYFUNCTION("""COMPUTED_VALUE"""),10.0)</f>
        <v>10</v>
      </c>
      <c r="E133" s="3" t="str">
        <f>IFERROR(__xludf.DUMMYFUNCTION("""COMPUTED_VALUE"""),"I think that the person with the first repo covered all the points , also the code in the file is very clean and readable .")</f>
        <v>I think that the person with the first repo covered all the points , also the code in the file is very clean and readable .</v>
      </c>
      <c r="F133" s="5" t="str">
        <f>IFERROR(__xludf.DUMMYFUNCTION("""COMPUTED_VALUE"""),"https://github.com/irabi111/TDSPROJ1")</f>
        <v>https://github.com/irabi111/TDSPROJ1</v>
      </c>
      <c r="G133" s="3">
        <f>IFERROR(__xludf.DUMMYFUNCTION("""COMPUTED_VALUE"""),10.0)</f>
        <v>10</v>
      </c>
      <c r="H133" s="3">
        <f>IFERROR(__xludf.DUMMYFUNCTION("""COMPUTED_VALUE"""),10.0)</f>
        <v>10</v>
      </c>
      <c r="I133" s="3" t="str">
        <f>IFERROR(__xludf.DUMMYFUNCTION("""COMPUTED_VALUE"""),"I think that the person with the first repo covered all the points , also the code in the file is very clean and readable .")</f>
        <v>I think that the person with the first repo covered all the points , also the code in the file is very clean and readable .</v>
      </c>
      <c r="J133" s="3" t="str">
        <f>IFERROR(__xludf.DUMMYFUNCTION("""COMPUTED_VALUE"""),"22f3002811@ds.study.iitm.ac.in")</f>
        <v>22f3002811@ds.study.iitm.ac.in</v>
      </c>
      <c r="K133" s="3" t="str">
        <f t="shared" si="1"/>
        <v>22f3002811@ds.study.iitm.ac.inhttps://github.com/Amarks14/TDS_P1</v>
      </c>
      <c r="L133" s="3" t="str">
        <f t="shared" si="2"/>
        <v>22f3002811@ds.study.iitm.ac.inhttps://github.com/irabi111/TDSPROJ1</v>
      </c>
    </row>
    <row r="134">
      <c r="A134" s="3">
        <f>IFERROR(__xludf.DUMMYFUNCTION("""COMPUTED_VALUE"""),45599.08999140046)</f>
        <v>45599.08999</v>
      </c>
      <c r="B134" s="5" t="str">
        <f>IFERROR(__xludf.DUMMYFUNCTION("""COMPUTED_VALUE"""),"https://github.com/iitmanshi/tdsp1")</f>
        <v>https://github.com/iitmanshi/tdsp1</v>
      </c>
      <c r="C134" s="3">
        <f>IFERROR(__xludf.DUMMYFUNCTION("""COMPUTED_VALUE"""),4.0)</f>
        <v>4</v>
      </c>
      <c r="D134" s="3">
        <f>IFERROR(__xludf.DUMMYFUNCTION("""COMPUTED_VALUE"""),6.0)</f>
        <v>6</v>
      </c>
      <c r="E134" s="3" t="str">
        <f>IFERROR(__xludf.DUMMYFUNCTION("""COMPUTED_VALUE"""),"In this repository, only three files are present: the README file, users.csv, and repositories.csv. The README file contains information that does not adequately explain the project.")</f>
        <v>In this repository, only three files are present: the README file, users.csv, and repositories.csv. The README file contains information that does not adequately explain the project.</v>
      </c>
      <c r="F134" s="5" t="str">
        <f>IFERROR(__xludf.DUMMYFUNCTION("""COMPUTED_VALUE"""),"https://github.com/Jivraj-18/temp_repo_for_tds_project")</f>
        <v>https://github.com/Jivraj-18/temp_repo_for_tds_project</v>
      </c>
      <c r="G134" s="3">
        <f>IFERROR(__xludf.DUMMYFUNCTION("""COMPUTED_VALUE"""),0.0)</f>
        <v>0</v>
      </c>
      <c r="H134" s="3">
        <f>IFERROR(__xludf.DUMMYFUNCTION("""COMPUTED_VALUE"""),5.0)</f>
        <v>5</v>
      </c>
      <c r="I134" s="3" t="str">
        <f>IFERROR(__xludf.DUMMYFUNCTION("""COMPUTED_VALUE"""),"In this repository, only three files are present: the README file, users.csv, and repositories.csv. The README file contains only one word: 'dummy'—there is nothing else in it.")</f>
        <v>In this repository, only three files are present: the README file, users.csv, and repositories.csv. The README file contains only one word: 'dummy'—there is nothing else in it.</v>
      </c>
      <c r="J134" s="3" t="str">
        <f>IFERROR(__xludf.DUMMYFUNCTION("""COMPUTED_VALUE"""),"21f1006883@ds.study.iitm.ac.in")</f>
        <v>21f1006883@ds.study.iitm.ac.in</v>
      </c>
      <c r="K134" s="3" t="str">
        <f t="shared" si="1"/>
        <v>21f1006883@ds.study.iitm.ac.inhttps://github.com/iitmanshi/tdsp1</v>
      </c>
      <c r="L134" s="3" t="str">
        <f t="shared" si="2"/>
        <v>21f1006883@ds.study.iitm.ac.inhttps://github.com/Jivraj-18/temp_repo_for_tds_project</v>
      </c>
    </row>
    <row r="135">
      <c r="A135" s="3">
        <f>IFERROR(__xludf.DUMMYFUNCTION("""COMPUTED_VALUE"""),45599.09497563657)</f>
        <v>45599.09498</v>
      </c>
      <c r="B135" s="5" t="str">
        <f>IFERROR(__xludf.DUMMYFUNCTION("""COMPUTED_VALUE"""),"https://github.com/Rivansh-Illika/TDS-ASSIGNMENT-P-1")</f>
        <v>https://github.com/Rivansh-Illika/TDS-ASSIGNMENT-P-1</v>
      </c>
      <c r="C135" s="3">
        <f>IFERROR(__xludf.DUMMYFUNCTION("""COMPUTED_VALUE"""),2.0)</f>
        <v>2</v>
      </c>
      <c r="D135" s="3">
        <f>IFERROR(__xludf.DUMMYFUNCTION("""COMPUTED_VALUE"""),0.0)</f>
        <v>0</v>
      </c>
      <c r="E135" s="3" t="str">
        <f>IFERROR(__xludf.DUMMYFUNCTION("""COMPUTED_VALUE"""),"Very superficial findings with no code and evidence of findings viz graphs or statistical tests ")</f>
        <v>Very superficial findings with no code and evidence of findings viz graphs or statistical tests </v>
      </c>
      <c r="F135" s="5" t="str">
        <f>IFERROR(__xludf.DUMMYFUNCTION("""COMPUTED_VALUE"""),"https://github.com/shivasanthosh0804/TDSProject-1")</f>
        <v>https://github.com/shivasanthosh0804/TDSProject-1</v>
      </c>
      <c r="G135" s="3">
        <f>IFERROR(__xludf.DUMMYFUNCTION("""COMPUTED_VALUE"""),4.0)</f>
        <v>4</v>
      </c>
      <c r="H135" s="3">
        <f>IFERROR(__xludf.DUMMYFUNCTION("""COMPUTED_VALUE"""),9.0)</f>
        <v>9</v>
      </c>
      <c r="I135" s="3" t="str">
        <f>IFERROR(__xludf.DUMMYFUNCTION("""COMPUTED_VALUE"""),"Code is good, well structured and class based. However the explanation, insights and actionables lack depth and no evidence")</f>
        <v>Code is good, well structured and class based. However the explanation, insights and actionables lack depth and no evidence</v>
      </c>
      <c r="J135" s="3" t="str">
        <f>IFERROR(__xludf.DUMMYFUNCTION("""COMPUTED_VALUE"""),"22f3000545@ds.study.iitm.ac.in")</f>
        <v>22f3000545@ds.study.iitm.ac.in</v>
      </c>
      <c r="K135" s="3" t="str">
        <f t="shared" si="1"/>
        <v>22f3000545@ds.study.iitm.ac.inhttps://github.com/Rivansh-Illika/TDS-ASSIGNMENT-P-1</v>
      </c>
      <c r="L135" s="3" t="str">
        <f t="shared" si="2"/>
        <v>22f3000545@ds.study.iitm.ac.inhttps://github.com/shivasanthosh0804/TDSProject-1</v>
      </c>
    </row>
    <row r="136">
      <c r="A136" s="3">
        <f>IFERROR(__xludf.DUMMYFUNCTION("""COMPUTED_VALUE"""),45599.09545043981)</f>
        <v>45599.09545</v>
      </c>
      <c r="B136" s="5" t="str">
        <f>IFERROR(__xludf.DUMMYFUNCTION("""COMPUTED_VALUE"""),"https://github.com/hsnak2245/tds_p1")</f>
        <v>https://github.com/hsnak2245/tds_p1</v>
      </c>
      <c r="C136" s="3">
        <f>IFERROR(__xludf.DUMMYFUNCTION("""COMPUTED_VALUE"""),0.0)</f>
        <v>0</v>
      </c>
      <c r="D136" s="3">
        <f>IFERROR(__xludf.DUMMYFUNCTION("""COMPUTED_VALUE"""),0.0)</f>
        <v>0</v>
      </c>
      <c r="E136" s="3" t="str">
        <f>IFERROR(__xludf.DUMMYFUNCTION("""COMPUTED_VALUE"""),"I didn't see any code in that and the README.md wasn't providing any useful information.")</f>
        <v>I didn't see any code in that and the README.md wasn't providing any useful information.</v>
      </c>
      <c r="F136" s="5" t="str">
        <f>IFERROR(__xludf.DUMMYFUNCTION("""COMPUTED_VALUE"""),"https://github.com/22f3001905/tds-project-1-github-users-repos")</f>
        <v>https://github.com/22f3001905/tds-project-1-github-users-repos</v>
      </c>
      <c r="G136" s="3">
        <f>IFERROR(__xludf.DUMMYFUNCTION("""COMPUTED_VALUE"""),10.0)</f>
        <v>10</v>
      </c>
      <c r="H136" s="3">
        <f>IFERROR(__xludf.DUMMYFUNCTION("""COMPUTED_VALUE"""),10.0)</f>
        <v>10</v>
      </c>
      <c r="I136" s="3" t="str">
        <f>IFERROR(__xludf.DUMMYFUNCTION("""COMPUTED_VALUE"""),"This repo's README.md was providing good introduction and the code was written well.")</f>
        <v>This repo's README.md was providing good introduction and the code was written well.</v>
      </c>
      <c r="J136" s="3" t="str">
        <f>IFERROR(__xludf.DUMMYFUNCTION("""COMPUTED_VALUE"""),"23f3002284@ds.study.iitm.ac.in")</f>
        <v>23f3002284@ds.study.iitm.ac.in</v>
      </c>
      <c r="K136" s="3" t="str">
        <f t="shared" si="1"/>
        <v>23f3002284@ds.study.iitm.ac.inhttps://github.com/hsnak2245/tds_p1</v>
      </c>
      <c r="L136" s="3" t="str">
        <f t="shared" si="2"/>
        <v>23f3002284@ds.study.iitm.ac.inhttps://github.com/22f3001905/tds-project-1-github-users-repos</v>
      </c>
    </row>
    <row r="137">
      <c r="A137" s="3">
        <f>IFERROR(__xludf.DUMMYFUNCTION("""COMPUTED_VALUE"""),45599.09649811343)</f>
        <v>45599.0965</v>
      </c>
      <c r="B137" s="5" t="str">
        <f>IFERROR(__xludf.DUMMYFUNCTION("""COMPUTED_VALUE"""),"https://github.com/Mr-GauravKumar/TDS-P1")</f>
        <v>https://github.com/Mr-GauravKumar/TDS-P1</v>
      </c>
      <c r="C137" s="3">
        <f>IFERROR(__xludf.DUMMYFUNCTION("""COMPUTED_VALUE"""),9.0)</f>
        <v>9</v>
      </c>
      <c r="D137" s="3">
        <f>IFERROR(__xludf.DUMMYFUNCTION("""COMPUTED_VALUE"""),9.0)</f>
        <v>9</v>
      </c>
      <c r="E137" s="3" t="str">
        <f>IFERROR(__xludf.DUMMYFUNCTION("""COMPUTED_VALUE"""),"Insightful information present ")</f>
        <v>Insightful information present </v>
      </c>
      <c r="F137" s="5" t="str">
        <f>IFERROR(__xludf.DUMMYFUNCTION("""COMPUTED_VALUE"""),"https://github.com/itsrohithreddy/TDS_Project1")</f>
        <v>https://github.com/itsrohithreddy/TDS_Project1</v>
      </c>
      <c r="G137" s="3">
        <f>IFERROR(__xludf.DUMMYFUNCTION("""COMPUTED_VALUE"""),10.0)</f>
        <v>10</v>
      </c>
      <c r="H137" s="3">
        <f>IFERROR(__xludf.DUMMYFUNCTION("""COMPUTED_VALUE"""),10.0)</f>
        <v>10</v>
      </c>
      <c r="I137" s="3" t="str">
        <f>IFERROR(__xludf.DUMMYFUNCTION("""COMPUTED_VALUE"""),"Proper code and insightful findings present.")</f>
        <v>Proper code and insightful findings present.</v>
      </c>
      <c r="J137" s="3" t="str">
        <f>IFERROR(__xludf.DUMMYFUNCTION("""COMPUTED_VALUE"""),"22f1000493@ds.study.iitm.ac.in")</f>
        <v>22f1000493@ds.study.iitm.ac.in</v>
      </c>
      <c r="K137" s="3" t="str">
        <f t="shared" si="1"/>
        <v>22f1000493@ds.study.iitm.ac.inhttps://github.com/Mr-GauravKumar/TDS-P1</v>
      </c>
      <c r="L137" s="3" t="str">
        <f t="shared" si="2"/>
        <v>22f1000493@ds.study.iitm.ac.inhttps://github.com/itsrohithreddy/TDS_Project1</v>
      </c>
    </row>
    <row r="138">
      <c r="A138" s="3">
        <f>IFERROR(__xludf.DUMMYFUNCTION("""COMPUTED_VALUE"""),45599.109762175925)</f>
        <v>45599.10976</v>
      </c>
      <c r="B138" s="5" t="str">
        <f>IFERROR(__xludf.DUMMYFUNCTION("""COMPUTED_VALUE"""),"https://github.com/notnikita21/TDS-Project-1")</f>
        <v>https://github.com/notnikita21/TDS-Project-1</v>
      </c>
      <c r="C138" s="3">
        <f>IFERROR(__xludf.DUMMYFUNCTION("""COMPUTED_VALUE"""),8.0)</f>
        <v>8</v>
      </c>
      <c r="D138" s="3">
        <f>IFERROR(__xludf.DUMMYFUNCTION("""COMPUTED_VALUE"""),0.0)</f>
        <v>0</v>
      </c>
      <c r="E138" s="3" t="str">
        <f>IFERROR(__xludf.DUMMYFUNCTION("""COMPUTED_VALUE"""),"Having a lengthy bio and more followers, should be supported by their correlation calculation. Also there was no code present in bitbucket. ")</f>
        <v>Having a lengthy bio and more followers, should be supported by their correlation calculation. Also there was no code present in bitbucket. </v>
      </c>
      <c r="F138" s="5" t="str">
        <f>IFERROR(__xludf.DUMMYFUNCTION("""COMPUTED_VALUE"""),"https://github.com/23f1001172/melbourne-users-data")</f>
        <v>https://github.com/23f1001172/melbourne-users-data</v>
      </c>
      <c r="G138" s="3">
        <f>IFERROR(__xludf.DUMMYFUNCTION("""COMPUTED_VALUE"""),6.0)</f>
        <v>6</v>
      </c>
      <c r="H138" s="3">
        <f>IFERROR(__xludf.DUMMYFUNCTION("""COMPUTED_VALUE"""),9.0)</f>
        <v>9</v>
      </c>
      <c r="I138" s="3" t="str">
        <f>IFERROR(__xludf.DUMMYFUNCTION("""COMPUTED_VALUE"""),"The facts should be supported by some calculations. Code quality is good.")</f>
        <v>The facts should be supported by some calculations. Code quality is good.</v>
      </c>
      <c r="J138" s="3" t="str">
        <f>IFERROR(__xludf.DUMMYFUNCTION("""COMPUTED_VALUE"""),"22f3001856@ds.study.iitm.ac.in")</f>
        <v>22f3001856@ds.study.iitm.ac.in</v>
      </c>
      <c r="K138" s="3" t="str">
        <f t="shared" si="1"/>
        <v>22f3001856@ds.study.iitm.ac.inhttps://github.com/notnikita21/TDS-Project-1</v>
      </c>
      <c r="L138" s="3" t="str">
        <f t="shared" si="2"/>
        <v>22f3001856@ds.study.iitm.ac.inhttps://github.com/23f1001172/melbourne-users-data</v>
      </c>
    </row>
    <row r="139">
      <c r="A139" s="3">
        <f>IFERROR(__xludf.DUMMYFUNCTION("""COMPUTED_VALUE"""),45599.113198692125)</f>
        <v>45599.1132</v>
      </c>
      <c r="B139" s="5" t="str">
        <f>IFERROR(__xludf.DUMMYFUNCTION("""COMPUTED_VALUE"""),"https://github.com/ro-jc/tds-proj-1")</f>
        <v>https://github.com/ro-jc/tds-proj-1</v>
      </c>
      <c r="C139" s="3">
        <f>IFERROR(__xludf.DUMMYFUNCTION("""COMPUTED_VALUE"""),5.0)</f>
        <v>5</v>
      </c>
      <c r="D139" s="3">
        <f>IFERROR(__xludf.DUMMYFUNCTION("""COMPUTED_VALUE"""),5.0)</f>
        <v>5</v>
      </c>
      <c r="E139" s="3" t="str">
        <f>IFERROR(__xludf.DUMMYFUNCTION("""COMPUTED_VALUE"""),"The observations from the data are not very significant, as they highlight very predictable trends. It is expected that many repositories are created on weekends, and Mumbai, being the financial center of India, shows steady engagement throughout the week"&amp;". Furthermore, while bios are generally about a sentence/10 words long, the finding that shorter bios attract the highest number of followers seems unsurprising.")</f>
        <v>The observations from the data are not very significant, as they highlight very predictable trends. It is expected that many repositories are created on weekends, and Mumbai, being the financial center of India, shows steady engagement throughout the week. Furthermore, while bios are generally about a sentence/10 words long, the finding that shorter bios attract the highest number of followers seems unsurprising.</v>
      </c>
      <c r="F139" s="5" t="str">
        <f>IFERROR(__xludf.DUMMYFUNCTION("""COMPUTED_VALUE"""),"https://github.com/anivenk25/TDS_project1_Seattle200")</f>
        <v>https://github.com/anivenk25/TDS_project1_Seattle200</v>
      </c>
      <c r="G139" s="3">
        <f>IFERROR(__xludf.DUMMYFUNCTION("""COMPUTED_VALUE"""),10.0)</f>
        <v>10</v>
      </c>
      <c r="H139" s="3">
        <f>IFERROR(__xludf.DUMMYFUNCTION("""COMPUTED_VALUE"""),10.0)</f>
        <v>10</v>
      </c>
      <c r="I139" s="3" t="str">
        <f>IFERROR(__xludf.DUMMYFUNCTION("""COMPUTED_VALUE"""),"I found the insights intriguing and learned that Seattle’s tech industry is strongly influenced by academia. The recommendation to use JavaScript and R for greater versatility and collaboration aligns with my observations from Sydney-100, where JavaScript"&amp;" and Go were more commonly preferred by users.")</f>
        <v>I found the insights intriguing and learned that Seattle’s tech industry is strongly influenced by academia. The recommendation to use JavaScript and R for greater versatility and collaboration aligns with my observations from Sydney-100, where JavaScript and Go were more commonly preferred by users.</v>
      </c>
      <c r="J139" s="3" t="str">
        <f>IFERROR(__xludf.DUMMYFUNCTION("""COMPUTED_VALUE"""),"23f3004236@ds.study.iitm.ac.in")</f>
        <v>23f3004236@ds.study.iitm.ac.in</v>
      </c>
      <c r="K139" s="3" t="str">
        <f t="shared" si="1"/>
        <v>23f3004236@ds.study.iitm.ac.inhttps://github.com/ro-jc/tds-proj-1</v>
      </c>
      <c r="L139" s="3" t="str">
        <f t="shared" si="2"/>
        <v>23f3004236@ds.study.iitm.ac.inhttps://github.com/anivenk25/TDS_project1_Seattle200</v>
      </c>
    </row>
    <row r="140">
      <c r="A140" s="3">
        <f>IFERROR(__xludf.DUMMYFUNCTION("""COMPUTED_VALUE"""),45599.113409108795)</f>
        <v>45599.11341</v>
      </c>
      <c r="B140" s="5" t="str">
        <f>IFERROR(__xludf.DUMMYFUNCTION("""COMPUTED_VALUE"""),"https://github.com/23f2004527/TDS_Project1")</f>
        <v>https://github.com/23f2004527/TDS_Project1</v>
      </c>
      <c r="C140" s="3">
        <f>IFERROR(__xludf.DUMMYFUNCTION("""COMPUTED_VALUE"""),6.0)</f>
        <v>6</v>
      </c>
      <c r="D140" s="3">
        <f>IFERROR(__xludf.DUMMYFUNCTION("""COMPUTED_VALUE"""),7.0)</f>
        <v>7</v>
      </c>
      <c r="E140" s="3" t="str">
        <f>IFERROR(__xludf.DUMMYFUNCTION("""COMPUTED_VALUE"""),"1. Finding was simple and straight forward.
2. Code to scrape data was not professional. It was enclosed in a ""while"" loop. An error in the process can lead to exit the program, leading to loss of progress. This method can lead to throttle error if exec"&amp;"uted one after another.")</f>
        <v>1. Finding was simple and straight forward.
2. Code to scrape data was not professional. It was enclosed in a "while" loop. An error in the process can lead to exit the program, leading to loss of progress. This method can lead to throttle error if executed one after another.</v>
      </c>
      <c r="F140" s="5" t="str">
        <f>IFERROR(__xludf.DUMMYFUNCTION("""COMPUTED_VALUE"""),"https://github.com/22f3001673/TDS-Project1")</f>
        <v>https://github.com/22f3001673/TDS-Project1</v>
      </c>
      <c r="G140" s="3">
        <f>IFERROR(__xludf.DUMMYFUNCTION("""COMPUTED_VALUE"""),8.0)</f>
        <v>8</v>
      </c>
      <c r="H140" s="3">
        <f>IFERROR(__xludf.DUMMYFUNCTION("""COMPUTED_VALUE"""),10.0)</f>
        <v>10</v>
      </c>
      <c r="I140" s="3" t="str">
        <f>IFERROR(__xludf.DUMMYFUNCTION("""COMPUTED_VALUE"""),"1. Finding was good. Trivial yet reflected from collected the data.
2. Code was well maintained in .ipynb file.")</f>
        <v>1. Finding was good. Trivial yet reflected from collected the data.
2. Code was well maintained in .ipynb file.</v>
      </c>
      <c r="J140" s="3" t="str">
        <f>IFERROR(__xludf.DUMMYFUNCTION("""COMPUTED_VALUE"""),"22f3001662@ds.study.iitm.ac.in")</f>
        <v>22f3001662@ds.study.iitm.ac.in</v>
      </c>
      <c r="K140" s="3" t="str">
        <f t="shared" si="1"/>
        <v>22f3001662@ds.study.iitm.ac.inhttps://github.com/23f2004527/TDS_Project1</v>
      </c>
      <c r="L140" s="3" t="str">
        <f t="shared" si="2"/>
        <v>22f3001662@ds.study.iitm.ac.inhttps://github.com/22f3001673/TDS-Project1</v>
      </c>
    </row>
    <row r="141">
      <c r="A141" s="3">
        <f>IFERROR(__xludf.DUMMYFUNCTION("""COMPUTED_VALUE"""),45599.13743769676)</f>
        <v>45599.13744</v>
      </c>
      <c r="B141" s="5" t="str">
        <f>IFERROR(__xludf.DUMMYFUNCTION("""COMPUTED_VALUE"""),"https://github.com/navuexists/tds-project-1-navya")</f>
        <v>https://github.com/navuexists/tds-project-1-navya</v>
      </c>
      <c r="C141" s="3">
        <f>IFERROR(__xludf.DUMMYFUNCTION("""COMPUTED_VALUE"""),9.0)</f>
        <v>9</v>
      </c>
      <c r="D141" s="3">
        <f>IFERROR(__xludf.DUMMYFUNCTION("""COMPUTED_VALUE"""),10.0)</f>
        <v>10</v>
      </c>
      <c r="E141" s="3" t="str">
        <f>IFERROR(__xludf.DUMMYFUNCTION("""COMPUTED_VALUE"""),"Both the .csv files were uploaded correctly. The code provided was also very briefly defined. Good work done.")</f>
        <v>Both the .csv files were uploaded correctly. The code provided was also very briefly defined. Good work done.</v>
      </c>
      <c r="F141" s="5" t="str">
        <f>IFERROR(__xludf.DUMMYFUNCTION("""COMPUTED_VALUE"""),"https://github.com/afsi07/github-users-london/tree/main")</f>
        <v>https://github.com/afsi07/github-users-london/tree/main</v>
      </c>
      <c r="G141" s="3">
        <f>IFERROR(__xludf.DUMMYFUNCTION("""COMPUTED_VALUE"""),10.0)</f>
        <v>10</v>
      </c>
      <c r="H141" s="3">
        <f>IFERROR(__xludf.DUMMYFUNCTION("""COMPUTED_VALUE"""),10.0)</f>
        <v>10</v>
      </c>
      <c r="I141" s="3" t="str">
        <f>IFERROR(__xludf.DUMMYFUNCTION("""COMPUTED_VALUE"""),"Both the .csv files were uploaded correctly. The code provided was also very briefly defined. Good work done.")</f>
        <v>Both the .csv files were uploaded correctly. The code provided was also very briefly defined. Good work done.</v>
      </c>
      <c r="J141" s="3" t="str">
        <f>IFERROR(__xludf.DUMMYFUNCTION("""COMPUTED_VALUE"""),"23f3001129@ds.study.iitm.ac.in")</f>
        <v>23f3001129@ds.study.iitm.ac.in</v>
      </c>
      <c r="K141" s="3" t="str">
        <f t="shared" si="1"/>
        <v>23f3001129@ds.study.iitm.ac.inhttps://github.com/navuexists/tds-project-1-navya</v>
      </c>
      <c r="L141" s="3" t="str">
        <f t="shared" si="2"/>
        <v>23f3001129@ds.study.iitm.ac.inhttps://github.com/afsi07/github-users-london/tree/main</v>
      </c>
    </row>
    <row r="142">
      <c r="A142" s="3">
        <f>IFERROR(__xludf.DUMMYFUNCTION("""COMPUTED_VALUE"""),45599.14116438657)</f>
        <v>45599.14116</v>
      </c>
      <c r="B142" s="5" t="str">
        <f>IFERROR(__xludf.DUMMYFUNCTION("""COMPUTED_VALUE"""),"https://github.com/22f2000784/basel-github-data-analysis")</f>
        <v>https://github.com/22f2000784/basel-github-data-analysis</v>
      </c>
      <c r="C142" s="3">
        <f>IFERROR(__xludf.DUMMYFUNCTION("""COMPUTED_VALUE"""),8.0)</f>
        <v>8</v>
      </c>
      <c r="D142" s="3">
        <f>IFERROR(__xludf.DUMMYFUNCTION("""COMPUTED_VALUE"""),8.0)</f>
        <v>8</v>
      </c>
      <c r="E142" s="3" t="str">
        <f>IFERROR(__xludf.DUMMYFUNCTION("""COMPUTED_VALUE"""),"clear results, can give better insights")</f>
        <v>clear results, can give better insights</v>
      </c>
      <c r="F142" s="5" t="str">
        <f>IFERROR(__xludf.DUMMYFUNCTION("""COMPUTED_VALUE"""),"https://github.com/Sreekar-1804/Tds_Project_1")</f>
        <v>https://github.com/Sreekar-1804/Tds_Project_1</v>
      </c>
      <c r="G142" s="3">
        <f>IFERROR(__xludf.DUMMYFUNCTION("""COMPUTED_VALUE"""),8.0)</f>
        <v>8</v>
      </c>
      <c r="H142" s="3">
        <f>IFERROR(__xludf.DUMMYFUNCTION("""COMPUTED_VALUE"""),8.0)</f>
        <v>8</v>
      </c>
      <c r="I142" s="3" t="str">
        <f>IFERROR(__xludf.DUMMYFUNCTION("""COMPUTED_VALUE"""),"clear results, can give better insights")</f>
        <v>clear results, can give better insights</v>
      </c>
      <c r="J142" s="3" t="str">
        <f>IFERROR(__xludf.DUMMYFUNCTION("""COMPUTED_VALUE"""),"22f2001074@ds.study.iitm.ac.in")</f>
        <v>22f2001074@ds.study.iitm.ac.in</v>
      </c>
      <c r="K142" s="3" t="str">
        <f t="shared" si="1"/>
        <v>22f2001074@ds.study.iitm.ac.inhttps://github.com/22f2000784/basel-github-data-analysis</v>
      </c>
      <c r="L142" s="3" t="str">
        <f t="shared" si="2"/>
        <v>22f2001074@ds.study.iitm.ac.inhttps://github.com/Sreekar-1804/Tds_Project_1</v>
      </c>
    </row>
    <row r="143">
      <c r="A143" s="3">
        <f>IFERROR(__xludf.DUMMYFUNCTION("""COMPUTED_VALUE"""),45599.14928788194)</f>
        <v>45599.14929</v>
      </c>
      <c r="B143" s="5" t="str">
        <f>IFERROR(__xludf.DUMMYFUNCTION("""COMPUTED_VALUE"""),"https://github.com/harikrishnajiju/github-city-user-analyzer")</f>
        <v>https://github.com/harikrishnajiju/github-city-user-analyzer</v>
      </c>
      <c r="C143" s="3">
        <f>IFERROR(__xludf.DUMMYFUNCTION("""COMPUTED_VALUE"""),3.0)</f>
        <v>3</v>
      </c>
      <c r="D143" s="3">
        <f>IFERROR(__xludf.DUMMYFUNCTION("""COMPUTED_VALUE"""),8.0)</f>
        <v>8</v>
      </c>
      <c r="E143" s="3" t="str">
        <f>IFERROR(__xludf.DUMMYFUNCTION("""COMPUTED_VALUE"""),"The findings and insights were quite trivial, but the code was very well structured and commented appropriately. There was no code/spreadsheets to the solution of questions in the project, but only for scraping GitHub profile data.")</f>
        <v>The findings and insights were quite trivial, but the code was very well structured and commented appropriately. There was no code/spreadsheets to the solution of questions in the project, but only for scraping GitHub profile data.</v>
      </c>
      <c r="F143" s="5" t="str">
        <f>IFERROR(__xludf.DUMMYFUNCTION("""COMPUTED_VALUE"""),"https://github.com/kdiitm99/tds-project1")</f>
        <v>https://github.com/kdiitm99/tds-project1</v>
      </c>
      <c r="G143" s="3">
        <f>IFERROR(__xludf.DUMMYFUNCTION("""COMPUTED_VALUE"""),7.0)</f>
        <v>7</v>
      </c>
      <c r="H143" s="3">
        <f>IFERROR(__xludf.DUMMYFUNCTION("""COMPUTED_VALUE"""),5.0)</f>
        <v>5</v>
      </c>
      <c r="I143" s="3" t="str">
        <f>IFERROR(__xludf.DUMMYFUNCTION("""COMPUTED_VALUE"""),"Good key finding and developer recommendation. The code was well structured but had way too many comments, as if an LLM had straight away spat it out to a prompt that included ""explain each line"".")</f>
        <v>Good key finding and developer recommendation. The code was well structured but had way too many comments, as if an LLM had straight away spat it out to a prompt that included "explain each line".</v>
      </c>
      <c r="J143" s="3" t="str">
        <f>IFERROR(__xludf.DUMMYFUNCTION("""COMPUTED_VALUE"""),"24f1000781@ds.study.iitm.ac.in")</f>
        <v>24f1000781@ds.study.iitm.ac.in</v>
      </c>
      <c r="K143" s="3" t="str">
        <f t="shared" si="1"/>
        <v>24f1000781@ds.study.iitm.ac.inhttps://github.com/harikrishnajiju/github-city-user-analyzer</v>
      </c>
      <c r="L143" s="3" t="str">
        <f t="shared" si="2"/>
        <v>24f1000781@ds.study.iitm.ac.inhttps://github.com/kdiitm99/tds-project1</v>
      </c>
    </row>
    <row r="144">
      <c r="A144" s="3">
        <f>IFERROR(__xludf.DUMMYFUNCTION("""COMPUTED_VALUE"""),45599.153804560185)</f>
        <v>45599.1538</v>
      </c>
      <c r="B144" s="5" t="str">
        <f>IFERROR(__xludf.DUMMYFUNCTION("""COMPUTED_VALUE"""),"https://github.com/bhupendra1008/tds_project_1")</f>
        <v>https://github.com/bhupendra1008/tds_project_1</v>
      </c>
      <c r="C144" s="3">
        <f>IFERROR(__xludf.DUMMYFUNCTION("""COMPUTED_VALUE"""),10.0)</f>
        <v>10</v>
      </c>
      <c r="D144" s="3">
        <f>IFERROR(__xludf.DUMMYFUNCTION("""COMPUTED_VALUE"""),9.0)</f>
        <v>9</v>
      </c>
      <c r="E144" s="3" t="str">
        <f>IFERROR(__xludf.DUMMYFUNCTION("""COMPUTED_VALUE"""),"The repository contains a README and code that are easy to understand and follow, with clear and accessible information.")</f>
        <v>The repository contains a README and code that are easy to understand and follow, with clear and accessible information.</v>
      </c>
      <c r="F144" s="5" t="str">
        <f>IFERROR(__xludf.DUMMYFUNCTION("""COMPUTED_VALUE"""),"https://github.com/foriitm/p01")</f>
        <v>https://github.com/foriitm/p01</v>
      </c>
      <c r="G144" s="3">
        <f>IFERROR(__xludf.DUMMYFUNCTION("""COMPUTED_VALUE"""),0.0)</f>
        <v>0</v>
      </c>
      <c r="H144" s="3">
        <f>IFERROR(__xludf.DUMMYFUNCTION("""COMPUTED_VALUE"""),0.0)</f>
        <v>0</v>
      </c>
      <c r="I144" s="3" t="str">
        <f>IFERROR(__xludf.DUMMYFUNCTION("""COMPUTED_VALUE"""),"There was no README file, and the code was present in the repository.")</f>
        <v>There was no README file, and the code was present in the repository.</v>
      </c>
      <c r="J144" s="3" t="str">
        <f>IFERROR(__xludf.DUMMYFUNCTION("""COMPUTED_VALUE"""),"21f3002322@ds.study.iitm.ac.in")</f>
        <v>21f3002322@ds.study.iitm.ac.in</v>
      </c>
      <c r="K144" s="3" t="str">
        <f t="shared" si="1"/>
        <v>21f3002322@ds.study.iitm.ac.inhttps://github.com/bhupendra1008/tds_project_1</v>
      </c>
      <c r="L144" s="3" t="str">
        <f t="shared" si="2"/>
        <v>21f3002322@ds.study.iitm.ac.inhttps://github.com/foriitm/p01</v>
      </c>
    </row>
    <row r="145">
      <c r="A145" s="3">
        <f>IFERROR(__xludf.DUMMYFUNCTION("""COMPUTED_VALUE"""),45599.17444099537)</f>
        <v>45599.17444</v>
      </c>
      <c r="B145" s="5" t="str">
        <f>IFERROR(__xludf.DUMMYFUNCTION("""COMPUTED_VALUE"""),"https://github.com/KrishnaDhankar/Project_TDS")</f>
        <v>https://github.com/KrishnaDhankar/Project_TDS</v>
      </c>
      <c r="C145" s="3">
        <f>IFERROR(__xludf.DUMMYFUNCTION("""COMPUTED_VALUE"""),8.0)</f>
        <v>8</v>
      </c>
      <c r="D145" s="3">
        <f>IFERROR(__xludf.DUMMYFUNCTION("""COMPUTED_VALUE"""),10.0)</f>
        <v>10</v>
      </c>
      <c r="E145" s="3" t="str">
        <f>IFERROR(__xludf.DUMMYFUNCTION("""COMPUTED_VALUE"""),"Because I believe that the student has discovered some interesting findings and has written a very elegant and clean code.")</f>
        <v>Because I believe that the student has discovered some interesting findings and has written a very elegant and clean code.</v>
      </c>
      <c r="F145" s="5" t="str">
        <f>IFERROR(__xludf.DUMMYFUNCTION("""COMPUTED_VALUE"""),"https://github.com/Anvitha-Reddy-132218/TDS_Assignment")</f>
        <v>https://github.com/Anvitha-Reddy-132218/TDS_Assignment</v>
      </c>
      <c r="G145" s="3">
        <f>IFERROR(__xludf.DUMMYFUNCTION("""COMPUTED_VALUE"""),8.0)</f>
        <v>8</v>
      </c>
      <c r="H145" s="3">
        <f>IFERROR(__xludf.DUMMYFUNCTION("""COMPUTED_VALUE"""),10.0)</f>
        <v>10</v>
      </c>
      <c r="I145" s="3" t="str">
        <f>IFERROR(__xludf.DUMMYFUNCTION("""COMPUTED_VALUE"""),"The finding is interesting and the recommendation is totally relevant and well though out. The code is also pretty elegant and professional.")</f>
        <v>The finding is interesting and the recommendation is totally relevant and well though out. The code is also pretty elegant and professional.</v>
      </c>
      <c r="J145" s="3" t="str">
        <f>IFERROR(__xludf.DUMMYFUNCTION("""COMPUTED_VALUE"""),"22f3001142@ds.study.iitm.ac.in")</f>
        <v>22f3001142@ds.study.iitm.ac.in</v>
      </c>
      <c r="K145" s="3" t="str">
        <f t="shared" si="1"/>
        <v>22f3001142@ds.study.iitm.ac.inhttps://github.com/KrishnaDhankar/Project_TDS</v>
      </c>
      <c r="L145" s="3" t="str">
        <f t="shared" si="2"/>
        <v>22f3001142@ds.study.iitm.ac.inhttps://github.com/Anvitha-Reddy-132218/TDS_Assignment</v>
      </c>
    </row>
    <row r="146">
      <c r="A146" s="3">
        <f>IFERROR(__xludf.DUMMYFUNCTION("""COMPUTED_VALUE"""),45599.17603498843)</f>
        <v>45599.17603</v>
      </c>
      <c r="B146" s="5" t="str">
        <f>IFERROR(__xludf.DUMMYFUNCTION("""COMPUTED_VALUE"""),"https://github.com/myGreatLoveM/tds-project-1")</f>
        <v>https://github.com/myGreatLoveM/tds-project-1</v>
      </c>
      <c r="C146" s="3">
        <f>IFERROR(__xludf.DUMMYFUNCTION("""COMPUTED_VALUE"""),10.0)</f>
        <v>10</v>
      </c>
      <c r="D146" s="3">
        <f>IFERROR(__xludf.DUMMYFUNCTION("""COMPUTED_VALUE"""),10.0)</f>
        <v>10</v>
      </c>
      <c r="E146" s="3" t="str">
        <f>IFERROR(__xludf.DUMMYFUNCTION("""COMPUTED_VALUE"""),"The findings were accurate and the codes were clear")</f>
        <v>The findings were accurate and the codes were clear</v>
      </c>
      <c r="F146" s="5" t="str">
        <f>IFERROR(__xludf.DUMMYFUNCTION("""COMPUTED_VALUE"""),"https://github.com/AbhimanyuDwivedi282/TDS-Project_1")</f>
        <v>https://github.com/AbhimanyuDwivedi282/TDS-Project_1</v>
      </c>
      <c r="G146" s="3">
        <f>IFERROR(__xludf.DUMMYFUNCTION("""COMPUTED_VALUE"""),10.0)</f>
        <v>10</v>
      </c>
      <c r="H146" s="3">
        <f>IFERROR(__xludf.DUMMYFUNCTION("""COMPUTED_VALUE"""),10.0)</f>
        <v>10</v>
      </c>
      <c r="I146" s="3" t="str">
        <f>IFERROR(__xludf.DUMMYFUNCTION("""COMPUTED_VALUE"""),"The findings were accurate and well-written and the codes were clear")</f>
        <v>The findings were accurate and well-written and the codes were clear</v>
      </c>
      <c r="J146" s="3" t="str">
        <f>IFERROR(__xludf.DUMMYFUNCTION("""COMPUTED_VALUE"""),"23f2000590@ds.study.iitm.ac.in")</f>
        <v>23f2000590@ds.study.iitm.ac.in</v>
      </c>
      <c r="K146" s="3" t="str">
        <f t="shared" si="1"/>
        <v>23f2000590@ds.study.iitm.ac.inhttps://github.com/myGreatLoveM/tds-project-1</v>
      </c>
      <c r="L146" s="3" t="str">
        <f t="shared" si="2"/>
        <v>23f2000590@ds.study.iitm.ac.inhttps://github.com/AbhimanyuDwivedi282/TDS-Project_1</v>
      </c>
    </row>
    <row r="147">
      <c r="A147" s="3">
        <f>IFERROR(__xludf.DUMMYFUNCTION("""COMPUTED_VALUE"""),45599.18048408565)</f>
        <v>45599.18048</v>
      </c>
      <c r="B147" s="5" t="str">
        <f>IFERROR(__xludf.DUMMYFUNCTION("""COMPUTED_VALUE"""),"https://github.com/Param302/TDS-Project1")</f>
        <v>https://github.com/Param302/TDS-Project1</v>
      </c>
      <c r="C147" s="3">
        <f>IFERROR(__xludf.DUMMYFUNCTION("""COMPUTED_VALUE"""),6.0)</f>
        <v>6</v>
      </c>
      <c r="D147" s="3">
        <f>IFERROR(__xludf.DUMMYFUNCTION("""COMPUTED_VALUE"""),8.0)</f>
        <v>8</v>
      </c>
      <c r="E147" s="3" t="str">
        <f>IFERROR(__xludf.DUMMYFUNCTION("""COMPUTED_VALUE"""),"He/She has used branches in the repository and has given insights about the data which might be useful for people forking his/her repo. ")</f>
        <v>He/She has used branches in the repository and has given insights about the data which might be useful for people forking his/her repo. </v>
      </c>
      <c r="F147" s="5" t="str">
        <f>IFERROR(__xludf.DUMMYFUNCTION("""COMPUTED_VALUE"""),"https://github.com/23f2004165/Scraping-GitHub-Users-And-Their-Repos-TDS-Project1-")</f>
        <v>https://github.com/23f2004165/Scraping-GitHub-Users-And-Their-Repos-TDS-Project1-</v>
      </c>
      <c r="G147" s="3">
        <f>IFERROR(__xludf.DUMMYFUNCTION("""COMPUTED_VALUE"""),5.0)</f>
        <v>5</v>
      </c>
      <c r="H147" s="3">
        <f>IFERROR(__xludf.DUMMYFUNCTION("""COMPUTED_VALUE"""),8.0)</f>
        <v>8</v>
      </c>
      <c r="I147" s="3" t="str">
        <f>IFERROR(__xludf.DUMMYFUNCTION("""COMPUTED_VALUE"""),"He/She has stated out the facts and also Insights of how they proceeded with the scraping.")</f>
        <v>He/She has stated out the facts and also Insights of how they proceeded with the scraping.</v>
      </c>
      <c r="J147" s="3" t="str">
        <f>IFERROR(__xludf.DUMMYFUNCTION("""COMPUTED_VALUE"""),"22f3001268@ds.study.iitm.ac.in")</f>
        <v>22f3001268@ds.study.iitm.ac.in</v>
      </c>
      <c r="K147" s="3" t="str">
        <f t="shared" si="1"/>
        <v>22f3001268@ds.study.iitm.ac.inhttps://github.com/Param302/TDS-Project1</v>
      </c>
      <c r="L147" s="3" t="str">
        <f t="shared" si="2"/>
        <v>22f3001268@ds.study.iitm.ac.inhttps://github.com/23f2004165/Scraping-GitHub-Users-And-Their-Repos-TDS-Project1-</v>
      </c>
    </row>
    <row r="148">
      <c r="A148" s="3">
        <f>IFERROR(__xludf.DUMMYFUNCTION("""COMPUTED_VALUE"""),45599.19468806713)</f>
        <v>45599.19469</v>
      </c>
      <c r="B148" s="5" t="str">
        <f>IFERROR(__xludf.DUMMYFUNCTION("""COMPUTED_VALUE"""),"https://github.com/22f1001786-iitm/-Shanghai-200")</f>
        <v>https://github.com/22f1001786-iitm/-Shanghai-200</v>
      </c>
      <c r="C148" s="3">
        <f>IFERROR(__xludf.DUMMYFUNCTION("""COMPUTED_VALUE"""),7.0)</f>
        <v>7</v>
      </c>
      <c r="D148" s="3">
        <f>IFERROR(__xludf.DUMMYFUNCTION("""COMPUTED_VALUE"""),9.0)</f>
        <v>9</v>
      </c>
      <c r="E148" s="3" t="str">
        <f>IFERROR(__xludf.DUMMYFUNCTION("""COMPUTED_VALUE"""),"The Project Readme is clear and coding is well structured.Overall the repo is well organised.")</f>
        <v>The Project Readme is clear and coding is well structured.Overall the repo is well organised.</v>
      </c>
      <c r="F148" s="5" t="str">
        <f>IFERROR(__xludf.DUMMYFUNCTION("""COMPUTED_VALUE"""),"https://github.com/surbhi553/Toronto100")</f>
        <v>https://github.com/surbhi553/Toronto100</v>
      </c>
      <c r="G148" s="3">
        <f>IFERROR(__xludf.DUMMYFUNCTION("""COMPUTED_VALUE"""),0.0)</f>
        <v>0</v>
      </c>
      <c r="H148" s="3">
        <f>IFERROR(__xludf.DUMMYFUNCTION("""COMPUTED_VALUE"""),0.0)</f>
        <v>0</v>
      </c>
      <c r="I148" s="3" t="str">
        <f>IFERROR(__xludf.DUMMYFUNCTION("""COMPUTED_VALUE"""),"Sorry It doesnt contain any thing in README.md file.No Coding file included in the Project Repo as wll.")</f>
        <v>Sorry It doesnt contain any thing in README.md file.No Coding file included in the Project Repo as wll.</v>
      </c>
      <c r="J148" s="3" t="str">
        <f>IFERROR(__xludf.DUMMYFUNCTION("""COMPUTED_VALUE"""),"22f1001832@ds.study.iitm.ac.in")</f>
        <v>22f1001832@ds.study.iitm.ac.in</v>
      </c>
      <c r="K148" s="3" t="str">
        <f t="shared" si="1"/>
        <v>22f1001832@ds.study.iitm.ac.inhttps://github.com/22f1001786-iitm/-Shanghai-200</v>
      </c>
      <c r="L148" s="3" t="str">
        <f t="shared" si="2"/>
        <v>22f1001832@ds.study.iitm.ac.inhttps://github.com/surbhi553/Toronto100</v>
      </c>
    </row>
    <row r="149">
      <c r="A149" s="3">
        <f>IFERROR(__xludf.DUMMYFUNCTION("""COMPUTED_VALUE"""),45599.195349444446)</f>
        <v>45599.19535</v>
      </c>
      <c r="B149" s="5" t="str">
        <f>IFERROR(__xludf.DUMMYFUNCTION("""COMPUTED_VALUE"""),"https://github.com/vivek-2028/TDS-Project-1")</f>
        <v>https://github.com/vivek-2028/TDS-Project-1</v>
      </c>
      <c r="C149" s="3">
        <f>IFERROR(__xludf.DUMMYFUNCTION("""COMPUTED_VALUE"""),8.0)</f>
        <v>8</v>
      </c>
      <c r="D149" s="3">
        <f>IFERROR(__xludf.DUMMYFUNCTION("""COMPUTED_VALUE"""),9.0)</f>
        <v>9</v>
      </c>
      <c r="E149" s="3" t="str">
        <f>IFERROR(__xludf.DUMMYFUNCTION("""COMPUTED_VALUE"""),"He has written functions for every task he performed, that's a good practice.")</f>
        <v>He has written functions for every task he performed, that's a good practice.</v>
      </c>
      <c r="F149" s="5" t="str">
        <f>IFERROR(__xludf.DUMMYFUNCTION("""COMPUTED_VALUE"""),"https://github.com/QuixoticPsyche/tds-project-1")</f>
        <v>https://github.com/QuixoticPsyche/tds-project-1</v>
      </c>
      <c r="G149" s="3">
        <f>IFERROR(__xludf.DUMMYFUNCTION("""COMPUTED_VALUE"""),7.0)</f>
        <v>7</v>
      </c>
      <c r="H149" s="3">
        <f>IFERROR(__xludf.DUMMYFUNCTION("""COMPUTED_VALUE"""),8.0)</f>
        <v>8</v>
      </c>
      <c r="I149" s="3" t="str">
        <f>IFERROR(__xludf.DUMMYFUNCTION("""COMPUTED_VALUE"""),"Comments are added in the code for better understanding.")</f>
        <v>Comments are added in the code for better understanding.</v>
      </c>
      <c r="J149" s="3" t="str">
        <f>IFERROR(__xludf.DUMMYFUNCTION("""COMPUTED_VALUE"""),"23f2004839@ds.study.iitm.ac.in")</f>
        <v>23f2004839@ds.study.iitm.ac.in</v>
      </c>
      <c r="K149" s="3" t="str">
        <f t="shared" si="1"/>
        <v>23f2004839@ds.study.iitm.ac.inhttps://github.com/vivek-2028/TDS-Project-1</v>
      </c>
      <c r="L149" s="3" t="str">
        <f t="shared" si="2"/>
        <v>23f2004839@ds.study.iitm.ac.inhttps://github.com/QuixoticPsyche/tds-project-1</v>
      </c>
    </row>
    <row r="150">
      <c r="A150" s="3">
        <f>IFERROR(__xludf.DUMMYFUNCTION("""COMPUTED_VALUE"""),45599.33558134259)</f>
        <v>45599.33558</v>
      </c>
      <c r="B150" s="5" t="str">
        <f>IFERROR(__xludf.DUMMYFUNCTION("""COMPUTED_VALUE"""),"https://github.com/amitkrajput08/IITM_TDS_PROJECT1")</f>
        <v>https://github.com/amitkrajput08/IITM_TDS_PROJECT1</v>
      </c>
      <c r="C150" s="3">
        <f>IFERROR(__xludf.DUMMYFUNCTION("""COMPUTED_VALUE"""),6.0)</f>
        <v>6</v>
      </c>
      <c r="D150" s="3">
        <f>IFERROR(__xludf.DUMMYFUNCTION("""COMPUTED_VALUE"""),7.0)</f>
        <v>7</v>
      </c>
      <c r="E150" s="3" t="str">
        <f>IFERROR(__xludf.DUMMYFUNCTION("""COMPUTED_VALUE"""),"NOT USED INSTRUCTED PATTERN THAT WAS GIVEN")</f>
        <v>NOT USED INSTRUCTED PATTERN THAT WAS GIVEN</v>
      </c>
      <c r="F150" s="5" t="str">
        <f>IFERROR(__xludf.DUMMYFUNCTION("""COMPUTED_VALUE"""),"https://github.com/hack-sketch/tds-project")</f>
        <v>https://github.com/hack-sketch/tds-project</v>
      </c>
      <c r="G150" s="3">
        <f>IFERROR(__xludf.DUMMYFUNCTION("""COMPUTED_VALUE"""),8.0)</f>
        <v>8</v>
      </c>
      <c r="H150" s="3">
        <f>IFERROR(__xludf.DUMMYFUNCTION("""COMPUTED_VALUE"""),10.0)</f>
        <v>10</v>
      </c>
      <c r="I150" s="3" t="str">
        <f>IFERROR(__xludf.DUMMYFUNCTION("""COMPUTED_VALUE"""),"ANALYSIS IS IMPRESSIVE BUT NOT FOLLOWED INSTRUCTION OF CREATING READ.MD FILE PROPERLY.")</f>
        <v>ANALYSIS IS IMPRESSIVE BUT NOT FOLLOWED INSTRUCTION OF CREATING READ.MD FILE PROPERLY.</v>
      </c>
      <c r="J150" s="3" t="str">
        <f>IFERROR(__xludf.DUMMYFUNCTION("""COMPUTED_VALUE"""),"23f2004652@ds.study.iitm.ac.in")</f>
        <v>23f2004652@ds.study.iitm.ac.in</v>
      </c>
      <c r="K150" s="3" t="str">
        <f t="shared" si="1"/>
        <v>23f2004652@ds.study.iitm.ac.inhttps://github.com/amitkrajput08/IITM_TDS_PROJECT1</v>
      </c>
      <c r="L150" s="3" t="str">
        <f t="shared" si="2"/>
        <v>23f2004652@ds.study.iitm.ac.inhttps://github.com/hack-sketch/tds-project</v>
      </c>
    </row>
    <row r="151">
      <c r="A151" s="3">
        <f>IFERROR(__xludf.DUMMYFUNCTION("""COMPUTED_VALUE"""),45599.369662592595)</f>
        <v>45599.36966</v>
      </c>
      <c r="B151" s="5" t="str">
        <f>IFERROR(__xludf.DUMMYFUNCTION("""COMPUTED_VALUE"""),"https://github.com/Gunjan-gif/tds_p1")</f>
        <v>https://github.com/Gunjan-gif/tds_p1</v>
      </c>
      <c r="C151" s="3">
        <f>IFERROR(__xludf.DUMMYFUNCTION("""COMPUTED_VALUE"""),1.0)</f>
        <v>1</v>
      </c>
      <c r="D151" s="3">
        <f>IFERROR(__xludf.DUMMYFUNCTION("""COMPUTED_VALUE"""),1.0)</f>
        <v>1</v>
      </c>
      <c r="E151" s="3" t="str">
        <f>IFERROR(__xludf.DUMMYFUNCTION("""COMPUTED_VALUE"""),"The readme.md file is totally empty and also there are no codes provided.")</f>
        <v>The readme.md file is totally empty and also there are no codes provided.</v>
      </c>
      <c r="F151" s="5" t="str">
        <f>IFERROR(__xludf.DUMMYFUNCTION("""COMPUTED_VALUE"""),"https://github.com/EnggAditya03/ds")</f>
        <v>https://github.com/EnggAditya03/ds</v>
      </c>
      <c r="G151" s="3">
        <f>IFERROR(__xludf.DUMMYFUNCTION("""COMPUTED_VALUE"""),10.0)</f>
        <v>10</v>
      </c>
      <c r="H151" s="3">
        <f>IFERROR(__xludf.DUMMYFUNCTION("""COMPUTED_VALUE"""),0.0)</f>
        <v>0</v>
      </c>
      <c r="I151" s="3" t="str">
        <f>IFERROR(__xludf.DUMMYFUNCTION("""COMPUTED_VALUE"""),"The readme file was very clear and explained well but there is no code present.")</f>
        <v>The readme file was very clear and explained well but there is no code present.</v>
      </c>
      <c r="J151" s="3" t="str">
        <f>IFERROR(__xludf.DUMMYFUNCTION("""COMPUTED_VALUE"""),"22f1001630@ds.study.iitm.ac.in")</f>
        <v>22f1001630@ds.study.iitm.ac.in</v>
      </c>
      <c r="K151" s="3" t="str">
        <f t="shared" si="1"/>
        <v>22f1001630@ds.study.iitm.ac.inhttps://github.com/Gunjan-gif/tds_p1</v>
      </c>
      <c r="L151" s="3" t="str">
        <f t="shared" si="2"/>
        <v>22f1001630@ds.study.iitm.ac.inhttps://github.com/EnggAditya03/ds</v>
      </c>
    </row>
    <row r="152">
      <c r="A152" s="3">
        <f>IFERROR(__xludf.DUMMYFUNCTION("""COMPUTED_VALUE"""),45599.37027086805)</f>
        <v>45599.37027</v>
      </c>
      <c r="B152" s="5" t="str">
        <f>IFERROR(__xludf.DUMMYFUNCTION("""COMPUTED_VALUE"""),"https://github.com/GOPIKA178/github-data-london")</f>
        <v>https://github.com/GOPIKA178/github-data-london</v>
      </c>
      <c r="C152" s="3">
        <f>IFERROR(__xludf.DUMMYFUNCTION("""COMPUTED_VALUE"""),10.0)</f>
        <v>10</v>
      </c>
      <c r="D152" s="3">
        <f>IFERROR(__xludf.DUMMYFUNCTION("""COMPUTED_VALUE"""),10.0)</f>
        <v>10</v>
      </c>
      <c r="E152" s="3" t="str">
        <f>IFERROR(__xludf.DUMMYFUNCTION("""COMPUTED_VALUE"""),"I found the findings interesting and there were readme and codes according to the rubrics")</f>
        <v>I found the findings interesting and there were readme and codes according to the rubrics</v>
      </c>
      <c r="F152" s="5" t="str">
        <f>IFERROR(__xludf.DUMMYFUNCTION("""COMPUTED_VALUE"""),"https://github.com/hameed-student/tds-project-1")</f>
        <v>https://github.com/hameed-student/tds-project-1</v>
      </c>
      <c r="G152" s="3">
        <f>IFERROR(__xludf.DUMMYFUNCTION("""COMPUTED_VALUE"""),10.0)</f>
        <v>10</v>
      </c>
      <c r="H152" s="3">
        <f>IFERROR(__xludf.DUMMYFUNCTION("""COMPUTED_VALUE"""),10.0)</f>
        <v>10</v>
      </c>
      <c r="I152" s="3" t="str">
        <f>IFERROR(__xludf.DUMMYFUNCTION("""COMPUTED_VALUE"""),"the findings were quite fascinating and the codes were uploaded too and everything was according to the rubrics")</f>
        <v>the findings were quite fascinating and the codes were uploaded too and everything was according to the rubrics</v>
      </c>
      <c r="J152" s="3" t="str">
        <f>IFERROR(__xludf.DUMMYFUNCTION("""COMPUTED_VALUE"""),"23f2005014@ds.study.iitm.ac.in")</f>
        <v>23f2005014@ds.study.iitm.ac.in</v>
      </c>
      <c r="K152" s="3" t="str">
        <f t="shared" si="1"/>
        <v>23f2005014@ds.study.iitm.ac.inhttps://github.com/GOPIKA178/github-data-london</v>
      </c>
      <c r="L152" s="3" t="str">
        <f t="shared" si="2"/>
        <v>23f2005014@ds.study.iitm.ac.inhttps://github.com/hameed-student/tds-project-1</v>
      </c>
    </row>
    <row r="153">
      <c r="A153" s="3">
        <f>IFERROR(__xludf.DUMMYFUNCTION("""COMPUTED_VALUE"""),45599.41986923611)</f>
        <v>45599.41987</v>
      </c>
      <c r="B153" s="5" t="str">
        <f>IFERROR(__xludf.DUMMYFUNCTION("""COMPUTED_VALUE"""),"https://github.com/Sahith200444/github-user-data")</f>
        <v>https://github.com/Sahith200444/github-user-data</v>
      </c>
      <c r="C153" s="3">
        <f>IFERROR(__xludf.DUMMYFUNCTION("""COMPUTED_VALUE"""),0.0)</f>
        <v>0</v>
      </c>
      <c r="D153" s="3">
        <f>IFERROR(__xludf.DUMMYFUNCTION("""COMPUTED_VALUE"""),0.0)</f>
        <v>0</v>
      </c>
      <c r="E153" s="3" t="str">
        <f>IFERROR(__xludf.DUMMYFUNCTION("""COMPUTED_VALUE"""),"There is no findings and code in the given repository. Only csv files are there.")</f>
        <v>There is no findings and code in the given repository. Only csv files are there.</v>
      </c>
      <c r="F153" s="5" t="str">
        <f>IFERROR(__xludf.DUMMYFUNCTION("""COMPUTED_VALUE"""),"https://github.com/AryanThakur-123/TDS-Project-1")</f>
        <v>https://github.com/AryanThakur-123/TDS-Project-1</v>
      </c>
      <c r="G153" s="3">
        <f>IFERROR(__xludf.DUMMYFUNCTION("""COMPUTED_VALUE"""),10.0)</f>
        <v>10</v>
      </c>
      <c r="H153" s="3">
        <f>IFERROR(__xludf.DUMMYFUNCTION("""COMPUTED_VALUE"""),8.0)</f>
        <v>8</v>
      </c>
      <c r="I153" s="3" t="str">
        <f>IFERROR(__xludf.DUMMYFUNCTION("""COMPUTED_VALUE"""),"Code missing proper comments and can be done in one file.")</f>
        <v>Code missing proper comments and can be done in one file.</v>
      </c>
      <c r="J153" s="3" t="str">
        <f>IFERROR(__xludf.DUMMYFUNCTION("""COMPUTED_VALUE"""),"23f1000774@ds.study.iitm.ac.in")</f>
        <v>23f1000774@ds.study.iitm.ac.in</v>
      </c>
      <c r="K153" s="3" t="str">
        <f t="shared" si="1"/>
        <v>23f1000774@ds.study.iitm.ac.inhttps://github.com/Sahith200444/github-user-data</v>
      </c>
      <c r="L153" s="3" t="str">
        <f t="shared" si="2"/>
        <v>23f1000774@ds.study.iitm.ac.inhttps://github.com/AryanThakur-123/TDS-Project-1</v>
      </c>
    </row>
    <row r="154">
      <c r="A154" s="3">
        <f>IFERROR(__xludf.DUMMYFUNCTION("""COMPUTED_VALUE"""),45599.4446112963)</f>
        <v>45599.44461</v>
      </c>
      <c r="B154" s="5" t="str">
        <f>IFERROR(__xludf.DUMMYFUNCTION("""COMPUTED_VALUE"""),"https://github.com/KSoham-dev/TDS-Project-I")</f>
        <v>https://github.com/KSoham-dev/TDS-Project-I</v>
      </c>
      <c r="C154" s="3">
        <f>IFERROR(__xludf.DUMMYFUNCTION("""COMPUTED_VALUE"""),10.0)</f>
        <v>10</v>
      </c>
      <c r="D154" s="3">
        <f>IFERROR(__xludf.DUMMYFUNCTION("""COMPUTED_VALUE"""),10.0)</f>
        <v>10</v>
      </c>
      <c r="E154" s="3" t="str">
        <f>IFERROR(__xludf.DUMMYFUNCTION("""COMPUTED_VALUE"""),"The candidate has explained his approach clearly and his python code was clean with proper explanation.")</f>
        <v>The candidate has explained his approach clearly and his python code was clean with proper explanation.</v>
      </c>
      <c r="F154" s="5" t="str">
        <f>IFERROR(__xludf.DUMMYFUNCTION("""COMPUTED_VALUE"""),"https://github.com/mdnabeelmn10/TDS_Project1_23f1001173")</f>
        <v>https://github.com/mdnabeelmn10/TDS_Project1_23f1001173</v>
      </c>
      <c r="G154" s="3">
        <f>IFERROR(__xludf.DUMMYFUNCTION("""COMPUTED_VALUE"""),9.0)</f>
        <v>9</v>
      </c>
      <c r="H154" s="3">
        <f>IFERROR(__xludf.DUMMYFUNCTION("""COMPUTED_VALUE"""),9.0)</f>
        <v>9</v>
      </c>
      <c r="I154" s="3" t="str">
        <f>IFERROR(__xludf.DUMMYFUNCTION("""COMPUTED_VALUE"""),"README.MD has good explanation. But word count has exceeded far from the limit. Code is good but code cleanup and more explanation might have made the code more clear and elegant. ")</f>
        <v>README.MD has good explanation. But word count has exceeded far from the limit. Code is good but code cleanup and more explanation might have made the code more clear and elegant. </v>
      </c>
      <c r="J154" s="3" t="str">
        <f>IFERROR(__xludf.DUMMYFUNCTION("""COMPUTED_VALUE"""),"23ds2000091@ds.study.iitm.ac.in")</f>
        <v>23ds2000091@ds.study.iitm.ac.in</v>
      </c>
      <c r="K154" s="3" t="str">
        <f t="shared" si="1"/>
        <v>23ds2000091@ds.study.iitm.ac.inhttps://github.com/KSoham-dev/TDS-Project-I</v>
      </c>
      <c r="L154" s="3" t="str">
        <f t="shared" si="2"/>
        <v>23ds2000091@ds.study.iitm.ac.inhttps://github.com/mdnabeelmn10/TDS_Project1_23f1001173</v>
      </c>
    </row>
    <row r="155">
      <c r="A155" s="3">
        <f>IFERROR(__xludf.DUMMYFUNCTION("""COMPUTED_VALUE"""),45599.453701921295)</f>
        <v>45599.4537</v>
      </c>
      <c r="B155" s="5" t="str">
        <f>IFERROR(__xludf.DUMMYFUNCTION("""COMPUTED_VALUE"""),"https://github.com/Rajnish2899/Mynewproject")</f>
        <v>https://github.com/Rajnish2899/Mynewproject</v>
      </c>
      <c r="C155" s="3">
        <f>IFERROR(__xludf.DUMMYFUNCTION("""COMPUTED_VALUE"""),6.0)</f>
        <v>6</v>
      </c>
      <c r="D155" s="3">
        <f>IFERROR(__xludf.DUMMYFUNCTION("""COMPUTED_VALUE"""),0.0)</f>
        <v>0</v>
      </c>
      <c r="E155" s="3" t="str">
        <f>IFERROR(__xludf.DUMMYFUNCTION("""COMPUTED_VALUE"""),"The second point of analysis indicates that the peer has gone through the code and has made an attempt to understand it. There is no code in the repository.")</f>
        <v>The second point of analysis indicates that the peer has gone through the code and has made an attempt to understand it. There is no code in the repository.</v>
      </c>
      <c r="F155" s="5" t="str">
        <f>IFERROR(__xludf.DUMMYFUNCTION("""COMPUTED_VALUE"""),"https://github.com/mayanktripathii/TDS-Project-1")</f>
        <v>https://github.com/mayanktripathii/TDS-Project-1</v>
      </c>
      <c r="G155" s="3">
        <f>IFERROR(__xludf.DUMMYFUNCTION("""COMPUTED_VALUE"""),6.0)</f>
        <v>6</v>
      </c>
      <c r="H155" s="3">
        <f>IFERROR(__xludf.DUMMYFUNCTION("""COMPUTED_VALUE"""),9.0)</f>
        <v>9</v>
      </c>
      <c r="I155" s="3" t="str">
        <f>IFERROR(__xludf.DUMMYFUNCTION("""COMPUTED_VALUE"""),"The code used is well structured and formatted with visualizations . Its is well formatted. The analysis indicates that the user has a good understanding of the dataset and its features")</f>
        <v>The code used is well structured and formatted with visualizations . Its is well formatted. The analysis indicates that the user has a good understanding of the dataset and its features</v>
      </c>
      <c r="J155" s="3" t="str">
        <f>IFERROR(__xludf.DUMMYFUNCTION("""COMPUTED_VALUE"""),"21f3002268@ds.study.iitm.ac.in")</f>
        <v>21f3002268@ds.study.iitm.ac.in</v>
      </c>
      <c r="K155" s="3" t="str">
        <f t="shared" si="1"/>
        <v>21f3002268@ds.study.iitm.ac.inhttps://github.com/Rajnish2899/Mynewproject</v>
      </c>
      <c r="L155" s="3" t="str">
        <f t="shared" si="2"/>
        <v>21f3002268@ds.study.iitm.ac.inhttps://github.com/mayanktripathii/TDS-Project-1</v>
      </c>
    </row>
    <row r="156">
      <c r="A156" s="3">
        <f>IFERROR(__xludf.DUMMYFUNCTION("""COMPUTED_VALUE"""),45599.4623645949)</f>
        <v>45599.46236</v>
      </c>
      <c r="B156" s="5" t="str">
        <f>IFERROR(__xludf.DUMMYFUNCTION("""COMPUTED_VALUE"""),"https://github.com/Rajat1164/tdsproject")</f>
        <v>https://github.com/Rajat1164/tdsproject</v>
      </c>
      <c r="C156" s="3">
        <f>IFERROR(__xludf.DUMMYFUNCTION("""COMPUTED_VALUE"""),10.0)</f>
        <v>10</v>
      </c>
      <c r="D156" s="3">
        <f>IFERROR(__xludf.DUMMYFUNCTION("""COMPUTED_VALUE"""),10.0)</f>
        <v>10</v>
      </c>
      <c r="E156" s="3" t="str">
        <f>IFERROR(__xludf.DUMMYFUNCTION("""COMPUTED_VALUE"""),"Everything was explained in proper manner with all codes and links attached")</f>
        <v>Everything was explained in proper manner with all codes and links attached</v>
      </c>
      <c r="F156" s="5" t="str">
        <f>IFERROR(__xludf.DUMMYFUNCTION("""COMPUTED_VALUE"""),"https://github.com/payalggn/TDS_Project1")</f>
        <v>https://github.com/payalggn/TDS_Project1</v>
      </c>
      <c r="G156" s="3">
        <f>IFERROR(__xludf.DUMMYFUNCTION("""COMPUTED_VALUE"""),10.0)</f>
        <v>10</v>
      </c>
      <c r="H156" s="3">
        <f>IFERROR(__xludf.DUMMYFUNCTION("""COMPUTED_VALUE"""),10.0)</f>
        <v>10</v>
      </c>
      <c r="I156" s="3" t="str">
        <f>IFERROR(__xludf.DUMMYFUNCTION("""COMPUTED_VALUE"""),"The working of all codes was clear and understandable with proper explanation. ")</f>
        <v>The working of all codes was clear and understandable with proper explanation. </v>
      </c>
      <c r="J156" s="3" t="str">
        <f>IFERROR(__xludf.DUMMYFUNCTION("""COMPUTED_VALUE"""),"22f3000892@ds.study.iitm.ac.in")</f>
        <v>22f3000892@ds.study.iitm.ac.in</v>
      </c>
      <c r="K156" s="3" t="str">
        <f t="shared" si="1"/>
        <v>22f3000892@ds.study.iitm.ac.inhttps://github.com/Rajat1164/tdsproject</v>
      </c>
      <c r="L156" s="3" t="str">
        <f t="shared" si="2"/>
        <v>22f3000892@ds.study.iitm.ac.inhttps://github.com/payalggn/TDS_Project1</v>
      </c>
    </row>
    <row r="157">
      <c r="A157" s="3">
        <f>IFERROR(__xludf.DUMMYFUNCTION("""COMPUTED_VALUE"""),45599.46687444445)</f>
        <v>45599.46687</v>
      </c>
      <c r="B157" s="5" t="str">
        <f>IFERROR(__xludf.DUMMYFUNCTION("""COMPUTED_VALUE"""),"https://github.com/iitm-student/Project1")</f>
        <v>https://github.com/iitm-student/Project1</v>
      </c>
      <c r="C157" s="3">
        <f>IFERROR(__xludf.DUMMYFUNCTION("""COMPUTED_VALUE"""),3.0)</f>
        <v>3</v>
      </c>
      <c r="D157" s="3">
        <f>IFERROR(__xludf.DUMMYFUNCTION("""COMPUTED_VALUE"""),0.0)</f>
        <v>0</v>
      </c>
      <c r="E157" s="3" t="str">
        <f>IFERROR(__xludf.DUMMYFUNCTION("""COMPUTED_VALUE"""),"1. Very less insights got from the readme file
2. No bulleted points 
3. Few grammatical errors ")</f>
        <v>1. Very less insights got from the readme file
2. No bulleted points 
3. Few grammatical errors </v>
      </c>
      <c r="F157" s="5" t="str">
        <f>IFERROR(__xludf.DUMMYFUNCTION("""COMPUTED_VALUE"""),"https://github.com/hamees-sayed/tds-project")</f>
        <v>https://github.com/hamees-sayed/tds-project</v>
      </c>
      <c r="G157" s="3">
        <f>IFERROR(__xludf.DUMMYFUNCTION("""COMPUTED_VALUE"""),9.0)</f>
        <v>9</v>
      </c>
      <c r="H157" s="3">
        <f>IFERROR(__xludf.DUMMYFUNCTION("""COMPUTED_VALUE"""),8.0)</f>
        <v>8</v>
      </c>
      <c r="I157" s="3" t="str">
        <f>IFERROR(__xludf.DUMMYFUNCTION("""COMPUTED_VALUE"""),"1. The insights found were really great
2. The code was properly commented, and a good notebook was maintained
3. Tough code was provided for actions and analysis, there was no code on how data was scrapped  ")</f>
        <v>1. The insights found were really great
2. The code was properly commented, and a good notebook was maintained
3. Tough code was provided for actions and analysis, there was no code on how data was scrapped  </v>
      </c>
      <c r="J157" s="3" t="str">
        <f>IFERROR(__xludf.DUMMYFUNCTION("""COMPUTED_VALUE"""),"22f3002597@ds.study.iitm.ac.in")</f>
        <v>22f3002597@ds.study.iitm.ac.in</v>
      </c>
      <c r="K157" s="3" t="str">
        <f t="shared" si="1"/>
        <v>22f3002597@ds.study.iitm.ac.inhttps://github.com/iitm-student/Project1</v>
      </c>
      <c r="L157" s="3" t="str">
        <f t="shared" si="2"/>
        <v>22f3002597@ds.study.iitm.ac.inhttps://github.com/hamees-sayed/tds-project</v>
      </c>
    </row>
    <row r="158">
      <c r="A158" s="3">
        <f>IFERROR(__xludf.DUMMYFUNCTION("""COMPUTED_VALUE"""),45600.95893674769)</f>
        <v>45600.95894</v>
      </c>
      <c r="B158" s="5" t="str">
        <f>IFERROR(__xludf.DUMMYFUNCTION("""COMPUTED_VALUE"""),"https://github.com/gotherwal/TDS_Project1")</f>
        <v>https://github.com/gotherwal/TDS_Project1</v>
      </c>
      <c r="C158" s="3">
        <f>IFERROR(__xludf.DUMMYFUNCTION("""COMPUTED_VALUE"""),10.0)</f>
        <v>10</v>
      </c>
      <c r="D158" s="3">
        <f>IFERROR(__xludf.DUMMYFUNCTION("""COMPUTED_VALUE"""),0.0)</f>
        <v>0</v>
      </c>
      <c r="E158" s="3" t="str">
        <f>IFERROR(__xludf.DUMMYFUNCTION("""COMPUTED_VALUE"""),"The code is missing and the README file only contains the repo name.")</f>
        <v>The code is missing and the README file only contains the repo name.</v>
      </c>
      <c r="F158" s="5" t="str">
        <f>IFERROR(__xludf.DUMMYFUNCTION("""COMPUTED_VALUE"""),"https://github.com/tanishka-26saxena/Tokyo-200")</f>
        <v>https://github.com/tanishka-26saxena/Tokyo-200</v>
      </c>
      <c r="G158" s="3">
        <f>IFERROR(__xludf.DUMMYFUNCTION("""COMPUTED_VALUE"""),10.0)</f>
        <v>10</v>
      </c>
      <c r="H158" s="3">
        <f>IFERROR(__xludf.DUMMYFUNCTION("""COMPUTED_VALUE"""),0.0)</f>
        <v>0</v>
      </c>
      <c r="I158" s="3" t="str">
        <f>IFERROR(__xludf.DUMMYFUNCTION("""COMPUTED_VALUE"""),"The code is missing and the README has good info.")</f>
        <v>The code is missing and the README has good info.</v>
      </c>
      <c r="J158" s="3" t="str">
        <f>IFERROR(__xludf.DUMMYFUNCTION("""COMPUTED_VALUE"""),"22f3003157@ds.study.iitm.ac.in")</f>
        <v>22f3003157@ds.study.iitm.ac.in</v>
      </c>
      <c r="K158" s="3" t="str">
        <f t="shared" si="1"/>
        <v>22f3003157@ds.study.iitm.ac.inhttps://github.com/gotherwal/TDS_Project1</v>
      </c>
      <c r="L158" s="3" t="str">
        <f t="shared" si="2"/>
        <v>22f3003157@ds.study.iitm.ac.inhttps://github.com/tanishka-26saxena/Tokyo-200</v>
      </c>
    </row>
    <row r="159">
      <c r="A159" s="3">
        <f>IFERROR(__xludf.DUMMYFUNCTION("""COMPUTED_VALUE"""),45599.47086133102)</f>
        <v>45599.47086</v>
      </c>
      <c r="B159" s="5" t="str">
        <f>IFERROR(__xludf.DUMMYFUNCTION("""COMPUTED_VALUE"""),"https://github.com/abhistjain/Project_tds")</f>
        <v>https://github.com/abhistjain/Project_tds</v>
      </c>
      <c r="C159" s="3">
        <f>IFERROR(__xludf.DUMMYFUNCTION("""COMPUTED_VALUE"""),10.0)</f>
        <v>10</v>
      </c>
      <c r="D159" s="3">
        <f>IFERROR(__xludf.DUMMYFUNCTION("""COMPUTED_VALUE"""),10.0)</f>
        <v>10</v>
      </c>
      <c r="E159" s="3" t="str">
        <f>IFERROR(__xludf.DUMMYFUNCTION("""COMPUTED_VALUE"""),"The codes written are very clear and elegant and also readme has been written professionally and to the point.")</f>
        <v>The codes written are very clear and elegant and also readme has been written professionally and to the point.</v>
      </c>
      <c r="F159" s="5" t="str">
        <f>IFERROR(__xludf.DUMMYFUNCTION("""COMPUTED_VALUE"""),"https://github.com/JAISUBIKSHA/TDS_PROJECT1")</f>
        <v>https://github.com/JAISUBIKSHA/TDS_PROJECT1</v>
      </c>
      <c r="G159" s="3">
        <f>IFERROR(__xludf.DUMMYFUNCTION("""COMPUTED_VALUE"""),9.0)</f>
        <v>9</v>
      </c>
      <c r="H159" s="3">
        <f>IFERROR(__xludf.DUMMYFUNCTION("""COMPUTED_VALUE"""),10.0)</f>
        <v>10</v>
      </c>
      <c r="I159" s="3" t="str">
        <f>IFERROR(__xludf.DUMMYFUNCTION("""COMPUTED_VALUE"""),"Very simple and to the point readme and also codes are arranged in a good and presentable sequence.")</f>
        <v>Very simple and to the point readme and also codes are arranged in a good and presentable sequence.</v>
      </c>
      <c r="J159" s="3" t="str">
        <f>IFERROR(__xludf.DUMMYFUNCTION("""COMPUTED_VALUE"""),"23f2001421@ds.study.iitm.ac.in")</f>
        <v>23f2001421@ds.study.iitm.ac.in</v>
      </c>
      <c r="K159" s="3" t="str">
        <f t="shared" si="1"/>
        <v>23f2001421@ds.study.iitm.ac.inhttps://github.com/abhistjain/Project_tds</v>
      </c>
      <c r="L159" s="3" t="str">
        <f t="shared" si="2"/>
        <v>23f2001421@ds.study.iitm.ac.inhttps://github.com/JAISUBIKSHA/TDS_PROJECT1</v>
      </c>
    </row>
    <row r="160">
      <c r="A160" s="3">
        <f>IFERROR(__xludf.DUMMYFUNCTION("""COMPUTED_VALUE"""),45601.43237945602)</f>
        <v>45601.43238</v>
      </c>
      <c r="B160" s="5" t="str">
        <f>IFERROR(__xludf.DUMMYFUNCTION("""COMPUTED_VALUE"""),"https://github.com/Pragati2001589/my_repository")</f>
        <v>https://github.com/Pragati2001589/my_repository</v>
      </c>
      <c r="C160" s="3">
        <f>IFERROR(__xludf.DUMMYFUNCTION("""COMPUTED_VALUE"""),8.0)</f>
        <v>8</v>
      </c>
      <c r="D160" s="3">
        <f>IFERROR(__xludf.DUMMYFUNCTION("""COMPUTED_VALUE"""),10.0)</f>
        <v>10</v>
      </c>
      <c r="E160" s="3" t="str">
        <f>IFERROR(__xludf.DUMMYFUNCTION("""COMPUTED_VALUE"""),"The analysis gave me a unique insight, there was code detailing how they scraped the data")</f>
        <v>The analysis gave me a unique insight, there was code detailing how they scraped the data</v>
      </c>
      <c r="F160" s="5" t="str">
        <f>IFERROR(__xludf.DUMMYFUNCTION("""COMPUTED_VALUE"""),"https://github.com/22f1000952/basel-users-analysis")</f>
        <v>https://github.com/22f1000952/basel-users-analysis</v>
      </c>
      <c r="G160" s="3">
        <f>IFERROR(__xludf.DUMMYFUNCTION("""COMPUTED_VALUE"""),10.0)</f>
        <v>10</v>
      </c>
      <c r="H160" s="3">
        <f>IFERROR(__xludf.DUMMYFUNCTION("""COMPUTED_VALUE"""),10.0)</f>
        <v>10</v>
      </c>
      <c r="I160" s="3" t="str">
        <f>IFERROR(__xludf.DUMMYFUNCTION("""COMPUTED_VALUE"""),"They have very well organised code that they use for scraping, also I learned an interesting insight that I myself did not find during the project.")</f>
        <v>They have very well organised code that they use for scraping, also I learned an interesting insight that I myself did not find during the project.</v>
      </c>
      <c r="J160" s="3" t="str">
        <f>IFERROR(__xludf.DUMMYFUNCTION("""COMPUTED_VALUE"""),"21f3002397@ds.study.iitm.ac.in")</f>
        <v>21f3002397@ds.study.iitm.ac.in</v>
      </c>
      <c r="K160" s="3" t="str">
        <f t="shared" si="1"/>
        <v>21f3002397@ds.study.iitm.ac.inhttps://github.com/Pragati2001589/my_repository</v>
      </c>
      <c r="L160" s="3" t="str">
        <f t="shared" si="2"/>
        <v>21f3002397@ds.study.iitm.ac.inhttps://github.com/22f1000952/basel-users-analysis</v>
      </c>
    </row>
    <row r="161">
      <c r="A161" s="3">
        <f>IFERROR(__xludf.DUMMYFUNCTION("""COMPUTED_VALUE"""),45599.51678681713)</f>
        <v>45599.51679</v>
      </c>
      <c r="B161" s="5" t="str">
        <f>IFERROR(__xludf.DUMMYFUNCTION("""COMPUTED_VALUE"""),"https://github.com/Bhavana2639/tds-proj-1")</f>
        <v>https://github.com/Bhavana2639/tds-proj-1</v>
      </c>
      <c r="C161" s="3">
        <f>IFERROR(__xludf.DUMMYFUNCTION("""COMPUTED_VALUE"""),10.0)</f>
        <v>10</v>
      </c>
      <c r="D161" s="3">
        <f>IFERROR(__xludf.DUMMYFUNCTION("""COMPUTED_VALUE"""),10.0)</f>
        <v>10</v>
      </c>
      <c r="E161" s="3" t="str">
        <f>IFERROR(__xludf.DUMMYFUNCTION("""COMPUTED_VALUE"""),"Clean and crisp code and findings too")</f>
        <v>Clean and crisp code and findings too</v>
      </c>
      <c r="F161" s="5" t="str">
        <f>IFERROR(__xludf.DUMMYFUNCTION("""COMPUTED_VALUE"""),"https://github.com/edurelated2021/tds-proj1/tree/main")</f>
        <v>https://github.com/edurelated2021/tds-proj1/tree/main</v>
      </c>
      <c r="G161" s="3">
        <f>IFERROR(__xludf.DUMMYFUNCTION("""COMPUTED_VALUE"""),10.0)</f>
        <v>10</v>
      </c>
      <c r="H161" s="3">
        <f>IFERROR(__xludf.DUMMYFUNCTION("""COMPUTED_VALUE"""),10.0)</f>
        <v>10</v>
      </c>
      <c r="I161" s="3" t="str">
        <f>IFERROR(__xludf.DUMMYFUNCTION("""COMPUTED_VALUE"""),"Amazing analysis and findings and code is proper too")</f>
        <v>Amazing analysis and findings and code is proper too</v>
      </c>
      <c r="J161" s="3" t="str">
        <f>IFERROR(__xludf.DUMMYFUNCTION("""COMPUTED_VALUE"""),"21f2000588@ds.study.iitm.ac.in")</f>
        <v>21f2000588@ds.study.iitm.ac.in</v>
      </c>
      <c r="K161" s="3" t="str">
        <f t="shared" si="1"/>
        <v>21f2000588@ds.study.iitm.ac.inhttps://github.com/Bhavana2639/tds-proj-1</v>
      </c>
      <c r="L161" s="3" t="str">
        <f t="shared" si="2"/>
        <v>21f2000588@ds.study.iitm.ac.inhttps://github.com/edurelated2021/tds-proj1/tree/main</v>
      </c>
    </row>
    <row r="162">
      <c r="A162" s="3">
        <f>IFERROR(__xludf.DUMMYFUNCTION("""COMPUTED_VALUE"""),45599.52302230324)</f>
        <v>45599.52302</v>
      </c>
      <c r="B162" s="5" t="str">
        <f>IFERROR(__xludf.DUMMYFUNCTION("""COMPUTED_VALUE"""),"https://github.com/infamous-01/TDS-Project-1")</f>
        <v>https://github.com/infamous-01/TDS-Project-1</v>
      </c>
      <c r="C162" s="3">
        <f>IFERROR(__xludf.DUMMYFUNCTION("""COMPUTED_VALUE"""),10.0)</f>
        <v>10</v>
      </c>
      <c r="D162" s="3">
        <f>IFERROR(__xludf.DUMMYFUNCTION("""COMPUTED_VALUE"""),0.0)</f>
        <v>0</v>
      </c>
      <c r="E162" s="3" t="str">
        <f>IFERROR(__xludf.DUMMYFUNCTION("""COMPUTED_VALUE"""),"The content on the README file was informative , but there was no code ")</f>
        <v>The content on the README file was informative , but there was no code </v>
      </c>
      <c r="F162" s="5" t="str">
        <f>IFERROR(__xludf.DUMMYFUNCTION("""COMPUTED_VALUE"""),"https://github.com/joy-pro26/TDSProject1")</f>
        <v>https://github.com/joy-pro26/TDSProject1</v>
      </c>
      <c r="G162" s="3">
        <f>IFERROR(__xludf.DUMMYFUNCTION("""COMPUTED_VALUE"""),10.0)</f>
        <v>10</v>
      </c>
      <c r="H162" s="3">
        <f>IFERROR(__xludf.DUMMYFUNCTION("""COMPUTED_VALUE"""),10.0)</f>
        <v>10</v>
      </c>
      <c r="I162" s="3" t="str">
        <f>IFERROR(__xludf.DUMMYFUNCTION("""COMPUTED_VALUE"""),"The code and information in the README file were perfect ")</f>
        <v>The code and information in the README file were perfect </v>
      </c>
      <c r="J162" s="3" t="str">
        <f>IFERROR(__xludf.DUMMYFUNCTION("""COMPUTED_VALUE"""),"22f2000761@ds.study.iitm.ac.in")</f>
        <v>22f2000761@ds.study.iitm.ac.in</v>
      </c>
      <c r="K162" s="3" t="str">
        <f t="shared" si="1"/>
        <v>22f2000761@ds.study.iitm.ac.inhttps://github.com/infamous-01/TDS-Project-1</v>
      </c>
      <c r="L162" s="3" t="str">
        <f t="shared" si="2"/>
        <v>22f2000761@ds.study.iitm.ac.inhttps://github.com/joy-pro26/TDSProject1</v>
      </c>
    </row>
    <row r="163">
      <c r="A163" s="3">
        <f>IFERROR(__xludf.DUMMYFUNCTION("""COMPUTED_VALUE"""),45599.53769597222)</f>
        <v>45599.5377</v>
      </c>
      <c r="B163" s="5" t="str">
        <f>IFERROR(__xludf.DUMMYFUNCTION("""COMPUTED_VALUE"""),"https://github.com/shekharkshitij/TDS_Project")</f>
        <v>https://github.com/shekharkshitij/TDS_Project</v>
      </c>
      <c r="C163" s="3">
        <f>IFERROR(__xludf.DUMMYFUNCTION("""COMPUTED_VALUE"""),10.0)</f>
        <v>10</v>
      </c>
      <c r="D163" s="3">
        <f>IFERROR(__xludf.DUMMYFUNCTION("""COMPUTED_VALUE"""),10.0)</f>
        <v>10</v>
      </c>
      <c r="E163" s="3" t="str">
        <f>IFERROR(__xludf.DUMMYFUNCTION("""COMPUTED_VALUE"""),"Because his repo has all things which needed.")</f>
        <v>Because his repo has all things which needed.</v>
      </c>
      <c r="F163" s="5" t="str">
        <f>IFERROR(__xludf.DUMMYFUNCTION("""COMPUTED_VALUE"""),"https://github.com/jyoti7398/TDS_proj1")</f>
        <v>https://github.com/jyoti7398/TDS_proj1</v>
      </c>
      <c r="G163" s="3">
        <f>IFERROR(__xludf.DUMMYFUNCTION("""COMPUTED_VALUE"""),10.0)</f>
        <v>10</v>
      </c>
      <c r="H163" s="3">
        <f>IFERROR(__xludf.DUMMYFUNCTION("""COMPUTED_VALUE"""),10.0)</f>
        <v>10</v>
      </c>
      <c r="I163" s="3" t="str">
        <f>IFERROR(__xludf.DUMMYFUNCTION("""COMPUTED_VALUE"""),"Because his repo has all things which needed.")</f>
        <v>Because his repo has all things which needed.</v>
      </c>
      <c r="J163" s="3" t="str">
        <f>IFERROR(__xludf.DUMMYFUNCTION("""COMPUTED_VALUE"""),"22f3003042@ds.study.iitm.ac.in")</f>
        <v>22f3003042@ds.study.iitm.ac.in</v>
      </c>
      <c r="K163" s="3" t="str">
        <f t="shared" si="1"/>
        <v>22f3003042@ds.study.iitm.ac.inhttps://github.com/shekharkshitij/TDS_Project</v>
      </c>
      <c r="L163" s="3" t="str">
        <f t="shared" si="2"/>
        <v>22f3003042@ds.study.iitm.ac.inhttps://github.com/jyoti7398/TDS_proj1</v>
      </c>
    </row>
    <row r="164">
      <c r="A164" s="3">
        <f>IFERROR(__xludf.DUMMYFUNCTION("""COMPUTED_VALUE"""),45599.54292245371)</f>
        <v>45599.54292</v>
      </c>
      <c r="B164" s="5" t="str">
        <f>IFERROR(__xludf.DUMMYFUNCTION("""COMPUTED_VALUE"""),"https://github.com/Stephen-iitm/Melbourne-100")</f>
        <v>https://github.com/Stephen-iitm/Melbourne-100</v>
      </c>
      <c r="C164" s="3">
        <f>IFERROR(__xludf.DUMMYFUNCTION("""COMPUTED_VALUE"""),8.0)</f>
        <v>8</v>
      </c>
      <c r="D164" s="3">
        <f>IFERROR(__xludf.DUMMYFUNCTION("""COMPUTED_VALUE"""),8.0)</f>
        <v>8</v>
      </c>
      <c r="E164" s="3" t="str">
        <f>IFERROR(__xludf.DUMMYFUNCTION("""COMPUTED_VALUE"""),"Readme was prperly filled and results are summarized.")</f>
        <v>Readme was prperly filled and results are summarized.</v>
      </c>
      <c r="F164" s="5" t="str">
        <f>IFERROR(__xludf.DUMMYFUNCTION("""COMPUTED_VALUE"""),"https://github.com/RishitPant/tdsproject1")</f>
        <v>https://github.com/RishitPant/tdsproject1</v>
      </c>
      <c r="G164" s="3">
        <f>IFERROR(__xludf.DUMMYFUNCTION("""COMPUTED_VALUE"""),8.0)</f>
        <v>8</v>
      </c>
      <c r="H164" s="3">
        <f>IFERROR(__xludf.DUMMYFUNCTION("""COMPUTED_VALUE"""),8.0)</f>
        <v>8</v>
      </c>
      <c r="I164" s="3" t="str">
        <f>IFERROR(__xludf.DUMMYFUNCTION("""COMPUTED_VALUE"""),"Results and findings are well explained")</f>
        <v>Results and findings are well explained</v>
      </c>
      <c r="J164" s="3" t="str">
        <f>IFERROR(__xludf.DUMMYFUNCTION("""COMPUTED_VALUE"""),"22f3001192@ds.study.iitm.ac.in")</f>
        <v>22f3001192@ds.study.iitm.ac.in</v>
      </c>
      <c r="K164" s="3" t="str">
        <f t="shared" si="1"/>
        <v>22f3001192@ds.study.iitm.ac.inhttps://github.com/Stephen-iitm/Melbourne-100</v>
      </c>
      <c r="L164" s="3" t="str">
        <f t="shared" si="2"/>
        <v>22f3001192@ds.study.iitm.ac.inhttps://github.com/RishitPant/tdsproject1</v>
      </c>
    </row>
    <row r="165">
      <c r="A165" s="3">
        <f>IFERROR(__xludf.DUMMYFUNCTION("""COMPUTED_VALUE"""),45599.544540104165)</f>
        <v>45599.54454</v>
      </c>
      <c r="B165" s="5" t="str">
        <f>IFERROR(__xludf.DUMMYFUNCTION("""COMPUTED_VALUE"""),"https://github.com/akshaykashyap003/tds_project1")</f>
        <v>https://github.com/akshaykashyap003/tds_project1</v>
      </c>
      <c r="C165" s="3">
        <f>IFERROR(__xludf.DUMMYFUNCTION("""COMPUTED_VALUE"""),5.0)</f>
        <v>5</v>
      </c>
      <c r="D165" s="3">
        <f>IFERROR(__xludf.DUMMYFUNCTION("""COMPUTED_VALUE"""),10.0)</f>
        <v>10</v>
      </c>
      <c r="E165" s="3" t="str">
        <f>IFERROR(__xludf.DUMMYFUNCTION("""COMPUTED_VALUE"""),"I provided a 5 in findings because there is a README.md in the repo, but there is no findings in it, instead there is just what the repo contains and what data was collected. There are no specific findings as such. The code is well written and clean with "&amp;"appropriate comments hence giving a 10 for it.")</f>
        <v>I provided a 5 in findings because there is a README.md in the repo, but there is no findings in it, instead there is just what the repo contains and what data was collected. There are no specific findings as such. The code is well written and clean with appropriate comments hence giving a 10 for it.</v>
      </c>
      <c r="F165" s="5" t="str">
        <f>IFERROR(__xludf.DUMMYFUNCTION("""COMPUTED_VALUE"""),"https://github.com/kik893/Project-1")</f>
        <v>https://github.com/kik893/Project-1</v>
      </c>
      <c r="G165" s="3">
        <f>IFERROR(__xludf.DUMMYFUNCTION("""COMPUTED_VALUE"""),10.0)</f>
        <v>10</v>
      </c>
      <c r="H165" s="3">
        <f>IFERROR(__xludf.DUMMYFUNCTION("""COMPUTED_VALUE"""),10.0)</f>
        <v>10</v>
      </c>
      <c r="I165" s="3" t="str">
        <f>IFERROR(__xludf.DUMMYFUNCTION("""COMPUTED_VALUE"""),"These ratings are apt because there is an interesting finding that ""Many popular repositories, despite having high star counts, lack wikis and project management features. Improving documentation could greatly benefit these projects."" and there is also "&amp;"recommendation based on it. Hence, I gave a 10 for it. The code is also clean and professional hence, given a rating of 10.")</f>
        <v>These ratings are apt because there is an interesting finding that "Many popular repositories, despite having high star counts, lack wikis and project management features. Improving documentation could greatly benefit these projects." and there is also recommendation based on it. Hence, I gave a 10 for it. The code is also clean and professional hence, given a rating of 10.</v>
      </c>
      <c r="J165" s="3" t="str">
        <f>IFERROR(__xludf.DUMMYFUNCTION("""COMPUTED_VALUE"""),"22f2000703@ds.study.iitm.ac.in")</f>
        <v>22f2000703@ds.study.iitm.ac.in</v>
      </c>
      <c r="K165" s="3" t="str">
        <f t="shared" si="1"/>
        <v>22f2000703@ds.study.iitm.ac.inhttps://github.com/akshaykashyap003/tds_project1</v>
      </c>
      <c r="L165" s="3" t="str">
        <f t="shared" si="2"/>
        <v>22f2000703@ds.study.iitm.ac.inhttps://github.com/kik893/Project-1</v>
      </c>
    </row>
    <row r="166">
      <c r="A166" s="3">
        <f>IFERROR(__xludf.DUMMYFUNCTION("""COMPUTED_VALUE"""),45599.6292052662)</f>
        <v>45599.62921</v>
      </c>
      <c r="B166" s="5" t="str">
        <f>IFERROR(__xludf.DUMMYFUNCTION("""COMPUTED_VALUE"""),"https://github.com/AdithyaLingam/tds_project_24f1002079")</f>
        <v>https://github.com/AdithyaLingam/tds_project_24f1002079</v>
      </c>
      <c r="C166" s="3">
        <f>IFERROR(__xludf.DUMMYFUNCTION("""COMPUTED_VALUE"""),10.0)</f>
        <v>10</v>
      </c>
      <c r="D166" s="3">
        <f>IFERROR(__xludf.DUMMYFUNCTION("""COMPUTED_VALUE"""),10.0)</f>
        <v>10</v>
      </c>
      <c r="E166" s="3" t="str">
        <f>IFERROR(__xludf.DUMMYFUNCTION("""COMPUTED_VALUE"""),"Even though they are hireable, most of these top engineers surprisingly do not make their email addresses publicly available is the interesting thing and i did not expected this. Repo code is well written")</f>
        <v>Even though they are hireable, most of these top engineers surprisingly do not make their email addresses publicly available is the interesting thing and i did not expected this. Repo code is well written</v>
      </c>
      <c r="F166" s="5" t="str">
        <f>IFERROR(__xludf.DUMMYFUNCTION("""COMPUTED_VALUE"""),"https://github.com/b-panda/Dublin-GitHub-Users")</f>
        <v>https://github.com/b-panda/Dublin-GitHub-Users</v>
      </c>
      <c r="G166" s="3">
        <f>IFERROR(__xludf.DUMMYFUNCTION("""COMPUTED_VALUE"""),2.0)</f>
        <v>2</v>
      </c>
      <c r="H166" s="3">
        <f>IFERROR(__xludf.DUMMYFUNCTION("""COMPUTED_VALUE"""),10.0)</f>
        <v>10</v>
      </c>
      <c r="I166" s="3" t="str">
        <f>IFERROR(__xludf.DUMMYFUNCTION("""COMPUTED_VALUE"""),"I did not find anything interested in readme.md, so i gave 2. The repo files looks good")</f>
        <v>I did not find anything interested in readme.md, so i gave 2. The repo files looks good</v>
      </c>
      <c r="J166" s="3" t="str">
        <f>IFERROR(__xludf.DUMMYFUNCTION("""COMPUTED_VALUE"""),"22f3002293@ds.study.iitm.ac.in")</f>
        <v>22f3002293@ds.study.iitm.ac.in</v>
      </c>
      <c r="K166" s="3" t="str">
        <f t="shared" si="1"/>
        <v>22f3002293@ds.study.iitm.ac.inhttps://github.com/AdithyaLingam/tds_project_24f1002079</v>
      </c>
      <c r="L166" s="3" t="str">
        <f t="shared" si="2"/>
        <v>22f3002293@ds.study.iitm.ac.inhttps://github.com/b-panda/Dublin-GitHub-Users</v>
      </c>
    </row>
    <row r="167">
      <c r="A167" s="3">
        <f>IFERROR(__xludf.DUMMYFUNCTION("""COMPUTED_VALUE"""),45599.555727743056)</f>
        <v>45599.55573</v>
      </c>
      <c r="B167" s="5" t="str">
        <f>IFERROR(__xludf.DUMMYFUNCTION("""COMPUTED_VALUE"""),"https://github.com/BriIITM/Project1-TDS")</f>
        <v>https://github.com/BriIITM/Project1-TDS</v>
      </c>
      <c r="C167" s="3">
        <f>IFERROR(__xludf.DUMMYFUNCTION("""COMPUTED_VALUE"""),9.0)</f>
        <v>9</v>
      </c>
      <c r="D167" s="3">
        <f>IFERROR(__xludf.DUMMYFUNCTION("""COMPUTED_VALUE"""),9.0)</f>
        <v>9</v>
      </c>
      <c r="E167" s="3" t="str">
        <f>IFERROR(__xludf.DUMMYFUNCTION("""COMPUTED_VALUE"""),"The repository was neat and understandable. Code was shown for every analysis made.")</f>
        <v>The repository was neat and understandable. Code was shown for every analysis made.</v>
      </c>
      <c r="F167" s="5" t="str">
        <f>IFERROR(__xludf.DUMMYFUNCTION("""COMPUTED_VALUE"""),"https://github.com/RiyaAgarwal22/TDS_Proj_1")</f>
        <v>https://github.com/RiyaAgarwal22/TDS_Proj_1</v>
      </c>
      <c r="G167" s="3">
        <f>IFERROR(__xludf.DUMMYFUNCTION("""COMPUTED_VALUE"""),10.0)</f>
        <v>10</v>
      </c>
      <c r="H167" s="3">
        <f>IFERROR(__xludf.DUMMYFUNCTION("""COMPUTED_VALUE"""),8.0)</f>
        <v>8</v>
      </c>
      <c r="I167" s="3" t="str">
        <f>IFERROR(__xludf.DUMMYFUNCTION("""COMPUTED_VALUE"""),"The repository was neat . Code was shown for every analysis made. Could be a bit more clear")</f>
        <v>The repository was neat . Code was shown for every analysis made. Could be a bit more clear</v>
      </c>
      <c r="J167" s="3" t="str">
        <f>IFERROR(__xludf.DUMMYFUNCTION("""COMPUTED_VALUE"""),"22f3000651@ds.study.iitm.ac.in")</f>
        <v>22f3000651@ds.study.iitm.ac.in</v>
      </c>
      <c r="K167" s="3" t="str">
        <f t="shared" si="1"/>
        <v>22f3000651@ds.study.iitm.ac.inhttps://github.com/BriIITM/Project1-TDS</v>
      </c>
      <c r="L167" s="3" t="str">
        <f t="shared" si="2"/>
        <v>22f3000651@ds.study.iitm.ac.inhttps://github.com/RiyaAgarwal22/TDS_Proj_1</v>
      </c>
    </row>
    <row r="168">
      <c r="A168" s="3">
        <f>IFERROR(__xludf.DUMMYFUNCTION("""COMPUTED_VALUE"""),45599.592308900465)</f>
        <v>45599.59231</v>
      </c>
      <c r="B168" s="5" t="str">
        <f>IFERROR(__xludf.DUMMYFUNCTION("""COMPUTED_VALUE"""),"https://github.com/sri-4122/TDS-PROJECT1-FINAL")</f>
        <v>https://github.com/sri-4122/TDS-PROJECT1-FINAL</v>
      </c>
      <c r="C168" s="3">
        <f>IFERROR(__xludf.DUMMYFUNCTION("""COMPUTED_VALUE"""),10.0)</f>
        <v>10</v>
      </c>
      <c r="D168" s="3">
        <f>IFERROR(__xludf.DUMMYFUNCTION("""COMPUTED_VALUE"""),10.0)</f>
        <v>10</v>
      </c>
      <c r="E168" s="3" t="str">
        <f>IFERROR(__xludf.DUMMYFUNCTION("""COMPUTED_VALUE"""),"Finding was interesting in the sense that so many use Python, which was not the case with the city I was allotted . The code was easy to read and understand.")</f>
        <v>Finding was interesting in the sense that so many use Python, which was not the case with the city I was allotted . The code was easy to read and understand.</v>
      </c>
      <c r="F168" s="5" t="str">
        <f>IFERROR(__xludf.DUMMYFUNCTION("""COMPUTED_VALUE"""),"https://github.com/jayasri-js/github-london-users")</f>
        <v>https://github.com/jayasri-js/github-london-users</v>
      </c>
      <c r="G168" s="3">
        <f>IFERROR(__xludf.DUMMYFUNCTION("""COMPUTED_VALUE"""),10.0)</f>
        <v>10</v>
      </c>
      <c r="H168" s="3">
        <f>IFERROR(__xludf.DUMMYFUNCTION("""COMPUTED_VALUE"""),10.0)</f>
        <v>10</v>
      </c>
      <c r="I168" s="3" t="str">
        <f>IFERROR(__xludf.DUMMYFUNCTION("""COMPUTED_VALUE"""),"Finding for London was consistent with the western city I was allotted: Austin. Looks like Python is more popular in India (judging from Hyderabad's findings which was the 1st repo I was allotted) than in the West for some reason. The code was easy to und"&amp;"erstand.")</f>
        <v>Finding for London was consistent with the western city I was allotted: Austin. Looks like Python is more popular in India (judging from Hyderabad's findings which was the 1st repo I was allotted) than in the West for some reason. The code was easy to understand.</v>
      </c>
      <c r="J168" s="3" t="str">
        <f>IFERROR(__xludf.DUMMYFUNCTION("""COMPUTED_VALUE"""),"23ds2000155@ds.study.iitm.ac.in")</f>
        <v>23ds2000155@ds.study.iitm.ac.in</v>
      </c>
      <c r="K168" s="3" t="str">
        <f t="shared" si="1"/>
        <v>23ds2000155@ds.study.iitm.ac.inhttps://github.com/sri-4122/TDS-PROJECT1-FINAL</v>
      </c>
      <c r="L168" s="3" t="str">
        <f t="shared" si="2"/>
        <v>23ds2000155@ds.study.iitm.ac.inhttps://github.com/jayasri-js/github-london-users</v>
      </c>
    </row>
    <row r="169">
      <c r="A169" s="3">
        <f>IFERROR(__xludf.DUMMYFUNCTION("""COMPUTED_VALUE"""),45599.593649629634)</f>
        <v>45599.59365</v>
      </c>
      <c r="B169" s="5" t="str">
        <f>IFERROR(__xludf.DUMMYFUNCTION("""COMPUTED_VALUE"""),"https://github.com/rishitaguptaaa/IITM_TDS_Project1")</f>
        <v>https://github.com/rishitaguptaaa/IITM_TDS_Project1</v>
      </c>
      <c r="C169" s="3">
        <f>IFERROR(__xludf.DUMMYFUNCTION("""COMPUTED_VALUE"""),7.0)</f>
        <v>7</v>
      </c>
      <c r="D169" s="3">
        <f>IFERROR(__xludf.DUMMYFUNCTION("""COMPUTED_VALUE"""),9.0)</f>
        <v>9</v>
      </c>
      <c r="E169" s="3" t="str">
        <f>IFERROR(__xludf.DUMMYFUNCTION("""COMPUTED_VALUE"""),"The finding isn't clearly elaborated. The code is commented well.")</f>
        <v>The finding isn't clearly elaborated. The code is commented well.</v>
      </c>
      <c r="F169" s="5" t="str">
        <f>IFERROR(__xludf.DUMMYFUNCTION("""COMPUTED_VALUE"""),"https://github.com/Vscode918/Moscow-users/")</f>
        <v>https://github.com/Vscode918/Moscow-users/</v>
      </c>
      <c r="G169" s="3">
        <f>IFERROR(__xludf.DUMMYFUNCTION("""COMPUTED_VALUE"""),10.0)</f>
        <v>10</v>
      </c>
      <c r="H169" s="3">
        <f>IFERROR(__xludf.DUMMYFUNCTION("""COMPUTED_VALUE"""),9.0)</f>
        <v>9</v>
      </c>
      <c r="I169" s="3" t="str">
        <f>IFERROR(__xludf.DUMMYFUNCTION("""COMPUTED_VALUE"""),"Finding is interesting. Code is well commented.")</f>
        <v>Finding is interesting. Code is well commented.</v>
      </c>
      <c r="J169" s="3" t="str">
        <f>IFERROR(__xludf.DUMMYFUNCTION("""COMPUTED_VALUE"""),"23f2003986@ds.study.iitm.ac.in")</f>
        <v>23f2003986@ds.study.iitm.ac.in</v>
      </c>
      <c r="K169" s="3" t="str">
        <f t="shared" si="1"/>
        <v>23f2003986@ds.study.iitm.ac.inhttps://github.com/rishitaguptaaa/IITM_TDS_Project1</v>
      </c>
      <c r="L169" s="3" t="str">
        <f t="shared" si="2"/>
        <v>23f2003986@ds.study.iitm.ac.inhttps://github.com/Vscode918/Moscow-users/</v>
      </c>
    </row>
    <row r="170">
      <c r="A170" s="3">
        <f>IFERROR(__xludf.DUMMYFUNCTION("""COMPUTED_VALUE"""),45599.59882179398)</f>
        <v>45599.59882</v>
      </c>
      <c r="B170" s="5" t="str">
        <f>IFERROR(__xludf.DUMMYFUNCTION("""COMPUTED_VALUE"""),"https://github.com/uma1979/github-api-analysis")</f>
        <v>https://github.com/uma1979/github-api-analysis</v>
      </c>
      <c r="C170" s="3">
        <f>IFERROR(__xludf.DUMMYFUNCTION("""COMPUTED_VALUE"""),10.0)</f>
        <v>10</v>
      </c>
      <c r="D170" s="3">
        <f>IFERROR(__xludf.DUMMYFUNCTION("""COMPUTED_VALUE"""),10.0)</f>
        <v>10</v>
      </c>
      <c r="E170" s="3" t="str">
        <f>IFERROR(__xludf.DUMMYFUNCTION("""COMPUTED_VALUE"""),"Very clean code files with explanations and learnt more about python from code files ")</f>
        <v>Very clean code files with explanations and learnt more about python from code files </v>
      </c>
      <c r="F170" s="5" t="str">
        <f>IFERROR(__xludf.DUMMYFUNCTION("""COMPUTED_VALUE"""),"https://github.com/Chandra37918/IITM-TDS-Project1")</f>
        <v>https://github.com/Chandra37918/IITM-TDS-Project1</v>
      </c>
      <c r="G170" s="3">
        <f>IFERROR(__xludf.DUMMYFUNCTION("""COMPUTED_VALUE"""),10.0)</f>
        <v>10</v>
      </c>
      <c r="H170" s="3">
        <f>IFERROR(__xludf.DUMMYFUNCTION("""COMPUTED_VALUE"""),10.0)</f>
        <v>10</v>
      </c>
      <c r="I170" s="3" t="str">
        <f>IFERROR(__xludf.DUMMYFUNCTION("""COMPUTED_VALUE"""),"clean code files with explanation, learnt about approach about analysis with python")</f>
        <v>clean code files with explanation, learnt about approach about analysis with python</v>
      </c>
      <c r="J170" s="3" t="str">
        <f>IFERROR(__xludf.DUMMYFUNCTION("""COMPUTED_VALUE"""),"21f1003816@ds.study.iitm.ac.in")</f>
        <v>21f1003816@ds.study.iitm.ac.in</v>
      </c>
      <c r="K170" s="3" t="str">
        <f t="shared" si="1"/>
        <v>21f1003816@ds.study.iitm.ac.inhttps://github.com/uma1979/github-api-analysis</v>
      </c>
      <c r="L170" s="3" t="str">
        <f t="shared" si="2"/>
        <v>21f1003816@ds.study.iitm.ac.inhttps://github.com/Chandra37918/IITM-TDS-Project1</v>
      </c>
    </row>
    <row r="171">
      <c r="A171" s="3">
        <f>IFERROR(__xludf.DUMMYFUNCTION("""COMPUTED_VALUE"""),45599.60329983797)</f>
        <v>45599.6033</v>
      </c>
      <c r="B171" s="5" t="str">
        <f>IFERROR(__xludf.DUMMYFUNCTION("""COMPUTED_VALUE"""),"https://github.com/Rajalakshmi12/IITM_Tds_Project1")</f>
        <v>https://github.com/Rajalakshmi12/IITM_Tds_Project1</v>
      </c>
      <c r="C171" s="3">
        <f>IFERROR(__xludf.DUMMYFUNCTION("""COMPUTED_VALUE"""),10.0)</f>
        <v>10</v>
      </c>
      <c r="D171" s="3">
        <f>IFERROR(__xludf.DUMMYFUNCTION("""COMPUTED_VALUE"""),10.0)</f>
        <v>10</v>
      </c>
      <c r="E171" s="3" t="str">
        <f>IFERROR(__xludf.DUMMYFUNCTION("""COMPUTED_VALUE"""),"The analysis is out of the box. The results are fascinating.")</f>
        <v>The analysis is out of the box. The results are fascinating.</v>
      </c>
      <c r="F171" s="5" t="str">
        <f>IFERROR(__xludf.DUMMYFUNCTION("""COMPUTED_VALUE"""),"https://github.com/heyitsshreya/Austin-GitHub-Users-Analysis")</f>
        <v>https://github.com/heyitsshreya/Austin-GitHub-Users-Analysis</v>
      </c>
      <c r="G171" s="3">
        <f>IFERROR(__xludf.DUMMYFUNCTION("""COMPUTED_VALUE"""),10.0)</f>
        <v>10</v>
      </c>
      <c r="H171" s="3">
        <f>IFERROR(__xludf.DUMMYFUNCTION("""COMPUTED_VALUE"""),10.0)</f>
        <v>10</v>
      </c>
      <c r="I171" s="3" t="str">
        <f>IFERROR(__xludf.DUMMYFUNCTION("""COMPUTED_VALUE"""),"The findings are really intriguing. Code is very elegant too.")</f>
        <v>The findings are really intriguing. Code is very elegant too.</v>
      </c>
      <c r="J171" s="3" t="str">
        <f>IFERROR(__xludf.DUMMYFUNCTION("""COMPUTED_VALUE"""),"23f2005059@ds.study.iitm.ac.in")</f>
        <v>23f2005059@ds.study.iitm.ac.in</v>
      </c>
      <c r="K171" s="3" t="str">
        <f t="shared" si="1"/>
        <v>23f2005059@ds.study.iitm.ac.inhttps://github.com/Rajalakshmi12/IITM_Tds_Project1</v>
      </c>
      <c r="L171" s="3" t="str">
        <f t="shared" si="2"/>
        <v>23f2005059@ds.study.iitm.ac.inhttps://github.com/heyitsshreya/Austin-GitHub-Users-Analysis</v>
      </c>
    </row>
    <row r="172">
      <c r="A172" s="3">
        <f>IFERROR(__xludf.DUMMYFUNCTION("""COMPUTED_VALUE"""),45599.60741907408)</f>
        <v>45599.60742</v>
      </c>
      <c r="B172" s="5" t="str">
        <f>IFERROR(__xludf.DUMMYFUNCTION("""COMPUTED_VALUE"""),"https://github.com/DevanshA1105/Project_1_TDS")</f>
        <v>https://github.com/DevanshA1105/Project_1_TDS</v>
      </c>
      <c r="C172" s="3">
        <f>IFERROR(__xludf.DUMMYFUNCTION("""COMPUTED_VALUE"""),7.0)</f>
        <v>7</v>
      </c>
      <c r="D172" s="3">
        <f>IFERROR(__xludf.DUMMYFUNCTION("""COMPUTED_VALUE"""),0.0)</f>
        <v>0</v>
      </c>
      <c r="E172" s="3" t="str">
        <f>IFERROR(__xludf.DUMMYFUNCTION("""COMPUTED_VALUE"""),"Popular languages and a good reccomendation was provided. Although, a fascinating point was not provided. Also, code is not given.")</f>
        <v>Popular languages and a good reccomendation was provided. Although, a fascinating point was not provided. Also, code is not given.</v>
      </c>
      <c r="F172" s="5" t="str">
        <f>IFERROR(__xludf.DUMMYFUNCTION("""COMPUTED_VALUE"""),"https://github.com/TheMHarsh/TDS_P1")</f>
        <v>https://github.com/TheMHarsh/TDS_P1</v>
      </c>
      <c r="G172" s="3">
        <f>IFERROR(__xludf.DUMMYFUNCTION("""COMPUTED_VALUE"""),9.0)</f>
        <v>9</v>
      </c>
      <c r="H172" s="3">
        <f>IFERROR(__xludf.DUMMYFUNCTION("""COMPUTED_VALUE"""),8.0)</f>
        <v>8</v>
      </c>
      <c r="I172" s="3" t="str">
        <f>IFERROR(__xludf.DUMMYFUNCTION("""COMPUTED_VALUE"""),"Fascinating points were discovered and a clear code was also provided.")</f>
        <v>Fascinating points were discovered and a clear code was also provided.</v>
      </c>
      <c r="J172" s="3" t="str">
        <f>IFERROR(__xludf.DUMMYFUNCTION("""COMPUTED_VALUE"""),"23f2001566@ds.study.iitm.ac.in")</f>
        <v>23f2001566@ds.study.iitm.ac.in</v>
      </c>
      <c r="K172" s="3" t="str">
        <f t="shared" si="1"/>
        <v>23f2001566@ds.study.iitm.ac.inhttps://github.com/DevanshA1105/Project_1_TDS</v>
      </c>
      <c r="L172" s="3" t="str">
        <f t="shared" si="2"/>
        <v>23f2001566@ds.study.iitm.ac.inhttps://github.com/TheMHarsh/TDS_P1</v>
      </c>
    </row>
    <row r="173">
      <c r="A173" s="3">
        <f>IFERROR(__xludf.DUMMYFUNCTION("""COMPUTED_VALUE"""),45599.61214075232)</f>
        <v>45599.61214</v>
      </c>
      <c r="B173" s="5" t="str">
        <f>IFERROR(__xludf.DUMMYFUNCTION("""COMPUTED_VALUE"""),"https://github.com/Lakshay777s/TDS-project")</f>
        <v>https://github.com/Lakshay777s/TDS-project</v>
      </c>
      <c r="C173" s="3">
        <f>IFERROR(__xludf.DUMMYFUNCTION("""COMPUTED_VALUE"""),10.0)</f>
        <v>10</v>
      </c>
      <c r="D173" s="3">
        <f>IFERROR(__xludf.DUMMYFUNCTION("""COMPUTED_VALUE"""),10.0)</f>
        <v>10</v>
      </c>
      <c r="E173" s="3" t="str">
        <f>IFERROR(__xludf.DUMMYFUNCTION("""COMPUTED_VALUE"""),"Readme was short but efforts can be seen ")</f>
        <v>Readme was short but efforts can be seen </v>
      </c>
      <c r="F173" s="5" t="str">
        <f>IFERROR(__xludf.DUMMYFUNCTION("""COMPUTED_VALUE"""),"https://github.com/rahulyadav46691499/TDS_project")</f>
        <v>https://github.com/rahulyadav46691499/TDS_project</v>
      </c>
      <c r="G173" s="3">
        <f>IFERROR(__xludf.DUMMYFUNCTION("""COMPUTED_VALUE"""),10.0)</f>
        <v>10</v>
      </c>
      <c r="H173" s="3">
        <f>IFERROR(__xludf.DUMMYFUNCTION("""COMPUTED_VALUE"""),10.0)</f>
        <v>10</v>
      </c>
      <c r="I173" s="3" t="str">
        <f>IFERROR(__xludf.DUMMYFUNCTION("""COMPUTED_VALUE"""),"everything seems good and well written ")</f>
        <v>everything seems good and well written </v>
      </c>
      <c r="J173" s="3" t="str">
        <f>IFERROR(__xludf.DUMMYFUNCTION("""COMPUTED_VALUE"""),"22f1000699@ds.study.iitm.ac.in")</f>
        <v>22f1000699@ds.study.iitm.ac.in</v>
      </c>
      <c r="K173" s="3" t="str">
        <f t="shared" si="1"/>
        <v>22f1000699@ds.study.iitm.ac.inhttps://github.com/Lakshay777s/TDS-project</v>
      </c>
      <c r="L173" s="3" t="str">
        <f t="shared" si="2"/>
        <v>22f1000699@ds.study.iitm.ac.inhttps://github.com/rahulyadav46691499/TDS_project</v>
      </c>
    </row>
    <row r="174">
      <c r="A174" s="3">
        <f>IFERROR(__xludf.DUMMYFUNCTION("""COMPUTED_VALUE"""),45599.6123905787)</f>
        <v>45599.61239</v>
      </c>
      <c r="B174" s="5" t="str">
        <f>IFERROR(__xludf.DUMMYFUNCTION("""COMPUTED_VALUE"""),"https://github.com/yali369/Boston")</f>
        <v>https://github.com/yali369/Boston</v>
      </c>
      <c r="C174" s="3">
        <f>IFERROR(__xludf.DUMMYFUNCTION("""COMPUTED_VALUE"""),7.0)</f>
        <v>7</v>
      </c>
      <c r="D174" s="3">
        <f>IFERROR(__xludf.DUMMYFUNCTION("""COMPUTED_VALUE"""),6.0)</f>
        <v>6</v>
      </c>
      <c r="E174" s="3" t="str">
        <f>IFERROR(__xludf.DUMMYFUNCTION("""COMPUTED_VALUE"""),"Analysis provided is the same as in the questions asked. Also it was hard to locate which of python code or excel file was used to perform the computation of results.")</f>
        <v>Analysis provided is the same as in the questions asked. Also it was hard to locate which of python code or excel file was used to perform the computation of results.</v>
      </c>
      <c r="F174" s="5" t="str">
        <f>IFERROR(__xludf.DUMMYFUNCTION("""COMPUTED_VALUE"""),"https://github.com/microdev1/tds-p1")</f>
        <v>https://github.com/microdev1/tds-p1</v>
      </c>
      <c r="G174" s="3">
        <f>IFERROR(__xludf.DUMMYFUNCTION("""COMPUTED_VALUE"""),9.0)</f>
        <v>9</v>
      </c>
      <c r="H174" s="3">
        <f>IFERROR(__xludf.DUMMYFUNCTION("""COMPUTED_VALUE"""),9.0)</f>
        <v>9</v>
      </c>
      <c r="I174" s="3" t="str">
        <f>IFERROR(__xludf.DUMMYFUNCTION("""COMPUTED_VALUE"""),"This repo provides many insights into the data along with many recommendations to developers. Also the repo is structured nicely with clear documentation in the README.md file.
")</f>
        <v>This repo provides many insights into the data along with many recommendations to developers. Also the repo is structured nicely with clear documentation in the README.md file.
</v>
      </c>
      <c r="J174" s="3" t="str">
        <f>IFERROR(__xludf.DUMMYFUNCTION("""COMPUTED_VALUE"""),"21f1005280@ds.study.iitm.ac.in")</f>
        <v>21f1005280@ds.study.iitm.ac.in</v>
      </c>
      <c r="K174" s="3" t="str">
        <f t="shared" si="1"/>
        <v>21f1005280@ds.study.iitm.ac.inhttps://github.com/yali369/Boston</v>
      </c>
      <c r="L174" s="3" t="str">
        <f t="shared" si="2"/>
        <v>21f1005280@ds.study.iitm.ac.inhttps://github.com/microdev1/tds-p1</v>
      </c>
    </row>
    <row r="175">
      <c r="A175" s="3">
        <f>IFERROR(__xludf.DUMMYFUNCTION("""COMPUTED_VALUE"""),45599.61719016204)</f>
        <v>45599.61719</v>
      </c>
      <c r="B175" s="5" t="str">
        <f>IFERROR(__xludf.DUMMYFUNCTION("""COMPUTED_VALUE"""),"https://github.com/Giri-Subrahmanya/23f2000573-TDS-P1/tree/main")</f>
        <v>https://github.com/Giri-Subrahmanya/23f2000573-TDS-P1/tree/main</v>
      </c>
      <c r="C175" s="3">
        <f>IFERROR(__xludf.DUMMYFUNCTION("""COMPUTED_VALUE"""),9.0)</f>
        <v>9</v>
      </c>
      <c r="D175" s="3">
        <f>IFERROR(__xludf.DUMMYFUNCTION("""COMPUTED_VALUE"""),9.0)</f>
        <v>9</v>
      </c>
      <c r="E175" s="3" t="str">
        <f>IFERROR(__xludf.DUMMYFUNCTION("""COMPUTED_VALUE"""),"There was a unique finding and the code seem to cover all the topics ")</f>
        <v>There was a unique finding and the code seem to cover all the topics </v>
      </c>
      <c r="F175" s="5" t="str">
        <f>IFERROR(__xludf.DUMMYFUNCTION("""COMPUTED_VALUE"""),"https://github.com/Anupama-Manjunath/22f3003253_tdsPA1")</f>
        <v>https://github.com/Anupama-Manjunath/22f3003253_tdsPA1</v>
      </c>
      <c r="G175" s="3">
        <f>IFERROR(__xludf.DUMMYFUNCTION("""COMPUTED_VALUE"""),10.0)</f>
        <v>10</v>
      </c>
      <c r="H175" s="3">
        <f>IFERROR(__xludf.DUMMYFUNCTION("""COMPUTED_VALUE"""),10.0)</f>
        <v>10</v>
      </c>
      <c r="I175" s="3" t="str">
        <f>IFERROR(__xludf.DUMMYFUNCTION("""COMPUTED_VALUE"""),"The findings were really good and code is well written ")</f>
        <v>The findings were really good and code is well written </v>
      </c>
      <c r="J175" s="3" t="str">
        <f>IFERROR(__xludf.DUMMYFUNCTION("""COMPUTED_VALUE"""),"23f2000919@ds.study.iitm.ac.in")</f>
        <v>23f2000919@ds.study.iitm.ac.in</v>
      </c>
      <c r="K175" s="3" t="str">
        <f t="shared" si="1"/>
        <v>23f2000919@ds.study.iitm.ac.inhttps://github.com/Giri-Subrahmanya/23f2000573-TDS-P1/tree/main</v>
      </c>
      <c r="L175" s="3" t="str">
        <f t="shared" si="2"/>
        <v>23f2000919@ds.study.iitm.ac.inhttps://github.com/Anupama-Manjunath/22f3003253_tdsPA1</v>
      </c>
    </row>
    <row r="176">
      <c r="A176" s="3">
        <f>IFERROR(__xludf.DUMMYFUNCTION("""COMPUTED_VALUE"""),45599.61835047454)</f>
        <v>45599.61835</v>
      </c>
      <c r="B176" s="5" t="str">
        <f>IFERROR(__xludf.DUMMYFUNCTION("""COMPUTED_VALUE"""),"https://github.com/karthikeyan456/tdsproject1")</f>
        <v>https://github.com/karthikeyan456/tdsproject1</v>
      </c>
      <c r="C176" s="3">
        <f>IFERROR(__xludf.DUMMYFUNCTION("""COMPUTED_VALUE"""),10.0)</f>
        <v>10</v>
      </c>
      <c r="D176" s="3">
        <f>IFERROR(__xludf.DUMMYFUNCTION("""COMPUTED_VALUE"""),10.0)</f>
        <v>10</v>
      </c>
      <c r="E176" s="3" t="str">
        <f>IFERROR(__xludf.DUMMYFUNCTION("""COMPUTED_VALUE"""),"They have provided what they did and what are the findings")</f>
        <v>They have provided what they did and what are the findings</v>
      </c>
      <c r="F176" s="5" t="str">
        <f>IFERROR(__xludf.DUMMYFUNCTION("""COMPUTED_VALUE"""),"https://github.com/JaySoni77/Project-1")</f>
        <v>https://github.com/JaySoni77/Project-1</v>
      </c>
      <c r="G176" s="3">
        <f>IFERROR(__xludf.DUMMYFUNCTION("""COMPUTED_VALUE"""),10.0)</f>
        <v>10</v>
      </c>
      <c r="H176" s="3">
        <f>IFERROR(__xludf.DUMMYFUNCTION("""COMPUTED_VALUE"""),10.0)</f>
        <v>10</v>
      </c>
      <c r="I176" s="3" t="str">
        <f>IFERROR(__xludf.DUMMYFUNCTION("""COMPUTED_VALUE"""),"Provided the brief of the CSV files and told what they did")</f>
        <v>Provided the brief of the CSV files and told what they did</v>
      </c>
      <c r="J176" s="3" t="str">
        <f>IFERROR(__xludf.DUMMYFUNCTION("""COMPUTED_VALUE"""),"22f2000809@ds.study.iitm.ac.in")</f>
        <v>22f2000809@ds.study.iitm.ac.in</v>
      </c>
      <c r="K176" s="3" t="str">
        <f t="shared" si="1"/>
        <v>22f2000809@ds.study.iitm.ac.inhttps://github.com/karthikeyan456/tdsproject1</v>
      </c>
      <c r="L176" s="3" t="str">
        <f t="shared" si="2"/>
        <v>22f2000809@ds.study.iitm.ac.inhttps://github.com/JaySoni77/Project-1</v>
      </c>
    </row>
    <row r="177">
      <c r="A177" s="3">
        <f>IFERROR(__xludf.DUMMYFUNCTION("""COMPUTED_VALUE"""),45599.61930752315)</f>
        <v>45599.61931</v>
      </c>
      <c r="B177" s="5" t="str">
        <f>IFERROR(__xludf.DUMMYFUNCTION("""COMPUTED_VALUE"""),"https://github.com/PavanKumar-KN/TDS_Project_1")</f>
        <v>https://github.com/PavanKumar-KN/TDS_Project_1</v>
      </c>
      <c r="C177" s="3">
        <f>IFERROR(__xludf.DUMMYFUNCTION("""COMPUTED_VALUE"""),10.0)</f>
        <v>10</v>
      </c>
      <c r="D177" s="3">
        <f>IFERROR(__xludf.DUMMYFUNCTION("""COMPUTED_VALUE"""),10.0)</f>
        <v>10</v>
      </c>
      <c r="E177" s="3" t="str">
        <f>IFERROR(__xludf.DUMMYFUNCTION("""COMPUTED_VALUE"""),"its as per the marking scheme ")</f>
        <v>its as per the marking scheme </v>
      </c>
      <c r="F177" s="5" t="str">
        <f>IFERROR(__xludf.DUMMYFUNCTION("""COMPUTED_VALUE"""),"https://github.com/Praviniitm/Project_Moscow")</f>
        <v>https://github.com/Praviniitm/Project_Moscow</v>
      </c>
      <c r="G177" s="3">
        <f>IFERROR(__xludf.DUMMYFUNCTION("""COMPUTED_VALUE"""),10.0)</f>
        <v>10</v>
      </c>
      <c r="H177" s="3">
        <f>IFERROR(__xludf.DUMMYFUNCTION("""COMPUTED_VALUE"""),10.0)</f>
        <v>10</v>
      </c>
      <c r="I177" s="3" t="str">
        <f>IFERROR(__xludf.DUMMYFUNCTION("""COMPUTED_VALUE"""),"its as per the marking scheme ")</f>
        <v>its as per the marking scheme </v>
      </c>
      <c r="J177" s="3" t="str">
        <f>IFERROR(__xludf.DUMMYFUNCTION("""COMPUTED_VALUE"""),"21f1005006@ds.study.iitm.ac.in")</f>
        <v>21f1005006@ds.study.iitm.ac.in</v>
      </c>
      <c r="K177" s="3" t="str">
        <f t="shared" si="1"/>
        <v>21f1005006@ds.study.iitm.ac.inhttps://github.com/PavanKumar-KN/TDS_Project_1</v>
      </c>
      <c r="L177" s="3" t="str">
        <f t="shared" si="2"/>
        <v>21f1005006@ds.study.iitm.ac.inhttps://github.com/Praviniitm/Project_Moscow</v>
      </c>
    </row>
    <row r="178">
      <c r="A178" s="3">
        <f>IFERROR(__xludf.DUMMYFUNCTION("""COMPUTED_VALUE"""),45599.61948621528)</f>
        <v>45599.61949</v>
      </c>
      <c r="B178" s="5" t="str">
        <f>IFERROR(__xludf.DUMMYFUNCTION("""COMPUTED_VALUE"""),"https://github.com/antareep18-geek/TDS-project1")</f>
        <v>https://github.com/antareep18-geek/TDS-project1</v>
      </c>
      <c r="C178" s="3">
        <f>IFERROR(__xludf.DUMMYFUNCTION("""COMPUTED_VALUE"""),10.0)</f>
        <v>10</v>
      </c>
      <c r="D178" s="3">
        <f>IFERROR(__xludf.DUMMYFUNCTION("""COMPUTED_VALUE"""),10.0)</f>
        <v>10</v>
      </c>
      <c r="E178" s="3" t="str">
        <f>IFERROR(__xludf.DUMMYFUNCTION("""COMPUTED_VALUE""")," This could indicate that the findings presented in the README are engaging, relevant, and provide valuable insights or unique contributions to the field, which might have captured your attention or that of potential users.")</f>
        <v> This could indicate that the findings presented in the README are engaging, relevant, and provide valuable insights or unique contributions to the field, which might have captured your attention or that of potential users.</v>
      </c>
      <c r="F178" s="5" t="str">
        <f>IFERROR(__xludf.DUMMYFUNCTION("""COMPUTED_VALUE"""),"https://github.com/AkshatGupta327/TDS_proj_1")</f>
        <v>https://github.com/AkshatGupta327/TDS_proj_1</v>
      </c>
      <c r="G178" s="3">
        <f>IFERROR(__xludf.DUMMYFUNCTION("""COMPUTED_VALUE"""),10.0)</f>
        <v>10</v>
      </c>
      <c r="H178" s="3">
        <f>IFERROR(__xludf.DUMMYFUNCTION("""COMPUTED_VALUE"""),10.0)</f>
        <v>10</v>
      </c>
      <c r="I178" s="3" t="str">
        <f>IFERROR(__xludf.DUMMYFUNCTION("""COMPUTED_VALUE"""),"This suggests that the code is well-organized, follows best practices, is easy to read, and has proper documentation.")</f>
        <v>This suggests that the code is well-organized, follows best practices, is easy to read, and has proper documentation.</v>
      </c>
      <c r="J178" s="3" t="str">
        <f>IFERROR(__xludf.DUMMYFUNCTION("""COMPUTED_VALUE"""),"22f3001338@ds.study.iitm.ac.in")</f>
        <v>22f3001338@ds.study.iitm.ac.in</v>
      </c>
      <c r="K178" s="3" t="str">
        <f t="shared" si="1"/>
        <v>22f3001338@ds.study.iitm.ac.inhttps://github.com/antareep18-geek/TDS-project1</v>
      </c>
      <c r="L178" s="3" t="str">
        <f t="shared" si="2"/>
        <v>22f3001338@ds.study.iitm.ac.inhttps://github.com/AkshatGupta327/TDS_proj_1</v>
      </c>
    </row>
    <row r="179">
      <c r="A179" s="3">
        <f>IFERROR(__xludf.DUMMYFUNCTION("""COMPUTED_VALUE"""),45599.624556215276)</f>
        <v>45599.62456</v>
      </c>
      <c r="B179" s="5" t="str">
        <f>IFERROR(__xludf.DUMMYFUNCTION("""COMPUTED_VALUE"""),"https://github.com/Jatendra/iitm_project1")</f>
        <v>https://github.com/Jatendra/iitm_project1</v>
      </c>
      <c r="C179" s="3">
        <f>IFERROR(__xludf.DUMMYFUNCTION("""COMPUTED_VALUE"""),8.0)</f>
        <v>8</v>
      </c>
      <c r="D179" s="3">
        <f>IFERROR(__xludf.DUMMYFUNCTION("""COMPUTED_VALUE"""),10.0)</f>
        <v>10</v>
      </c>
      <c r="E179" s="3" t="str">
        <f>IFERROR(__xludf.DUMMYFUNCTION("""COMPUTED_VALUE"""),"Based on the criteria mentioned in the email, I have assigned the ratings")</f>
        <v>Based on the criteria mentioned in the email, I have assigned the ratings</v>
      </c>
      <c r="F179" s="5" t="str">
        <f>IFERROR(__xludf.DUMMYFUNCTION("""COMPUTED_VALUE"""),"https://github.com/jhaaj08/TDS_project1")</f>
        <v>https://github.com/jhaaj08/TDS_project1</v>
      </c>
      <c r="G179" s="3">
        <f>IFERROR(__xludf.DUMMYFUNCTION("""COMPUTED_VALUE"""),10.0)</f>
        <v>10</v>
      </c>
      <c r="H179" s="3">
        <f>IFERROR(__xludf.DUMMYFUNCTION("""COMPUTED_VALUE"""),10.0)</f>
        <v>10</v>
      </c>
      <c r="I179" s="3" t="str">
        <f>IFERROR(__xludf.DUMMYFUNCTION("""COMPUTED_VALUE"""),"Based on the criteria mentioned in the email, I have assigned the ratings")</f>
        <v>Based on the criteria mentioned in the email, I have assigned the ratings</v>
      </c>
      <c r="J179" s="3" t="str">
        <f>IFERROR(__xludf.DUMMYFUNCTION("""COMPUTED_VALUE"""),"21f1004246@ds.study.iitm.ac.in")</f>
        <v>21f1004246@ds.study.iitm.ac.in</v>
      </c>
      <c r="K179" s="3" t="str">
        <f t="shared" si="1"/>
        <v>21f1004246@ds.study.iitm.ac.inhttps://github.com/Jatendra/iitm_project1</v>
      </c>
      <c r="L179" s="3" t="str">
        <f t="shared" si="2"/>
        <v>21f1004246@ds.study.iitm.ac.inhttps://github.com/jhaaj08/TDS_project1</v>
      </c>
    </row>
    <row r="180">
      <c r="A180" s="3">
        <f>IFERROR(__xludf.DUMMYFUNCTION("""COMPUTED_VALUE"""),45599.63156098379)</f>
        <v>45599.63156</v>
      </c>
      <c r="B180" s="5" t="str">
        <f>IFERROR(__xludf.DUMMYFUNCTION("""COMPUTED_VALUE"""),"https://github.com/Sahith200444/github-user-data")</f>
        <v>https://github.com/Sahith200444/github-user-data</v>
      </c>
      <c r="C180" s="3">
        <f>IFERROR(__xludf.DUMMYFUNCTION("""COMPUTED_VALUE"""),7.0)</f>
        <v>7</v>
      </c>
      <c r="D180" s="3">
        <f>IFERROR(__xludf.DUMMYFUNCTION("""COMPUTED_VALUE"""),0.0)</f>
        <v>0</v>
      </c>
      <c r="E180" s="3" t="str">
        <f>IFERROR(__xludf.DUMMYFUNCTION("""COMPUTED_VALUE"""),"1. In the README repo he/she mentioned the approach and data well but didn't mention any interesting fact that he/she found while scraping or little more about repo.csv and user.csvThats why I have given him 7")</f>
        <v>1. In the README repo he/she mentioned the approach and data well but didn't mention any interesting fact that he/she found while scraping or little more about repo.csv and user.csvThats why I have given him 7</v>
      </c>
      <c r="F180" s="5" t="str">
        <f>IFERROR(__xludf.DUMMYFUNCTION("""COMPUTED_VALUE"""),"https://github.com/AryanThakur-123/TDS-Project-1")</f>
        <v>https://github.com/AryanThakur-123/TDS-Project-1</v>
      </c>
      <c r="G180" s="3">
        <f>IFERROR(__xludf.DUMMYFUNCTION("""COMPUTED_VALUE"""),10.0)</f>
        <v>10</v>
      </c>
      <c r="H180" s="3">
        <f>IFERROR(__xludf.DUMMYFUNCTION("""COMPUTED_VALUE"""),10.0)</f>
        <v>10</v>
      </c>
      <c r="I180" s="3" t="str">
        <f>IFERROR(__xludf.DUMMYFUNCTION("""COMPUTED_VALUE"""),"He/she mention each and every thing clearly in his/her repo.
README Section contains a clear and also I found his/her readme interesting mentions about data, approach and interesting facts that he/she found in the data.
He/she repo contains code that he/s"&amp;"he used for data scraping and it is very clear and professional.")</f>
        <v>He/she mention each and every thing clearly in his/her repo.
README Section contains a clear and also I found his/her readme interesting mentions about data, approach and interesting facts that he/she found in the data.
He/she repo contains code that he/she used for data scraping and it is very clear and professional.</v>
      </c>
      <c r="J180" s="3" t="str">
        <f>IFERROR(__xludf.DUMMYFUNCTION("""COMPUTED_VALUE"""),"22f3001690@ds.study.iitm.ac.in")</f>
        <v>22f3001690@ds.study.iitm.ac.in</v>
      </c>
      <c r="K180" s="3" t="str">
        <f t="shared" si="1"/>
        <v>22f3001690@ds.study.iitm.ac.inhttps://github.com/Sahith200444/github-user-data</v>
      </c>
      <c r="L180" s="3" t="str">
        <f t="shared" si="2"/>
        <v>22f3001690@ds.study.iitm.ac.inhttps://github.com/AryanThakur-123/TDS-Project-1</v>
      </c>
    </row>
    <row r="181">
      <c r="A181" s="3">
        <f>IFERROR(__xludf.DUMMYFUNCTION("""COMPUTED_VALUE"""),45599.63298439815)</f>
        <v>45599.63298</v>
      </c>
      <c r="B181" s="5" t="str">
        <f>IFERROR(__xludf.DUMMYFUNCTION("""COMPUTED_VALUE"""),"https://github.com/Ayushman-mukherjee/TDS-Project1")</f>
        <v>https://github.com/Ayushman-mukherjee/TDS-Project1</v>
      </c>
      <c r="C181" s="3">
        <f>IFERROR(__xludf.DUMMYFUNCTION("""COMPUTED_VALUE"""),10.0)</f>
        <v>10</v>
      </c>
      <c r="D181" s="3">
        <f>IFERROR(__xludf.DUMMYFUNCTION("""COMPUTED_VALUE"""),10.0)</f>
        <v>10</v>
      </c>
      <c r="E181" s="3" t="str">
        <f>IFERROR(__xludf.DUMMYFUNCTION("""COMPUTED_VALUE"""),"Proper format and accurate description.")</f>
        <v>Proper format and accurate description.</v>
      </c>
      <c r="F181" s="5" t="str">
        <f>IFERROR(__xludf.DUMMYFUNCTION("""COMPUTED_VALUE"""),"https://github.com/aerosibin/TDS_Pro-1")</f>
        <v>https://github.com/aerosibin/TDS_Pro-1</v>
      </c>
      <c r="G181" s="3">
        <f>IFERROR(__xludf.DUMMYFUNCTION("""COMPUTED_VALUE"""),9.0)</f>
        <v>9</v>
      </c>
      <c r="H181" s="3">
        <f>IFERROR(__xludf.DUMMYFUNCTION("""COMPUTED_VALUE"""),9.0)</f>
        <v>9</v>
      </c>
      <c r="I181" s="3" t="str">
        <f>IFERROR(__xludf.DUMMYFUNCTION("""COMPUTED_VALUE"""),"Could have concentrated on formatting but the explanation was nice")</f>
        <v>Could have concentrated on formatting but the explanation was nice</v>
      </c>
      <c r="J181" s="3" t="str">
        <f>IFERROR(__xludf.DUMMYFUNCTION("""COMPUTED_VALUE"""),"22f3000946@ds.study.iitm.ac.in")</f>
        <v>22f3000946@ds.study.iitm.ac.in</v>
      </c>
      <c r="K181" s="3" t="str">
        <f t="shared" si="1"/>
        <v>22f3000946@ds.study.iitm.ac.inhttps://github.com/Ayushman-mukherjee/TDS-Project1</v>
      </c>
      <c r="L181" s="3" t="str">
        <f t="shared" si="2"/>
        <v>22f3000946@ds.study.iitm.ac.inhttps://github.com/aerosibin/TDS_Pro-1</v>
      </c>
    </row>
    <row r="182">
      <c r="A182" s="3">
        <f>IFERROR(__xludf.DUMMYFUNCTION("""COMPUTED_VALUE"""),45599.63324422453)</f>
        <v>45599.63324</v>
      </c>
      <c r="B182" s="5" t="str">
        <f>IFERROR(__xludf.DUMMYFUNCTION("""COMPUTED_VALUE"""),"https://github.com/22f1000998/TDS-Project-1")</f>
        <v>https://github.com/22f1000998/TDS-Project-1</v>
      </c>
      <c r="C182" s="3">
        <f>IFERROR(__xludf.DUMMYFUNCTION("""COMPUTED_VALUE"""),7.0)</f>
        <v>7</v>
      </c>
      <c r="D182" s="3">
        <f>IFERROR(__xludf.DUMMYFUNCTION("""COMPUTED_VALUE"""),9.0)</f>
        <v>9</v>
      </c>
      <c r="E182" s="3" t="str">
        <f>IFERROR(__xludf.DUMMYFUNCTION("""COMPUTED_VALUE"""),"The repository’s findings are brief, but the code for fetching data is clean and well-organized.")</f>
        <v>The repository’s findings are brief, but the code for fetching data is clean and well-organized.</v>
      </c>
      <c r="F182" s="5" t="str">
        <f>IFERROR(__xludf.DUMMYFUNCTION("""COMPUTED_VALUE"""),"https://github.com/psmidhunreddy/tdsp1")</f>
        <v>https://github.com/psmidhunreddy/tdsp1</v>
      </c>
      <c r="G182" s="3">
        <f>IFERROR(__xludf.DUMMYFUNCTION("""COMPUTED_VALUE"""),8.0)</f>
        <v>8</v>
      </c>
      <c r="H182" s="3">
        <f>IFERROR(__xludf.DUMMYFUNCTION("""COMPUTED_VALUE"""),9.0)</f>
        <v>9</v>
      </c>
      <c r="I182" s="3" t="str">
        <f>IFERROR(__xludf.DUMMYFUNCTION("""COMPUTED_VALUE"""),"The findings are again quite brief, but the code for fetching repository data is readable and well-organized, using a Colab notebook.")</f>
        <v>The findings are again quite brief, but the code for fetching repository data is readable and well-organized, using a Colab notebook.</v>
      </c>
      <c r="J182" s="3" t="str">
        <f>IFERROR(__xludf.DUMMYFUNCTION("""COMPUTED_VALUE"""),"22f1001445@ds.study.iitm.ac.in")</f>
        <v>22f1001445@ds.study.iitm.ac.in</v>
      </c>
      <c r="K182" s="3" t="str">
        <f t="shared" si="1"/>
        <v>22f1001445@ds.study.iitm.ac.inhttps://github.com/22f1000998/TDS-Project-1</v>
      </c>
      <c r="L182" s="3" t="str">
        <f t="shared" si="2"/>
        <v>22f1001445@ds.study.iitm.ac.inhttps://github.com/psmidhunreddy/tdsp1</v>
      </c>
    </row>
    <row r="183">
      <c r="A183" s="3">
        <f>IFERROR(__xludf.DUMMYFUNCTION("""COMPUTED_VALUE"""),45599.63476368056)</f>
        <v>45599.63476</v>
      </c>
      <c r="B183" s="5" t="str">
        <f>IFERROR(__xludf.DUMMYFUNCTION("""COMPUTED_VALUE"""),"https://github.com/harshithbabu-git/Tools-in-DS-Project-1")</f>
        <v>https://github.com/harshithbabu-git/Tools-in-DS-Project-1</v>
      </c>
      <c r="C183" s="3">
        <f>IFERROR(__xludf.DUMMYFUNCTION("""COMPUTED_VALUE"""),5.0)</f>
        <v>5</v>
      </c>
      <c r="D183" s="3">
        <f>IFERROR(__xludf.DUMMYFUNCTION("""COMPUTED_VALUE"""),4.0)</f>
        <v>4</v>
      </c>
      <c r="E183" s="3" t="str">
        <f>IFERROR(__xludf.DUMMYFUNCTION("""COMPUTED_VALUE"""),"It was not clear as it give only a general opinion")</f>
        <v>It was not clear as it give only a general opinion</v>
      </c>
      <c r="F183" s="5" t="str">
        <f>IFERROR(__xludf.DUMMYFUNCTION("""COMPUTED_VALUE"""),"https://github.com/imposter7/seattle-github-users")</f>
        <v>https://github.com/imposter7/seattle-github-users</v>
      </c>
      <c r="G183" s="3">
        <f>IFERROR(__xludf.DUMMYFUNCTION("""COMPUTED_VALUE"""),8.0)</f>
        <v>8</v>
      </c>
      <c r="H183" s="3">
        <f>IFERROR(__xludf.DUMMYFUNCTION("""COMPUTED_VALUE"""),9.0)</f>
        <v>9</v>
      </c>
      <c r="I183" s="3" t="str">
        <f>IFERROR(__xludf.DUMMYFUNCTION("""COMPUTED_VALUE"""),"It was clear as it assessed with the questions given")</f>
        <v>It was clear as it assessed with the questions given</v>
      </c>
      <c r="J183" s="3" t="str">
        <f>IFERROR(__xludf.DUMMYFUNCTION("""COMPUTED_VALUE"""),"24ds2000126@ds.study.iitm.ac.in")</f>
        <v>24ds2000126@ds.study.iitm.ac.in</v>
      </c>
      <c r="K183" s="3" t="str">
        <f t="shared" si="1"/>
        <v>24ds2000126@ds.study.iitm.ac.inhttps://github.com/harshithbabu-git/Tools-in-DS-Project-1</v>
      </c>
      <c r="L183" s="3" t="str">
        <f t="shared" si="2"/>
        <v>24ds2000126@ds.study.iitm.ac.inhttps://github.com/imposter7/seattle-github-users</v>
      </c>
    </row>
    <row r="184">
      <c r="A184" s="3">
        <f>IFERROR(__xludf.DUMMYFUNCTION("""COMPUTED_VALUE"""),45599.63701258102)</f>
        <v>45599.63701</v>
      </c>
      <c r="B184" s="5" t="str">
        <f>IFERROR(__xludf.DUMMYFUNCTION("""COMPUTED_VALUE"""),"https://github.com/VishwasSaini2006/pro")</f>
        <v>https://github.com/VishwasSaini2006/pro</v>
      </c>
      <c r="C184" s="3">
        <f>IFERROR(__xludf.DUMMYFUNCTION("""COMPUTED_VALUE"""),5.0)</f>
        <v>5</v>
      </c>
      <c r="D184" s="3">
        <f>IFERROR(__xludf.DUMMYFUNCTION("""COMPUTED_VALUE"""),10.0)</f>
        <v>10</v>
      </c>
      <c r="E184" s="3" t="str">
        <f>IFERROR(__xludf.DUMMYFUNCTION("""COMPUTED_VALUE"""),"The code was given in a very clear and professional matter with short explanations using comments. The README file contained findings that, while not particularly interesting, were still noteworthy.")</f>
        <v>The code was given in a very clear and professional matter with short explanations using comments. The README file contained findings that, while not particularly interesting, were still noteworthy.</v>
      </c>
      <c r="F184" s="5" t="str">
        <f>IFERROR(__xludf.DUMMYFUNCTION("""COMPUTED_VALUE"""),"https://github.com/Amankumar0017/TDS-Project-1")</f>
        <v>https://github.com/Amankumar0017/TDS-Project-1</v>
      </c>
      <c r="G184" s="3">
        <f>IFERROR(__xludf.DUMMYFUNCTION("""COMPUTED_VALUE"""),10.0)</f>
        <v>10</v>
      </c>
      <c r="H184" s="3">
        <f>IFERROR(__xludf.DUMMYFUNCTION("""COMPUTED_VALUE"""),9.0)</f>
        <v>9</v>
      </c>
      <c r="I184" s="3" t="str">
        <f>IFERROR(__xludf.DUMMYFUNCTION("""COMPUTED_VALUE"""),"The README file had fascinating findings from the analysis. The code was clear and professional, but it lacked sufficient comments for explanation, which is why I gave it a 9/10.")</f>
        <v>The README file had fascinating findings from the analysis. The code was clear and professional, but it lacked sufficient comments for explanation, which is why I gave it a 9/10.</v>
      </c>
      <c r="J184" s="3" t="str">
        <f>IFERROR(__xludf.DUMMYFUNCTION("""COMPUTED_VALUE"""),"23f2003235@ds.study.iitm.ac.in")</f>
        <v>23f2003235@ds.study.iitm.ac.in</v>
      </c>
      <c r="K184" s="3" t="str">
        <f t="shared" si="1"/>
        <v>23f2003235@ds.study.iitm.ac.inhttps://github.com/VishwasSaini2006/pro</v>
      </c>
      <c r="L184" s="3" t="str">
        <f t="shared" si="2"/>
        <v>23f2003235@ds.study.iitm.ac.inhttps://github.com/Amankumar0017/TDS-Project-1</v>
      </c>
    </row>
    <row r="185">
      <c r="A185" s="3">
        <f>IFERROR(__xludf.DUMMYFUNCTION("""COMPUTED_VALUE"""),45599.647166828705)</f>
        <v>45599.64717</v>
      </c>
      <c r="B185" s="5" t="str">
        <f>IFERROR(__xludf.DUMMYFUNCTION("""COMPUTED_VALUE"""),"https://github.com/kanha-00001/project-1-final")</f>
        <v>https://github.com/kanha-00001/project-1-final</v>
      </c>
      <c r="C185" s="3">
        <f>IFERROR(__xludf.DUMMYFUNCTION("""COMPUTED_VALUE"""),5.0)</f>
        <v>5</v>
      </c>
      <c r="D185" s="3">
        <f>IFERROR(__xludf.DUMMYFUNCTION("""COMPUTED_VALUE"""),0.0)</f>
        <v>0</v>
      </c>
      <c r="E185" s="3" t="str">
        <f>IFERROR(__xludf.DUMMYFUNCTION("""COMPUTED_VALUE"""),"The interesting fact just said the most used programming language in Tokyo and suggested the developers engaging with those. There was no code present in the Github link.")</f>
        <v>The interesting fact just said the most used programming language in Tokyo and suggested the developers engaging with those. There was no code present in the Github link.</v>
      </c>
      <c r="F185" s="5" t="str">
        <f>IFERROR(__xludf.DUMMYFUNCTION("""COMPUTED_VALUE"""),"https://github.com/itznoor998/TDS_project1")</f>
        <v>https://github.com/itznoor998/TDS_project1</v>
      </c>
      <c r="G185" s="3">
        <f>IFERROR(__xludf.DUMMYFUNCTION("""COMPUTED_VALUE"""),7.0)</f>
        <v>7</v>
      </c>
      <c r="H185" s="3">
        <f>IFERROR(__xludf.DUMMYFUNCTION("""COMPUTED_VALUE"""),10.0)</f>
        <v>10</v>
      </c>
      <c r="I185" s="3" t="str">
        <f>IFERROR(__xludf.DUMMYFUNCTION("""COMPUTED_VALUE"""),"There was an interesting relation given between repo-data has_projects and stargazers_count. The code is well presented. ")</f>
        <v>There was an interesting relation given between repo-data has_projects and stargazers_count. The code is well presented. </v>
      </c>
      <c r="J185" s="3" t="str">
        <f>IFERROR(__xludf.DUMMYFUNCTION("""COMPUTED_VALUE"""),"22f3000612@ds.study.iitm.ac.in")</f>
        <v>22f3000612@ds.study.iitm.ac.in</v>
      </c>
      <c r="K185" s="3" t="str">
        <f t="shared" si="1"/>
        <v>22f3000612@ds.study.iitm.ac.inhttps://github.com/kanha-00001/project-1-final</v>
      </c>
      <c r="L185" s="3" t="str">
        <f t="shared" si="2"/>
        <v>22f3000612@ds.study.iitm.ac.inhttps://github.com/itznoor998/TDS_project1</v>
      </c>
    </row>
    <row r="186">
      <c r="A186" s="3">
        <f>IFERROR(__xludf.DUMMYFUNCTION("""COMPUTED_VALUE"""),45599.6614191088)</f>
        <v>45599.66142</v>
      </c>
      <c r="B186" s="5" t="str">
        <f>IFERROR(__xludf.DUMMYFUNCTION("""COMPUTED_VALUE"""),"https://github.com/Ankit972-dotcom/sydney-github-users")</f>
        <v>https://github.com/Ankit972-dotcom/sydney-github-users</v>
      </c>
      <c r="C186" s="3">
        <f>IFERROR(__xludf.DUMMYFUNCTION("""COMPUTED_VALUE"""),7.0)</f>
        <v>7</v>
      </c>
      <c r="D186" s="3">
        <f>IFERROR(__xludf.DUMMYFUNCTION("""COMPUTED_VALUE"""),0.0)</f>
        <v>0</v>
      </c>
      <c r="E186" s="3" t="str">
        <f>IFERROR(__xludf.DUMMYFUNCTION("""COMPUTED_VALUE"""),"the reasons for my rating are the readme.me file is very short and minute with lack of analysis report and comments but explains about the repository contents. The repository doesnt have a code.")</f>
        <v>the reasons for my rating are the readme.me file is very short and minute with lack of analysis report and comments but explains about the repository contents. The repository doesnt have a code.</v>
      </c>
      <c r="F186" s="5" t="str">
        <f>IFERROR(__xludf.DUMMYFUNCTION("""COMPUTED_VALUE"""),"https://github.com/Madhu1005/tds-project1")</f>
        <v>https://github.com/Madhu1005/tds-project1</v>
      </c>
      <c r="G186" s="3">
        <f>IFERROR(__xludf.DUMMYFUNCTION("""COMPUTED_VALUE"""),10.0)</f>
        <v>10</v>
      </c>
      <c r="H186" s="3">
        <f>IFERROR(__xludf.DUMMYFUNCTION("""COMPUTED_VALUE"""),10.0)</f>
        <v>10</v>
      </c>
      <c r="I186" s="3" t="str">
        <f>IFERROR(__xludf.DUMMYFUNCTION("""COMPUTED_VALUE"""),"The readme file explains about the repository content as well as the understandings behind it. The repository code is very well explained and scrap code and analysis codes are clearly separated and presented so deserves a good rating.")</f>
        <v>The readme file explains about the repository content as well as the understandings behind it. The repository code is very well explained and scrap code and analysis codes are clearly separated and presented so deserves a good rating.</v>
      </c>
      <c r="J186" s="3" t="str">
        <f>IFERROR(__xludf.DUMMYFUNCTION("""COMPUTED_VALUE"""),"23f1001245@ds.study.iitm.ac.in")</f>
        <v>23f1001245@ds.study.iitm.ac.in</v>
      </c>
      <c r="K186" s="3" t="str">
        <f t="shared" si="1"/>
        <v>23f1001245@ds.study.iitm.ac.inhttps://github.com/Ankit972-dotcom/sydney-github-users</v>
      </c>
      <c r="L186" s="3" t="str">
        <f t="shared" si="2"/>
        <v>23f1001245@ds.study.iitm.ac.inhttps://github.com/Madhu1005/tds-project1</v>
      </c>
    </row>
    <row r="187">
      <c r="A187" s="3">
        <f>IFERROR(__xludf.DUMMYFUNCTION("""COMPUTED_VALUE"""),45599.667486527775)</f>
        <v>45599.66749</v>
      </c>
      <c r="B187" s="5" t="str">
        <f>IFERROR(__xludf.DUMMYFUNCTION("""COMPUTED_VALUE"""),"https://github.com/iitmadvaith/tds")</f>
        <v>https://github.com/iitmadvaith/tds</v>
      </c>
      <c r="C187" s="3">
        <f>IFERROR(__xludf.DUMMYFUNCTION("""COMPUTED_VALUE"""),8.0)</f>
        <v>8</v>
      </c>
      <c r="D187" s="3">
        <f>IFERROR(__xludf.DUMMYFUNCTION("""COMPUTED_VALUE"""),7.0)</f>
        <v>7</v>
      </c>
      <c r="E187" s="3" t="str">
        <f>IFERROR(__xludf.DUMMYFUNCTION("""COMPUTED_VALUE"""),"i gave the rating for readme because it was short and clear about the results from the data. for the code , i gave so because it had shown way to reproduce the result., ")</f>
        <v>i gave the rating for readme because it was short and clear about the results from the data. for the code , i gave so because it had shown way to reproduce the result., </v>
      </c>
      <c r="F187" s="5" t="str">
        <f>IFERROR(__xludf.DUMMYFUNCTION("""COMPUTED_VALUE"""),"https://github.com/sumitt2408/github-users-london")</f>
        <v>https://github.com/sumitt2408/github-users-london</v>
      </c>
      <c r="G187" s="3">
        <f>IFERROR(__xludf.DUMMYFUNCTION("""COMPUTED_VALUE"""),7.0)</f>
        <v>7</v>
      </c>
      <c r="H187" s="3">
        <f>IFERROR(__xludf.DUMMYFUNCTION("""COMPUTED_VALUE"""),7.0)</f>
        <v>7</v>
      </c>
      <c r="I187" s="3" t="str">
        <f>IFERROR(__xludf.DUMMYFUNCTION("""COMPUTED_VALUE"""),"readme was short and clear about what data scraped.code had comments that made it easier to follow")</f>
        <v>readme was short and clear about what data scraped.code had comments that made it easier to follow</v>
      </c>
      <c r="J187" s="3" t="str">
        <f>IFERROR(__xludf.DUMMYFUNCTION("""COMPUTED_VALUE"""),"23f2002351@ds.study.iitm.ac.in")</f>
        <v>23f2002351@ds.study.iitm.ac.in</v>
      </c>
      <c r="K187" s="3" t="str">
        <f t="shared" si="1"/>
        <v>23f2002351@ds.study.iitm.ac.inhttps://github.com/iitmadvaith/tds</v>
      </c>
      <c r="L187" s="3" t="str">
        <f t="shared" si="2"/>
        <v>23f2002351@ds.study.iitm.ac.inhttps://github.com/sumitt2408/github-users-london</v>
      </c>
    </row>
    <row r="188">
      <c r="A188" s="3">
        <f>IFERROR(__xludf.DUMMYFUNCTION("""COMPUTED_VALUE"""),45599.67364501157)</f>
        <v>45599.67365</v>
      </c>
      <c r="B188" s="5" t="str">
        <f>IFERROR(__xludf.DUMMYFUNCTION("""COMPUTED_VALUE"""),"https://github.com/hdsawscloud/project1")</f>
        <v>https://github.com/hdsawscloud/project1</v>
      </c>
      <c r="C188" s="3">
        <f>IFERROR(__xludf.DUMMYFUNCTION("""COMPUTED_VALUE"""),10.0)</f>
        <v>10</v>
      </c>
      <c r="D188" s="3">
        <f>IFERROR(__xludf.DUMMYFUNCTION("""COMPUTED_VALUE"""),10.0)</f>
        <v>10</v>
      </c>
      <c r="E188" s="3" t="str">
        <f>IFERROR(__xludf.DUMMYFUNCTION("""COMPUTED_VALUE"""),"It was a good repository with all the files uploaded properly and with proper explanations.")</f>
        <v>It was a good repository with all the files uploaded properly and with proper explanations.</v>
      </c>
      <c r="F188" s="5" t="str">
        <f>IFERROR(__xludf.DUMMYFUNCTION("""COMPUTED_VALUE"""),"https://github.com/vijayabhaskar78/TDS-PROJECT-1")</f>
        <v>https://github.com/vijayabhaskar78/TDS-PROJECT-1</v>
      </c>
      <c r="G188" s="3">
        <f>IFERROR(__xludf.DUMMYFUNCTION("""COMPUTED_VALUE"""),10.0)</f>
        <v>10</v>
      </c>
      <c r="H188" s="3">
        <f>IFERROR(__xludf.DUMMYFUNCTION("""COMPUTED_VALUE"""),10.0)</f>
        <v>10</v>
      </c>
      <c r="I188" s="3" t="str">
        <f>IFERROR(__xludf.DUMMYFUNCTION("""COMPUTED_VALUE"""),"It was a good repository with all the files uploaded properly and with proper explanations.")</f>
        <v>It was a good repository with all the files uploaded properly and with proper explanations.</v>
      </c>
      <c r="J188" s="3" t="str">
        <f>IFERROR(__xludf.DUMMYFUNCTION("""COMPUTED_VALUE"""),"21f1003945@ds.study.iitm.ac.in")</f>
        <v>21f1003945@ds.study.iitm.ac.in</v>
      </c>
      <c r="K188" s="3" t="str">
        <f t="shared" si="1"/>
        <v>21f1003945@ds.study.iitm.ac.inhttps://github.com/hdsawscloud/project1</v>
      </c>
      <c r="L188" s="3" t="str">
        <f t="shared" si="2"/>
        <v>21f1003945@ds.study.iitm.ac.inhttps://github.com/vijayabhaskar78/TDS-PROJECT-1</v>
      </c>
    </row>
    <row r="189">
      <c r="A189" s="3">
        <f>IFERROR(__xludf.DUMMYFUNCTION("""COMPUTED_VALUE"""),45599.68211347223)</f>
        <v>45599.68211</v>
      </c>
      <c r="B189" s="5" t="str">
        <f>IFERROR(__xludf.DUMMYFUNCTION("""COMPUTED_VALUE"""),"https://github.com/22f1000998/TDS-Project-1")</f>
        <v>https://github.com/22f1000998/TDS-Project-1</v>
      </c>
      <c r="C189" s="3">
        <f>IFERROR(__xludf.DUMMYFUNCTION("""COMPUTED_VALUE"""),10.0)</f>
        <v>10</v>
      </c>
      <c r="D189" s="3">
        <f>IFERROR(__xludf.DUMMYFUNCTION("""COMPUTED_VALUE"""),10.0)</f>
        <v>10</v>
      </c>
      <c r="E189" s="3" t="str">
        <f>IFERROR(__xludf.DUMMYFUNCTION("""COMPUTED_VALUE"""),"I assigned those ratings because the analysis met all required criteria.")</f>
        <v>I assigned those ratings because the analysis met all required criteria.</v>
      </c>
      <c r="F189" s="5" t="str">
        <f>IFERROR(__xludf.DUMMYFUNCTION("""COMPUTED_VALUE"""),"https://github.com/psmidhunreddy/tdsp1")</f>
        <v>https://github.com/psmidhunreddy/tdsp1</v>
      </c>
      <c r="G189" s="3">
        <f>IFERROR(__xludf.DUMMYFUNCTION("""COMPUTED_VALUE"""),10.0)</f>
        <v>10</v>
      </c>
      <c r="H189" s="3">
        <f>IFERROR(__xludf.DUMMYFUNCTION("""COMPUTED_VALUE"""),10.0)</f>
        <v>10</v>
      </c>
      <c r="I189" s="3" t="str">
        <f>IFERROR(__xludf.DUMMYFUNCTION("""COMPUTED_VALUE"""),"I assigned those ratings because the analysis met all required criteria.")</f>
        <v>I assigned those ratings because the analysis met all required criteria.</v>
      </c>
      <c r="J189" s="3" t="str">
        <f>IFERROR(__xludf.DUMMYFUNCTION("""COMPUTED_VALUE"""),"22f1001738@ds.study.iitm.ac.in")</f>
        <v>22f1001738@ds.study.iitm.ac.in</v>
      </c>
      <c r="K189" s="3" t="str">
        <f t="shared" si="1"/>
        <v>22f1001738@ds.study.iitm.ac.inhttps://github.com/22f1000998/TDS-Project-1</v>
      </c>
      <c r="L189" s="3" t="str">
        <f t="shared" si="2"/>
        <v>22f1001738@ds.study.iitm.ac.inhttps://github.com/psmidhunreddy/tdsp1</v>
      </c>
    </row>
    <row r="190">
      <c r="A190" s="3">
        <f>IFERROR(__xludf.DUMMYFUNCTION("""COMPUTED_VALUE"""),45599.68927126157)</f>
        <v>45599.68927</v>
      </c>
      <c r="B190" s="5" t="str">
        <f>IFERROR(__xludf.DUMMYFUNCTION("""COMPUTED_VALUE"""),"https://github.com/deepika4786/tools-for-data-science-project---1")</f>
        <v>https://github.com/deepika4786/tools-for-data-science-project---1</v>
      </c>
      <c r="C190" s="3">
        <f>IFERROR(__xludf.DUMMYFUNCTION("""COMPUTED_VALUE"""),3.0)</f>
        <v>3</v>
      </c>
      <c r="D190" s="3">
        <f>IFERROR(__xludf.DUMMYFUNCTION("""COMPUTED_VALUE"""),0.0)</f>
        <v>0</v>
      </c>
      <c r="E190" s="3" t="str">
        <f>IFERROR(__xludf.DUMMYFUNCTION("""COMPUTED_VALUE"""),"because the ""Readme.md"" file contains only three lines, and no information on how you gathered data, or how you processed it also there are no code present in your GitHub repo")</f>
        <v>because the "Readme.md" file contains only three lines, and no information on how you gathered data, or how you processed it also there are no code present in your GitHub repo</v>
      </c>
      <c r="F190" s="5" t="str">
        <f>IFERROR(__xludf.DUMMYFUNCTION("""COMPUTED_VALUE"""),"https://github.com/himanshu-IIT-M/project1")</f>
        <v>https://github.com/himanshu-IIT-M/project1</v>
      </c>
      <c r="G190" s="3">
        <f>IFERROR(__xludf.DUMMYFUNCTION("""COMPUTED_VALUE"""),1.0)</f>
        <v>1</v>
      </c>
      <c r="H190" s="3">
        <f>IFERROR(__xludf.DUMMYFUNCTION("""COMPUTED_VALUE"""),0.0)</f>
        <v>0</v>
      </c>
      <c r="I190" s="3" t="str">
        <f>IFERROR(__xludf.DUMMYFUNCTION("""COMPUTED_VALUE"""),"because the ""Readme.md"" file contains only a heading of ""project-1"", and no content inside the .md file on how you gathered data, or how you processed it also there are no code present in your GitHub repo")</f>
        <v>because the "Readme.md" file contains only a heading of "project-1", and no content inside the .md file on how you gathered data, or how you processed it also there are no code present in your GitHub repo</v>
      </c>
      <c r="J190" s="3" t="str">
        <f>IFERROR(__xludf.DUMMYFUNCTION("""COMPUTED_VALUE"""),"21f2001565@ds.study.iitm.ac.in")</f>
        <v>21f2001565@ds.study.iitm.ac.in</v>
      </c>
      <c r="K190" s="3" t="str">
        <f t="shared" si="1"/>
        <v>21f2001565@ds.study.iitm.ac.inhttps://github.com/deepika4786/tools-for-data-science-project---1</v>
      </c>
      <c r="L190" s="3" t="str">
        <f t="shared" si="2"/>
        <v>21f2001565@ds.study.iitm.ac.inhttps://github.com/himanshu-IIT-M/project1</v>
      </c>
    </row>
    <row r="191">
      <c r="A191" s="3">
        <f>IFERROR(__xludf.DUMMYFUNCTION("""COMPUTED_VALUE"""),45599.69918033565)</f>
        <v>45599.69918</v>
      </c>
      <c r="B191" s="5" t="str">
        <f>IFERROR(__xludf.DUMMYFUNCTION("""COMPUTED_VALUE"""),"https://github.com/r4mbhardwaj/toronto100")</f>
        <v>https://github.com/r4mbhardwaj/toronto100</v>
      </c>
      <c r="C191" s="3">
        <f>IFERROR(__xludf.DUMMYFUNCTION("""COMPUTED_VALUE"""),10.0)</f>
        <v>10</v>
      </c>
      <c r="D191" s="3">
        <f>IFERROR(__xludf.DUMMYFUNCTION("""COMPUTED_VALUE"""),10.0)</f>
        <v>10</v>
      </c>
      <c r="E191" s="3" t="str">
        <f>IFERROR(__xludf.DUMMYFUNCTION("""COMPUTED_VALUE"""),"Intresting readme and clear repo")</f>
        <v>Intresting readme and clear repo</v>
      </c>
      <c r="F191" s="5" t="str">
        <f>IFERROR(__xludf.DUMMYFUNCTION("""COMPUTED_VALUE"""),"https://github.com/Kabilan-18/TDS-Project1/")</f>
        <v>https://github.com/Kabilan-18/TDS-Project1/</v>
      </c>
      <c r="G191" s="3">
        <f>IFERROR(__xludf.DUMMYFUNCTION("""COMPUTED_VALUE"""),10.0)</f>
        <v>10</v>
      </c>
      <c r="H191" s="3">
        <f>IFERROR(__xludf.DUMMYFUNCTION("""COMPUTED_VALUE"""),10.0)</f>
        <v>10</v>
      </c>
      <c r="I191" s="3" t="str">
        <f>IFERROR(__xludf.DUMMYFUNCTION("""COMPUTED_VALUE"""),"Intresting readme and neat repo")</f>
        <v>Intresting readme and neat repo</v>
      </c>
      <c r="J191" s="3" t="str">
        <f>IFERROR(__xludf.DUMMYFUNCTION("""COMPUTED_VALUE"""),"22f3000803@ds.study.iitm.ac.in")</f>
        <v>22f3000803@ds.study.iitm.ac.in</v>
      </c>
      <c r="K191" s="3" t="str">
        <f t="shared" si="1"/>
        <v>22f3000803@ds.study.iitm.ac.inhttps://github.com/r4mbhardwaj/toronto100</v>
      </c>
      <c r="L191" s="3" t="str">
        <f t="shared" si="2"/>
        <v>22f3000803@ds.study.iitm.ac.inhttps://github.com/Kabilan-18/TDS-Project1/</v>
      </c>
    </row>
    <row r="192">
      <c r="A192" s="3">
        <f>IFERROR(__xludf.DUMMYFUNCTION("""COMPUTED_VALUE"""),45599.71630233796)</f>
        <v>45599.7163</v>
      </c>
      <c r="B192" s="5" t="str">
        <f>IFERROR(__xludf.DUMMYFUNCTION("""COMPUTED_VALUE"""),"https://github.com/umeshrai01/web_scraping")</f>
        <v>https://github.com/umeshrai01/web_scraping</v>
      </c>
      <c r="C192" s="3">
        <f>IFERROR(__xludf.DUMMYFUNCTION("""COMPUTED_VALUE"""),8.0)</f>
        <v>8</v>
      </c>
      <c r="D192" s="3">
        <f>IFERROR(__xludf.DUMMYFUNCTION("""COMPUTED_VALUE"""),10.0)</f>
        <v>10</v>
      </c>
      <c r="E192" s="3" t="str">
        <f>IFERROR(__xludf.DUMMYFUNCTION("""COMPUTED_VALUE"""),"the repo is very much clean without any unnecessary data and easy to understand")</f>
        <v>the repo is very much clean without any unnecessary data and easy to understand</v>
      </c>
      <c r="F192" s="5" t="str">
        <f>IFERROR(__xludf.DUMMYFUNCTION("""COMPUTED_VALUE"""),"https://github.com/a1zen77/tds_p1")</f>
        <v>https://github.com/a1zen77/tds_p1</v>
      </c>
      <c r="G192" s="3">
        <f>IFERROR(__xludf.DUMMYFUNCTION("""COMPUTED_VALUE"""),10.0)</f>
        <v>10</v>
      </c>
      <c r="H192" s="3">
        <f>IFERROR(__xludf.DUMMYFUNCTION("""COMPUTED_VALUE"""),9.0)</f>
        <v>9</v>
      </c>
      <c r="I192" s="3" t="str">
        <f>IFERROR(__xludf.DUMMYFUNCTION("""COMPUTED_VALUE"""),"the repo has very good explanation")</f>
        <v>the repo has very good explanation</v>
      </c>
      <c r="J192" s="3" t="str">
        <f>IFERROR(__xludf.DUMMYFUNCTION("""COMPUTED_VALUE"""),"22f3002566@ds.study.iitm.ac.in")</f>
        <v>22f3002566@ds.study.iitm.ac.in</v>
      </c>
      <c r="K192" s="3" t="str">
        <f t="shared" si="1"/>
        <v>22f3002566@ds.study.iitm.ac.inhttps://github.com/umeshrai01/web_scraping</v>
      </c>
      <c r="L192" s="3" t="str">
        <f t="shared" si="2"/>
        <v>22f3002566@ds.study.iitm.ac.inhttps://github.com/a1zen77/tds_p1</v>
      </c>
    </row>
    <row r="193">
      <c r="A193" s="3">
        <f>IFERROR(__xludf.DUMMYFUNCTION("""COMPUTED_VALUE"""),45599.71796230324)</f>
        <v>45599.71796</v>
      </c>
      <c r="B193" s="5" t="str">
        <f>IFERROR(__xludf.DUMMYFUNCTION("""COMPUTED_VALUE"""),"https://github.com/Danniiiaaaa/TDS-proj-1")</f>
        <v>https://github.com/Danniiiaaaa/TDS-proj-1</v>
      </c>
      <c r="C193" s="3">
        <f>IFERROR(__xludf.DUMMYFUNCTION("""COMPUTED_VALUE"""),10.0)</f>
        <v>10</v>
      </c>
      <c r="D193" s="3">
        <f>IFERROR(__xludf.DUMMYFUNCTION("""COMPUTED_VALUE"""),10.0)</f>
        <v>10</v>
      </c>
      <c r="E193" s="3" t="str">
        <f>IFERROR(__xludf.DUMMYFUNCTION("""COMPUTED_VALUE"""),"Because repo and code is very clear.")</f>
        <v>Because repo and code is very clear.</v>
      </c>
      <c r="F193" s="5" t="str">
        <f>IFERROR(__xludf.DUMMYFUNCTION("""COMPUTED_VALUE"""),"https://github.com/mdjawed372/tds-project1")</f>
        <v>https://github.com/mdjawed372/tds-project1</v>
      </c>
      <c r="G193" s="3">
        <f>IFERROR(__xludf.DUMMYFUNCTION("""COMPUTED_VALUE"""),8.0)</f>
        <v>8</v>
      </c>
      <c r="H193" s="3">
        <f>IFERROR(__xludf.DUMMYFUNCTION("""COMPUTED_VALUE"""),10.0)</f>
        <v>10</v>
      </c>
      <c r="I193" s="3" t="str">
        <f>IFERROR(__xludf.DUMMYFUNCTION("""COMPUTED_VALUE"""),"Based on the available details i gave the rating")</f>
        <v>Based on the available details i gave the rating</v>
      </c>
      <c r="J193" s="3" t="str">
        <f>IFERROR(__xludf.DUMMYFUNCTION("""COMPUTED_VALUE"""),"22f1001853@ds.study.iitm.ac.in")</f>
        <v>22f1001853@ds.study.iitm.ac.in</v>
      </c>
      <c r="K193" s="3" t="str">
        <f t="shared" si="1"/>
        <v>22f1001853@ds.study.iitm.ac.inhttps://github.com/Danniiiaaaa/TDS-proj-1</v>
      </c>
      <c r="L193" s="3" t="str">
        <f t="shared" si="2"/>
        <v>22f1001853@ds.study.iitm.ac.inhttps://github.com/mdjawed372/tds-project1</v>
      </c>
    </row>
    <row r="194">
      <c r="A194" s="3">
        <f>IFERROR(__xludf.DUMMYFUNCTION("""COMPUTED_VALUE"""),45599.7282402662)</f>
        <v>45599.72824</v>
      </c>
      <c r="B194" s="5" t="str">
        <f>IFERROR(__xludf.DUMMYFUNCTION("""COMPUTED_VALUE"""),"https://github.com/gotherwal/TDS_Project1/blob/main/README.md")</f>
        <v>https://github.com/gotherwal/TDS_Project1/blob/main/README.md</v>
      </c>
      <c r="C194" s="3">
        <f>IFERROR(__xludf.DUMMYFUNCTION("""COMPUTED_VALUE"""),4.0)</f>
        <v>4</v>
      </c>
      <c r="D194" s="3">
        <f>IFERROR(__xludf.DUMMYFUNCTION("""COMPUTED_VALUE"""),10.0)</f>
        <v>10</v>
      </c>
      <c r="E194" s="3" t="str">
        <f>IFERROR(__xludf.DUMMYFUNCTION("""COMPUTED_VALUE"""),"Actually README is present but no information inside the README.")</f>
        <v>Actually README is present but no information inside the README.</v>
      </c>
      <c r="F194" s="5" t="str">
        <f>IFERROR(__xludf.DUMMYFUNCTION("""COMPUTED_VALUE"""),"https://github.com/tanishka-26saxena/Tokyo-200")</f>
        <v>https://github.com/tanishka-26saxena/Tokyo-200</v>
      </c>
      <c r="G194" s="3">
        <f>IFERROR(__xludf.DUMMYFUNCTION("""COMPUTED_VALUE"""),10.0)</f>
        <v>10</v>
      </c>
      <c r="H194" s="3">
        <f>IFERROR(__xludf.DUMMYFUNCTION("""COMPUTED_VALUE"""),10.0)</f>
        <v>10</v>
      </c>
      <c r="I194" s="3" t="str">
        <f>IFERROR(__xludf.DUMMYFUNCTION("""COMPUTED_VALUE"""),"Contains Everything required. Files are in the proper order.")</f>
        <v>Contains Everything required. Files are in the proper order.</v>
      </c>
      <c r="J194" s="3" t="str">
        <f>IFERROR(__xludf.DUMMYFUNCTION("""COMPUTED_VALUE"""),"22f1000386@ds.study.iitm.ac.in")</f>
        <v>22f1000386@ds.study.iitm.ac.in</v>
      </c>
      <c r="K194" s="3" t="str">
        <f t="shared" si="1"/>
        <v>22f1000386@ds.study.iitm.ac.inhttps://github.com/gotherwal/TDS_Project1/blob/main/README.md</v>
      </c>
      <c r="L194" s="3" t="str">
        <f t="shared" si="2"/>
        <v>22f1000386@ds.study.iitm.ac.inhttps://github.com/tanishka-26saxena/Tokyo-200</v>
      </c>
    </row>
    <row r="195">
      <c r="A195" s="3">
        <f>IFERROR(__xludf.DUMMYFUNCTION("""COMPUTED_VALUE"""),45599.73477993056)</f>
        <v>45599.73478</v>
      </c>
      <c r="B195" s="5" t="str">
        <f>IFERROR(__xludf.DUMMYFUNCTION("""COMPUTED_VALUE"""),"https://github.com/21f3000105/Basel-10_TDS-Project-1/")</f>
        <v>https://github.com/21f3000105/Basel-10_TDS-Project-1/</v>
      </c>
      <c r="C195" s="3">
        <f>IFERROR(__xludf.DUMMYFUNCTION("""COMPUTED_VALUE"""),8.0)</f>
        <v>8</v>
      </c>
      <c r="D195" s="3">
        <f>IFERROR(__xludf.DUMMYFUNCTION("""COMPUTED_VALUE"""),10.0)</f>
        <v>10</v>
      </c>
      <c r="E195" s="3" t="str">
        <f>IFERROR(__xludf.DUMMYFUNCTION("""COMPUTED_VALUE"""),"
I rated the findings 8 because they are insightful and engaging, capturing attention well. The code earned a 9 for its clarity and professional formatting, making it easy to follow and well-structured")</f>
        <v>
I rated the findings 8 because they are insightful and engaging, capturing attention well. The code earned a 9 for its clarity and professional formatting, making it easy to follow and well-structured</v>
      </c>
      <c r="F195" s="5" t="str">
        <f>IFERROR(__xludf.DUMMYFUNCTION("""COMPUTED_VALUE"""),"https://github.com/24f1002025/TDS-Project-1-User-Repository-Scrapping")</f>
        <v>https://github.com/24f1002025/TDS-Project-1-User-Repository-Scrapping</v>
      </c>
      <c r="G195" s="3">
        <f>IFERROR(__xludf.DUMMYFUNCTION("""COMPUTED_VALUE"""),10.0)</f>
        <v>10</v>
      </c>
      <c r="H195" s="3">
        <f>IFERROR(__xludf.DUMMYFUNCTION("""COMPUTED_VALUE"""),9.0)</f>
        <v>9</v>
      </c>
      <c r="I195" s="3" t="str">
        <f>IFERROR(__xludf.DUMMYFUNCTION("""COMPUTED_VALUE"""),"
I rated the findings a 10 due to their high quality and beautiful presentation, which made them exceptionally compelling. The code received a 9 for being well-organized and professional, enhancing readability.")</f>
        <v>
I rated the findings a 10 due to their high quality and beautiful presentation, which made them exceptionally compelling. The code received a 9 for being well-organized and professional, enhancing readability.</v>
      </c>
      <c r="J195" s="3" t="str">
        <f>IFERROR(__xludf.DUMMYFUNCTION("""COMPUTED_VALUE"""),"24f1001336@ds.study.iitm.ac.in")</f>
        <v>24f1001336@ds.study.iitm.ac.in</v>
      </c>
      <c r="K195" s="3" t="str">
        <f t="shared" si="1"/>
        <v>24f1001336@ds.study.iitm.ac.inhttps://github.com/21f3000105/Basel-10_TDS-Project-1/</v>
      </c>
      <c r="L195" s="3" t="str">
        <f t="shared" si="2"/>
        <v>24f1001336@ds.study.iitm.ac.inhttps://github.com/24f1002025/TDS-Project-1-User-Repository-Scrapping</v>
      </c>
    </row>
    <row r="196">
      <c r="A196" s="3">
        <f>IFERROR(__xludf.DUMMYFUNCTION("""COMPUTED_VALUE"""),45599.74529950232)</f>
        <v>45599.7453</v>
      </c>
      <c r="B196" s="5" t="str">
        <f>IFERROR(__xludf.DUMMYFUNCTION("""COMPUTED_VALUE"""),"https://github.com/srch887/tds_sep2024_project1")</f>
        <v>https://github.com/srch887/tds_sep2024_project1</v>
      </c>
      <c r="C196" s="3">
        <f>IFERROR(__xludf.DUMMYFUNCTION("""COMPUTED_VALUE"""),8.0)</f>
        <v>8</v>
      </c>
      <c r="D196" s="3">
        <f>IFERROR(__xludf.DUMMYFUNCTION("""COMPUTED_VALUE"""),8.0)</f>
        <v>8</v>
      </c>
      <c r="E196" s="3" t="str">
        <f>IFERROR(__xludf.DUMMYFUNCTION("""COMPUTED_VALUE"""),"The Findings are good, codes are well written")</f>
        <v>The Findings are good, codes are well written</v>
      </c>
      <c r="F196" s="5" t="str">
        <f>IFERROR(__xludf.DUMMYFUNCTION("""COMPUTED_VALUE"""),"https://github.com/rishabh-iitm/project1")</f>
        <v>https://github.com/rishabh-iitm/project1</v>
      </c>
      <c r="G196" s="3">
        <f>IFERROR(__xludf.DUMMYFUNCTION("""COMPUTED_VALUE"""),8.0)</f>
        <v>8</v>
      </c>
      <c r="H196" s="3">
        <f>IFERROR(__xludf.DUMMYFUNCTION("""COMPUTED_VALUE"""),8.0)</f>
        <v>8</v>
      </c>
      <c r="I196" s="3" t="str">
        <f>IFERROR(__xludf.DUMMYFUNCTION("""COMPUTED_VALUE"""),"Findings are general, codes are well written")</f>
        <v>Findings are general, codes are well written</v>
      </c>
      <c r="J196" s="3" t="str">
        <f>IFERROR(__xludf.DUMMYFUNCTION("""COMPUTED_VALUE"""),"21f1003248@ds.study.iitm.ac.in")</f>
        <v>21f1003248@ds.study.iitm.ac.in</v>
      </c>
      <c r="K196" s="3" t="str">
        <f t="shared" si="1"/>
        <v>21f1003248@ds.study.iitm.ac.inhttps://github.com/srch887/tds_sep2024_project1</v>
      </c>
      <c r="L196" s="3" t="str">
        <f t="shared" si="2"/>
        <v>21f1003248@ds.study.iitm.ac.inhttps://github.com/rishabh-iitm/project1</v>
      </c>
    </row>
    <row r="197">
      <c r="A197" s="3">
        <f>IFERROR(__xludf.DUMMYFUNCTION("""COMPUTED_VALUE"""),45599.75439829861)</f>
        <v>45599.7544</v>
      </c>
      <c r="B197" s="5" t="str">
        <f>IFERROR(__xludf.DUMMYFUNCTION("""COMPUTED_VALUE"""),"https://github.com/Atharva-Garajkar/TDS")</f>
        <v>https://github.com/Atharva-Garajkar/TDS</v>
      </c>
      <c r="C197" s="3">
        <f>IFERROR(__xludf.DUMMYFUNCTION("""COMPUTED_VALUE"""),10.0)</f>
        <v>10</v>
      </c>
      <c r="D197" s="3">
        <f>IFERROR(__xludf.DUMMYFUNCTION("""COMPUTED_VALUE"""),10.0)</f>
        <v>10</v>
      </c>
      <c r="E197" s="3" t="str">
        <f>IFERROR(__xludf.DUMMYFUNCTION("""COMPUTED_VALUE"""),"Developers can improve their project visibility and engagement by actively participating in repositories with high collaboration. Leveraging trending programming languages and popular repositories may increase opportunities for networking and collaboratio"&amp;"n.")</f>
        <v>Developers can improve their project visibility and engagement by actively participating in repositories with high collaboration. Leveraging trending programming languages and popular repositories may increase opportunities for networking and collaboration.</v>
      </c>
      <c r="F197" s="5" t="str">
        <f>IFERROR(__xludf.DUMMYFUNCTION("""COMPUTED_VALUE"""),"https://github.com/Ashiskushwaha/project-1")</f>
        <v>https://github.com/Ashiskushwaha/project-1</v>
      </c>
      <c r="G197" s="3">
        <f>IFERROR(__xludf.DUMMYFUNCTION("""COMPUTED_VALUE"""),10.0)</f>
        <v>10</v>
      </c>
      <c r="H197" s="3">
        <f>IFERROR(__xludf.DUMMYFUNCTION("""COMPUTED_VALUE"""),10.0)</f>
        <v>10</v>
      </c>
      <c r="I197" s="3" t="str">
        <f>IFERROR(__xludf.DUMMYFUNCTION("""COMPUTED_VALUE"""),"Many Austin developers are associated with large companies like Google and IBM.
JavaScript and HTML are the top languages among Austin developers.
MIT and Apache-2.0 licenses are commonly used.")</f>
        <v>Many Austin developers are associated with large companies like Google and IBM.
JavaScript and HTML are the top languages among Austin developers.
MIT and Apache-2.0 licenses are commonly used.</v>
      </c>
      <c r="J197" s="3" t="str">
        <f>IFERROR(__xludf.DUMMYFUNCTION("""COMPUTED_VALUE"""),"22f1001680@ds.study.iitm.ac.in")</f>
        <v>22f1001680@ds.study.iitm.ac.in</v>
      </c>
      <c r="K197" s="3" t="str">
        <f t="shared" si="1"/>
        <v>22f1001680@ds.study.iitm.ac.inhttps://github.com/Atharva-Garajkar/TDS</v>
      </c>
      <c r="L197" s="3" t="str">
        <f t="shared" si="2"/>
        <v>22f1001680@ds.study.iitm.ac.inhttps://github.com/Ashiskushwaha/project-1</v>
      </c>
    </row>
    <row r="198">
      <c r="A198" s="3">
        <f>IFERROR(__xludf.DUMMYFUNCTION("""COMPUTED_VALUE"""),45599.76119078704)</f>
        <v>45599.76119</v>
      </c>
      <c r="B198" s="5" t="str">
        <f>IFERROR(__xludf.DUMMYFUNCTION("""COMPUTED_VALUE"""),"https://github.com/MeenakshiIIT/Project1")</f>
        <v>https://github.com/MeenakshiIIT/Project1</v>
      </c>
      <c r="C198" s="3">
        <f>IFERROR(__xludf.DUMMYFUNCTION("""COMPUTED_VALUE"""),10.0)</f>
        <v>10</v>
      </c>
      <c r="D198" s="3">
        <f>IFERROR(__xludf.DUMMYFUNCTION("""COMPUTED_VALUE"""),8.0)</f>
        <v>8</v>
      </c>
      <c r="E198" s="3" t="str">
        <f>IFERROR(__xludf.DUMMYFUNCTION("""COMPUTED_VALUE"""),"It's clear and elegant. Code for scrapping the data was found but not the analysis part.")</f>
        <v>It's clear and elegant. Code for scrapping the data was found but not the analysis part.</v>
      </c>
      <c r="F198" s="5" t="str">
        <f>IFERROR(__xludf.DUMMYFUNCTION("""COMPUTED_VALUE"""),"https://github.com/puneeth2907/TDS-Project-1")</f>
        <v>https://github.com/puneeth2907/TDS-Project-1</v>
      </c>
      <c r="G198" s="3">
        <f>IFERROR(__xludf.DUMMYFUNCTION("""COMPUTED_VALUE"""),10.0)</f>
        <v>10</v>
      </c>
      <c r="H198" s="3">
        <f>IFERROR(__xludf.DUMMYFUNCTION("""COMPUTED_VALUE"""),10.0)</f>
        <v>10</v>
      </c>
      <c r="I198" s="3" t="str">
        <f>IFERROR(__xludf.DUMMYFUNCTION("""COMPUTED_VALUE"""),"It's clear and elegant. Notebook found which includes codes for all questions.")</f>
        <v>It's clear and elegant. Notebook found which includes codes for all questions.</v>
      </c>
      <c r="J198" s="3" t="str">
        <f>IFERROR(__xludf.DUMMYFUNCTION("""COMPUTED_VALUE"""),"23f1001418@ds.study.iitm.ac.in")</f>
        <v>23f1001418@ds.study.iitm.ac.in</v>
      </c>
      <c r="K198" s="3" t="str">
        <f t="shared" si="1"/>
        <v>23f1001418@ds.study.iitm.ac.inhttps://github.com/MeenakshiIIT/Project1</v>
      </c>
      <c r="L198" s="3" t="str">
        <f t="shared" si="2"/>
        <v>23f1001418@ds.study.iitm.ac.inhttps://github.com/puneeth2907/TDS-Project-1</v>
      </c>
    </row>
    <row r="199">
      <c r="A199" s="3">
        <f>IFERROR(__xludf.DUMMYFUNCTION("""COMPUTED_VALUE"""),45599.77877225695)</f>
        <v>45599.77877</v>
      </c>
      <c r="B199" s="3" t="str">
        <f>IFERROR(__xludf.DUMMYFUNCTION("""COMPUTED_VALUE"""),"All the files needed are in the repo.")</f>
        <v>All the files needed are in the repo.</v>
      </c>
      <c r="C199" s="3">
        <f>IFERROR(__xludf.DUMMYFUNCTION("""COMPUTED_VALUE"""),8.0)</f>
        <v>8</v>
      </c>
      <c r="D199" s="3">
        <f>IFERROR(__xludf.DUMMYFUNCTION("""COMPUTED_VALUE"""),8.0)</f>
        <v>8</v>
      </c>
      <c r="E199" s="3" t="str">
        <f>IFERROR(__xludf.DUMMYFUNCTION("""COMPUTED_VALUE"""),"The necessary docs are there and also the data files are present.")</f>
        <v>The necessary docs are there and also the data files are present.</v>
      </c>
      <c r="F199" s="3" t="str">
        <f>IFERROR(__xludf.DUMMYFUNCTION("""COMPUTED_VALUE"""),"It had all the bullet points explained in the review.")</f>
        <v>It had all the bullet points explained in the review.</v>
      </c>
      <c r="G199" s="3">
        <f>IFERROR(__xludf.DUMMYFUNCTION("""COMPUTED_VALUE"""),10.0)</f>
        <v>10</v>
      </c>
      <c r="H199" s="3">
        <f>IFERROR(__xludf.DUMMYFUNCTION("""COMPUTED_VALUE"""),10.0)</f>
        <v>10</v>
      </c>
      <c r="I199" s="3" t="str">
        <f>IFERROR(__xludf.DUMMYFUNCTION("""COMPUTED_VALUE"""),"All the data and the files are present in the repo")</f>
        <v>All the data and the files are present in the repo</v>
      </c>
      <c r="J199" s="3" t="str">
        <f>IFERROR(__xludf.DUMMYFUNCTION("""COMPUTED_VALUE"""),"21f1002993@ds.study.iitm.ac.in")</f>
        <v>21f1002993@ds.study.iitm.ac.in</v>
      </c>
      <c r="K199" s="3" t="str">
        <f t="shared" si="1"/>
        <v>21f1002993@ds.study.iitm.ac.inAll the files needed are in the repo.</v>
      </c>
      <c r="L199" s="3" t="str">
        <f t="shared" si="2"/>
        <v>21f1002993@ds.study.iitm.ac.inIt had all the bullet points explained in the review.</v>
      </c>
    </row>
    <row r="200">
      <c r="A200" s="3">
        <f>IFERROR(__xludf.DUMMYFUNCTION("""COMPUTED_VALUE"""),45599.79203332176)</f>
        <v>45599.79203</v>
      </c>
      <c r="B200" s="5" t="str">
        <f>IFERROR(__xludf.DUMMYFUNCTION("""COMPUTED_VALUE"""),"https://github.com/uma1979/github-api-analysis")</f>
        <v>https://github.com/uma1979/github-api-analysis</v>
      </c>
      <c r="C200" s="3">
        <f>IFERROR(__xludf.DUMMYFUNCTION("""COMPUTED_VALUE"""),10.0)</f>
        <v>10</v>
      </c>
      <c r="D200" s="3">
        <f>IFERROR(__xludf.DUMMYFUNCTION("""COMPUTED_VALUE"""),10.0)</f>
        <v>10</v>
      </c>
      <c r="E200" s="3" t="str">
        <f>IFERROR(__xludf.DUMMYFUNCTION("""COMPUTED_VALUE"""),"the analysis and suggestions provided were 100% in-line with modern day trends and understanding. further, the code displayed proper processing of all users and clear comprehension of all questions.")</f>
        <v>the analysis and suggestions provided were 100% in-line with modern day trends and understanding. further, the code displayed proper processing of all users and clear comprehension of all questions.</v>
      </c>
      <c r="F200" s="5" t="str">
        <f>IFERROR(__xludf.DUMMYFUNCTION("""COMPUTED_VALUE"""),"https://github.com/Chandra37918/IITM-TDS-Project1")</f>
        <v>https://github.com/Chandra37918/IITM-TDS-Project1</v>
      </c>
      <c r="G200" s="3">
        <f>IFERROR(__xludf.DUMMYFUNCTION("""COMPUTED_VALUE"""),10.0)</f>
        <v>10</v>
      </c>
      <c r="H200" s="3">
        <f>IFERROR(__xludf.DUMMYFUNCTION("""COMPUTED_VALUE"""),10.0)</f>
        <v>10</v>
      </c>
      <c r="I200" s="3" t="str">
        <f>IFERROR(__xludf.DUMMYFUNCTION("""COMPUTED_VALUE"""),"extremely apt suggestions were provided in the README. further, code for not only the questions but also fetching were provided. ")</f>
        <v>extremely apt suggestions were provided in the README. further, code for not only the questions but also fetching were provided. </v>
      </c>
      <c r="J200" s="3" t="str">
        <f>IFERROR(__xludf.DUMMYFUNCTION("""COMPUTED_VALUE"""),"23f2000586@ds.study.iitm.ac.in")</f>
        <v>23f2000586@ds.study.iitm.ac.in</v>
      </c>
      <c r="K200" s="3" t="str">
        <f t="shared" si="1"/>
        <v>23f2000586@ds.study.iitm.ac.inhttps://github.com/uma1979/github-api-analysis</v>
      </c>
      <c r="L200" s="3" t="str">
        <f t="shared" si="2"/>
        <v>23f2000586@ds.study.iitm.ac.inhttps://github.com/Chandra37918/IITM-TDS-Project1</v>
      </c>
    </row>
    <row r="201">
      <c r="A201" s="3">
        <f>IFERROR(__xludf.DUMMYFUNCTION("""COMPUTED_VALUE"""),45599.7987965162)</f>
        <v>45599.7988</v>
      </c>
      <c r="B201" s="3" t="str">
        <f>IFERROR(__xludf.DUMMYFUNCTION("""COMPUTED_VALUE"""),"yes")</f>
        <v>yes</v>
      </c>
      <c r="C201" s="3">
        <f>IFERROR(__xludf.DUMMYFUNCTION("""COMPUTED_VALUE"""),9.0)</f>
        <v>9</v>
      </c>
      <c r="D201" s="3">
        <f>IFERROR(__xludf.DUMMYFUNCTION("""COMPUTED_VALUE"""),10.0)</f>
        <v>10</v>
      </c>
      <c r="E201" s="3" t="str">
        <f>IFERROR(__xludf.DUMMYFUNCTION("""COMPUTED_VALUE"""),"well organised code and clear.")</f>
        <v>well organised code and clear.</v>
      </c>
      <c r="F201" s="3" t="str">
        <f>IFERROR(__xludf.DUMMYFUNCTION("""COMPUTED_VALUE"""),"yes")</f>
        <v>yes</v>
      </c>
      <c r="G201" s="3">
        <f>IFERROR(__xludf.DUMMYFUNCTION("""COMPUTED_VALUE"""),8.0)</f>
        <v>8</v>
      </c>
      <c r="H201" s="3">
        <f>IFERROR(__xludf.DUMMYFUNCTION("""COMPUTED_VALUE"""),0.0)</f>
        <v>0</v>
      </c>
      <c r="I201" s="3" t="str">
        <f>IFERROR(__xludf.DUMMYFUNCTION("""COMPUTED_VALUE"""),"Intresting readme and there is no code avialable.")</f>
        <v>Intresting readme and there is no code avialable.</v>
      </c>
      <c r="J201" s="3" t="str">
        <f>IFERROR(__xludf.DUMMYFUNCTION("""COMPUTED_VALUE"""),"23f2004724@ds.study.iitm.ac.in")</f>
        <v>23f2004724@ds.study.iitm.ac.in</v>
      </c>
      <c r="K201" s="3" t="str">
        <f t="shared" si="1"/>
        <v>23f2004724@ds.study.iitm.ac.inyes</v>
      </c>
      <c r="L201" s="3" t="str">
        <f t="shared" si="2"/>
        <v>23f2004724@ds.study.iitm.ac.inyes</v>
      </c>
    </row>
    <row r="202">
      <c r="A202" s="3">
        <f>IFERROR(__xludf.DUMMYFUNCTION("""COMPUTED_VALUE"""),45599.80883811343)</f>
        <v>45599.80884</v>
      </c>
      <c r="B202" s="5" t="str">
        <f>IFERROR(__xludf.DUMMYFUNCTION("""COMPUTED_VALUE"""),"https://github.com/jeevan-yohan-varghese/tds-project1")</f>
        <v>https://github.com/jeevan-yohan-varghese/tds-project1</v>
      </c>
      <c r="C202" s="3">
        <f>IFERROR(__xludf.DUMMYFUNCTION("""COMPUTED_VALUE"""),10.0)</f>
        <v>10</v>
      </c>
      <c r="D202" s="3">
        <f>IFERROR(__xludf.DUMMYFUNCTION("""COMPUTED_VALUE"""),6.0)</f>
        <v>6</v>
      </c>
      <c r="E202" s="3" t="str">
        <f>IFERROR(__xludf.DUMMYFUNCTION("""COMPUTED_VALUE"""),"The code didn't have comments explaining each step. The findings were elaborative and descriptive.")</f>
        <v>The code didn't have comments explaining each step. The findings were elaborative and descriptive.</v>
      </c>
      <c r="F202" s="5" t="str">
        <f>IFERROR(__xludf.DUMMYFUNCTION("""COMPUTED_VALUE"""),"https://github.com/kasturi190602/TDSProject")</f>
        <v>https://github.com/kasturi190602/TDSProject</v>
      </c>
      <c r="G202" s="3">
        <f>IFERROR(__xludf.DUMMYFUNCTION("""COMPUTED_VALUE"""),5.0)</f>
        <v>5</v>
      </c>
      <c r="H202" s="3">
        <f>IFERROR(__xludf.DUMMYFUNCTION("""COMPUTED_VALUE"""),10.0)</f>
        <v>10</v>
      </c>
      <c r="I202" s="3" t="str">
        <f>IFERROR(__xludf.DUMMYFUNCTION("""COMPUTED_VALUE"""),"The code had comments and explained each question by making a separate organized file. The README was not descriptive enough.")</f>
        <v>The code had comments and explained each question by making a separate organized file. The README was not descriptive enough.</v>
      </c>
      <c r="J202" s="3" t="str">
        <f>IFERROR(__xludf.DUMMYFUNCTION("""COMPUTED_VALUE"""),"21f3002090@ds.study.iitm.ac.in")</f>
        <v>21f3002090@ds.study.iitm.ac.in</v>
      </c>
      <c r="K202" s="3" t="str">
        <f t="shared" si="1"/>
        <v>21f3002090@ds.study.iitm.ac.inhttps://github.com/jeevan-yohan-varghese/tds-project1</v>
      </c>
      <c r="L202" s="3" t="str">
        <f t="shared" si="2"/>
        <v>21f3002090@ds.study.iitm.ac.inhttps://github.com/kasturi190602/TDSProject</v>
      </c>
    </row>
    <row r="203">
      <c r="A203" s="3">
        <f>IFERROR(__xludf.DUMMYFUNCTION("""COMPUTED_VALUE"""),45599.81291228009)</f>
        <v>45599.81291</v>
      </c>
      <c r="B203" s="5" t="str">
        <f>IFERROR(__xludf.DUMMYFUNCTION("""COMPUTED_VALUE"""),"https://github.com/StuteeP/Project_1")</f>
        <v>https://github.com/StuteeP/Project_1</v>
      </c>
      <c r="C203" s="3">
        <f>IFERROR(__xludf.DUMMYFUNCTION("""COMPUTED_VALUE"""),10.0)</f>
        <v>10</v>
      </c>
      <c r="D203" s="3">
        <f>IFERROR(__xludf.DUMMYFUNCTION("""COMPUTED_VALUE"""),10.0)</f>
        <v>10</v>
      </c>
      <c r="E203" s="3" t="str">
        <f>IFERROR(__xludf.DUMMYFUNCTION("""COMPUTED_VALUE"""),"The submission has all the required stuff")</f>
        <v>The submission has all the required stuff</v>
      </c>
      <c r="F203" s="5" t="str">
        <f>IFERROR(__xludf.DUMMYFUNCTION("""COMPUTED_VALUE"""),"https://github.com/Abhinav3499/TDS_Project_1")</f>
        <v>https://github.com/Abhinav3499/TDS_Project_1</v>
      </c>
      <c r="G203" s="3">
        <f>IFERROR(__xludf.DUMMYFUNCTION("""COMPUTED_VALUE"""),10.0)</f>
        <v>10</v>
      </c>
      <c r="H203" s="3">
        <f>IFERROR(__xludf.DUMMYFUNCTION("""COMPUTED_VALUE"""),10.0)</f>
        <v>10</v>
      </c>
      <c r="I203" s="3" t="str">
        <f>IFERROR(__xludf.DUMMYFUNCTION("""COMPUTED_VALUE"""),"Amazing submission with graphs to understand data better")</f>
        <v>Amazing submission with graphs to understand data better</v>
      </c>
      <c r="J203" s="3" t="str">
        <f>IFERROR(__xludf.DUMMYFUNCTION("""COMPUTED_VALUE"""),"23f3001322@ds.study.iitm.ac.in")</f>
        <v>23f3001322@ds.study.iitm.ac.in</v>
      </c>
      <c r="K203" s="3" t="str">
        <f t="shared" si="1"/>
        <v>23f3001322@ds.study.iitm.ac.inhttps://github.com/StuteeP/Project_1</v>
      </c>
      <c r="L203" s="3" t="str">
        <f t="shared" si="2"/>
        <v>23f3001322@ds.study.iitm.ac.inhttps://github.com/Abhinav3499/TDS_Project_1</v>
      </c>
    </row>
    <row r="204">
      <c r="A204" s="3">
        <f>IFERROR(__xludf.DUMMYFUNCTION("""COMPUTED_VALUE"""),45599.81836430555)</f>
        <v>45599.81836</v>
      </c>
      <c r="B204" s="5" t="str">
        <f>IFERROR(__xludf.DUMMYFUNCTION("""COMPUTED_VALUE"""),"https://github.com/21f3000105/Basel-10_TDS-Project-1/")</f>
        <v>https://github.com/21f3000105/Basel-10_TDS-Project-1/</v>
      </c>
      <c r="C204" s="3">
        <f>IFERROR(__xludf.DUMMYFUNCTION("""COMPUTED_VALUE"""),8.0)</f>
        <v>8</v>
      </c>
      <c r="D204" s="3">
        <f>IFERROR(__xludf.DUMMYFUNCTION("""COMPUTED_VALUE"""),10.0)</f>
        <v>10</v>
      </c>
      <c r="E204" s="3" t="str">
        <f>IFERROR(__xludf.DUMMYFUNCTION("""COMPUTED_VALUE"""),"The readme file clearly shows the insights and findings and the code was very clean and easily understandable")</f>
        <v>The readme file clearly shows the insights and findings and the code was very clean and easily understandable</v>
      </c>
      <c r="F204" s="5" t="str">
        <f>IFERROR(__xludf.DUMMYFUNCTION("""COMPUTED_VALUE"""),"https://github.com/24f1002025/TDS-Project-1-User-Repository-Scrapping")</f>
        <v>https://github.com/24f1002025/TDS-Project-1-User-Repository-Scrapping</v>
      </c>
      <c r="G204" s="3">
        <f>IFERROR(__xludf.DUMMYFUNCTION("""COMPUTED_VALUE"""),10.0)</f>
        <v>10</v>
      </c>
      <c r="H204" s="3">
        <f>IFERROR(__xludf.DUMMYFUNCTION("""COMPUTED_VALUE"""),10.0)</f>
        <v>10</v>
      </c>
      <c r="I204" s="3" t="str">
        <f>IFERROR(__xludf.DUMMYFUNCTION("""COMPUTED_VALUE"""),"The readme file clearly shows the insights and findings and the code was very clean and easily understandable as the code also consisted of different visualizations which was easy to relate")</f>
        <v>The readme file clearly shows the insights and findings and the code was very clean and easily understandable as the code also consisted of different visualizations which was easy to relate</v>
      </c>
      <c r="J204" s="3" t="str">
        <f>IFERROR(__xludf.DUMMYFUNCTION("""COMPUTED_VALUE"""),"21f3000413@ds.study.iitm.ac.in")</f>
        <v>21f3000413@ds.study.iitm.ac.in</v>
      </c>
      <c r="K204" s="3" t="str">
        <f t="shared" si="1"/>
        <v>21f3000413@ds.study.iitm.ac.inhttps://github.com/21f3000105/Basel-10_TDS-Project-1/</v>
      </c>
      <c r="L204" s="3" t="str">
        <f t="shared" si="2"/>
        <v>21f3000413@ds.study.iitm.ac.inhttps://github.com/24f1002025/TDS-Project-1-User-Repository-Scrapping</v>
      </c>
    </row>
    <row r="205">
      <c r="A205" s="3">
        <f>IFERROR(__xludf.DUMMYFUNCTION("""COMPUTED_VALUE"""),45599.82512732639)</f>
        <v>45599.82513</v>
      </c>
      <c r="B205" s="5" t="str">
        <f>IFERROR(__xludf.DUMMYFUNCTION("""COMPUTED_VALUE"""),"https://github.com/pulkitsharmads/github-hyderabad-users-project")</f>
        <v>https://github.com/pulkitsharmads/github-hyderabad-users-project</v>
      </c>
      <c r="C205" s="3">
        <f>IFERROR(__xludf.DUMMYFUNCTION("""COMPUTED_VALUE"""),9.0)</f>
        <v>9</v>
      </c>
      <c r="D205" s="3">
        <f>IFERROR(__xludf.DUMMYFUNCTION("""COMPUTED_VALUE"""),2.0)</f>
        <v>2</v>
      </c>
      <c r="E205" s="3" t="str">
        <f>IFERROR(__xludf.DUMMYFUNCTION("""COMPUTED_VALUE"""),"Perl has the highest number of stargazers in the Hyderabad community, indicating that it is still utilized in various fields such as system administration, web development, network programming, and bioinformatics. The basic code provided covers only two a"&amp;"nalyses, and there is no code available for data extraction from GITHUB or additional analyses.")</f>
        <v>Perl has the highest number of stargazers in the Hyderabad community, indicating that it is still utilized in various fields such as system administration, web development, network programming, and bioinformatics. The basic code provided covers only two analyses, and there is no code available for data extraction from GITHUB or additional analyses.</v>
      </c>
      <c r="F205" s="5" t="str">
        <f>IFERROR(__xludf.DUMMYFUNCTION("""COMPUTED_VALUE"""),"https://github.com/Sa007tish/hyd-gitanalysis")</f>
        <v>https://github.com/Sa007tish/hyd-gitanalysis</v>
      </c>
      <c r="G205" s="3">
        <f>IFERROR(__xludf.DUMMYFUNCTION("""COMPUTED_VALUE"""),8.0)</f>
        <v>8</v>
      </c>
      <c r="H205" s="3">
        <f>IFERROR(__xludf.DUMMYFUNCTION("""COMPUTED_VALUE"""),5.0)</f>
        <v>5</v>
      </c>
      <c r="I205" s="3" t="str">
        <f>IFERROR(__xludf.DUMMYFUNCTION("""COMPUTED_VALUE"""),"Did not provide any surprising facts based on the data. The code provided was only for data extraction from GitHub; no code or Excel analysis was shared.")</f>
        <v>Did not provide any surprising facts based on the data. The code provided was only for data extraction from GitHub; no code or Excel analysis was shared.</v>
      </c>
      <c r="J205" s="3" t="str">
        <f>IFERROR(__xludf.DUMMYFUNCTION("""COMPUTED_VALUE"""),"22f2000816@ds.study.iitm.ac.in")</f>
        <v>22f2000816@ds.study.iitm.ac.in</v>
      </c>
      <c r="K205" s="3" t="str">
        <f t="shared" si="1"/>
        <v>22f2000816@ds.study.iitm.ac.inhttps://github.com/pulkitsharmads/github-hyderabad-users-project</v>
      </c>
      <c r="L205" s="3" t="str">
        <f t="shared" si="2"/>
        <v>22f2000816@ds.study.iitm.ac.inhttps://github.com/Sa007tish/hyd-gitanalysis</v>
      </c>
    </row>
    <row r="206">
      <c r="A206" s="3">
        <f>IFERROR(__xludf.DUMMYFUNCTION("""COMPUTED_VALUE"""),45599.84566248843)</f>
        <v>45599.84566</v>
      </c>
      <c r="B206" s="5" t="str">
        <f>IFERROR(__xludf.DUMMYFUNCTION("""COMPUTED_VALUE"""),"https://github.com/23ds3000059/tds_project_1")</f>
        <v>https://github.com/23ds3000059/tds_project_1</v>
      </c>
      <c r="C206" s="3">
        <f>IFERROR(__xludf.DUMMYFUNCTION("""COMPUTED_VALUE"""),10.0)</f>
        <v>10</v>
      </c>
      <c r="D206" s="3">
        <f>IFERROR(__xludf.DUMMYFUNCTION("""COMPUTED_VALUE"""),10.0)</f>
        <v>10</v>
      </c>
      <c r="E206" s="3" t="str">
        <f>IFERROR(__xludf.DUMMYFUNCTION("""COMPUTED_VALUE"""),"I found it is very clear and easy to understand.")</f>
        <v>I found it is very clear and easy to understand.</v>
      </c>
      <c r="F206" s="5" t="str">
        <f>IFERROR(__xludf.DUMMYFUNCTION("""COMPUTED_VALUE"""),"https://github.com/Happytth/tds-project1")</f>
        <v>https://github.com/Happytth/tds-project1</v>
      </c>
      <c r="G206" s="3">
        <f>IFERROR(__xludf.DUMMYFUNCTION("""COMPUTED_VALUE"""),10.0)</f>
        <v>10</v>
      </c>
      <c r="H206" s="3">
        <f>IFERROR(__xludf.DUMMYFUNCTION("""COMPUTED_VALUE"""),10.0)</f>
        <v>10</v>
      </c>
      <c r="I206" s="3" t="str">
        <f>IFERROR(__xludf.DUMMYFUNCTION("""COMPUTED_VALUE"""),"I found it very professional and elegant.")</f>
        <v>I found it very professional and elegant.</v>
      </c>
      <c r="J206" s="3" t="str">
        <f>IFERROR(__xludf.DUMMYFUNCTION("""COMPUTED_VALUE"""),"23ds3000136@ds.study.iitm.ac.in")</f>
        <v>23ds3000136@ds.study.iitm.ac.in</v>
      </c>
      <c r="K206" s="3" t="str">
        <f t="shared" si="1"/>
        <v>23ds3000136@ds.study.iitm.ac.inhttps://github.com/23ds3000059/tds_project_1</v>
      </c>
      <c r="L206" s="3" t="str">
        <f t="shared" si="2"/>
        <v>23ds3000136@ds.study.iitm.ac.inhttps://github.com/Happytth/tds-project1</v>
      </c>
    </row>
    <row r="207">
      <c r="A207" s="3">
        <f>IFERROR(__xludf.DUMMYFUNCTION("""COMPUTED_VALUE"""),45599.84572096065)</f>
        <v>45599.84572</v>
      </c>
      <c r="B207" s="5" t="str">
        <f>IFERROR(__xludf.DUMMYFUNCTION("""COMPUTED_VALUE"""),"https://github.com/randomuser438/TDS_proj")</f>
        <v>https://github.com/randomuser438/TDS_proj</v>
      </c>
      <c r="C207" s="3">
        <f>IFERROR(__xludf.DUMMYFUNCTION("""COMPUTED_VALUE"""),10.0)</f>
        <v>10</v>
      </c>
      <c r="D207" s="3">
        <f>IFERROR(__xludf.DUMMYFUNCTION("""COMPUTED_VALUE"""),10.0)</f>
        <v>10</v>
      </c>
      <c r="E207" s="3" t="str">
        <f>IFERROR(__xludf.DUMMYFUNCTION("""COMPUTED_VALUE"""),"The user has provided all the files which is required, also written well structured code and Readme")</f>
        <v>The user has provided all the files which is required, also written well structured code and Readme</v>
      </c>
      <c r="F207" s="5" t="str">
        <f>IFERROR(__xludf.DUMMYFUNCTION("""COMPUTED_VALUE"""),"https://github.com/SnehaKukrety/TDS_Project1/tree/main")</f>
        <v>https://github.com/SnehaKukrety/TDS_Project1/tree/main</v>
      </c>
      <c r="G207" s="3">
        <f>IFERROR(__xludf.DUMMYFUNCTION("""COMPUTED_VALUE"""),10.0)</f>
        <v>10</v>
      </c>
      <c r="H207" s="3">
        <f>IFERROR(__xludf.DUMMYFUNCTION("""COMPUTED_VALUE"""),10.0)</f>
        <v>10</v>
      </c>
      <c r="I207" s="3" t="str">
        <f>IFERROR(__xludf.DUMMYFUNCTION("""COMPUTED_VALUE"""),"The user has provided all the files which is required, also written well structured code and Readme")</f>
        <v>The user has provided all the files which is required, also written well structured code and Readme</v>
      </c>
      <c r="J207" s="3" t="str">
        <f>IFERROR(__xludf.DUMMYFUNCTION("""COMPUTED_VALUE"""),"22f3002200@ds.study.iitm.ac.in")</f>
        <v>22f3002200@ds.study.iitm.ac.in</v>
      </c>
      <c r="K207" s="3" t="str">
        <f t="shared" si="1"/>
        <v>22f3002200@ds.study.iitm.ac.inhttps://github.com/randomuser438/TDS_proj</v>
      </c>
      <c r="L207" s="3" t="str">
        <f t="shared" si="2"/>
        <v>22f3002200@ds.study.iitm.ac.inhttps://github.com/SnehaKukrety/TDS_Project1/tree/main</v>
      </c>
    </row>
    <row r="208">
      <c r="A208" s="3">
        <f>IFERROR(__xludf.DUMMYFUNCTION("""COMPUTED_VALUE"""),45599.86353592592)</f>
        <v>45599.86354</v>
      </c>
      <c r="B208" s="5" t="str">
        <f>IFERROR(__xludf.DUMMYFUNCTION("""COMPUTED_VALUE"""),"https://github.com/ShashanksriIITM/MLT_Project1")</f>
        <v>https://github.com/ShashanksriIITM/MLT_Project1</v>
      </c>
      <c r="C208" s="3">
        <f>IFERROR(__xludf.DUMMYFUNCTION("""COMPUTED_VALUE"""),0.0)</f>
        <v>0</v>
      </c>
      <c r="D208" s="3">
        <f>IFERROR(__xludf.DUMMYFUNCTION("""COMPUTED_VALUE"""),0.0)</f>
        <v>0</v>
      </c>
      <c r="E208" s="3" t="str">
        <f>IFERROR(__xludf.DUMMYFUNCTION("""COMPUTED_VALUE"""),"The README did not have any information about any interesting findings. The repo did not have any codes.  ")</f>
        <v>The README did not have any information about any interesting findings. The repo did not have any codes.  </v>
      </c>
      <c r="F208" s="5" t="str">
        <f>IFERROR(__xludf.DUMMYFUNCTION("""COMPUTED_VALUE"""),"https://github.com/22f3001738/tds-project-1")</f>
        <v>https://github.com/22f3001738/tds-project-1</v>
      </c>
      <c r="G208" s="3">
        <f>IFERROR(__xludf.DUMMYFUNCTION("""COMPUTED_VALUE"""),6.0)</f>
        <v>6</v>
      </c>
      <c r="H208" s="3">
        <f>IFERROR(__xludf.DUMMYFUNCTION("""COMPUTED_VALUE"""),10.0)</f>
        <v>10</v>
      </c>
      <c r="I208" s="3" t="str">
        <f>IFERROR(__xludf.DUMMYFUNCTION("""COMPUTED_VALUE"""),"No information about any interesting findings but does give a good insight on the topic. The README as well as the code was well created and was clear and professional giving code for all the questions answered.")</f>
        <v>No information about any interesting findings but does give a good insight on the topic. The README as well as the code was well created and was clear and professional giving code for all the questions answered.</v>
      </c>
      <c r="J208" s="3" t="str">
        <f>IFERROR(__xludf.DUMMYFUNCTION("""COMPUTED_VALUE"""),"23f2004904@ds.study.iitm.ac.in")</f>
        <v>23f2004904@ds.study.iitm.ac.in</v>
      </c>
      <c r="K208" s="3" t="str">
        <f t="shared" si="1"/>
        <v>23f2004904@ds.study.iitm.ac.inhttps://github.com/ShashanksriIITM/MLT_Project1</v>
      </c>
      <c r="L208" s="3" t="str">
        <f t="shared" si="2"/>
        <v>23f2004904@ds.study.iitm.ac.inhttps://github.com/22f3001738/tds-project-1</v>
      </c>
    </row>
    <row r="209">
      <c r="A209" s="3">
        <f>IFERROR(__xludf.DUMMYFUNCTION("""COMPUTED_VALUE"""),45599.87052140046)</f>
        <v>45599.87052</v>
      </c>
      <c r="B209" s="5" t="str">
        <f>IFERROR(__xludf.DUMMYFUNCTION("""COMPUTED_VALUE"""),"https://github.com/21f3000177/tds_project1")</f>
        <v>https://github.com/21f3000177/tds_project1</v>
      </c>
      <c r="C209" s="3">
        <f>IFERROR(__xludf.DUMMYFUNCTION("""COMPUTED_VALUE"""),10.0)</f>
        <v>10</v>
      </c>
      <c r="D209" s="3">
        <f>IFERROR(__xludf.DUMMYFUNCTION("""COMPUTED_VALUE"""),10.0)</f>
        <v>10</v>
      </c>
      <c r="E209" s="3" t="str">
        <f>IFERROR(__xludf.DUMMYFUNCTION("""COMPUTED_VALUE""")," they have given time and made it properly ")</f>
        <v> they have given time and made it properly </v>
      </c>
      <c r="F209" s="5" t="str">
        <f>IFERROR(__xludf.DUMMYFUNCTION("""COMPUTED_VALUE"""),"https://github.com/swalihaattar/IITM_TDS_P1")</f>
        <v>https://github.com/swalihaattar/IITM_TDS_P1</v>
      </c>
      <c r="G209" s="3">
        <f>IFERROR(__xludf.DUMMYFUNCTION("""COMPUTED_VALUE"""),10.0)</f>
        <v>10</v>
      </c>
      <c r="H209" s="3">
        <f>IFERROR(__xludf.DUMMYFUNCTION("""COMPUTED_VALUE"""),10.0)</f>
        <v>10</v>
      </c>
      <c r="I209" s="3" t="str">
        <f>IFERROR(__xludf.DUMMYFUNCTION("""COMPUTED_VALUE""")," they have given time and made it properly")</f>
        <v> they have given time and made it properly</v>
      </c>
      <c r="J209" s="3" t="str">
        <f>IFERROR(__xludf.DUMMYFUNCTION("""COMPUTED_VALUE"""),"23f2002871@ds.study.iitm.ac.in")</f>
        <v>23f2002871@ds.study.iitm.ac.in</v>
      </c>
      <c r="K209" s="3" t="str">
        <f t="shared" si="1"/>
        <v>23f2002871@ds.study.iitm.ac.inhttps://github.com/21f3000177/tds_project1</v>
      </c>
      <c r="L209" s="3" t="str">
        <f t="shared" si="2"/>
        <v>23f2002871@ds.study.iitm.ac.inhttps://github.com/swalihaattar/IITM_TDS_P1</v>
      </c>
    </row>
    <row r="210">
      <c r="A210" s="3">
        <f>IFERROR(__xludf.DUMMYFUNCTION("""COMPUTED_VALUE"""),45599.87748202546)</f>
        <v>45599.87748</v>
      </c>
      <c r="B210" s="5" t="str">
        <f>IFERROR(__xludf.DUMMYFUNCTION("""COMPUTED_VALUE"""),"https://github.com/veenas2024/TdsGA1")</f>
        <v>https://github.com/veenas2024/TdsGA1</v>
      </c>
      <c r="C210" s="3">
        <f>IFERROR(__xludf.DUMMYFUNCTION("""COMPUTED_VALUE"""),10.0)</f>
        <v>10</v>
      </c>
      <c r="D210" s="3">
        <f>IFERROR(__xludf.DUMMYFUNCTION("""COMPUTED_VALUE"""),0.0)</f>
        <v>0</v>
      </c>
      <c r="E210" s="3" t="str">
        <f>IFERROR(__xludf.DUMMYFUNCTION("""COMPUTED_VALUE"""),"readme provided by the student is to the point. Analysis of the topic has been done curately. Interesting facts and recommendation are listed. code is not present.")</f>
        <v>readme provided by the student is to the point. Analysis of the topic has been done curately. Interesting facts and recommendation are listed. code is not present.</v>
      </c>
      <c r="F210" s="5" t="str">
        <f>IFERROR(__xludf.DUMMYFUNCTION("""COMPUTED_VALUE"""),"https://github.com/madhavdasm/tdsproject")</f>
        <v>https://github.com/madhavdasm/tdsproject</v>
      </c>
      <c r="G210" s="3">
        <f>IFERROR(__xludf.DUMMYFUNCTION("""COMPUTED_VALUE"""),10.0)</f>
        <v>10</v>
      </c>
      <c r="H210" s="3">
        <f>IFERROR(__xludf.DUMMYFUNCTION("""COMPUTED_VALUE"""),10.0)</f>
        <v>10</v>
      </c>
      <c r="I210" s="3" t="str">
        <f>IFERROR(__xludf.DUMMYFUNCTION("""COMPUTED_VALUE"""),"readme provided by the student is to the point. Analysis of the topic has been done curately. Interesting facts and recommendation are listed. code is also present.")</f>
        <v>readme provided by the student is to the point. Analysis of the topic has been done curately. Interesting facts and recommendation are listed. code is also present.</v>
      </c>
      <c r="J210" s="3" t="str">
        <f>IFERROR(__xludf.DUMMYFUNCTION("""COMPUTED_VALUE"""),"24f1001283@ds.study.iitm.ac.in")</f>
        <v>24f1001283@ds.study.iitm.ac.in</v>
      </c>
      <c r="K210" s="3" t="str">
        <f t="shared" si="1"/>
        <v>24f1001283@ds.study.iitm.ac.inhttps://github.com/veenas2024/TdsGA1</v>
      </c>
      <c r="L210" s="3" t="str">
        <f t="shared" si="2"/>
        <v>24f1001283@ds.study.iitm.ac.inhttps://github.com/madhavdasm/tdsproject</v>
      </c>
    </row>
    <row r="211">
      <c r="A211" s="3">
        <f>IFERROR(__xludf.DUMMYFUNCTION("""COMPUTED_VALUE"""),45599.87793700231)</f>
        <v>45599.87794</v>
      </c>
      <c r="B211" s="5" t="str">
        <f>IFERROR(__xludf.DUMMYFUNCTION("""COMPUTED_VALUE"""),"https://github.com/Gajanan09/GithubAustinUsers")</f>
        <v>https://github.com/Gajanan09/GithubAustinUsers</v>
      </c>
      <c r="C211" s="3">
        <f>IFERROR(__xludf.DUMMYFUNCTION("""COMPUTED_VALUE"""),1.0)</f>
        <v>1</v>
      </c>
      <c r="D211" s="3">
        <f>IFERROR(__xludf.DUMMYFUNCTION("""COMPUTED_VALUE"""),9.0)</f>
        <v>9</v>
      </c>
      <c r="E211" s="3" t="str">
        <f>IFERROR(__xludf.DUMMYFUNCTION("""COMPUTED_VALUE"""),"The findings are very obvious, while the code was brilliantly documented.")</f>
        <v>The findings are very obvious, while the code was brilliantly documented.</v>
      </c>
      <c r="F211" s="5" t="str">
        <f>IFERROR(__xludf.DUMMYFUNCTION("""COMPUTED_VALUE"""),"https://github.com/vanshikaaraisinghani/TDSProjectt")</f>
        <v>https://github.com/vanshikaaraisinghani/TDSProjectt</v>
      </c>
      <c r="G211" s="3">
        <f>IFERROR(__xludf.DUMMYFUNCTION("""COMPUTED_VALUE"""),0.0)</f>
        <v>0</v>
      </c>
      <c r="H211" s="3">
        <f>IFERROR(__xludf.DUMMYFUNCTION("""COMPUTED_VALUE"""),0.0)</f>
        <v>0</v>
      </c>
      <c r="I211" s="3" t="str">
        <f>IFERROR(__xludf.DUMMYFUNCTION("""COMPUTED_VALUE"""),"There are no findings and no code.")</f>
        <v>There are no findings and no code.</v>
      </c>
      <c r="J211" s="3" t="str">
        <f>IFERROR(__xludf.DUMMYFUNCTION("""COMPUTED_VALUE"""),"23f1001299@ds.study.iitm.ac.in")</f>
        <v>23f1001299@ds.study.iitm.ac.in</v>
      </c>
      <c r="K211" s="3" t="str">
        <f t="shared" si="1"/>
        <v>23f1001299@ds.study.iitm.ac.inhttps://github.com/Gajanan09/GithubAustinUsers</v>
      </c>
      <c r="L211" s="3" t="str">
        <f t="shared" si="2"/>
        <v>23f1001299@ds.study.iitm.ac.inhttps://github.com/vanshikaaraisinghani/TDSProjectt</v>
      </c>
    </row>
    <row r="212">
      <c r="A212" s="3">
        <f>IFERROR(__xludf.DUMMYFUNCTION("""COMPUTED_VALUE"""),45599.90615938658)</f>
        <v>45599.90616</v>
      </c>
      <c r="B212" s="5" t="str">
        <f>IFERROR(__xludf.DUMMYFUNCTION("""COMPUTED_VALUE"""),"https://github.com/ak5h1ta/tds-project1")</f>
        <v>https://github.com/ak5h1ta/tds-project1</v>
      </c>
      <c r="C212" s="3">
        <f>IFERROR(__xludf.DUMMYFUNCTION("""COMPUTED_VALUE"""),9.0)</f>
        <v>9</v>
      </c>
      <c r="D212" s="3">
        <f>IFERROR(__xludf.DUMMYFUNCTION("""COMPUTED_VALUE"""),10.0)</f>
        <v>10</v>
      </c>
      <c r="E212" s="3" t="str">
        <f>IFERROR(__xludf.DUMMYFUNCTION("""COMPUTED_VALUE"""),"The README contains an interesting finding; however, I would have liked a bit more explanation regarding how the statistics differ after 2019/2020 (after COVID), as more people became interested in programming and coding (hence more usage of github) durin"&amp;"g this period.
The code was understandable and clear. ")</f>
        <v>The README contains an interesting finding; however, I would have liked a bit more explanation regarding how the statistics differ after 2019/2020 (after COVID), as more people became interested in programming and coding (hence more usage of github) during this period.
The code was understandable and clear. </v>
      </c>
      <c r="F212" s="5" t="str">
        <f>IFERROR(__xludf.DUMMYFUNCTION("""COMPUTED_VALUE"""),"https://github.co22f2001193-neeraj-menon-iitm/TDS_Project_1")</f>
        <v>https://github.co22f2001193-neeraj-menon-iitm/TDS_Project_1</v>
      </c>
      <c r="G212" s="3">
        <f>IFERROR(__xludf.DUMMYFUNCTION("""COMPUTED_VALUE"""),9.0)</f>
        <v>9</v>
      </c>
      <c r="H212" s="3">
        <f>IFERROR(__xludf.DUMMYFUNCTION("""COMPUTED_VALUE"""),10.0)</f>
        <v>10</v>
      </c>
      <c r="I212" s="3" t="str">
        <f>IFERROR(__xludf.DUMMYFUNCTION("""COMPUTED_VALUE"""),"The README has an interesting finding.
The code was understandable and clear. ")</f>
        <v>The README has an interesting finding.
The code was understandable and clear. </v>
      </c>
      <c r="J212" s="3" t="str">
        <f>IFERROR(__xludf.DUMMYFUNCTION("""COMPUTED_VALUE"""),"22f3001377@ds.study.iitm.ac.in")</f>
        <v>22f3001377@ds.study.iitm.ac.in</v>
      </c>
      <c r="K212" s="3" t="str">
        <f t="shared" si="1"/>
        <v>22f3001377@ds.study.iitm.ac.inhttps://github.com/ak5h1ta/tds-project1</v>
      </c>
      <c r="L212" s="3" t="str">
        <f t="shared" si="2"/>
        <v>22f3001377@ds.study.iitm.ac.inhttps://github.co22f2001193-neeraj-menon-iitm/TDS_Project_1</v>
      </c>
    </row>
    <row r="213">
      <c r="A213" s="3">
        <f>IFERROR(__xludf.DUMMYFUNCTION("""COMPUTED_VALUE"""),45599.90968614584)</f>
        <v>45599.90969</v>
      </c>
      <c r="B213" s="5" t="str">
        <f>IFERROR(__xludf.DUMMYFUNCTION("""COMPUTED_VALUE"""),"https://github.com/22f3000803/tds-project-1")</f>
        <v>https://github.com/22f3000803/tds-project-1</v>
      </c>
      <c r="C213" s="3">
        <f>IFERROR(__xludf.DUMMYFUNCTION("""COMPUTED_VALUE"""),0.0)</f>
        <v>0</v>
      </c>
      <c r="D213" s="3">
        <f>IFERROR(__xludf.DUMMYFUNCTION("""COMPUTED_VALUE"""),0.0)</f>
        <v>0</v>
      </c>
      <c r="E213" s="3" t="str">
        <f>IFERROR(__xludf.DUMMYFUNCTION("""COMPUTED_VALUE"""),"The README.md only includes only the title, file descriptions, and data collection information, without any findings. And, the repository only contains the README.md, users.csv, and repositories.csv files, and does not include any code.")</f>
        <v>The README.md only includes only the title, file descriptions, and data collection information, without any findings. And, the repository only contains the README.md, users.csv, and repositories.csv files, and does not include any code.</v>
      </c>
      <c r="F213" s="5" t="str">
        <f>IFERROR(__xludf.DUMMYFUNCTION("""COMPUTED_VALUE"""),"https://github.com/jayandral/TDS_Project1")</f>
        <v>https://github.com/jayandral/TDS_Project1</v>
      </c>
      <c r="G213" s="3">
        <f>IFERROR(__xludf.DUMMYFUNCTION("""COMPUTED_VALUE"""),5.0)</f>
        <v>5</v>
      </c>
      <c r="H213" s="3">
        <f>IFERROR(__xludf.DUMMYFUNCTION("""COMPUTED_VALUE"""),10.0)</f>
        <v>10</v>
      </c>
      <c r="I213" s="3" t="str">
        <f>IFERROR(__xludf.DUMMYFUNCTION("""COMPUTED_VALUE"""),"The findings provided are very basic. The code is clear and elegant.")</f>
        <v>The findings provided are very basic. The code is clear and elegant.</v>
      </c>
      <c r="J213" s="3" t="str">
        <f>IFERROR(__xludf.DUMMYFUNCTION("""COMPUTED_VALUE"""),"22f2000945@ds.study.iitm.ac.in")</f>
        <v>22f2000945@ds.study.iitm.ac.in</v>
      </c>
      <c r="K213" s="3" t="str">
        <f t="shared" si="1"/>
        <v>22f2000945@ds.study.iitm.ac.inhttps://github.com/22f3000803/tds-project-1</v>
      </c>
      <c r="L213" s="3" t="str">
        <f t="shared" si="2"/>
        <v>22f2000945@ds.study.iitm.ac.inhttps://github.com/jayandral/TDS_Project1</v>
      </c>
    </row>
    <row r="214">
      <c r="A214" s="3">
        <f>IFERROR(__xludf.DUMMYFUNCTION("""COMPUTED_VALUE"""),45599.912847789354)</f>
        <v>45599.91285</v>
      </c>
      <c r="B214" s="5" t="str">
        <f>IFERROR(__xludf.DUMMYFUNCTION("""COMPUTED_VALUE"""),"https://github.com/Wamikmk/My-tds-Project-1")</f>
        <v>https://github.com/Wamikmk/My-tds-Project-1</v>
      </c>
      <c r="C214" s="3">
        <f>IFERROR(__xludf.DUMMYFUNCTION("""COMPUTED_VALUE"""),8.0)</f>
        <v>8</v>
      </c>
      <c r="D214" s="3">
        <f>IFERROR(__xludf.DUMMYFUNCTION("""COMPUTED_VALUE"""),7.0)</f>
        <v>7</v>
      </c>
      <c r="E214" s="3" t="str">
        <f>IFERROR(__xludf.DUMMYFUNCTION("""COMPUTED_VALUE"""),"1. A few findings are present but the way README file is written, it was difficult to locate the findings in a glance.
2. Code to fetch the data is present and well written.But the spreadsheet or code about data analysis is missing.
3. Kindly avoid sharin"&amp;"g your github authorization token in the code.")</f>
        <v>1. A few findings are present but the way README file is written, it was difficult to locate the findings in a glance.
2. Code to fetch the data is present and well written.But the spreadsheet or code about data analysis is missing.
3. Kindly avoid sharing your github authorization token in the code.</v>
      </c>
      <c r="F214" s="5" t="str">
        <f>IFERROR(__xludf.DUMMYFUNCTION("""COMPUTED_VALUE"""),"https://github.com/virajjdm1/TDS-Project-1")</f>
        <v>https://github.com/virajjdm1/TDS-Project-1</v>
      </c>
      <c r="G214" s="3">
        <f>IFERROR(__xludf.DUMMYFUNCTION("""COMPUTED_VALUE"""),10.0)</f>
        <v>10</v>
      </c>
      <c r="H214" s="3">
        <f>IFERROR(__xludf.DUMMYFUNCTION("""COMPUTED_VALUE"""),7.0)</f>
        <v>7</v>
      </c>
      <c r="I214" s="3" t="str">
        <f>IFERROR(__xludf.DUMMYFUNCTION("""COMPUTED_VALUE"""),"1. Readme is written properly and findings are interesting.
2. Code only had data scraping and Q13 analysis. It is mentioned that other analysis was done using Excel but respective spreadsheet was not provided.")</f>
        <v>1. Readme is written properly and findings are interesting.
2. Code only had data scraping and Q13 analysis. It is mentioned that other analysis was done using Excel but respective spreadsheet was not provided.</v>
      </c>
      <c r="J214" s="3" t="str">
        <f>IFERROR(__xludf.DUMMYFUNCTION("""COMPUTED_VALUE"""),"23ds2000023@ds.study.iitm.ac.in")</f>
        <v>23ds2000023@ds.study.iitm.ac.in</v>
      </c>
      <c r="K214" s="3" t="str">
        <f t="shared" si="1"/>
        <v>23ds2000023@ds.study.iitm.ac.inhttps://github.com/Wamikmk/My-tds-Project-1</v>
      </c>
      <c r="L214" s="3" t="str">
        <f t="shared" si="2"/>
        <v>23ds2000023@ds.study.iitm.ac.inhttps://github.com/virajjdm1/TDS-Project-1</v>
      </c>
    </row>
    <row r="215">
      <c r="A215" s="3">
        <f>IFERROR(__xludf.DUMMYFUNCTION("""COMPUTED_VALUE"""),45599.91794826389)</f>
        <v>45599.91795</v>
      </c>
      <c r="B215" s="5" t="str">
        <f>IFERROR(__xludf.DUMMYFUNCTION("""COMPUTED_VALUE"""),"https://github.com/ritikjha7")</f>
        <v>https://github.com/ritikjha7</v>
      </c>
      <c r="C215" s="3">
        <f>IFERROR(__xludf.DUMMYFUNCTION("""COMPUTED_VALUE"""),9.0)</f>
        <v>9</v>
      </c>
      <c r="D215" s="3">
        <f>IFERROR(__xludf.DUMMYFUNCTION("""COMPUTED_VALUE"""),10.0)</f>
        <v>10</v>
      </c>
      <c r="E215" s="3" t="str">
        <f>IFERROR(__xludf.DUMMYFUNCTION("""COMPUTED_VALUE"""),"everything was as required and the repo has the files needed")</f>
        <v>everything was as required and the repo has the files needed</v>
      </c>
      <c r="F215" s="5" t="str">
        <f>IFERROR(__xludf.DUMMYFUNCTION("""COMPUTED_VALUE"""),"https://github.com/S23fVK")</f>
        <v>https://github.com/S23fVK</v>
      </c>
      <c r="G215" s="3">
        <f>IFERROR(__xludf.DUMMYFUNCTION("""COMPUTED_VALUE"""),9.0)</f>
        <v>9</v>
      </c>
      <c r="H215" s="3">
        <f>IFERROR(__xludf.DUMMYFUNCTION("""COMPUTED_VALUE"""),10.0)</f>
        <v>10</v>
      </c>
      <c r="I215" s="3" t="str">
        <f>IFERROR(__xludf.DUMMYFUNCTION("""COMPUTED_VALUE"""),"Everything was good as required")</f>
        <v>Everything was good as required</v>
      </c>
      <c r="J215" s="3" t="str">
        <f>IFERROR(__xludf.DUMMYFUNCTION("""COMPUTED_VALUE"""),"23f2003700@ds.study.iitm.ac.in")</f>
        <v>23f2003700@ds.study.iitm.ac.in</v>
      </c>
      <c r="K215" s="3" t="str">
        <f t="shared" si="1"/>
        <v>23f2003700@ds.study.iitm.ac.inhttps://github.com/ritikjha7</v>
      </c>
      <c r="L215" s="3" t="str">
        <f t="shared" si="2"/>
        <v>23f2003700@ds.study.iitm.ac.inhttps://github.com/S23fVK</v>
      </c>
    </row>
    <row r="216">
      <c r="A216" s="3">
        <f>IFERROR(__xludf.DUMMYFUNCTION("""COMPUTED_VALUE"""),45599.91892523148)</f>
        <v>45599.91893</v>
      </c>
      <c r="B216" s="5" t="str">
        <f>IFERROR(__xludf.DUMMYFUNCTION("""COMPUTED_VALUE"""),"https://github.com/iitmadvaith/tds")</f>
        <v>https://github.com/iitmadvaith/tds</v>
      </c>
      <c r="C216" s="3">
        <f>IFERROR(__xludf.DUMMYFUNCTION("""COMPUTED_VALUE"""),8.0)</f>
        <v>8</v>
      </c>
      <c r="D216" s="3">
        <f>IFERROR(__xludf.DUMMYFUNCTION("""COMPUTED_VALUE"""),7.0)</f>
        <v>7</v>
      </c>
      <c r="E216" s="3" t="str">
        <f>IFERROR(__xludf.DUMMYFUNCTION("""COMPUTED_VALUE"""),"Readme is ok, and the repo looks good. But the formatting for boolean fields has not met the instructions given.")</f>
        <v>Readme is ok, and the repo looks good. But the formatting for boolean fields has not met the instructions given.</v>
      </c>
      <c r="F216" s="5" t="str">
        <f>IFERROR(__xludf.DUMMYFUNCTION("""COMPUTED_VALUE"""),"https://github.com/sumitt2408/github-users-london")</f>
        <v>https://github.com/sumitt2408/github-users-london</v>
      </c>
      <c r="G216" s="3">
        <f>IFERROR(__xludf.DUMMYFUNCTION("""COMPUTED_VALUE"""),4.0)</f>
        <v>4</v>
      </c>
      <c r="H216" s="3">
        <f>IFERROR(__xludf.DUMMYFUNCTION("""COMPUTED_VALUE"""),9.0)</f>
        <v>9</v>
      </c>
      <c r="I216" s="3" t="str">
        <f>IFERROR(__xludf.DUMMYFUNCTION("""COMPUTED_VALUE"""),"There was a Readme file with few information but in the project description it was clearly mentioned about three bullet points that it must have, which was totally missing in the readme. The repo looks professional, it did have a python script which is us"&amp;"ed to scrape the data")</f>
        <v>There was a Readme file with few information but in the project description it was clearly mentioned about three bullet points that it must have, which was totally missing in the readme. The repo looks professional, it did have a python script which is used to scrape the data</v>
      </c>
      <c r="J216" s="3" t="str">
        <f>IFERROR(__xludf.DUMMYFUNCTION("""COMPUTED_VALUE"""),"21f3000177@ds.study.iitm.ac.in")</f>
        <v>21f3000177@ds.study.iitm.ac.in</v>
      </c>
      <c r="K216" s="3" t="str">
        <f t="shared" si="1"/>
        <v>21f3000177@ds.study.iitm.ac.inhttps://github.com/iitmadvaith/tds</v>
      </c>
      <c r="L216" s="3" t="str">
        <f t="shared" si="2"/>
        <v>21f3000177@ds.study.iitm.ac.inhttps://github.com/sumitt2408/github-users-london</v>
      </c>
    </row>
    <row r="217">
      <c r="A217" s="3">
        <f>IFERROR(__xludf.DUMMYFUNCTION("""COMPUTED_VALUE"""),45599.91916143519)</f>
        <v>45599.91916</v>
      </c>
      <c r="B217" s="5" t="str">
        <f>IFERROR(__xludf.DUMMYFUNCTION("""COMPUTED_VALUE"""),"https://github.com/harshshah-codes/TDS-project-1")</f>
        <v>https://github.com/harshshah-codes/TDS-project-1</v>
      </c>
      <c r="C217" s="3">
        <f>IFERROR(__xludf.DUMMYFUNCTION("""COMPUTED_VALUE"""),8.0)</f>
        <v>8</v>
      </c>
      <c r="D217" s="3">
        <f>IFERROR(__xludf.DUMMYFUNCTION("""COMPUTED_VALUE"""),5.0)</f>
        <v>5</v>
      </c>
      <c r="E217" s="3" t="str">
        <f>IFERROR(__xludf.DUMMYFUNCTION("""COMPUTED_VALUE"""),"The points in readme, are very well organized, but the observations are very basic.")</f>
        <v>The points in readme, are very well organized, but the observations are very basic.</v>
      </c>
      <c r="F217" s="5" t="str">
        <f>IFERROR(__xludf.DUMMYFUNCTION("""COMPUTED_VALUE"""),"https://github.com/DSAshv/TDS-Project1")</f>
        <v>https://github.com/DSAshv/TDS-Project1</v>
      </c>
      <c r="G217" s="3">
        <f>IFERROR(__xludf.DUMMYFUNCTION("""COMPUTED_VALUE"""),10.0)</f>
        <v>10</v>
      </c>
      <c r="H217" s="3">
        <f>IFERROR(__xludf.DUMMYFUNCTION("""COMPUTED_VALUE"""),8.0)</f>
        <v>8</v>
      </c>
      <c r="I217" s="3" t="str">
        <f>IFERROR(__xludf.DUMMYFUNCTION("""COMPUTED_VALUE"""),"Readme file is very well organized and very useful information is given, code is very well written but comments are not written for understanding, but over all project is very good written.")</f>
        <v>Readme file is very well organized and very useful information is given, code is very well written but comments are not written for understanding, but over all project is very good written.</v>
      </c>
      <c r="J217" s="3" t="str">
        <f>IFERROR(__xludf.DUMMYFUNCTION("""COMPUTED_VALUE"""),"23f2004527@ds.study.iitm.ac.in")</f>
        <v>23f2004527@ds.study.iitm.ac.in</v>
      </c>
      <c r="K217" s="3" t="str">
        <f t="shared" si="1"/>
        <v>23f2004527@ds.study.iitm.ac.inhttps://github.com/harshshah-codes/TDS-project-1</v>
      </c>
      <c r="L217" s="3" t="str">
        <f t="shared" si="2"/>
        <v>23f2004527@ds.study.iitm.ac.inhttps://github.com/DSAshv/TDS-Project1</v>
      </c>
    </row>
    <row r="218">
      <c r="A218" s="3">
        <f>IFERROR(__xludf.DUMMYFUNCTION("""COMPUTED_VALUE"""),45599.9258416088)</f>
        <v>45599.92584</v>
      </c>
      <c r="B218" s="5" t="str">
        <f>IFERROR(__xludf.DUMMYFUNCTION("""COMPUTED_VALUE"""),"https://github.com/RAGHAV-0202/TDS-IITM")</f>
        <v>https://github.com/RAGHAV-0202/TDS-IITM</v>
      </c>
      <c r="C218" s="3">
        <f>IFERROR(__xludf.DUMMYFUNCTION("""COMPUTED_VALUE"""),0.0)</f>
        <v>0</v>
      </c>
      <c r="D218" s="3">
        <f>IFERROR(__xludf.DUMMYFUNCTION("""COMPUTED_VALUE"""),0.0)</f>
        <v>0</v>
      </c>
      <c r="E218" s="3" t="str">
        <f>IFERROR(__xludf.DUMMYFUNCTION("""COMPUTED_VALUE"""),"The Readme.md file is missing and also the code is not added. Only the .csv files are available in the repo.")</f>
        <v>The Readme.md file is missing and also the code is not added. Only the .csv files are available in the repo.</v>
      </c>
      <c r="F218" s="5" t="str">
        <f>IFERROR(__xludf.DUMMYFUNCTION("""COMPUTED_VALUE"""),"https://github.com/meyywwg/tds_project1")</f>
        <v>https://github.com/meyywwg/tds_project1</v>
      </c>
      <c r="G218" s="3">
        <f>IFERROR(__xludf.DUMMYFUNCTION("""COMPUTED_VALUE"""),9.0)</f>
        <v>9</v>
      </c>
      <c r="H218" s="3">
        <f>IFERROR(__xludf.DUMMYFUNCTION("""COMPUTED_VALUE"""),6.0)</f>
        <v>6</v>
      </c>
      <c r="I218" s="3" t="str">
        <f>IFERROR(__xludf.DUMMYFUNCTION("""COMPUTED_VALUE"""),"The readme file was great, not something very amazing buthad good findings and presented in a good way. The code was horrific, He had pushed the secret GitHub token on the repo. On every cell he imported pandas and the csv files instead of once at the top"&amp;". There were too many security risks and code repetition.")</f>
        <v>The readme file was great, not something very amazing buthad good findings and presented in a good way. The code was horrific, He had pushed the secret GitHub token on the repo. On every cell he imported pandas and the csv files instead of once at the top. There were too many security risks and code repetition.</v>
      </c>
      <c r="J218" s="3" t="str">
        <f>IFERROR(__xludf.DUMMYFUNCTION("""COMPUTED_VALUE"""),"24ds2000130@ds.study.iitm.ac.in")</f>
        <v>24ds2000130@ds.study.iitm.ac.in</v>
      </c>
      <c r="K218" s="3" t="str">
        <f t="shared" si="1"/>
        <v>24ds2000130@ds.study.iitm.ac.inhttps://github.com/RAGHAV-0202/TDS-IITM</v>
      </c>
      <c r="L218" s="3" t="str">
        <f t="shared" si="2"/>
        <v>24ds2000130@ds.study.iitm.ac.inhttps://github.com/meyywwg/tds_project1</v>
      </c>
    </row>
    <row r="219">
      <c r="A219" s="3">
        <f>IFERROR(__xludf.DUMMYFUNCTION("""COMPUTED_VALUE"""),45599.931615497684)</f>
        <v>45599.93162</v>
      </c>
      <c r="B219" s="5" t="str">
        <f>IFERROR(__xludf.DUMMYFUNCTION("""COMPUTED_VALUE"""),"https://github.com/Shanu48/TDS_Project1")</f>
        <v>https://github.com/Shanu48/TDS_Project1</v>
      </c>
      <c r="C219" s="3">
        <f>IFERROR(__xludf.DUMMYFUNCTION("""COMPUTED_VALUE"""),10.0)</f>
        <v>10</v>
      </c>
      <c r="D219" s="3">
        <f>IFERROR(__xludf.DUMMYFUNCTION("""COMPUTED_VALUE"""),10.0)</f>
        <v>10</v>
      </c>
      <c r="E219" s="3" t="str">
        <f>IFERROR(__xludf.DUMMYFUNCTION("""COMPUTED_VALUE"""),"it was nice project, he provided details about scraping, and also done analysis")</f>
        <v>it was nice project, he provided details about scraping, and also done analysis</v>
      </c>
      <c r="F219" s="5" t="str">
        <f>IFERROR(__xludf.DUMMYFUNCTION("""COMPUTED_VALUE"""),"https://github.com/Abhishek-IITM2026/TDS-Project-1")</f>
        <v>https://github.com/Abhishek-IITM2026/TDS-Project-1</v>
      </c>
      <c r="G219" s="3">
        <f>IFERROR(__xludf.DUMMYFUNCTION("""COMPUTED_VALUE"""),10.0)</f>
        <v>10</v>
      </c>
      <c r="H219" s="3">
        <f>IFERROR(__xludf.DUMMYFUNCTION("""COMPUTED_VALUE"""),10.0)</f>
        <v>10</v>
      </c>
      <c r="I219" s="3" t="str">
        <f>IFERROR(__xludf.DUMMYFUNCTION("""COMPUTED_VALUE"""),"very good project, he provided details about scraping, and also done analysis")</f>
        <v>very good project, he provided details about scraping, and also done analysis</v>
      </c>
      <c r="J219" s="3" t="str">
        <f>IFERROR(__xludf.DUMMYFUNCTION("""COMPUTED_VALUE"""),"22f3001738@ds.study.iitm.ac.in")</f>
        <v>22f3001738@ds.study.iitm.ac.in</v>
      </c>
      <c r="K219" s="3" t="str">
        <f t="shared" si="1"/>
        <v>22f3001738@ds.study.iitm.ac.inhttps://github.com/Shanu48/TDS_Project1</v>
      </c>
      <c r="L219" s="3" t="str">
        <f t="shared" si="2"/>
        <v>22f3001738@ds.study.iitm.ac.inhttps://github.com/Abhishek-IITM2026/TDS-Project-1</v>
      </c>
    </row>
    <row r="220">
      <c r="A220" s="3">
        <f>IFERROR(__xludf.DUMMYFUNCTION("""COMPUTED_VALUE"""),45599.932695613425)</f>
        <v>45599.9327</v>
      </c>
      <c r="B220" s="5" t="str">
        <f>IFERROR(__xludf.DUMMYFUNCTION("""COMPUTED_VALUE"""),"https://github.com/Giri-Subrahmanya/23f2000573-TDS-P1")</f>
        <v>https://github.com/Giri-Subrahmanya/23f2000573-TDS-P1</v>
      </c>
      <c r="C220" s="3">
        <f>IFERROR(__xludf.DUMMYFUNCTION("""COMPUTED_VALUE"""),8.0)</f>
        <v>8</v>
      </c>
      <c r="D220" s="3">
        <f>IFERROR(__xludf.DUMMYFUNCTION("""COMPUTED_VALUE"""),10.0)</f>
        <v>10</v>
      </c>
      <c r="E220" s="3" t="str">
        <f>IFERROR(__xludf.DUMMYFUNCTION("""COMPUTED_VALUE"""),"Code is clearly written. We can get the idea about data from README file.")</f>
        <v>Code is clearly written. We can get the idea about data from README file.</v>
      </c>
      <c r="F220" s="5" t="str">
        <f>IFERROR(__xludf.DUMMYFUNCTION("""COMPUTED_VALUE"""),"https://github.com/Anupama-Manjunath/22f3003253_tdsPA1")</f>
        <v>https://github.com/Anupama-Manjunath/22f3003253_tdsPA1</v>
      </c>
      <c r="G220" s="3">
        <f>IFERROR(__xludf.DUMMYFUNCTION("""COMPUTED_VALUE"""),10.0)</f>
        <v>10</v>
      </c>
      <c r="H220" s="3">
        <f>IFERROR(__xludf.DUMMYFUNCTION("""COMPUTED_VALUE"""),10.0)</f>
        <v>10</v>
      </c>
      <c r="I220" s="3" t="str">
        <f>IFERROR(__xludf.DUMMYFUNCTION("""COMPUTED_VALUE"""),"The facts written in README is fascinating and interesting. The code is clear and can be easily understandable ")</f>
        <v>The facts written in README is fascinating and interesting. The code is clear and can be easily understandable </v>
      </c>
      <c r="J220" s="3" t="str">
        <f>IFERROR(__xludf.DUMMYFUNCTION("""COMPUTED_VALUE"""),"22f3003124@ds.study.iitm.ac.in")</f>
        <v>22f3003124@ds.study.iitm.ac.in</v>
      </c>
      <c r="K220" s="3" t="str">
        <f t="shared" si="1"/>
        <v>22f3003124@ds.study.iitm.ac.inhttps://github.com/Giri-Subrahmanya/23f2000573-TDS-P1</v>
      </c>
      <c r="L220" s="3" t="str">
        <f t="shared" si="2"/>
        <v>22f3003124@ds.study.iitm.ac.inhttps://github.com/Anupama-Manjunath/22f3003253_tdsPA1</v>
      </c>
    </row>
    <row r="221">
      <c r="A221" s="3">
        <f>IFERROR(__xludf.DUMMYFUNCTION("""COMPUTED_VALUE"""),45599.93967674769)</f>
        <v>45599.93968</v>
      </c>
      <c r="B221" s="5" t="str">
        <f>IFERROR(__xludf.DUMMYFUNCTION("""COMPUTED_VALUE"""),"https://github.com/bhupendra1008/tds_project_1")</f>
        <v>https://github.com/bhupendra1008/tds_project_1</v>
      </c>
      <c r="C221" s="3">
        <f>IFERROR(__xludf.DUMMYFUNCTION("""COMPUTED_VALUE"""),5.0)</f>
        <v>5</v>
      </c>
      <c r="D221" s="3">
        <f>IFERROR(__xludf.DUMMYFUNCTION("""COMPUTED_VALUE"""),8.0)</f>
        <v>8</v>
      </c>
      <c r="E221" s="3" t="str">
        <f>IFERROR(__xludf.DUMMYFUNCTION("""COMPUTED_VALUE"""),"Findings are not very useful and concise but I appreciate clear and elegant repo code. ")</f>
        <v>Findings are not very useful and concise but I appreciate clear and elegant repo code. </v>
      </c>
      <c r="F221" s="5" t="str">
        <f>IFERROR(__xludf.DUMMYFUNCTION("""COMPUTED_VALUE"""),"https://github.com/foriitm/p01")</f>
        <v>https://github.com/foriitm/p01</v>
      </c>
      <c r="G221" s="3">
        <f>IFERROR(__xludf.DUMMYFUNCTION("""COMPUTED_VALUE"""),0.0)</f>
        <v>0</v>
      </c>
      <c r="H221" s="3">
        <f>IFERROR(__xludf.DUMMYFUNCTION("""COMPUTED_VALUE"""),0.0)</f>
        <v>0</v>
      </c>
      <c r="I221" s="3" t="str">
        <f>IFERROR(__xludf.DUMMYFUNCTION("""COMPUTED_VALUE"""),"README is blank and there is no code in repo")</f>
        <v>README is blank and there is no code in repo</v>
      </c>
      <c r="J221" s="3" t="str">
        <f>IFERROR(__xludf.DUMMYFUNCTION("""COMPUTED_VALUE"""),"21f1002570@ds.study.iitm.ac.in")</f>
        <v>21f1002570@ds.study.iitm.ac.in</v>
      </c>
      <c r="K221" s="3" t="str">
        <f t="shared" si="1"/>
        <v>21f1002570@ds.study.iitm.ac.inhttps://github.com/bhupendra1008/tds_project_1</v>
      </c>
      <c r="L221" s="3" t="str">
        <f t="shared" si="2"/>
        <v>21f1002570@ds.study.iitm.ac.inhttps://github.com/foriitm/p01</v>
      </c>
    </row>
    <row r="222">
      <c r="A222" s="3">
        <f>IFERROR(__xludf.DUMMYFUNCTION("""COMPUTED_VALUE"""),45599.946870995365)</f>
        <v>45599.94687</v>
      </c>
      <c r="B222" s="5" t="str">
        <f>IFERROR(__xludf.DUMMYFUNCTION("""COMPUTED_VALUE"""),"https://github.com/jeelan-ds786/ToolsForDataScience")</f>
        <v>https://github.com/jeelan-ds786/ToolsForDataScience</v>
      </c>
      <c r="C222" s="3">
        <f>IFERROR(__xludf.DUMMYFUNCTION("""COMPUTED_VALUE"""),10.0)</f>
        <v>10</v>
      </c>
      <c r="D222" s="3">
        <f>IFERROR(__xludf.DUMMYFUNCTION("""COMPUTED_VALUE"""),7.0)</f>
        <v>7</v>
      </c>
      <c r="E222" s="3" t="str">
        <f>IFERROR(__xludf.DUMMYFUNCTION("""COMPUTED_VALUE"""),"The README.md was well written and the findings were interesting. ")</f>
        <v>The README.md was well written and the findings were interesting. </v>
      </c>
      <c r="F222" s="5" t="str">
        <f>IFERROR(__xludf.DUMMYFUNCTION("""COMPUTED_VALUE"""),"https://github.com/abhinavsaxena277/Hyderabad-GitHub-Users")</f>
        <v>https://github.com/abhinavsaxena277/Hyderabad-GitHub-Users</v>
      </c>
      <c r="G222" s="3">
        <f>IFERROR(__xludf.DUMMYFUNCTION("""COMPUTED_VALUE"""),9.0)</f>
        <v>9</v>
      </c>
      <c r="H222" s="3">
        <f>IFERROR(__xludf.DUMMYFUNCTION("""COMPUTED_VALUE"""),9.0)</f>
        <v>9</v>
      </c>
      <c r="I222" s="3" t="str">
        <f>IFERROR(__xludf.DUMMYFUNCTION("""COMPUTED_VALUE"""),"The codes were well written and executed. They looked professional.  ")</f>
        <v>The codes were well written and executed. They looked professional.  </v>
      </c>
      <c r="J222" s="3" t="str">
        <f>IFERROR(__xludf.DUMMYFUNCTION("""COMPUTED_VALUE"""),"23f3003749@ds.study.iitm.ac.in")</f>
        <v>23f3003749@ds.study.iitm.ac.in</v>
      </c>
      <c r="K222" s="3" t="str">
        <f t="shared" si="1"/>
        <v>23f3003749@ds.study.iitm.ac.inhttps://github.com/jeelan-ds786/ToolsForDataScience</v>
      </c>
      <c r="L222" s="3" t="str">
        <f t="shared" si="2"/>
        <v>23f3003749@ds.study.iitm.ac.inhttps://github.com/abhinavsaxena277/Hyderabad-GitHub-Users</v>
      </c>
    </row>
    <row r="223">
      <c r="A223" s="3">
        <f>IFERROR(__xludf.DUMMYFUNCTION("""COMPUTED_VALUE"""),45599.948680057874)</f>
        <v>45599.94868</v>
      </c>
      <c r="B223" s="5" t="str">
        <f>IFERROR(__xludf.DUMMYFUNCTION("""COMPUTED_VALUE"""),"https://github.com/Raksha120799/tds-proj-1")</f>
        <v>https://github.com/Raksha120799/tds-proj-1</v>
      </c>
      <c r="C223" s="3">
        <f>IFERROR(__xludf.DUMMYFUNCTION("""COMPUTED_VALUE"""),0.0)</f>
        <v>0</v>
      </c>
      <c r="D223" s="3">
        <f>IFERROR(__xludf.DUMMYFUNCTION("""COMPUTED_VALUE"""),0.0)</f>
        <v>0</v>
      </c>
      <c r="E223" s="3" t="str">
        <f>IFERROR(__xludf.DUMMYFUNCTION("""COMPUTED_VALUE"""),"The repo did not have any file containing the code used in the main branch. The README.md file did not have any findings pointed out.")</f>
        <v>The repo did not have any file containing the code used in the main branch. The README.md file did not have any findings pointed out.</v>
      </c>
      <c r="F223" s="5" t="str">
        <f>IFERROR(__xludf.DUMMYFUNCTION("""COMPUTED_VALUE"""),"https://github.com/23f2003986/Boston100_Users")</f>
        <v>https://github.com/23f2003986/Boston100_Users</v>
      </c>
      <c r="G223" s="3">
        <f>IFERROR(__xludf.DUMMYFUNCTION("""COMPUTED_VALUE"""),7.0)</f>
        <v>7</v>
      </c>
      <c r="H223" s="3">
        <f>IFERROR(__xludf.DUMMYFUNCTION("""COMPUTED_VALUE"""),9.0)</f>
        <v>9</v>
      </c>
      <c r="I223" s="3" t="str">
        <f>IFERROR(__xludf.DUMMYFUNCTION("""COMPUTED_VALUE"""),"The findings were interesting and enlightening, but the README.md did not have bullet points and the findings bullet point is greater than 50 words")</f>
        <v>The findings were interesting and enlightening, but the README.md did not have bullet points and the findings bullet point is greater than 50 words</v>
      </c>
      <c r="J223" s="3" t="str">
        <f>IFERROR(__xludf.DUMMYFUNCTION("""COMPUTED_VALUE"""),"23f2003803@ds.study.iitm.ac.in")</f>
        <v>23f2003803@ds.study.iitm.ac.in</v>
      </c>
      <c r="K223" s="3" t="str">
        <f t="shared" si="1"/>
        <v>23f2003803@ds.study.iitm.ac.inhttps://github.com/Raksha120799/tds-proj-1</v>
      </c>
      <c r="L223" s="3" t="str">
        <f t="shared" si="2"/>
        <v>23f2003803@ds.study.iitm.ac.inhttps://github.com/23f2003986/Boston100_Users</v>
      </c>
    </row>
    <row r="224">
      <c r="A224" s="3">
        <f>IFERROR(__xludf.DUMMYFUNCTION("""COMPUTED_VALUE"""),45599.95163386574)</f>
        <v>45599.95163</v>
      </c>
      <c r="B224" s="5" t="str">
        <f>IFERROR(__xludf.DUMMYFUNCTION("""COMPUTED_VALUE"""),"https://github.com/mohitbakshi04/tds-project-1")</f>
        <v>https://github.com/mohitbakshi04/tds-project-1</v>
      </c>
      <c r="C224" s="3">
        <f>IFERROR(__xludf.DUMMYFUNCTION("""COMPUTED_VALUE"""),10.0)</f>
        <v>10</v>
      </c>
      <c r="D224" s="3">
        <f>IFERROR(__xludf.DUMMYFUNCTION("""COMPUTED_VALUE"""),9.0)</f>
        <v>9</v>
      </c>
      <c r="E224" s="3" t="str">
        <f>IFERROR(__xludf.DUMMYFUNCTION("""COMPUTED_VALUE"""),"I found it interesting to read the observations made from the analysis of the data and the presentation was clear and understandable.")</f>
        <v>I found it interesting to read the observations made from the analysis of the data and the presentation was clear and understandable.</v>
      </c>
      <c r="F224" s="5" t="str">
        <f>IFERROR(__xludf.DUMMYFUNCTION("""COMPUTED_VALUE"""),"https://github.com/21f3003136/TokyoScrape")</f>
        <v>https://github.com/21f3003136/TokyoScrape</v>
      </c>
      <c r="G224" s="3">
        <f>IFERROR(__xludf.DUMMYFUNCTION("""COMPUTED_VALUE"""),10.0)</f>
        <v>10</v>
      </c>
      <c r="H224" s="3">
        <f>IFERROR(__xludf.DUMMYFUNCTION("""COMPUTED_VALUE"""),10.0)</f>
        <v>10</v>
      </c>
      <c r="I224" s="3" t="str">
        <f>IFERROR(__xludf.DUMMYFUNCTION("""COMPUTED_VALUE"""),"It was fascinating observation that was made from the analysis ( abandonment of repositories by users) and the explanation and the presentation of the program was clear and easy to understand.")</f>
        <v>It was fascinating observation that was made from the analysis ( abandonment of repositories by users) and the explanation and the presentation of the program was clear and easy to understand.</v>
      </c>
      <c r="J224" s="3" t="str">
        <f>IFERROR(__xludf.DUMMYFUNCTION("""COMPUTED_VALUE"""),"21f3002711@ds.study.iitm.ac.in")</f>
        <v>21f3002711@ds.study.iitm.ac.in</v>
      </c>
      <c r="K224" s="3" t="str">
        <f t="shared" si="1"/>
        <v>21f3002711@ds.study.iitm.ac.inhttps://github.com/mohitbakshi04/tds-project-1</v>
      </c>
      <c r="L224" s="3" t="str">
        <f t="shared" si="2"/>
        <v>21f3002711@ds.study.iitm.ac.inhttps://github.com/21f3003136/TokyoScrape</v>
      </c>
    </row>
    <row r="225">
      <c r="A225" s="3">
        <f>IFERROR(__xludf.DUMMYFUNCTION("""COMPUTED_VALUE"""),45599.95484859953)</f>
        <v>45599.95485</v>
      </c>
      <c r="B225" s="5" t="str">
        <f>IFERROR(__xludf.DUMMYFUNCTION("""COMPUTED_VALUE"""),"https://github.com/IRONalways17/TDS-Project1")</f>
        <v>https://github.com/IRONalways17/TDS-Project1</v>
      </c>
      <c r="C225" s="3">
        <f>IFERROR(__xludf.DUMMYFUNCTION("""COMPUTED_VALUE"""),4.0)</f>
        <v>4</v>
      </c>
      <c r="D225" s="3">
        <f>IFERROR(__xludf.DUMMYFUNCTION("""COMPUTED_VALUE"""),2.0)</f>
        <v>2</v>
      </c>
      <c r="E225" s="3" t="str">
        <f>IFERROR(__xludf.DUMMYFUNCTION("""COMPUTED_VALUE"""),"not very clear and readme not available")</f>
        <v>not very clear and readme not available</v>
      </c>
      <c r="F225" s="5" t="str">
        <f>IFERROR(__xludf.DUMMYFUNCTION("""COMPUTED_VALUE"""),"https://github.com/virajkingmaker/project1")</f>
        <v>https://github.com/virajkingmaker/project1</v>
      </c>
      <c r="G225" s="3">
        <f>IFERROR(__xludf.DUMMYFUNCTION("""COMPUTED_VALUE"""),10.0)</f>
        <v>10</v>
      </c>
      <c r="H225" s="3">
        <f>IFERROR(__xludf.DUMMYFUNCTION("""COMPUTED_VALUE"""),10.0)</f>
        <v>10</v>
      </c>
      <c r="I225" s="3" t="str">
        <f>IFERROR(__xludf.DUMMYFUNCTION("""COMPUTED_VALUE"""),"clear and conscience readme and csv files")</f>
        <v>clear and conscience readme and csv files</v>
      </c>
      <c r="J225" s="3" t="str">
        <f>IFERROR(__xludf.DUMMYFUNCTION("""COMPUTED_VALUE"""),"23f3000846@ds.study.iitm.ac.in")</f>
        <v>23f3000846@ds.study.iitm.ac.in</v>
      </c>
      <c r="K225" s="3" t="str">
        <f t="shared" si="1"/>
        <v>23f3000846@ds.study.iitm.ac.inhttps://github.com/IRONalways17/TDS-Project1</v>
      </c>
      <c r="L225" s="3" t="str">
        <f t="shared" si="2"/>
        <v>23f3000846@ds.study.iitm.ac.inhttps://github.com/virajkingmaker/project1</v>
      </c>
    </row>
    <row r="226">
      <c r="A226" s="3">
        <f>IFERROR(__xludf.DUMMYFUNCTION("""COMPUTED_VALUE"""),45599.95936150463)</f>
        <v>45599.95936</v>
      </c>
      <c r="B226" s="5" t="str">
        <f>IFERROR(__xludf.DUMMYFUNCTION("""COMPUTED_VALUE"""),"https://github.com/ramees-thattarath/TDS-proj-1")</f>
        <v>https://github.com/ramees-thattarath/TDS-proj-1</v>
      </c>
      <c r="C226" s="3">
        <f>IFERROR(__xludf.DUMMYFUNCTION("""COMPUTED_VALUE"""),10.0)</f>
        <v>10</v>
      </c>
      <c r="D226" s="3">
        <f>IFERROR(__xludf.DUMMYFUNCTION("""COMPUTED_VALUE"""),10.0)</f>
        <v>10</v>
      </c>
      <c r="E226" s="3" t="str">
        <f>IFERROR(__xludf.DUMMYFUNCTION("""COMPUTED_VALUE"""),"the student explains everything good")</f>
        <v>the student explains everything good</v>
      </c>
      <c r="F226" s="5" t="str">
        <f>IFERROR(__xludf.DUMMYFUNCTION("""COMPUTED_VALUE"""),"https://github.com/Sakthi-Balan-B/project1")</f>
        <v>https://github.com/Sakthi-Balan-B/project1</v>
      </c>
      <c r="G226" s="3">
        <f>IFERROR(__xludf.DUMMYFUNCTION("""COMPUTED_VALUE"""),10.0)</f>
        <v>10</v>
      </c>
      <c r="H226" s="3">
        <f>IFERROR(__xludf.DUMMYFUNCTION("""COMPUTED_VALUE"""),10.0)</f>
        <v>10</v>
      </c>
      <c r="I226" s="3" t="str">
        <f>IFERROR(__xludf.DUMMYFUNCTION("""COMPUTED_VALUE"""),"the student describe all the data well. detailed explaination")</f>
        <v>the student describe all the data well. detailed explaination</v>
      </c>
      <c r="J226" s="3" t="str">
        <f>IFERROR(__xludf.DUMMYFUNCTION("""COMPUTED_VALUE"""),"22f2000036@ds.study.iitm.ac.in")</f>
        <v>22f2000036@ds.study.iitm.ac.in</v>
      </c>
      <c r="K226" s="3" t="str">
        <f t="shared" si="1"/>
        <v>22f2000036@ds.study.iitm.ac.inhttps://github.com/ramees-thattarath/TDS-proj-1</v>
      </c>
      <c r="L226" s="3" t="str">
        <f t="shared" si="2"/>
        <v>22f2000036@ds.study.iitm.ac.inhttps://github.com/Sakthi-Balan-B/project1</v>
      </c>
    </row>
    <row r="227">
      <c r="A227" s="3">
        <f>IFERROR(__xludf.DUMMYFUNCTION("""COMPUTED_VALUE"""),45599.968279953704)</f>
        <v>45599.96828</v>
      </c>
      <c r="B227" s="5" t="str">
        <f>IFERROR(__xludf.DUMMYFUNCTION("""COMPUTED_VALUE"""),"https://github.com/vivek-2028/TDS-Project-1")</f>
        <v>https://github.com/vivek-2028/TDS-Project-1</v>
      </c>
      <c r="C227" s="3">
        <f>IFERROR(__xludf.DUMMYFUNCTION("""COMPUTED_VALUE"""),10.0)</f>
        <v>10</v>
      </c>
      <c r="D227" s="3">
        <f>IFERROR(__xludf.DUMMYFUNCTION("""COMPUTED_VALUE"""),10.0)</f>
        <v>10</v>
      </c>
      <c r="E227" s="3" t="str">
        <f>IFERROR(__xludf.DUMMYFUNCTION("""COMPUTED_VALUE"""),"I gave these ratings because I found the repository very interesting and meaningful.")</f>
        <v>I gave these ratings because I found the repository very interesting and meaningful.</v>
      </c>
      <c r="F227" s="5" t="str">
        <f>IFERROR(__xludf.DUMMYFUNCTION("""COMPUTED_VALUE"""),"https://github.com/QuixoticPsyche/tds-project-1")</f>
        <v>https://github.com/QuixoticPsyche/tds-project-1</v>
      </c>
      <c r="G227" s="3">
        <f>IFERROR(__xludf.DUMMYFUNCTION("""COMPUTED_VALUE"""),10.0)</f>
        <v>10</v>
      </c>
      <c r="H227" s="3">
        <f>IFERROR(__xludf.DUMMYFUNCTION("""COMPUTED_VALUE"""),10.0)</f>
        <v>10</v>
      </c>
      <c r="I227" s="3" t="str">
        <f>IFERROR(__xludf.DUMMYFUNCTION("""COMPUTED_VALUE"""),"I gave these ratings because I found the repository very insightful.")</f>
        <v>I gave these ratings because I found the repository very insightful.</v>
      </c>
      <c r="J227" s="3" t="str">
        <f>IFERROR(__xludf.DUMMYFUNCTION("""COMPUTED_VALUE"""),"21f1000330@ds.study.iitm.ac.in")</f>
        <v>21f1000330@ds.study.iitm.ac.in</v>
      </c>
      <c r="K227" s="3" t="str">
        <f t="shared" si="1"/>
        <v>21f1000330@ds.study.iitm.ac.inhttps://github.com/vivek-2028/TDS-Project-1</v>
      </c>
      <c r="L227" s="3" t="str">
        <f t="shared" si="2"/>
        <v>21f1000330@ds.study.iitm.ac.inhttps://github.com/QuixoticPsyche/tds-project-1</v>
      </c>
    </row>
    <row r="228">
      <c r="A228" s="3">
        <f>IFERROR(__xludf.DUMMYFUNCTION("""COMPUTED_VALUE"""),45599.97774079861)</f>
        <v>45599.97774</v>
      </c>
      <c r="B228" s="5" t="str">
        <f>IFERROR(__xludf.DUMMYFUNCTION("""COMPUTED_VALUE"""),"https://github.com/MAUK9086/TDS_Project1")</f>
        <v>https://github.com/MAUK9086/TDS_Project1</v>
      </c>
      <c r="C228" s="3">
        <f>IFERROR(__xludf.DUMMYFUNCTION("""COMPUTED_VALUE"""),4.0)</f>
        <v>4</v>
      </c>
      <c r="D228" s="3">
        <f>IFERROR(__xludf.DUMMYFUNCTION("""COMPUTED_VALUE"""),7.0)</f>
        <v>7</v>
      </c>
      <c r="E228" s="3" t="str">
        <f>IFERROR(__xludf.DUMMYFUNCTION("""COMPUTED_VALUE"""),"The readme file is very generic. The code to retrieve data is missing but questions are answered well. The author skipped a couple of questions, code is clean otherwise.")</f>
        <v>The readme file is very generic. The code to retrieve data is missing but questions are answered well. The author skipped a couple of questions, code is clean otherwise.</v>
      </c>
      <c r="F228" s="5" t="str">
        <f>IFERROR(__xludf.DUMMYFUNCTION("""COMPUTED_VALUE"""),"https://github.com/DivyanshuGupta2000129/TDS_Project_1")</f>
        <v>https://github.com/DivyanshuGupta2000129/TDS_Project_1</v>
      </c>
      <c r="G228" s="3">
        <f>IFERROR(__xludf.DUMMYFUNCTION("""COMPUTED_VALUE"""),6.0)</f>
        <v>6</v>
      </c>
      <c r="H228" s="3">
        <f>IFERROR(__xludf.DUMMYFUNCTION("""COMPUTED_VALUE"""),3.0)</f>
        <v>3</v>
      </c>
      <c r="I228" s="3" t="str">
        <f>IFERROR(__xludf.DUMMYFUNCTION("""COMPUTED_VALUE"""),"Code for data retrieval is present, no code for answering questions.")</f>
        <v>Code for data retrieval is present, no code for answering questions.</v>
      </c>
      <c r="J228" s="3" t="str">
        <f>IFERROR(__xludf.DUMMYFUNCTION("""COMPUTED_VALUE"""),"24ds2000127@ds.study.iitm.ac.in")</f>
        <v>24ds2000127@ds.study.iitm.ac.in</v>
      </c>
      <c r="K228" s="3" t="str">
        <f t="shared" si="1"/>
        <v>24ds2000127@ds.study.iitm.ac.inhttps://github.com/MAUK9086/TDS_Project1</v>
      </c>
      <c r="L228" s="3" t="str">
        <f t="shared" si="2"/>
        <v>24ds2000127@ds.study.iitm.ac.inhttps://github.com/DivyanshuGupta2000129/TDS_Project_1</v>
      </c>
    </row>
    <row r="229">
      <c r="A229" s="3">
        <f>IFERROR(__xludf.DUMMYFUNCTION("""COMPUTED_VALUE"""),45599.981818796296)</f>
        <v>45599.98182</v>
      </c>
      <c r="B229" s="5" t="str">
        <f>IFERROR(__xludf.DUMMYFUNCTION("""COMPUTED_VALUE"""),"https://github.com/nishant1909/TDS-Project-1")</f>
        <v>https://github.com/nishant1909/TDS-Project-1</v>
      </c>
      <c r="C229" s="3">
        <f>IFERROR(__xludf.DUMMYFUNCTION("""COMPUTED_VALUE"""),9.0)</f>
        <v>9</v>
      </c>
      <c r="D229" s="3">
        <f>IFERROR(__xludf.DUMMYFUNCTION("""COMPUTED_VALUE"""),8.0)</f>
        <v>8</v>
      </c>
      <c r="E229" s="3" t="str">
        <f>IFERROR(__xludf.DUMMYFUNCTION("""COMPUTED_VALUE"""),"The README.md file includes insights on the analysis, and the code exists. It is clear and precise. However, the uploaded file is not a valid Jupyter Notebook file and contains errors when attempting to read it in Jupyter Notebook.")</f>
        <v>The README.md file includes insights on the analysis, and the code exists. It is clear and precise. However, the uploaded file is not a valid Jupyter Notebook file and contains errors when attempting to read it in Jupyter Notebook.</v>
      </c>
      <c r="F229" s="5" t="str">
        <f>IFERROR(__xludf.DUMMYFUNCTION("""COMPUTED_VALUE"""),"https://github.com/saritakumari23/proj1")</f>
        <v>https://github.com/saritakumari23/proj1</v>
      </c>
      <c r="G229" s="3">
        <f>IFERROR(__xludf.DUMMYFUNCTION("""COMPUTED_VALUE"""),1.0)</f>
        <v>1</v>
      </c>
      <c r="H229" s="3">
        <f>IFERROR(__xludf.DUMMYFUNCTION("""COMPUTED_VALUE"""),0.0)</f>
        <v>0</v>
      </c>
      <c r="I229" s="3" t="str">
        <f>IFERROR(__xludf.DUMMYFUNCTION("""COMPUTED_VALUE"""),"The README.md file exists, but it contains information about the wrong city and an incorrect number of followers. Additionally, it lacks any insights, and the repository does not contain any code.")</f>
        <v>The README.md file exists, but it contains information about the wrong city and an incorrect number of followers. Additionally, it lacks any insights, and the repository does not contain any code.</v>
      </c>
      <c r="J229" s="3" t="str">
        <f>IFERROR(__xludf.DUMMYFUNCTION("""COMPUTED_VALUE"""),"23ds1000051@ds.study.iitm.ac.in")</f>
        <v>23ds1000051@ds.study.iitm.ac.in</v>
      </c>
      <c r="K229" s="3" t="str">
        <f t="shared" si="1"/>
        <v>23ds1000051@ds.study.iitm.ac.inhttps://github.com/nishant1909/TDS-Project-1</v>
      </c>
      <c r="L229" s="3" t="str">
        <f t="shared" si="2"/>
        <v>23ds1000051@ds.study.iitm.ac.inhttps://github.com/saritakumari23/proj1</v>
      </c>
    </row>
    <row r="230">
      <c r="A230" s="3">
        <f>IFERROR(__xludf.DUMMYFUNCTION("""COMPUTED_VALUE"""),45599.99301236111)</f>
        <v>45599.99301</v>
      </c>
      <c r="B230" s="5" t="str">
        <f>IFERROR(__xludf.DUMMYFUNCTION("""COMPUTED_VALUE"""),"https://github.com/23ds3000059/tds_project_1")</f>
        <v>https://github.com/23ds3000059/tds_project_1</v>
      </c>
      <c r="C230" s="3">
        <f>IFERROR(__xludf.DUMMYFUNCTION("""COMPUTED_VALUE"""),10.0)</f>
        <v>10</v>
      </c>
      <c r="D230" s="3">
        <f>IFERROR(__xludf.DUMMYFUNCTION("""COMPUTED_VALUE"""),10.0)</f>
        <v>10</v>
      </c>
      <c r="E230" s="3" t="str">
        <f>IFERROR(__xludf.DUMMYFUNCTION("""COMPUTED_VALUE"""),"Found it concise and accurate, well written code")</f>
        <v>Found it concise and accurate, well written code</v>
      </c>
      <c r="F230" s="5" t="str">
        <f>IFERROR(__xludf.DUMMYFUNCTION("""COMPUTED_VALUE"""),"https://github.com/Happytth/tds-project1")</f>
        <v>https://github.com/Happytth/tds-project1</v>
      </c>
      <c r="G230" s="3">
        <f>IFERROR(__xludf.DUMMYFUNCTION("""COMPUTED_VALUE"""),10.0)</f>
        <v>10</v>
      </c>
      <c r="H230" s="3">
        <f>IFERROR(__xludf.DUMMYFUNCTION("""COMPUTED_VALUE"""),10.0)</f>
        <v>10</v>
      </c>
      <c r="I230" s="3" t="str">
        <f>IFERROR(__xludf.DUMMYFUNCTION("""COMPUTED_VALUE"""),"Found it concise and accurate, well written code")</f>
        <v>Found it concise and accurate, well written code</v>
      </c>
      <c r="J230" s="3" t="str">
        <f>IFERROR(__xludf.DUMMYFUNCTION("""COMPUTED_VALUE"""),"23f2004790@ds.study.iitm.ac.in")</f>
        <v>23f2004790@ds.study.iitm.ac.in</v>
      </c>
      <c r="K230" s="3" t="str">
        <f t="shared" si="1"/>
        <v>23f2004790@ds.study.iitm.ac.inhttps://github.com/23ds3000059/tds_project_1</v>
      </c>
      <c r="L230" s="3" t="str">
        <f t="shared" si="2"/>
        <v>23f2004790@ds.study.iitm.ac.inhttps://github.com/Happytth/tds-project1</v>
      </c>
    </row>
    <row r="231">
      <c r="A231" s="3">
        <f>IFERROR(__xludf.DUMMYFUNCTION("""COMPUTED_VALUE"""),45599.99504001158)</f>
        <v>45599.99504</v>
      </c>
      <c r="B231" s="5" t="str">
        <f>IFERROR(__xludf.DUMMYFUNCTION("""COMPUTED_VALUE"""),"https://github.com/DSharanya07/ZurichUsers")</f>
        <v>https://github.com/DSharanya07/ZurichUsers</v>
      </c>
      <c r="C231" s="3">
        <f>IFERROR(__xludf.DUMMYFUNCTION("""COMPUTED_VALUE"""),8.0)</f>
        <v>8</v>
      </c>
      <c r="D231" s="3">
        <f>IFERROR(__xludf.DUMMYFUNCTION("""COMPUTED_VALUE"""),10.0)</f>
        <v>10</v>
      </c>
      <c r="E231" s="3" t="str">
        <f>IFERROR(__xludf.DUMMYFUNCTION("""COMPUTED_VALUE"""),"Based on the given recommendations")</f>
        <v>Based on the given recommendations</v>
      </c>
      <c r="F231" s="5" t="str">
        <f>IFERROR(__xludf.DUMMYFUNCTION("""COMPUTED_VALUE"""),"https://github.com/sg-sparsh-goyal/TDS-project1-22f1000693")</f>
        <v>https://github.com/sg-sparsh-goyal/TDS-project1-22f1000693</v>
      </c>
      <c r="G231" s="3">
        <f>IFERROR(__xludf.DUMMYFUNCTION("""COMPUTED_VALUE"""),5.0)</f>
        <v>5</v>
      </c>
      <c r="H231" s="3">
        <f>IFERROR(__xludf.DUMMYFUNCTION("""COMPUTED_VALUE"""),0.0)</f>
        <v>0</v>
      </c>
      <c r="I231" s="3" t="str">
        <f>IFERROR(__xludf.DUMMYFUNCTION("""COMPUTED_VALUE"""),"Based on given recommendations")</f>
        <v>Based on given recommendations</v>
      </c>
      <c r="J231" s="3" t="str">
        <f>IFERROR(__xludf.DUMMYFUNCTION("""COMPUTED_VALUE"""),"22f1000653@ds.study.iitm.ac.in")</f>
        <v>22f1000653@ds.study.iitm.ac.in</v>
      </c>
      <c r="K231" s="3" t="str">
        <f t="shared" si="1"/>
        <v>22f1000653@ds.study.iitm.ac.inhttps://github.com/DSharanya07/ZurichUsers</v>
      </c>
      <c r="L231" s="3" t="str">
        <f t="shared" si="2"/>
        <v>22f1000653@ds.study.iitm.ac.inhttps://github.com/sg-sparsh-goyal/TDS-project1-22f1000693</v>
      </c>
    </row>
    <row r="232">
      <c r="A232" s="3">
        <f>IFERROR(__xludf.DUMMYFUNCTION("""COMPUTED_VALUE"""),45600.01248671296)</f>
        <v>45600.01249</v>
      </c>
      <c r="B232" s="5" t="str">
        <f>IFERROR(__xludf.DUMMYFUNCTION("""COMPUTED_VALUE"""),"https://github.com/KK17811/Github-repo")</f>
        <v>https://github.com/KK17811/Github-repo</v>
      </c>
      <c r="C232" s="3">
        <f>IFERROR(__xludf.DUMMYFUNCTION("""COMPUTED_VALUE"""),0.0)</f>
        <v>0</v>
      </c>
      <c r="D232" s="3">
        <f>IFERROR(__xludf.DUMMYFUNCTION("""COMPUTED_VALUE"""),0.0)</f>
        <v>0</v>
      </c>
      <c r="E232" s="3" t="str">
        <f>IFERROR(__xludf.DUMMYFUNCTION("""COMPUTED_VALUE"""),"Both readme and code are not available.")</f>
        <v>Both readme and code are not available.</v>
      </c>
      <c r="F232" s="5" t="str">
        <f>IFERROR(__xludf.DUMMYFUNCTION("""COMPUTED_VALUE"""),"https://github.com/bhavin-iitm/tds-project1")</f>
        <v>https://github.com/bhavin-iitm/tds-project1</v>
      </c>
      <c r="G232" s="3">
        <f>IFERROR(__xludf.DUMMYFUNCTION("""COMPUTED_VALUE"""),8.0)</f>
        <v>8</v>
      </c>
      <c r="H232" s="3">
        <f>IFERROR(__xludf.DUMMYFUNCTION("""COMPUTED_VALUE"""),9.0)</f>
        <v>9</v>
      </c>
      <c r="I232" s="3" t="str">
        <f>IFERROR(__xludf.DUMMYFUNCTION("""COMPUTED_VALUE"""),"Code is clear and elegant But readme file can be more precise to the point.")</f>
        <v>Code is clear and elegant But readme file can be more precise to the point.</v>
      </c>
      <c r="J232" s="3" t="str">
        <f>IFERROR(__xludf.DUMMYFUNCTION("""COMPUTED_VALUE"""),"23ds3000176@ds.study.iitm.ac.in")</f>
        <v>23ds3000176@ds.study.iitm.ac.in</v>
      </c>
      <c r="K232" s="3" t="str">
        <f t="shared" si="1"/>
        <v>23ds3000176@ds.study.iitm.ac.inhttps://github.com/KK17811/Github-repo</v>
      </c>
      <c r="L232" s="3" t="str">
        <f t="shared" si="2"/>
        <v>23ds3000176@ds.study.iitm.ac.inhttps://github.com/bhavin-iitm/tds-project1</v>
      </c>
    </row>
    <row r="233">
      <c r="A233" s="3">
        <f>IFERROR(__xludf.DUMMYFUNCTION("""COMPUTED_VALUE"""),45600.01309315972)</f>
        <v>45600.01309</v>
      </c>
      <c r="B233" s="5" t="str">
        <f>IFERROR(__xludf.DUMMYFUNCTION("""COMPUTED_VALUE"""),"https://github.com/21f1004430/TDS-Project_1")</f>
        <v>https://github.com/21f1004430/TDS-Project_1</v>
      </c>
      <c r="C233" s="3">
        <f>IFERROR(__xludf.DUMMYFUNCTION("""COMPUTED_VALUE"""),10.0)</f>
        <v>10</v>
      </c>
      <c r="D233" s="3">
        <f>IFERROR(__xludf.DUMMYFUNCTION("""COMPUTED_VALUE"""),0.0)</f>
        <v>0</v>
      </c>
      <c r="E233" s="3" t="str">
        <f>IFERROR(__xludf.DUMMYFUNCTION("""COMPUTED_VALUE"""),"There was no code, only readme and the csv files, hence the repo code is zero. The findings were interesting. They said that they were expecting most of the top contributors to be working in AI and Machine Learning, but a significant portion of them were "&amp;"Web Developer, which is indeed an interesting observation. ")</f>
        <v>There was no code, only readme and the csv files, hence the repo code is zero. The findings were interesting. They said that they were expecting most of the top contributors to be working in AI and Machine Learning, but a significant portion of them were Web Developer, which is indeed an interesting observation. </v>
      </c>
      <c r="F233" s="5" t="str">
        <f>IFERROR(__xludf.DUMMYFUNCTION("""COMPUTED_VALUE"""),"https://github.com/nightcoder358/TDS-Project-1")</f>
        <v>https://github.com/nightcoder358/TDS-Project-1</v>
      </c>
      <c r="G233" s="3">
        <f>IFERROR(__xludf.DUMMYFUNCTION("""COMPUTED_VALUE"""),10.0)</f>
        <v>10</v>
      </c>
      <c r="H233" s="3">
        <f>IFERROR(__xludf.DUMMYFUNCTION("""COMPUTED_VALUE"""),10.0)</f>
        <v>10</v>
      </c>
      <c r="I233" s="3" t="str">
        <f>IFERROR(__xludf.DUMMYFUNCTION("""COMPUTED_VALUE"""),"They said that -- Majority of the repositories from Tokyo are written in JavaScript but surprisingly Rust is seen in many repositories, mainly newer users. Also, Assembly happens to be the language with highest average stars per repository. This is an int"&amp;"eresting observation, as I too think that Rust is a growing language. Many people nowadays have been using Rust language, and it is interesting to see it's growth. Also, Assembly language being the highest average stars per repo is surprising indeed. The "&amp;"code was neat, hence a 10 from me. ")</f>
        <v>They said that -- Majority of the repositories from Tokyo are written in JavaScript but surprisingly Rust is seen in many repositories, mainly newer users. Also, Assembly happens to be the language with highest average stars per repository. This is an interesting observation, as I too think that Rust is a growing language. Many people nowadays have been using Rust language, and it is interesting to see it's growth. Also, Assembly language being the highest average stars per repo is surprising indeed. The code was neat, hence a 10 from me. </v>
      </c>
      <c r="J233" s="3" t="str">
        <f>IFERROR(__xludf.DUMMYFUNCTION("""COMPUTED_VALUE"""),"21f1004719@ds.study.iitm.ac.in")</f>
        <v>21f1004719@ds.study.iitm.ac.in</v>
      </c>
      <c r="K233" s="3" t="str">
        <f t="shared" si="1"/>
        <v>21f1004719@ds.study.iitm.ac.inhttps://github.com/21f1004430/TDS-Project_1</v>
      </c>
      <c r="L233" s="3" t="str">
        <f t="shared" si="2"/>
        <v>21f1004719@ds.study.iitm.ac.inhttps://github.com/nightcoder358/TDS-Project-1</v>
      </c>
    </row>
    <row r="234">
      <c r="A234" s="3">
        <f>IFERROR(__xludf.DUMMYFUNCTION("""COMPUTED_VALUE"""),45600.0147560301)</f>
        <v>45600.01476</v>
      </c>
      <c r="B234" s="5" t="str">
        <f>IFERROR(__xludf.DUMMYFUNCTION("""COMPUTED_VALUE"""),"https://github.com/satya140519/TDS_project_1")</f>
        <v>https://github.com/satya140519/TDS_project_1</v>
      </c>
      <c r="C234" s="3">
        <f>IFERROR(__xludf.DUMMYFUNCTION("""COMPUTED_VALUE"""),10.0)</f>
        <v>10</v>
      </c>
      <c r="D234" s="3">
        <f>IFERROR(__xludf.DUMMYFUNCTION("""COMPUTED_VALUE"""),0.0)</f>
        <v>0</v>
      </c>
      <c r="E234" s="3" t="str">
        <f>IFERROR(__xludf.DUMMYFUNCTION("""COMPUTED_VALUE"""),"This Repository doesn’t contain code file and the README.md is very much simple but it shows the clear observations of the peer. ")</f>
        <v>This Repository doesn’t contain code file and the README.md is very much simple but it shows the clear observations of the peer. </v>
      </c>
      <c r="F234" s="5" t="str">
        <f>IFERROR(__xludf.DUMMYFUNCTION("""COMPUTED_VALUE"""),"https://github.com/sidg75/tds-project1")</f>
        <v>https://github.com/sidg75/tds-project1</v>
      </c>
      <c r="G234" s="3">
        <f>IFERROR(__xludf.DUMMYFUNCTION("""COMPUTED_VALUE"""),9.0)</f>
        <v>9</v>
      </c>
      <c r="H234" s="3">
        <f>IFERROR(__xludf.DUMMYFUNCTION("""COMPUTED_VALUE"""),10.0)</f>
        <v>10</v>
      </c>
      <c r="I234" s="3" t="str">
        <f>IFERROR(__xludf.DUMMYFUNCTION("""COMPUTED_VALUE"""),"The README.md of this repo is very fascinating, it is very detailed and even graphical representations are included,but the explanation exceeded 50 words.
The code used is very clear and elegant.")</f>
        <v>The README.md of this repo is very fascinating, it is very detailed and even graphical representations are included,but the explanation exceeded 50 words.
The code used is very clear and elegant.</v>
      </c>
      <c r="J234" s="3" t="str">
        <f>IFERROR(__xludf.DUMMYFUNCTION("""COMPUTED_VALUE"""),"22f3003021@ds.study.iitm.ac.in")</f>
        <v>22f3003021@ds.study.iitm.ac.in</v>
      </c>
      <c r="K234" s="3" t="str">
        <f t="shared" si="1"/>
        <v>22f3003021@ds.study.iitm.ac.inhttps://github.com/satya140519/TDS_project_1</v>
      </c>
      <c r="L234" s="3" t="str">
        <f t="shared" si="2"/>
        <v>22f3003021@ds.study.iitm.ac.inhttps://github.com/sidg75/tds-project1</v>
      </c>
    </row>
    <row r="235">
      <c r="A235" s="3">
        <f>IFERROR(__xludf.DUMMYFUNCTION("""COMPUTED_VALUE"""),45600.03278275463)</f>
        <v>45600.03278</v>
      </c>
      <c r="B235" s="5" t="str">
        <f>IFERROR(__xludf.DUMMYFUNCTION("""COMPUTED_VALUE"""),"https://github.com/ramees-thattarath/TDS-proj-1")</f>
        <v>https://github.com/ramees-thattarath/TDS-proj-1</v>
      </c>
      <c r="C235" s="3">
        <f>IFERROR(__xludf.DUMMYFUNCTION("""COMPUTED_VALUE"""),10.0)</f>
        <v>10</v>
      </c>
      <c r="D235" s="3">
        <f>IFERROR(__xludf.DUMMYFUNCTION("""COMPUTED_VALUE"""),10.0)</f>
        <v>10</v>
      </c>
      <c r="E235" s="3" t="str">
        <f>IFERROR(__xludf.DUMMYFUNCTION("""COMPUTED_VALUE"""),"He has clearly given the README me and gave the analysis code clearly.")</f>
        <v>He has clearly given the README me and gave the analysis code clearly.</v>
      </c>
      <c r="F235" s="5" t="str">
        <f>IFERROR(__xludf.DUMMYFUNCTION("""COMPUTED_VALUE"""),"https://github.com/Sakthi-Balan-B/project1")</f>
        <v>https://github.com/Sakthi-Balan-B/project1</v>
      </c>
      <c r="G235" s="3">
        <f>IFERROR(__xludf.DUMMYFUNCTION("""COMPUTED_VALUE"""),10.0)</f>
        <v>10</v>
      </c>
      <c r="H235" s="3">
        <f>IFERROR(__xludf.DUMMYFUNCTION("""COMPUTED_VALUE"""),10.0)</f>
        <v>10</v>
      </c>
      <c r="I235" s="3" t="str">
        <f>IFERROR(__xludf.DUMMYFUNCTION("""COMPUTED_VALUE"""),"He has clearly given the README me and gave the analysis code clearly.")</f>
        <v>He has clearly given the README me and gave the analysis code clearly.</v>
      </c>
      <c r="J235" s="3" t="str">
        <f>IFERROR(__xludf.DUMMYFUNCTION("""COMPUTED_VALUE"""),"21f3002257@ds.study.iitm.ac.in")</f>
        <v>21f3002257@ds.study.iitm.ac.in</v>
      </c>
      <c r="K235" s="3" t="str">
        <f t="shared" si="1"/>
        <v>21f3002257@ds.study.iitm.ac.inhttps://github.com/ramees-thattarath/TDS-proj-1</v>
      </c>
      <c r="L235" s="3" t="str">
        <f t="shared" si="2"/>
        <v>21f3002257@ds.study.iitm.ac.inhttps://github.com/Sakthi-Balan-B/project1</v>
      </c>
    </row>
    <row r="236">
      <c r="A236" s="3">
        <f>IFERROR(__xludf.DUMMYFUNCTION("""COMPUTED_VALUE"""),45600.05108424769)</f>
        <v>45600.05108</v>
      </c>
      <c r="B236" s="5" t="str">
        <f>IFERROR(__xludf.DUMMYFUNCTION("""COMPUTED_VALUE"""),"https://github.com/Ayushsinha106/TDSProject1")</f>
        <v>https://github.com/Ayushsinha106/TDSProject1</v>
      </c>
      <c r="C236" s="3">
        <f>IFERROR(__xludf.DUMMYFUNCTION("""COMPUTED_VALUE"""),8.0)</f>
        <v>8</v>
      </c>
      <c r="D236" s="3">
        <f>IFERROR(__xludf.DUMMYFUNCTION("""COMPUTED_VALUE"""),10.0)</f>
        <v>10</v>
      </c>
      <c r="E236" s="3" t="str">
        <f>IFERROR(__xludf.DUMMYFUNCTION("""COMPUTED_VALUE"""),"The readme points can be explained in brief way and rest other is well organised .")</f>
        <v>The readme points can be explained in brief way and rest other is well organised .</v>
      </c>
      <c r="F236" s="5" t="str">
        <f>IFERROR(__xludf.DUMMYFUNCTION("""COMPUTED_VALUE"""),"https://github.com/jaideepS04/project_tds-p")</f>
        <v>https://github.com/jaideepS04/project_tds-p</v>
      </c>
      <c r="G236" s="3">
        <f>IFERROR(__xludf.DUMMYFUNCTION("""COMPUTED_VALUE"""),10.0)</f>
        <v>10</v>
      </c>
      <c r="H236" s="3">
        <f>IFERROR(__xludf.DUMMYFUNCTION("""COMPUTED_VALUE"""),10.0)</f>
        <v>10</v>
      </c>
      <c r="I236" s="3" t="str">
        <f>IFERROR(__xludf.DUMMYFUNCTION("""COMPUTED_VALUE"""),"The things are well organised and perfect . The points in readme file are explained and are informative.")</f>
        <v>The things are well organised and perfect . The points in readme file are explained and are informative.</v>
      </c>
      <c r="J236" s="3" t="str">
        <f>IFERROR(__xludf.DUMMYFUNCTION("""COMPUTED_VALUE"""),"23f1002480@ds.study.iitm.ac.in")</f>
        <v>23f1002480@ds.study.iitm.ac.in</v>
      </c>
      <c r="K236" s="3" t="str">
        <f t="shared" si="1"/>
        <v>23f1002480@ds.study.iitm.ac.inhttps://github.com/Ayushsinha106/TDSProject1</v>
      </c>
      <c r="L236" s="3" t="str">
        <f t="shared" si="2"/>
        <v>23f1002480@ds.study.iitm.ac.inhttps://github.com/jaideepS04/project_tds-p</v>
      </c>
    </row>
    <row r="237">
      <c r="A237" s="3">
        <f>IFERROR(__xludf.DUMMYFUNCTION("""COMPUTED_VALUE"""),45600.05213542824)</f>
        <v>45600.05214</v>
      </c>
      <c r="B237" s="5" t="str">
        <f>IFERROR(__xludf.DUMMYFUNCTION("""COMPUTED_VALUE"""),"https://github.com/Yasaswini117/Project_1")</f>
        <v>https://github.com/Yasaswini117/Project_1</v>
      </c>
      <c r="C237" s="3">
        <f>IFERROR(__xludf.DUMMYFUNCTION("""COMPUTED_VALUE"""),10.0)</f>
        <v>10</v>
      </c>
      <c r="D237" s="3">
        <f>IFERROR(__xludf.DUMMYFUNCTION("""COMPUTED_VALUE"""),10.0)</f>
        <v>10</v>
      </c>
      <c r="E237" s="3" t="str">
        <f>IFERROR(__xludf.DUMMYFUNCTION("""COMPUTED_VALUE"""),"It was very professional and easy to understand as well as clean and elegant.")</f>
        <v>It was very professional and easy to understand as well as clean and elegant.</v>
      </c>
      <c r="F237" s="5" t="str">
        <f>IFERROR(__xludf.DUMMYFUNCTION("""COMPUTED_VALUE"""),"https://github.com/Pkant-b/TDS-Proj1/tree/main")</f>
        <v>https://github.com/Pkant-b/TDS-Proj1/tree/main</v>
      </c>
      <c r="G237" s="3">
        <f>IFERROR(__xludf.DUMMYFUNCTION("""COMPUTED_VALUE"""),10.0)</f>
        <v>10</v>
      </c>
      <c r="H237" s="3">
        <f>IFERROR(__xludf.DUMMYFUNCTION("""COMPUTED_VALUE"""),10.0)</f>
        <v>10</v>
      </c>
      <c r="I237" s="3" t="str">
        <f>IFERROR(__xludf.DUMMYFUNCTION("""COMPUTED_VALUE"""),"It was very professional and easy to understand as well as clean and elegant.")</f>
        <v>It was very professional and easy to understand as well as clean and elegant.</v>
      </c>
      <c r="J237" s="3" t="str">
        <f>IFERROR(__xludf.DUMMYFUNCTION("""COMPUTED_VALUE"""),"22f3001836@ds.study.iitm.ac.in")</f>
        <v>22f3001836@ds.study.iitm.ac.in</v>
      </c>
      <c r="K237" s="3" t="str">
        <f t="shared" si="1"/>
        <v>22f3001836@ds.study.iitm.ac.inhttps://github.com/Yasaswini117/Project_1</v>
      </c>
      <c r="L237" s="3" t="str">
        <f t="shared" si="2"/>
        <v>22f3001836@ds.study.iitm.ac.inhttps://github.com/Pkant-b/TDS-Proj1/tree/main</v>
      </c>
    </row>
    <row r="238">
      <c r="A238" s="3">
        <f>IFERROR(__xludf.DUMMYFUNCTION("""COMPUTED_VALUE"""),45600.07170069445)</f>
        <v>45600.0717</v>
      </c>
      <c r="B238" s="5" t="str">
        <f>IFERROR(__xludf.DUMMYFUNCTION("""COMPUTED_VALUE"""),"https://github.com/kuldeepchavda/tds_project_1")</f>
        <v>https://github.com/kuldeepchavda/tds_project_1</v>
      </c>
      <c r="C238" s="3">
        <f>IFERROR(__xludf.DUMMYFUNCTION("""COMPUTED_VALUE"""),2.0)</f>
        <v>2</v>
      </c>
      <c r="D238" s="3">
        <f>IFERROR(__xludf.DUMMYFUNCTION("""COMPUTED_VALUE"""),2.0)</f>
        <v>2</v>
      </c>
      <c r="E238" s="3" t="str">
        <f>IFERROR(__xludf.DUMMYFUNCTION("""COMPUTED_VALUE"""),"The code is a .py file, therefore I am not able to see any output. It should have been a .ipynb file instead. Also, only the code for solving the questions are mention no analysis or data visualizations.")</f>
        <v>The code is a .py file, therefore I am not able to see any output. It should have been a .ipynb file instead. Also, only the code for solving the questions are mention no analysis or data visualizations.</v>
      </c>
      <c r="F238" s="5" t="str">
        <f>IFERROR(__xludf.DUMMYFUNCTION("""COMPUTED_VALUE"""),"https://github.com/shramadeepd/TDS_1")</f>
        <v>https://github.com/shramadeepd/TDS_1</v>
      </c>
      <c r="G238" s="3">
        <f>IFERROR(__xludf.DUMMYFUNCTION("""COMPUTED_VALUE"""),5.0)</f>
        <v>5</v>
      </c>
      <c r="H238" s="3">
        <f>IFERROR(__xludf.DUMMYFUNCTION("""COMPUTED_VALUE"""),4.0)</f>
        <v>4</v>
      </c>
      <c r="I238" s="3" t="str">
        <f>IFERROR(__xludf.DUMMYFUNCTION("""COMPUTED_VALUE"""),"The student has only provided the notebook that answers the questions, no real analysis was done and not data visualizations.")</f>
        <v>The student has only provided the notebook that answers the questions, no real analysis was done and not data visualizations.</v>
      </c>
      <c r="J238" s="3" t="str">
        <f>IFERROR(__xludf.DUMMYFUNCTION("""COMPUTED_VALUE"""),"22f3001905@ds.study.iitm.ac.in")</f>
        <v>22f3001905@ds.study.iitm.ac.in</v>
      </c>
      <c r="K238" s="3" t="str">
        <f t="shared" si="1"/>
        <v>22f3001905@ds.study.iitm.ac.inhttps://github.com/kuldeepchavda/tds_project_1</v>
      </c>
      <c r="L238" s="3" t="str">
        <f t="shared" si="2"/>
        <v>22f3001905@ds.study.iitm.ac.inhttps://github.com/shramadeepd/TDS_1</v>
      </c>
    </row>
    <row r="239">
      <c r="A239" s="3">
        <f>IFERROR(__xludf.DUMMYFUNCTION("""COMPUTED_VALUE"""),45600.078913310186)</f>
        <v>45600.07891</v>
      </c>
      <c r="B239" s="5" t="str">
        <f>IFERROR(__xludf.DUMMYFUNCTION("""COMPUTED_VALUE"""),"https://github.com/subhash2IIT/tds-project1-scrapping/")</f>
        <v>https://github.com/subhash2IIT/tds-project1-scrapping/</v>
      </c>
      <c r="C239" s="3">
        <f>IFERROR(__xludf.DUMMYFUNCTION("""COMPUTED_VALUE"""),9.0)</f>
        <v>9</v>
      </c>
      <c r="D239" s="3">
        <f>IFERROR(__xludf.DUMMYFUNCTION("""COMPUTED_VALUE"""),10.0)</f>
        <v>10</v>
      </c>
      <c r="E239" s="3" t="str">
        <f>IFERROR(__xludf.DUMMYFUNCTION("""COMPUTED_VALUE"""),"The finding , code and presentation is very good")</f>
        <v>The finding , code and presentation is very good</v>
      </c>
      <c r="F239" s="5" t="str">
        <f>IFERROR(__xludf.DUMMYFUNCTION("""COMPUTED_VALUE"""),"https://github.com/22f1000259/TDS-PROJECT-1")</f>
        <v>https://github.com/22f1000259/TDS-PROJECT-1</v>
      </c>
      <c r="G239" s="3">
        <f>IFERROR(__xludf.DUMMYFUNCTION("""COMPUTED_VALUE"""),9.0)</f>
        <v>9</v>
      </c>
      <c r="H239" s="3">
        <f>IFERROR(__xludf.DUMMYFUNCTION("""COMPUTED_VALUE"""),10.0)</f>
        <v>10</v>
      </c>
      <c r="I239" s="3" t="str">
        <f>IFERROR(__xludf.DUMMYFUNCTION("""COMPUTED_VALUE"""),"The facts and code is very clear and presented elegantly .")</f>
        <v>The facts and code is very clear and presented elegantly .</v>
      </c>
      <c r="J239" s="3" t="str">
        <f>IFERROR(__xludf.DUMMYFUNCTION("""COMPUTED_VALUE"""),"21f1006031@ds.study.iitm.ac.in")</f>
        <v>21f1006031@ds.study.iitm.ac.in</v>
      </c>
      <c r="K239" s="3" t="str">
        <f t="shared" si="1"/>
        <v>21f1006031@ds.study.iitm.ac.inhttps://github.com/subhash2IIT/tds-project1-scrapping/</v>
      </c>
      <c r="L239" s="3" t="str">
        <f t="shared" si="2"/>
        <v>21f1006031@ds.study.iitm.ac.inhttps://github.com/22f1000259/TDS-PROJECT-1</v>
      </c>
    </row>
    <row r="240">
      <c r="A240" s="3">
        <f>IFERROR(__xludf.DUMMYFUNCTION("""COMPUTED_VALUE"""),45600.08952684028)</f>
        <v>45600.08953</v>
      </c>
      <c r="B240" s="5" t="str">
        <f>IFERROR(__xludf.DUMMYFUNCTION("""COMPUTED_VALUE"""),"https://github.com/IITMSAPNA/Sapna_tds_proj_1")</f>
        <v>https://github.com/IITMSAPNA/Sapna_tds_proj_1</v>
      </c>
      <c r="C240" s="3">
        <f>IFERROR(__xludf.DUMMYFUNCTION("""COMPUTED_VALUE"""),10.0)</f>
        <v>10</v>
      </c>
      <c r="D240" s="3">
        <f>IFERROR(__xludf.DUMMYFUNCTION("""COMPUTED_VALUE"""),10.0)</f>
        <v>10</v>
      </c>
      <c r="E240" s="3" t="str">
        <f>IFERROR(__xludf.DUMMYFUNCTION("""COMPUTED_VALUE"""),"It was very clear and elegant, didn't find any problem in the repo")</f>
        <v>It was very clear and elegant, didn't find any problem in the repo</v>
      </c>
      <c r="F240" s="5" t="str">
        <f>IFERROR(__xludf.DUMMYFUNCTION("""COMPUTED_VALUE"""),"https://github.com/vazemon/TDS_Project1/tree/main")</f>
        <v>https://github.com/vazemon/TDS_Project1/tree/main</v>
      </c>
      <c r="G240" s="3">
        <f>IFERROR(__xludf.DUMMYFUNCTION("""COMPUTED_VALUE"""),10.0)</f>
        <v>10</v>
      </c>
      <c r="H240" s="3">
        <f>IFERROR(__xludf.DUMMYFUNCTION("""COMPUTED_VALUE"""),10.0)</f>
        <v>10</v>
      </c>
      <c r="I240" s="3" t="str">
        <f>IFERROR(__xludf.DUMMYFUNCTION("""COMPUTED_VALUE"""),"It was very clear and elegant, didn't find any problem in the repo")</f>
        <v>It was very clear and elegant, didn't find any problem in the repo</v>
      </c>
      <c r="J240" s="3" t="str">
        <f>IFERROR(__xludf.DUMMYFUNCTION("""COMPUTED_VALUE"""),"23ds1000057@ds.study.iitm.ac.in")</f>
        <v>23ds1000057@ds.study.iitm.ac.in</v>
      </c>
      <c r="K240" s="3" t="str">
        <f t="shared" si="1"/>
        <v>23ds1000057@ds.study.iitm.ac.inhttps://github.com/IITMSAPNA/Sapna_tds_proj_1</v>
      </c>
      <c r="L240" s="3" t="str">
        <f t="shared" si="2"/>
        <v>23ds1000057@ds.study.iitm.ac.inhttps://github.com/vazemon/TDS_Project1/tree/main</v>
      </c>
    </row>
    <row r="241">
      <c r="A241" s="3">
        <f>IFERROR(__xludf.DUMMYFUNCTION("""COMPUTED_VALUE"""),45600.10919548611)</f>
        <v>45600.1092</v>
      </c>
      <c r="B241" s="5" t="str">
        <f>IFERROR(__xludf.DUMMYFUNCTION("""COMPUTED_VALUE"""),"https://github.com/KSoham-dev/TDS-Project-I")</f>
        <v>https://github.com/KSoham-dev/TDS-Project-I</v>
      </c>
      <c r="C241" s="3">
        <f>IFERROR(__xludf.DUMMYFUNCTION("""COMPUTED_VALUE"""),10.0)</f>
        <v>10</v>
      </c>
      <c r="D241" s="3">
        <f>IFERROR(__xludf.DUMMYFUNCTION("""COMPUTED_VALUE"""),10.0)</f>
        <v>10</v>
      </c>
      <c r="E241" s="3" t="str">
        <f>IFERROR(__xludf.DUMMYFUNCTION("""COMPUTED_VALUE"""),"I found the ratings interesting and code was well documented and clear.")</f>
        <v>I found the ratings interesting and code was well documented and clear.</v>
      </c>
      <c r="F241" s="5" t="str">
        <f>IFERROR(__xludf.DUMMYFUNCTION("""COMPUTED_VALUE"""),"https://github.com/mdnabeelmn10/TDS_Project1_23f1001173")</f>
        <v>https://github.com/mdnabeelmn10/TDS_Project1_23f1001173</v>
      </c>
      <c r="G241" s="3">
        <f>IFERROR(__xludf.DUMMYFUNCTION("""COMPUTED_VALUE"""),10.0)</f>
        <v>10</v>
      </c>
      <c r="H241" s="3">
        <f>IFERROR(__xludf.DUMMYFUNCTION("""COMPUTED_VALUE"""),10.0)</f>
        <v>10</v>
      </c>
      <c r="I241" s="3" t="str">
        <f>IFERROR(__xludf.DUMMYFUNCTION("""COMPUTED_VALUE"""),"The readme was insightful to me, I learned something new. The code was functionally and had a simple approach.")</f>
        <v>The readme was insightful to me, I learned something new. The code was functionally and had a simple approach.</v>
      </c>
      <c r="J241" s="3" t="str">
        <f>IFERROR(__xludf.DUMMYFUNCTION("""COMPUTED_VALUE"""),"23f1001168@ds.study.iitm.ac.in")</f>
        <v>23f1001168@ds.study.iitm.ac.in</v>
      </c>
      <c r="K241" s="3" t="str">
        <f t="shared" si="1"/>
        <v>23f1001168@ds.study.iitm.ac.inhttps://github.com/KSoham-dev/TDS-Project-I</v>
      </c>
      <c r="L241" s="3" t="str">
        <f t="shared" si="2"/>
        <v>23f1001168@ds.study.iitm.ac.inhttps://github.com/mdnabeelmn10/TDS_Project1_23f1001173</v>
      </c>
    </row>
    <row r="242">
      <c r="A242" s="3">
        <f>IFERROR(__xludf.DUMMYFUNCTION("""COMPUTED_VALUE"""),45600.113725243056)</f>
        <v>45600.11373</v>
      </c>
      <c r="B242" s="5" t="str">
        <f>IFERROR(__xludf.DUMMYFUNCTION("""COMPUTED_VALUE"""),"https://github.com/Biray143/Project-1")</f>
        <v>https://github.com/Biray143/Project-1</v>
      </c>
      <c r="C242" s="3">
        <f>IFERROR(__xludf.DUMMYFUNCTION("""COMPUTED_VALUE"""),10.0)</f>
        <v>10</v>
      </c>
      <c r="D242" s="3">
        <f>IFERROR(__xludf.DUMMYFUNCTION("""COMPUTED_VALUE"""),10.0)</f>
        <v>10</v>
      </c>
      <c r="E242" s="3" t="str">
        <f>IFERROR(__xludf.DUMMYFUNCTION("""COMPUTED_VALUE"""),"I liked how neatly they worked on the project")</f>
        <v>I liked how neatly they worked on the project</v>
      </c>
      <c r="F242" s="5" t="str">
        <f>IFERROR(__xludf.DUMMYFUNCTION("""COMPUTED_VALUE"""),"https://github.com/AlexStark110/MELB_USERS")</f>
        <v>https://github.com/AlexStark110/MELB_USERS</v>
      </c>
      <c r="G242" s="3">
        <f>IFERROR(__xludf.DUMMYFUNCTION("""COMPUTED_VALUE"""),10.0)</f>
        <v>10</v>
      </c>
      <c r="H242" s="3">
        <f>IFERROR(__xludf.DUMMYFUNCTION("""COMPUTED_VALUE"""),10.0)</f>
        <v>10</v>
      </c>
      <c r="I242" s="3" t="str">
        <f>IFERROR(__xludf.DUMMYFUNCTION("""COMPUTED_VALUE"""),"I liked they even provided a ipynb file to explain how they went through the whole process")</f>
        <v>I liked they even provided a ipynb file to explain how they went through the whole process</v>
      </c>
      <c r="J242" s="3" t="str">
        <f>IFERROR(__xludf.DUMMYFUNCTION("""COMPUTED_VALUE"""),"23f2004747@ds.study.iitm.ac.in")</f>
        <v>23f2004747@ds.study.iitm.ac.in</v>
      </c>
      <c r="K242" s="3" t="str">
        <f t="shared" si="1"/>
        <v>23f2004747@ds.study.iitm.ac.inhttps://github.com/Biray143/Project-1</v>
      </c>
      <c r="L242" s="3" t="str">
        <f t="shared" si="2"/>
        <v>23f2004747@ds.study.iitm.ac.inhttps://github.com/AlexStark110/MELB_USERS</v>
      </c>
    </row>
    <row r="243">
      <c r="A243" s="3">
        <f>IFERROR(__xludf.DUMMYFUNCTION("""COMPUTED_VALUE"""),45600.12568266204)</f>
        <v>45600.12568</v>
      </c>
      <c r="B243" s="5" t="str">
        <f>IFERROR(__xludf.DUMMYFUNCTION("""COMPUTED_VALUE"""),"https://github.com/vasanth-svb-1/iitm-syscmd-project-1")</f>
        <v>https://github.com/vasanth-svb-1/iitm-syscmd-project-1</v>
      </c>
      <c r="C243" s="3">
        <f>IFERROR(__xludf.DUMMYFUNCTION("""COMPUTED_VALUE"""),10.0)</f>
        <v>10</v>
      </c>
      <c r="D243" s="3">
        <f>IFERROR(__xludf.DUMMYFUNCTION("""COMPUTED_VALUE"""),10.0)</f>
        <v>10</v>
      </c>
      <c r="E243" s="3" t="str">
        <f>IFERROR(__xludf.DUMMYFUNCTION("""COMPUTED_VALUE"""),"The Student has clearly described each and everything in the repo with specifying the smaller details. As you can also see he has described each and every file with the most accurate findings and specified the details like Project Overview, Data Collectio"&amp;"n Methodology, Data Cleaning and Formatting, Output Files, Key Findings, Actionable Recommendations, Conclusion, Future Work, Acknowledgments. So overall it's a good well maintained repo.")</f>
        <v>The Student has clearly described each and everything in the repo with specifying the smaller details. As you can also see he has described each and every file with the most accurate findings and specified the details like Project Overview, Data Collection Methodology, Data Cleaning and Formatting, Output Files, Key Findings, Actionable Recommendations, Conclusion, Future Work, Acknowledgments. So overall it's a good well maintained repo.</v>
      </c>
      <c r="F243" s="5" t="str">
        <f>IFERROR(__xludf.DUMMYFUNCTION("""COMPUTED_VALUE"""),"https://github.com/tiwariannanya/TDS_Project_1_Berlin")</f>
        <v>https://github.com/tiwariannanya/TDS_Project_1_Berlin</v>
      </c>
      <c r="G243" s="3">
        <f>IFERROR(__xludf.DUMMYFUNCTION("""COMPUTED_VALUE"""),9.0)</f>
        <v>9</v>
      </c>
      <c r="H243" s="3">
        <f>IFERROR(__xludf.DUMMYFUNCTION("""COMPUTED_VALUE"""),9.0)</f>
        <v>9</v>
      </c>
      <c r="I243" s="3" t="str">
        <f>IFERROR(__xludf.DUMMYFUNCTION("""COMPUTED_VALUE"""),"Student did a good job in terms of explaining the repo. Everything is well maintained and well described as it should be. Code explanation of the repo is quite good. So I feel good giving these ratings or marks.")</f>
        <v>Student did a good job in terms of explaining the repo. Everything is well maintained and well described as it should be. Code explanation of the repo is quite good. So I feel good giving these ratings or marks.</v>
      </c>
      <c r="J243" s="3" t="str">
        <f>IFERROR(__xludf.DUMMYFUNCTION("""COMPUTED_VALUE"""),"21f3000432@ds.study.iitm.ac.in")</f>
        <v>21f3000432@ds.study.iitm.ac.in</v>
      </c>
      <c r="K243" s="3" t="str">
        <f t="shared" si="1"/>
        <v>21f3000432@ds.study.iitm.ac.inhttps://github.com/vasanth-svb-1/iitm-syscmd-project-1</v>
      </c>
      <c r="L243" s="3" t="str">
        <f t="shared" si="2"/>
        <v>21f3000432@ds.study.iitm.ac.inhttps://github.com/tiwariannanya/TDS_Project_1_Berlin</v>
      </c>
    </row>
    <row r="244">
      <c r="A244" s="3">
        <f>IFERROR(__xludf.DUMMYFUNCTION("""COMPUTED_VALUE"""),45600.128912037035)</f>
        <v>45600.12891</v>
      </c>
      <c r="B244" s="5" t="str">
        <f>IFERROR(__xludf.DUMMYFUNCTION("""COMPUTED_VALUE"""),"https://github.com/SonaliDuvesh/project1")</f>
        <v>https://github.com/SonaliDuvesh/project1</v>
      </c>
      <c r="C244" s="3">
        <f>IFERROR(__xludf.DUMMYFUNCTION("""COMPUTED_VALUE"""),10.0)</f>
        <v>10</v>
      </c>
      <c r="D244" s="3">
        <f>IFERROR(__xludf.DUMMYFUNCTION("""COMPUTED_VALUE"""),10.0)</f>
        <v>10</v>
      </c>
      <c r="E244" s="3" t="str">
        <f>IFERROR(__xludf.DUMMYFUNCTION("""COMPUTED_VALUE"""),"The README presented insightful, fascinating findings that enhanced my understanding. The code was well-organized, with clear variable names, modular structure, and good comments.")</f>
        <v>The README presented insightful, fascinating findings that enhanced my understanding. The code was well-organized, with clear variable names, modular structure, and good comments.</v>
      </c>
      <c r="F244" s="5" t="str">
        <f>IFERROR(__xludf.DUMMYFUNCTION("""COMPUTED_VALUE"""),"https://github.com/CaptPeroxide7/TDS-Proj1")</f>
        <v>https://github.com/CaptPeroxide7/TDS-Proj1</v>
      </c>
      <c r="G244" s="3">
        <f>IFERROR(__xludf.DUMMYFUNCTION("""COMPUTED_VALUE"""),10.0)</f>
        <v>10</v>
      </c>
      <c r="H244" s="3">
        <f>IFERROR(__xludf.DUMMYFUNCTION("""COMPUTED_VALUE"""),10.0)</f>
        <v>10</v>
      </c>
      <c r="I244" s="3" t="str">
        <f>IFERROR(__xludf.DUMMYFUNCTION("""COMPUTED_VALUE"""),"The README shared engaging and insightful findings that deepened my understanding. The code was neatly structured, with descriptive variable names, a clear modular layout.")</f>
        <v>The README shared engaging and insightful findings that deepened my understanding. The code was neatly structured, with descriptive variable names, a clear modular layout.</v>
      </c>
      <c r="J244" s="3" t="str">
        <f>IFERROR(__xludf.DUMMYFUNCTION("""COMPUTED_VALUE"""),"22f3000232@ds.study.iitm.ac.in")</f>
        <v>22f3000232@ds.study.iitm.ac.in</v>
      </c>
      <c r="K244" s="3" t="str">
        <f t="shared" si="1"/>
        <v>22f3000232@ds.study.iitm.ac.inhttps://github.com/SonaliDuvesh/project1</v>
      </c>
      <c r="L244" s="3" t="str">
        <f t="shared" si="2"/>
        <v>22f3000232@ds.study.iitm.ac.inhttps://github.com/CaptPeroxide7/TDS-Proj1</v>
      </c>
    </row>
    <row r="245">
      <c r="A245" s="3">
        <f>IFERROR(__xludf.DUMMYFUNCTION("""COMPUTED_VALUE"""),45600.13553649306)</f>
        <v>45600.13554</v>
      </c>
      <c r="B245" s="5" t="str">
        <f>IFERROR(__xludf.DUMMYFUNCTION("""COMPUTED_VALUE"""),"https://github.com/22f1000144/TDS_project_1")</f>
        <v>https://github.com/22f1000144/TDS_project_1</v>
      </c>
      <c r="C245" s="3">
        <f>IFERROR(__xludf.DUMMYFUNCTION("""COMPUTED_VALUE"""),8.0)</f>
        <v>8</v>
      </c>
      <c r="D245" s="3">
        <f>IFERROR(__xludf.DUMMYFUNCTION("""COMPUTED_VALUE"""),7.0)</f>
        <v>7</v>
      </c>
      <c r="E245" s="3" t="str">
        <f>IFERROR(__xludf.DUMMYFUNCTION("""COMPUTED_VALUE"""),"Student did the work but the insights and the technical part could be better")</f>
        <v>Student did the work but the insights and the technical part could be better</v>
      </c>
      <c r="F245" s="5" t="str">
        <f>IFERROR(__xludf.DUMMYFUNCTION("""COMPUTED_VALUE"""),"https://github.com/Vish2BDev/tds-project1-Barcelona")</f>
        <v>https://github.com/Vish2BDev/tds-project1-Barcelona</v>
      </c>
      <c r="G245" s="3">
        <f>IFERROR(__xludf.DUMMYFUNCTION("""COMPUTED_VALUE"""),10.0)</f>
        <v>10</v>
      </c>
      <c r="H245" s="3">
        <f>IFERROR(__xludf.DUMMYFUNCTION("""COMPUTED_VALUE"""),10.0)</f>
        <v>10</v>
      </c>
      <c r="I245" s="3" t="str">
        <f>IFERROR(__xludf.DUMMYFUNCTION("""COMPUTED_VALUE"""),"Clear code and readme with easy to understand format for third person review")</f>
        <v>Clear code and readme with easy to understand format for third person review</v>
      </c>
      <c r="J245" s="3" t="str">
        <f>IFERROR(__xludf.DUMMYFUNCTION("""COMPUTED_VALUE"""),"22f1001602@ds.study.iitm.ac.in")</f>
        <v>22f1001602@ds.study.iitm.ac.in</v>
      </c>
      <c r="K245" s="3" t="str">
        <f t="shared" si="1"/>
        <v>22f1001602@ds.study.iitm.ac.inhttps://github.com/22f1000144/TDS_project_1</v>
      </c>
      <c r="L245" s="3" t="str">
        <f t="shared" si="2"/>
        <v>22f1001602@ds.study.iitm.ac.inhttps://github.com/Vish2BDev/tds-project1-Barcelona</v>
      </c>
    </row>
    <row r="246">
      <c r="A246" s="3">
        <f>IFERROR(__xludf.DUMMYFUNCTION("""COMPUTED_VALUE"""),45600.293742106485)</f>
        <v>45600.29374</v>
      </c>
      <c r="B246" s="5" t="str">
        <f>IFERROR(__xludf.DUMMYFUNCTION("""COMPUTED_VALUE"""),"https://github.com/UrielKAlistair/TDS_P1")</f>
        <v>https://github.com/UrielKAlistair/TDS_P1</v>
      </c>
      <c r="C246" s="3">
        <f>IFERROR(__xludf.DUMMYFUNCTION("""COMPUTED_VALUE"""),10.0)</f>
        <v>10</v>
      </c>
      <c r="D246" s="3">
        <f>IFERROR(__xludf.DUMMYFUNCTION("""COMPUTED_VALUE"""),0.0)</f>
        <v>0</v>
      </c>
      <c r="E246" s="3" t="str">
        <f>IFERROR(__xludf.DUMMYFUNCTION("""COMPUTED_VALUE"""),"no code available rest is fine")</f>
        <v>no code available rest is fine</v>
      </c>
      <c r="F246" s="5" t="str">
        <f>IFERROR(__xludf.DUMMYFUNCTION("""COMPUTED_VALUE"""),"https://github.com/Sunidhi912/TDSProject1")</f>
        <v>https://github.com/Sunidhi912/TDSProject1</v>
      </c>
      <c r="G246" s="3">
        <f>IFERROR(__xludf.DUMMYFUNCTION("""COMPUTED_VALUE"""),8.0)</f>
        <v>8</v>
      </c>
      <c r="H246" s="3">
        <f>IFERROR(__xludf.DUMMYFUNCTION("""COMPUTED_VALUE"""),9.0)</f>
        <v>9</v>
      </c>
      <c r="I246" s="3" t="str">
        <f>IFERROR(__xludf.DUMMYFUNCTION("""COMPUTED_VALUE"""),"did well the files are present and nice work")</f>
        <v>did well the files are present and nice work</v>
      </c>
      <c r="J246" s="3" t="str">
        <f>IFERROR(__xludf.DUMMYFUNCTION("""COMPUTED_VALUE"""),"22f1001182@ds.study.iitm.ac.in")</f>
        <v>22f1001182@ds.study.iitm.ac.in</v>
      </c>
      <c r="K246" s="3" t="str">
        <f t="shared" si="1"/>
        <v>22f1001182@ds.study.iitm.ac.inhttps://github.com/UrielKAlistair/TDS_P1</v>
      </c>
      <c r="L246" s="3" t="str">
        <f t="shared" si="2"/>
        <v>22f1001182@ds.study.iitm.ac.inhttps://github.com/Sunidhi912/TDSProject1</v>
      </c>
    </row>
    <row r="247">
      <c r="A247" s="3">
        <f>IFERROR(__xludf.DUMMYFUNCTION("""COMPUTED_VALUE"""),45600.415767858794)</f>
        <v>45600.41577</v>
      </c>
      <c r="B247" s="5" t="str">
        <f>IFERROR(__xludf.DUMMYFUNCTION("""COMPUTED_VALUE"""),"https://github.com/mohitbakshi04/tds-project-1")</f>
        <v>https://github.com/mohitbakshi04/tds-project-1</v>
      </c>
      <c r="C247" s="3">
        <f>IFERROR(__xludf.DUMMYFUNCTION("""COMPUTED_VALUE"""),10.0)</f>
        <v>10</v>
      </c>
      <c r="D247" s="3">
        <f>IFERROR(__xludf.DUMMYFUNCTION("""COMPUTED_VALUE"""),10.0)</f>
        <v>10</v>
      </c>
      <c r="E247" s="3" t="str">
        <f>IFERROR(__xludf.DUMMYFUNCTION("""COMPUTED_VALUE"""),"the project is well defined with proper explanations ")</f>
        <v>the project is well defined with proper explanations </v>
      </c>
      <c r="F247" s="5" t="str">
        <f>IFERROR(__xludf.DUMMYFUNCTION("""COMPUTED_VALUE"""),"https://github.com/21f3003136/TokyoScrape")</f>
        <v>https://github.com/21f3003136/TokyoScrape</v>
      </c>
      <c r="G247" s="3">
        <f>IFERROR(__xludf.DUMMYFUNCTION("""COMPUTED_VALUE"""),2.0)</f>
        <v>2</v>
      </c>
      <c r="H247" s="3">
        <f>IFERROR(__xludf.DUMMYFUNCTION("""COMPUTED_VALUE"""),8.0)</f>
        <v>8</v>
      </c>
      <c r="I247" s="3" t="str">
        <f>IFERROR(__xludf.DUMMYFUNCTION("""COMPUTED_VALUE"""),"Couldnt find anything so much fascinating in the read.me file and the repo""s code was ok")</f>
        <v>Couldnt find anything so much fascinating in the read.me file and the repo"s code was ok</v>
      </c>
      <c r="J247" s="3" t="str">
        <f>IFERROR(__xludf.DUMMYFUNCTION("""COMPUTED_VALUE"""),"22f3001485@ds.study.iitm.ac.in")</f>
        <v>22f3001485@ds.study.iitm.ac.in</v>
      </c>
      <c r="K247" s="3" t="str">
        <f t="shared" si="1"/>
        <v>22f3001485@ds.study.iitm.ac.inhttps://github.com/mohitbakshi04/tds-project-1</v>
      </c>
      <c r="L247" s="3" t="str">
        <f t="shared" si="2"/>
        <v>22f3001485@ds.study.iitm.ac.inhttps://github.com/21f3003136/TokyoScrape</v>
      </c>
    </row>
    <row r="248">
      <c r="A248" s="3">
        <f>IFERROR(__xludf.DUMMYFUNCTION("""COMPUTED_VALUE"""),45601.40222541666)</f>
        <v>45601.40223</v>
      </c>
      <c r="B248" s="5" t="str">
        <f>IFERROR(__xludf.DUMMYFUNCTION("""COMPUTED_VALUE"""),"https://github.com/Naveenkumaar/Project1_TDS")</f>
        <v>https://github.com/Naveenkumaar/Project1_TDS</v>
      </c>
      <c r="C248" s="3">
        <f>IFERROR(__xludf.DUMMYFUNCTION("""COMPUTED_VALUE"""),4.0)</f>
        <v>4</v>
      </c>
      <c r="D248" s="3">
        <f>IFERROR(__xludf.DUMMYFUNCTION("""COMPUTED_VALUE"""),10.0)</f>
        <v>10</v>
      </c>
      <c r="E248" s="3" t="str">
        <f>IFERROR(__xludf.DUMMYFUNCTION("""COMPUTED_VALUE"""),"Just AI generated Readme and code is uploaded later but is clear")</f>
        <v>Just AI generated Readme and code is uploaded later but is clear</v>
      </c>
      <c r="F248" s="5" t="str">
        <f>IFERROR(__xludf.DUMMYFUNCTION("""COMPUTED_VALUE"""),"https://github.com/kunj-10/TDS-IITM-Project1")</f>
        <v>https://github.com/kunj-10/TDS-IITM-Project1</v>
      </c>
      <c r="G248" s="3">
        <f>IFERROR(__xludf.DUMMYFUNCTION("""COMPUTED_VALUE"""),7.0)</f>
        <v>7</v>
      </c>
      <c r="H248" s="3">
        <f>IFERROR(__xludf.DUMMYFUNCTION("""COMPUTED_VALUE"""),10.0)</f>
        <v>10</v>
      </c>
      <c r="I248" s="3" t="str">
        <f>IFERROR(__xludf.DUMMYFUNCTION("""COMPUTED_VALUE"""),"Readme is just AI generated but has more details than the previous one and code is there")</f>
        <v>Readme is just AI generated but has more details than the previous one and code is there</v>
      </c>
      <c r="J248" s="3" t="str">
        <f>IFERROR(__xludf.DUMMYFUNCTION("""COMPUTED_VALUE"""),"23f2001696@ds.study.iitm.ac.in")</f>
        <v>23f2001696@ds.study.iitm.ac.in</v>
      </c>
      <c r="K248" s="3" t="str">
        <f t="shared" si="1"/>
        <v>23f2001696@ds.study.iitm.ac.inhttps://github.com/Naveenkumaar/Project1_TDS</v>
      </c>
      <c r="L248" s="3" t="str">
        <f t="shared" si="2"/>
        <v>23f2001696@ds.study.iitm.ac.inhttps://github.com/kunj-10/TDS-IITM-Project1</v>
      </c>
    </row>
    <row r="249">
      <c r="A249" s="3">
        <f>IFERROR(__xludf.DUMMYFUNCTION("""COMPUTED_VALUE"""),45600.43782543982)</f>
        <v>45600.43783</v>
      </c>
      <c r="B249" s="5" t="str">
        <f>IFERROR(__xludf.DUMMYFUNCTION("""COMPUTED_VALUE"""),"https://github.com/ManjulaVK/TDS_P1")</f>
        <v>https://github.com/ManjulaVK/TDS_P1</v>
      </c>
      <c r="C249" s="3">
        <f>IFERROR(__xludf.DUMMYFUNCTION("""COMPUTED_VALUE"""),10.0)</f>
        <v>10</v>
      </c>
      <c r="D249" s="3">
        <f>IFERROR(__xludf.DUMMYFUNCTION("""COMPUTED_VALUE"""),10.0)</f>
        <v>10</v>
      </c>
      <c r="E249" s="3" t="str">
        <f>IFERROR(__xludf.DUMMYFUNCTION("""COMPUTED_VALUE"""),"The fact that the 1st and 2nd rank influencers had a huge difference in there followers surprised me.")</f>
        <v>The fact that the 1st and 2nd rank influencers had a huge difference in there followers surprised me.</v>
      </c>
      <c r="F249" s="5" t="str">
        <f>IFERROR(__xludf.DUMMYFUNCTION("""COMPUTED_VALUE"""),"https://github.com/AaryNimje/22f3001836-ds.study.iitm.ac.in-Bangalore-100")</f>
        <v>https://github.com/AaryNimje/22f3001836-ds.study.iitm.ac.in-Bangalore-100</v>
      </c>
      <c r="G249" s="3">
        <f>IFERROR(__xludf.DUMMYFUNCTION("""COMPUTED_VALUE"""),10.0)</f>
        <v>10</v>
      </c>
      <c r="H249" s="3">
        <f>IFERROR(__xludf.DUMMYFUNCTION("""COMPUTED_VALUE"""),10.0)</f>
        <v>10</v>
      </c>
      <c r="I249" s="3" t="str">
        <f>IFERROR(__xludf.DUMMYFUNCTION("""COMPUTED_VALUE"""),"They put forward the fact that Google has only 15 employee working in banglore and are active on github .")</f>
        <v>They put forward the fact that Google has only 15 employee working in banglore and are active on github .</v>
      </c>
      <c r="J249" s="3" t="str">
        <f>IFERROR(__xludf.DUMMYFUNCTION("""COMPUTED_VALUE"""),"22f3001519@ds.study.iitm.ac.in")</f>
        <v>22f3001519@ds.study.iitm.ac.in</v>
      </c>
      <c r="K249" s="3" t="str">
        <f t="shared" si="1"/>
        <v>22f3001519@ds.study.iitm.ac.inhttps://github.com/ManjulaVK/TDS_P1</v>
      </c>
      <c r="L249" s="3" t="str">
        <f t="shared" si="2"/>
        <v>22f3001519@ds.study.iitm.ac.inhttps://github.com/AaryNimje/22f3001836-ds.study.iitm.ac.in-Bangalore-100</v>
      </c>
    </row>
    <row r="250">
      <c r="A250" s="3">
        <f>IFERROR(__xludf.DUMMYFUNCTION("""COMPUTED_VALUE"""),45600.45285789351)</f>
        <v>45600.45286</v>
      </c>
      <c r="B250" s="5" t="str">
        <f>IFERROR(__xludf.DUMMYFUNCTION("""COMPUTED_VALUE"""),"https://github.com/Rishitahazra/berlin200")</f>
        <v>https://github.com/Rishitahazra/berlin200</v>
      </c>
      <c r="C250" s="3">
        <f>IFERROR(__xludf.DUMMYFUNCTION("""COMPUTED_VALUE"""),3.0)</f>
        <v>3</v>
      </c>
      <c r="D250" s="3">
        <f>IFERROR(__xludf.DUMMYFUNCTION("""COMPUTED_VALUE"""),7.0)</f>
        <v>7</v>
      </c>
      <c r="E250" s="3" t="str">
        <f>IFERROR(__xludf.DUMMYFUNCTION("""COMPUTED_VALUE"""),"The README appears somewhat disorganized, giving an impression of informality. However, the actionable recommendations provided for developers are excellent and distinctive, reflecting the user’s own comprehensive analysis. The project repository's code i"&amp;"s accurate and demonstrates a reasonably professional standard.")</f>
        <v>The README appears somewhat disorganized, giving an impression of informality. However, the actionable recommendations provided for developers are excellent and distinctive, reflecting the user’s own comprehensive analysis. The project repository's code is accurate and demonstrates a reasonably professional standard.</v>
      </c>
      <c r="F250" s="5" t="str">
        <f>IFERROR(__xludf.DUMMYFUNCTION("""COMPUTED_VALUE"""),"https://github.com/KD-kaustubh/Tds-project-1")</f>
        <v>https://github.com/KD-kaustubh/Tds-project-1</v>
      </c>
      <c r="G250" s="3">
        <f>IFERROR(__xludf.DUMMYFUNCTION("""COMPUTED_VALUE"""),5.0)</f>
        <v>5</v>
      </c>
      <c r="H250" s="3">
        <f>IFERROR(__xludf.DUMMYFUNCTION("""COMPUTED_VALUE"""),9.0)</f>
        <v>9</v>
      </c>
      <c r="I250" s="3" t="str">
        <f>IFERROR(__xludf.DUMMYFUNCTION("""COMPUTED_VALUE"""),"The README is well-formatted and tidy, though the insights and findings presented are fairly standard. The code is highly clear and professional, with a particularly commendable separation between the script for scraping users and repositories and the mai"&amp;"n code for handling questions.")</f>
        <v>The README is well-formatted and tidy, though the insights and findings presented are fairly standard. The code is highly clear and professional, with a particularly commendable separation between the script for scraping users and repositories and the main code for handling questions.</v>
      </c>
      <c r="J250" s="3" t="str">
        <f>IFERROR(__xludf.DUMMYFUNCTION("""COMPUTED_VALUE"""),"22f3001954@ds.study.iitm.ac.in")</f>
        <v>22f3001954@ds.study.iitm.ac.in</v>
      </c>
      <c r="K250" s="3" t="str">
        <f t="shared" si="1"/>
        <v>22f3001954@ds.study.iitm.ac.inhttps://github.com/Rishitahazra/berlin200</v>
      </c>
      <c r="L250" s="3" t="str">
        <f t="shared" si="2"/>
        <v>22f3001954@ds.study.iitm.ac.inhttps://github.com/KD-kaustubh/Tds-project-1</v>
      </c>
    </row>
    <row r="251">
      <c r="A251" s="3">
        <f>IFERROR(__xludf.DUMMYFUNCTION("""COMPUTED_VALUE"""),45600.47682833333)</f>
        <v>45600.47683</v>
      </c>
      <c r="B251" s="3" t="str">
        <f>IFERROR(__xludf.DUMMYFUNCTION("""COMPUTED_VALUE"""),"subhash2IIT / tds-project1-scrapping")</f>
        <v>subhash2IIT / tds-project1-scrapping</v>
      </c>
      <c r="C251" s="3">
        <f>IFERROR(__xludf.DUMMYFUNCTION("""COMPUTED_VALUE"""),10.0)</f>
        <v>10</v>
      </c>
      <c r="D251" s="3">
        <f>IFERROR(__xludf.DUMMYFUNCTION("""COMPUTED_VALUE"""),10.0)</f>
        <v>10</v>
      </c>
      <c r="E251" s="3" t="str">
        <f>IFERROR(__xludf.DUMMYFUNCTION("""COMPUTED_VALUE"""),"He has used pyspark to analyze data extracted and I find it interesting. All the analysis performed are good")</f>
        <v>He has used pyspark to analyze data extracted and I find it interesting. All the analysis performed are good</v>
      </c>
      <c r="F251" s="3" t="str">
        <f>IFERROR(__xludf.DUMMYFUNCTION("""COMPUTED_VALUE"""),"TDS-PROJECT-1 /TDS_P1.ipynb")</f>
        <v>TDS-PROJECT-1 /TDS_P1.ipynb</v>
      </c>
      <c r="G251" s="3">
        <f>IFERROR(__xludf.DUMMYFUNCTION("""COMPUTED_VALUE"""),10.0)</f>
        <v>10</v>
      </c>
      <c r="H251" s="3">
        <f>IFERROR(__xludf.DUMMYFUNCTION("""COMPUTED_VALUE"""),10.0)</f>
        <v>10</v>
      </c>
      <c r="I251" s="3" t="str">
        <f>IFERROR(__xludf.DUMMYFUNCTION("""COMPUTED_VALUE"""),"Analysis performed are simple easy to understand and easily be applied anywhere")</f>
        <v>Analysis performed are simple easy to understand and easily be applied anywhere</v>
      </c>
      <c r="J251" s="3" t="str">
        <f>IFERROR(__xludf.DUMMYFUNCTION("""COMPUTED_VALUE"""),"22ds2000111@ds.study.iitm.ac.in")</f>
        <v>22ds2000111@ds.study.iitm.ac.in</v>
      </c>
      <c r="K251" s="3" t="str">
        <f t="shared" si="1"/>
        <v>22ds2000111@ds.study.iitm.ac.insubhash2IIT / tds-project1-scrapping</v>
      </c>
      <c r="L251" s="3" t="str">
        <f t="shared" si="2"/>
        <v>22ds2000111@ds.study.iitm.ac.inTDS-PROJECT-1 /TDS_P1.ipynb</v>
      </c>
    </row>
    <row r="252">
      <c r="A252" s="3">
        <f>IFERROR(__xludf.DUMMYFUNCTION("""COMPUTED_VALUE"""),45600.488636435184)</f>
        <v>45600.48864</v>
      </c>
      <c r="B252" s="5" t="str">
        <f>IFERROR(__xludf.DUMMYFUNCTION("""COMPUTED_VALUE"""),"https://github.com/r02ajat08/projtds")</f>
        <v>https://github.com/r02ajat08/projtds</v>
      </c>
      <c r="C252" s="3">
        <f>IFERROR(__xludf.DUMMYFUNCTION("""COMPUTED_VALUE"""),5.0)</f>
        <v>5</v>
      </c>
      <c r="D252" s="3">
        <f>IFERROR(__xludf.DUMMYFUNCTION("""COMPUTED_VALUE"""),5.0)</f>
        <v>5</v>
      </c>
      <c r="E252" s="3" t="str">
        <f>IFERROR(__xludf.DUMMYFUNCTION("""COMPUTED_VALUE"""),"no read me, no code uploaded in git hub.")</f>
        <v>no read me, no code uploaded in git hub.</v>
      </c>
      <c r="F252" s="5" t="str">
        <f>IFERROR(__xludf.DUMMYFUNCTION("""COMPUTED_VALUE"""),"https://github.com/ramyaarorra/tdsprojectuno")</f>
        <v>https://github.com/ramyaarorra/tdsprojectuno</v>
      </c>
      <c r="G252" s="3">
        <f>IFERROR(__xludf.DUMMYFUNCTION("""COMPUTED_VALUE"""),10.0)</f>
        <v>10</v>
      </c>
      <c r="H252" s="3">
        <f>IFERROR(__xludf.DUMMYFUNCTION("""COMPUTED_VALUE"""),10.0)</f>
        <v>10</v>
      </c>
      <c r="I252" s="3" t="str">
        <f>IFERROR(__xludf.DUMMYFUNCTION("""COMPUTED_VALUE"""),"code is very neat and clear. i can understand code simply. i found that most of the Russians working for Yandex is interesting . that's why i am giving these ratings.")</f>
        <v>code is very neat and clear. i can understand code simply. i found that most of the Russians working for Yandex is interesting . that's why i am giving these ratings.</v>
      </c>
      <c r="J252" s="3" t="str">
        <f>IFERROR(__xludf.DUMMYFUNCTION("""COMPUTED_VALUE"""),"23f2000473@ds.study.iitm.ac.in")</f>
        <v>23f2000473@ds.study.iitm.ac.in</v>
      </c>
      <c r="K252" s="3" t="str">
        <f t="shared" si="1"/>
        <v>23f2000473@ds.study.iitm.ac.inhttps://github.com/r02ajat08/projtds</v>
      </c>
      <c r="L252" s="3" t="str">
        <f t="shared" si="2"/>
        <v>23f2000473@ds.study.iitm.ac.inhttps://github.com/ramyaarorra/tdsprojectuno</v>
      </c>
    </row>
    <row r="253">
      <c r="A253" s="3">
        <f>IFERROR(__xludf.DUMMYFUNCTION("""COMPUTED_VALUE"""),45600.502941388884)</f>
        <v>45600.50294</v>
      </c>
      <c r="B253" s="5" t="str">
        <f>IFERROR(__xludf.DUMMYFUNCTION("""COMPUTED_VALUE"""),"https://github.com/Kavya792/boston-github-users")</f>
        <v>https://github.com/Kavya792/boston-github-users</v>
      </c>
      <c r="C253" s="3">
        <f>IFERROR(__xludf.DUMMYFUNCTION("""COMPUTED_VALUE"""),10.0)</f>
        <v>10</v>
      </c>
      <c r="D253" s="3">
        <f>IFERROR(__xludf.DUMMYFUNCTION("""COMPUTED_VALUE"""),10.0)</f>
        <v>10</v>
      </c>
      <c r="E253" s="3" t="str">
        <f>IFERROR(__xludf.DUMMYFUNCTION("""COMPUTED_VALUE"""),"The repo consists of all the details it should consists of.")</f>
        <v>The repo consists of all the details it should consists of.</v>
      </c>
      <c r="F253" s="5" t="str">
        <f>IFERROR(__xludf.DUMMYFUNCTION("""COMPUTED_VALUE"""),"https://github.com/dhaanicodes/project1")</f>
        <v>https://github.com/dhaanicodes/project1</v>
      </c>
      <c r="G253" s="3">
        <f>IFERROR(__xludf.DUMMYFUNCTION("""COMPUTED_VALUE"""),10.0)</f>
        <v>10</v>
      </c>
      <c r="H253" s="3">
        <f>IFERROR(__xludf.DUMMYFUNCTION("""COMPUTED_VALUE"""),10.0)</f>
        <v>10</v>
      </c>
      <c r="I253" s="3" t="str">
        <f>IFERROR(__xludf.DUMMYFUNCTION("""COMPUTED_VALUE"""),"The repo consists of all the details and findings it should consists of.")</f>
        <v>The repo consists of all the details and findings it should consists of.</v>
      </c>
      <c r="J253" s="3" t="str">
        <f>IFERROR(__xludf.DUMMYFUNCTION("""COMPUTED_VALUE"""),"22f3002981@ds.study.iitm.ac.in")</f>
        <v>22f3002981@ds.study.iitm.ac.in</v>
      </c>
      <c r="K253" s="3" t="str">
        <f t="shared" si="1"/>
        <v>22f3002981@ds.study.iitm.ac.inhttps://github.com/Kavya792/boston-github-users</v>
      </c>
      <c r="L253" s="3" t="str">
        <f t="shared" si="2"/>
        <v>22f3002981@ds.study.iitm.ac.inhttps://github.com/dhaanicodes/project1</v>
      </c>
    </row>
    <row r="254">
      <c r="A254" s="3">
        <f>IFERROR(__xludf.DUMMYFUNCTION("""COMPUTED_VALUE"""),45600.50872268519)</f>
        <v>45600.50872</v>
      </c>
      <c r="B254" s="5" t="str">
        <f>IFERROR(__xludf.DUMMYFUNCTION("""COMPUTED_VALUE"""),"https://github.com/SidharthDahiya/Toronto-Analysis")</f>
        <v>https://github.com/SidharthDahiya/Toronto-Analysis</v>
      </c>
      <c r="C254" s="3">
        <f>IFERROR(__xludf.DUMMYFUNCTION("""COMPUTED_VALUE"""),5.0)</f>
        <v>5</v>
      </c>
      <c r="D254" s="3">
        <f>IFERROR(__xludf.DUMMYFUNCTION("""COMPUTED_VALUE"""),4.0)</f>
        <v>4</v>
      </c>
      <c r="E254" s="3" t="str">
        <f>IFERROR(__xludf.DUMMYFUNCTION("""COMPUTED_VALUE"""),"1. The readme file exceeded word limit by far which makes it difficult to review with guidelines. The findings and advice seemed good
2. The readability of python code was good. But there are some mistakes.
- while fetching repository data, it should be s"&amp;"orted by recent push and should list all repositories contributed by user.
- The login info that is used in repositoy data is of owner's. It should be of that user.")</f>
        <v>1. The readme file exceeded word limit by far which makes it difficult to review with guidelines. The findings and advice seemed good
2. The readability of python code was good. But there are some mistakes.
- while fetching repository data, it should be sorted by recent push and should list all repositories contributed by user.
- The login info that is used in repositoy data is of owner's. It should be of that user.</v>
      </c>
      <c r="F254" s="5" t="str">
        <f>IFERROR(__xludf.DUMMYFUNCTION("""COMPUTED_VALUE"""),"https://github.com/fahmeed1713/fahmeed")</f>
        <v>https://github.com/fahmeed1713/fahmeed</v>
      </c>
      <c r="G254" s="3">
        <f>IFERROR(__xludf.DUMMYFUNCTION("""COMPUTED_VALUE"""),7.0)</f>
        <v>7</v>
      </c>
      <c r="H254" s="3">
        <f>IFERROR(__xludf.DUMMYFUNCTION("""COMPUTED_VALUE"""),9.0)</f>
        <v>9</v>
      </c>
      <c r="I254" s="3" t="str">
        <f>IFERROR(__xludf.DUMMYFUNCTION("""COMPUTED_VALUE"""),"Read me file had findings that I am not sure if they are correct. Because if the users with high follower count has less number of repositories, it can also be due to the fact that the reositories are of high quality. But this seems to be a good finding t"&amp;"o explore further
The code  is elegant and has good readability.
The repositories data should be fetched in order of latest push so that we get 500 latest pushed repositories of that user.")</f>
        <v>Read me file had findings that I am not sure if they are correct. Because if the users with high follower count has less number of repositories, it can also be due to the fact that the reositories are of high quality. But this seems to be a good finding to explore further
The code  is elegant and has good readability.
The repositories data should be fetched in order of latest push so that we get 500 latest pushed repositories of that user.</v>
      </c>
      <c r="J254" s="3" t="str">
        <f>IFERROR(__xludf.DUMMYFUNCTION("""COMPUTED_VALUE"""),"21f3001934@ds.study.iitm.ac.in")</f>
        <v>21f3001934@ds.study.iitm.ac.in</v>
      </c>
      <c r="K254" s="3" t="str">
        <f t="shared" si="1"/>
        <v>21f3001934@ds.study.iitm.ac.inhttps://github.com/SidharthDahiya/Toronto-Analysis</v>
      </c>
      <c r="L254" s="3" t="str">
        <f t="shared" si="2"/>
        <v>21f3001934@ds.study.iitm.ac.inhttps://github.com/fahmeed1713/fahmeed</v>
      </c>
    </row>
    <row r="255">
      <c r="A255" s="3">
        <f>IFERROR(__xludf.DUMMYFUNCTION("""COMPUTED_VALUE"""),45600.51103408565)</f>
        <v>45600.51103</v>
      </c>
      <c r="B255" s="5" t="str">
        <f>IFERROR(__xludf.DUMMYFUNCTION("""COMPUTED_VALUE"""),"https://github.com/23f1003016/TDS-Project1")</f>
        <v>https://github.com/23f1003016/TDS-Project1</v>
      </c>
      <c r="C255" s="3">
        <f>IFERROR(__xludf.DUMMYFUNCTION("""COMPUTED_VALUE"""),10.0)</f>
        <v>10</v>
      </c>
      <c r="D255" s="3">
        <f>IFERROR(__xludf.DUMMYFUNCTION("""COMPUTED_VALUE"""),10.0)</f>
        <v>10</v>
      </c>
      <c r="E255" s="3" t="str">
        <f>IFERROR(__xludf.DUMMYFUNCTION("""COMPUTED_VALUE"""),"He/ She used JavaScript and Axios to scrape the data, which I found unique, as everyone else tried to extract using the requests library in Python and the code looks very professsional and short.")</f>
        <v>He/ She used JavaScript and Axios to scrape the data, which I found unique, as everyone else tried to extract using the requests library in Python and the code looks very professsional and short.</v>
      </c>
      <c r="F255" s="5" t="str">
        <f>IFERROR(__xludf.DUMMYFUNCTION("""COMPUTED_VALUE"""),"https://github.com/HaifaAbdulSathar/TDS-Project1")</f>
        <v>https://github.com/HaifaAbdulSathar/TDS-Project1</v>
      </c>
      <c r="G255" s="3">
        <f>IFERROR(__xludf.DUMMYFUNCTION("""COMPUTED_VALUE"""),10.0)</f>
        <v>10</v>
      </c>
      <c r="H255" s="3">
        <f>IFERROR(__xludf.DUMMYFUNCTION("""COMPUTED_VALUE"""),9.0)</f>
        <v>9</v>
      </c>
      <c r="I255" s="3" t="str">
        <f>IFERROR(__xludf.DUMMYFUNCTION("""COMPUTED_VALUE"""),"Her/His analysis and interpretation of the overall data impressed me greatly.")</f>
        <v>Her/His analysis and interpretation of the overall data impressed me greatly.</v>
      </c>
      <c r="J255" s="3" t="str">
        <f>IFERROR(__xludf.DUMMYFUNCTION("""COMPUTED_VALUE"""),"23f1001705@ds.study.iitm.ac.in")</f>
        <v>23f1001705@ds.study.iitm.ac.in</v>
      </c>
      <c r="K255" s="3" t="str">
        <f t="shared" si="1"/>
        <v>23f1001705@ds.study.iitm.ac.inhttps://github.com/23f1003016/TDS-Project1</v>
      </c>
      <c r="L255" s="3" t="str">
        <f t="shared" si="2"/>
        <v>23f1001705@ds.study.iitm.ac.inhttps://github.com/HaifaAbdulSathar/TDS-Project1</v>
      </c>
    </row>
    <row r="256">
      <c r="A256" s="3">
        <f>IFERROR(__xludf.DUMMYFUNCTION("""COMPUTED_VALUE"""),45600.52671291667)</f>
        <v>45600.52671</v>
      </c>
      <c r="B256" s="5" t="str">
        <f>IFERROR(__xludf.DUMMYFUNCTION("""COMPUTED_VALUE"""),"https://github.com/23f1003016/TDS-Project1")</f>
        <v>https://github.com/23f1003016/TDS-Project1</v>
      </c>
      <c r="C256" s="3">
        <f>IFERROR(__xludf.DUMMYFUNCTION("""COMPUTED_VALUE"""),8.0)</f>
        <v>8</v>
      </c>
      <c r="D256" s="3">
        <f>IFERROR(__xludf.DUMMYFUNCTION("""COMPUTED_VALUE"""),10.0)</f>
        <v>10</v>
      </c>
      <c r="E256" s="3" t="str">
        <f>IFERROR(__xludf.DUMMYFUNCTION("""COMPUTED_VALUE"""),"The code was clear and was divided in meaningful sections. The README file clearly explained the process well and the js code used was provided")</f>
        <v>The code was clear and was divided in meaningful sections. The README file clearly explained the process well and the js code used was provided</v>
      </c>
      <c r="F256" s="5" t="str">
        <f>IFERROR(__xludf.DUMMYFUNCTION("""COMPUTED_VALUE"""),"https://github.com/HaifaAbdulSathar/TDS-Project1")</f>
        <v>https://github.com/HaifaAbdulSathar/TDS-Project1</v>
      </c>
      <c r="G256" s="3">
        <f>IFERROR(__xludf.DUMMYFUNCTION("""COMPUTED_VALUE"""),6.0)</f>
        <v>6</v>
      </c>
      <c r="H256" s="3">
        <f>IFERROR(__xludf.DUMMYFUNCTION("""COMPUTED_VALUE"""),10.0)</f>
        <v>10</v>
      </c>
      <c r="I256" s="3" t="str">
        <f>IFERROR(__xludf.DUMMYFUNCTION("""COMPUTED_VALUE"""),"The code was clear and had proper comments throughout to explain the process")</f>
        <v>The code was clear and had proper comments throughout to explain the process</v>
      </c>
      <c r="J256" s="3" t="str">
        <f>IFERROR(__xludf.DUMMYFUNCTION("""COMPUTED_VALUE"""),"23f2001487@ds.study.iitm.ac.in")</f>
        <v>23f2001487@ds.study.iitm.ac.in</v>
      </c>
      <c r="K256" s="3" t="str">
        <f t="shared" si="1"/>
        <v>23f2001487@ds.study.iitm.ac.inhttps://github.com/23f1003016/TDS-Project1</v>
      </c>
      <c r="L256" s="3" t="str">
        <f t="shared" si="2"/>
        <v>23f2001487@ds.study.iitm.ac.inhttps://github.com/HaifaAbdulSathar/TDS-Project1</v>
      </c>
    </row>
    <row r="257">
      <c r="A257" s="3">
        <f>IFERROR(__xludf.DUMMYFUNCTION("""COMPUTED_VALUE"""),45600.53601847222)</f>
        <v>45600.53602</v>
      </c>
      <c r="B257" s="5" t="str">
        <f>IFERROR(__xludf.DUMMYFUNCTION("""COMPUTED_VALUE"""),"https://github.com/sadiq1402/TDS-Project-1")</f>
        <v>https://github.com/sadiq1402/TDS-Project-1</v>
      </c>
      <c r="C257" s="3">
        <f>IFERROR(__xludf.DUMMYFUNCTION("""COMPUTED_VALUE"""),6.0)</f>
        <v>6</v>
      </c>
      <c r="D257" s="3">
        <f>IFERROR(__xludf.DUMMYFUNCTION("""COMPUTED_VALUE"""),6.0)</f>
        <v>6</v>
      </c>
      <c r="E257" s="3" t="str">
        <f>IFERROR(__xludf.DUMMYFUNCTION("""COMPUTED_VALUE"""),"The work is completed and done as per demand but all files are AI generated. ")</f>
        <v>The work is completed and done as per demand but all files are AI generated. </v>
      </c>
      <c r="F257" s="5" t="str">
        <f>IFERROR(__xludf.DUMMYFUNCTION("""COMPUTED_VALUE"""),"https://github.com/NeeharikaBhaide/TDS_P1")</f>
        <v>https://github.com/NeeharikaBhaide/TDS_P1</v>
      </c>
      <c r="G257" s="3">
        <f>IFERROR(__xludf.DUMMYFUNCTION("""COMPUTED_VALUE"""),8.0)</f>
        <v>8</v>
      </c>
      <c r="H257" s="3">
        <f>IFERROR(__xludf.DUMMYFUNCTION("""COMPUTED_VALUE"""),8.0)</f>
        <v>8</v>
      </c>
      <c r="I257" s="3" t="str">
        <f>IFERROR(__xludf.DUMMYFUNCTION("""COMPUTED_VALUE"""),"The readme file is plagiarism free but has poor presentation, the code is complete for both files and all the questions but is completely ai generated.")</f>
        <v>The readme file is plagiarism free but has poor presentation, the code is complete for both files and all the questions but is completely ai generated.</v>
      </c>
      <c r="J257" s="3" t="str">
        <f>IFERROR(__xludf.DUMMYFUNCTION("""COMPUTED_VALUE"""),"22f3002204@ds.study.iitm.ac.in")</f>
        <v>22f3002204@ds.study.iitm.ac.in</v>
      </c>
      <c r="K257" s="3" t="str">
        <f t="shared" si="1"/>
        <v>22f3002204@ds.study.iitm.ac.inhttps://github.com/sadiq1402/TDS-Project-1</v>
      </c>
      <c r="L257" s="3" t="str">
        <f t="shared" si="2"/>
        <v>22f3002204@ds.study.iitm.ac.inhttps://github.com/NeeharikaBhaide/TDS_P1</v>
      </c>
    </row>
    <row r="258">
      <c r="A258" s="3">
        <f>IFERROR(__xludf.DUMMYFUNCTION("""COMPUTED_VALUE"""),45600.54409765046)</f>
        <v>45600.5441</v>
      </c>
      <c r="B258" s="5" t="str">
        <f>IFERROR(__xludf.DUMMYFUNCTION("""COMPUTED_VALUE"""),"https://github.com/dhimantks/tdsproject1")</f>
        <v>https://github.com/dhimantks/tdsproject1</v>
      </c>
      <c r="C258" s="3">
        <f>IFERROR(__xludf.DUMMYFUNCTION("""COMPUTED_VALUE"""),10.0)</f>
        <v>10</v>
      </c>
      <c r="D258" s="3">
        <f>IFERROR(__xludf.DUMMYFUNCTION("""COMPUTED_VALUE"""),10.0)</f>
        <v>10</v>
      </c>
      <c r="E258" s="3" t="str">
        <f>IFERROR(__xludf.DUMMYFUNCTION("""COMPUTED_VALUE"""),"
I learnt something fascinating and code is clear and elegant")</f>
        <v>
I learnt something fascinating and code is clear and elegant</v>
      </c>
      <c r="F258" s="5" t="str">
        <f>IFERROR(__xludf.DUMMYFUNCTION("""COMPUTED_VALUE"""),"https://github.com/IITM-VK/TDS-Project-1")</f>
        <v>https://github.com/IITM-VK/TDS-Project-1</v>
      </c>
      <c r="G258" s="3">
        <f>IFERROR(__xludf.DUMMYFUNCTION("""COMPUTED_VALUE"""),10.0)</f>
        <v>10</v>
      </c>
      <c r="H258" s="3">
        <f>IFERROR(__xludf.DUMMYFUNCTION("""COMPUTED_VALUE"""),10.0)</f>
        <v>10</v>
      </c>
      <c r="I258" s="3" t="str">
        <f>IFERROR(__xludf.DUMMYFUNCTION("""COMPUTED_VALUE"""),"I learnt something fascinating and code is clear and elegant")</f>
        <v>I learnt something fascinating and code is clear and elegant</v>
      </c>
      <c r="J258" s="3" t="str">
        <f>IFERROR(__xludf.DUMMYFUNCTION("""COMPUTED_VALUE"""),"21f3000773@ds.study.iitm.ac.in")</f>
        <v>21f3000773@ds.study.iitm.ac.in</v>
      </c>
      <c r="K258" s="3" t="str">
        <f t="shared" si="1"/>
        <v>21f3000773@ds.study.iitm.ac.inhttps://github.com/dhimantks/tdsproject1</v>
      </c>
      <c r="L258" s="3" t="str">
        <f t="shared" si="2"/>
        <v>21f3000773@ds.study.iitm.ac.inhttps://github.com/IITM-VK/TDS-Project-1</v>
      </c>
    </row>
    <row r="259">
      <c r="A259" s="3">
        <f>IFERROR(__xludf.DUMMYFUNCTION("""COMPUTED_VALUE"""),45600.556050694446)</f>
        <v>45600.55605</v>
      </c>
      <c r="B259" s="5" t="str">
        <f>IFERROR(__xludf.DUMMYFUNCTION("""COMPUTED_VALUE"""),"https://github.com/23f3004236/TDS-Project-1/tree/main")</f>
        <v>https://github.com/23f3004236/TDS-Project-1/tree/main</v>
      </c>
      <c r="C259" s="3">
        <f>IFERROR(__xludf.DUMMYFUNCTION("""COMPUTED_VALUE"""),8.0)</f>
        <v>8</v>
      </c>
      <c r="D259" s="3">
        <f>IFERROR(__xludf.DUMMYFUNCTION("""COMPUTED_VALUE"""),10.0)</f>
        <v>10</v>
      </c>
      <c r="E259" s="3" t="str">
        <f>IFERROR(__xludf.DUMMYFUNCTION("""COMPUTED_VALUE"""),"The findings are fairly basic, in that there is not much new revealed compared to what was required in order to answer the questions that were asked. The code is quite concise and clear and the method of having arrived at the conclusions is good.")</f>
        <v>The findings are fairly basic, in that there is not much new revealed compared to what was required in order to answer the questions that were asked. The code is quite concise and clear and the method of having arrived at the conclusions is good.</v>
      </c>
      <c r="F259" s="5" t="str">
        <f>IFERROR(__xludf.DUMMYFUNCTION("""COMPUTED_VALUE"""),"https://github.com/Bracket12/TDS_project_1")</f>
        <v>https://github.com/Bracket12/TDS_project_1</v>
      </c>
      <c r="G259" s="3">
        <f>IFERROR(__xludf.DUMMYFUNCTION("""COMPUTED_VALUE"""),8.0)</f>
        <v>8</v>
      </c>
      <c r="H259" s="3">
        <f>IFERROR(__xludf.DUMMYFUNCTION("""COMPUTED_VALUE"""),10.0)</f>
        <v>10</v>
      </c>
      <c r="I259" s="3" t="str">
        <f>IFERROR(__xludf.DUMMYFUNCTION("""COMPUTED_VALUE"""),"The code is quite clear and the analysis methodology is good.
The small issue is that the way the tag ""hireable"" is interpreted doesn't seem to be right. The users marked as hireable are ones that are open to taking a job and not users who by default ha"&amp;"ve a better portfolio. So saying users are ""more hireable"" may not be appropriate and similarly for the other inferences.")</f>
        <v>The code is quite clear and the analysis methodology is good.
The small issue is that the way the tag "hireable" is interpreted doesn't seem to be right. The users marked as hireable are ones that are open to taking a job and not users who by default have a better portfolio. So saying users are "more hireable" may not be appropriate and similarly for the other inferences.</v>
      </c>
      <c r="J259" s="3" t="str">
        <f>IFERROR(__xludf.DUMMYFUNCTION("""COMPUTED_VALUE"""),"23f1002809@ds.study.iitm.ac.in")</f>
        <v>23f1002809@ds.study.iitm.ac.in</v>
      </c>
      <c r="K259" s="3" t="str">
        <f t="shared" si="1"/>
        <v>23f1002809@ds.study.iitm.ac.inhttps://github.com/23f3004236/TDS-Project-1/tree/main</v>
      </c>
      <c r="L259" s="3" t="str">
        <f t="shared" si="2"/>
        <v>23f1002809@ds.study.iitm.ac.inhttps://github.com/Bracket12/TDS_project_1</v>
      </c>
    </row>
    <row r="260">
      <c r="A260" s="3">
        <f>IFERROR(__xludf.DUMMYFUNCTION("""COMPUTED_VALUE"""),45600.56591636574)</f>
        <v>45600.56592</v>
      </c>
      <c r="B260" s="5" t="str">
        <f>IFERROR(__xludf.DUMMYFUNCTION("""COMPUTED_VALUE"""),"https://github.com/perceptron-01/project-1")</f>
        <v>https://github.com/perceptron-01/project-1</v>
      </c>
      <c r="C260" s="3">
        <f>IFERROR(__xludf.DUMMYFUNCTION("""COMPUTED_VALUE"""),10.0)</f>
        <v>10</v>
      </c>
      <c r="D260" s="3">
        <f>IFERROR(__xludf.DUMMYFUNCTION("""COMPUTED_VALUE"""),10.0)</f>
        <v>10</v>
      </c>
      <c r="E260" s="3" t="str">
        <f>IFERROR(__xludf.DUMMYFUNCTION("""COMPUTED_VALUE"""),"Clear and elegant code as well as the observations.")</f>
        <v>Clear and elegant code as well as the observations.</v>
      </c>
      <c r="F260" s="5" t="str">
        <f>IFERROR(__xludf.DUMMYFUNCTION("""COMPUTED_VALUE"""),"https://github.com/Madhav-Sanjay-Patil/TDS_23f1002049")</f>
        <v>https://github.com/Madhav-Sanjay-Patil/TDS_23f1002049</v>
      </c>
      <c r="G260" s="3">
        <f>IFERROR(__xludf.DUMMYFUNCTION("""COMPUTED_VALUE"""),10.0)</f>
        <v>10</v>
      </c>
      <c r="H260" s="3">
        <f>IFERROR(__xludf.DUMMYFUNCTION("""COMPUTED_VALUE"""),10.0)</f>
        <v>10</v>
      </c>
      <c r="I260" s="3" t="str">
        <f>IFERROR(__xludf.DUMMYFUNCTION("""COMPUTED_VALUE"""),"Good code and observations provided.")</f>
        <v>Good code and observations provided.</v>
      </c>
      <c r="J260" s="3" t="str">
        <f>IFERROR(__xludf.DUMMYFUNCTION("""COMPUTED_VALUE"""),"23f1002044@ds.study.iitm.ac.in")</f>
        <v>23f1002044@ds.study.iitm.ac.in</v>
      </c>
      <c r="K260" s="3" t="str">
        <f t="shared" si="1"/>
        <v>23f1002044@ds.study.iitm.ac.inhttps://github.com/perceptron-01/project-1</v>
      </c>
      <c r="L260" s="3" t="str">
        <f t="shared" si="2"/>
        <v>23f1002044@ds.study.iitm.ac.inhttps://github.com/Madhav-Sanjay-Patil/TDS_23f1002049</v>
      </c>
    </row>
    <row r="261">
      <c r="A261" s="3">
        <f>IFERROR(__xludf.DUMMYFUNCTION("""COMPUTED_VALUE"""),45600.57018634259)</f>
        <v>45600.57019</v>
      </c>
      <c r="B261" s="5" t="str">
        <f>IFERROR(__xludf.DUMMYFUNCTION("""COMPUTED_VALUE"""),"https://github.com/Allen-Josu/TDS_Project")</f>
        <v>https://github.com/Allen-Josu/TDS_Project</v>
      </c>
      <c r="C261" s="3">
        <f>IFERROR(__xludf.DUMMYFUNCTION("""COMPUTED_VALUE"""),7.0)</f>
        <v>7</v>
      </c>
      <c r="D261" s="3">
        <f>IFERROR(__xludf.DUMMYFUNCTION("""COMPUTED_VALUE"""),9.0)</f>
        <v>9</v>
      </c>
      <c r="E261" s="3" t="str">
        <f>IFERROR(__xludf.DUMMYFUNCTION("""COMPUTED_VALUE"""),"Reasoning for points 2 and 3 in Readme.md is not clearly given, for point 2 is the peer surprised that PHP being old is still used(should have mentioned why peer is surprised)? For point 3 seems to suggest that javascript and python need to collaborate ba"&amp;"sed on talent pool in the area, should have mentioned what proportion of the talent pool . 
Regarding code, its very professional, Q13 has an error so could not give full 10, fetch.py is well written")</f>
        <v>Reasoning for points 2 and 3 in Readme.md is not clearly given, for point 2 is the peer surprised that PHP being old is still used(should have mentioned why peer is surprised)? For point 3 seems to suggest that javascript and python need to collaborate based on talent pool in the area, should have mentioned what proportion of the talent pool . 
Regarding code, its very professional, Q13 has an error so could not give full 10, fetch.py is well written</v>
      </c>
      <c r="F261" s="5" t="str">
        <f>IFERROR(__xludf.DUMMYFUNCTION("""COMPUTED_VALUE"""),"https://github.com/pranavdarak/TDS_P1")</f>
        <v>https://github.com/pranavdarak/TDS_P1</v>
      </c>
      <c r="G261" s="3">
        <f>IFERROR(__xludf.DUMMYFUNCTION("""COMPUTED_VALUE"""),10.0)</f>
        <v>10</v>
      </c>
      <c r="H261" s="3">
        <f>IFERROR(__xludf.DUMMYFUNCTION("""COMPUTED_VALUE"""),8.0)</f>
        <v>8</v>
      </c>
      <c r="I261" s="3" t="str">
        <f>IFERROR(__xludf.DUMMYFUNCTION("""COMPUTED_VALUE"""),"The Readme.md file covers all the 3 point with proper explanation of findings. Since 
Readme.md file satisfies all the criteria, its a 10.
The code is also great but the question statements are not given, we just need to assume the question based on the f"&amp;"inal print statement. Also answers are not given, but I have not cut any marks for not displaying answers as the peer might have though of not revealing them.")</f>
        <v>The Readme.md file covers all the 3 point with proper explanation of findings. Since 
Readme.md file satisfies all the criteria, its a 10.
The code is also great but the question statements are not given, we just need to assume the question based on the final print statement. Also answers are not given, but I have not cut any marks for not displaying answers as the peer might have though of not revealing them.</v>
      </c>
      <c r="J261" s="3" t="str">
        <f>IFERROR(__xludf.DUMMYFUNCTION("""COMPUTED_VALUE"""),"22f1000522@ds.study.iitm.ac.in")</f>
        <v>22f1000522@ds.study.iitm.ac.in</v>
      </c>
      <c r="K261" s="3" t="str">
        <f t="shared" si="1"/>
        <v>22f1000522@ds.study.iitm.ac.inhttps://github.com/Allen-Josu/TDS_Project</v>
      </c>
      <c r="L261" s="3" t="str">
        <f t="shared" si="2"/>
        <v>22f1000522@ds.study.iitm.ac.inhttps://github.com/pranavdarak/TDS_P1</v>
      </c>
    </row>
    <row r="262">
      <c r="A262" s="3">
        <f>IFERROR(__xludf.DUMMYFUNCTION("""COMPUTED_VALUE"""),45600.57697042824)</f>
        <v>45600.57697</v>
      </c>
      <c r="B262" s="5" t="str">
        <f>IFERROR(__xludf.DUMMYFUNCTION("""COMPUTED_VALUE"""),"https://github.com/27-Swastik/tds_project_1")</f>
        <v>https://github.com/27-Swastik/tds_project_1</v>
      </c>
      <c r="C262" s="3">
        <f>IFERROR(__xludf.DUMMYFUNCTION("""COMPUTED_VALUE"""),10.0)</f>
        <v>10</v>
      </c>
      <c r="D262" s="3">
        <f>IFERROR(__xludf.DUMMYFUNCTION("""COMPUTED_VALUE"""),9.0)</f>
        <v>9</v>
      </c>
      <c r="E262" s="3" t="str">
        <f>IFERROR(__xludf.DUMMYFUNCTION("""COMPUTED_VALUE"""),"The readme file is good and interesting. But he only push the code of getting the user and repositories files and he only push a single code to get a answer for the mention questions. So, his code for getting the answer for the 16 questions are not clear."&amp;" ")</f>
        <v>The readme file is good and interesting. But he only push the code of getting the user and repositories files and he only push a single code to get a answer for the mention questions. So, his code for getting the answer for the 16 questions are not clear. </v>
      </c>
      <c r="F262" s="5" t="str">
        <f>IFERROR(__xludf.DUMMYFUNCTION("""COMPUTED_VALUE"""),"https://github.com/Samcoderg78/IIT_M_DEMO_REPO")</f>
        <v>https://github.com/Samcoderg78/IIT_M_DEMO_REPO</v>
      </c>
      <c r="G262" s="3">
        <f>IFERROR(__xludf.DUMMYFUNCTION("""COMPUTED_VALUE"""),10.0)</f>
        <v>10</v>
      </c>
      <c r="H262" s="3">
        <f>IFERROR(__xludf.DUMMYFUNCTION("""COMPUTED_VALUE"""),10.0)</f>
        <v>10</v>
      </c>
      <c r="I262" s="3" t="str">
        <f>IFERROR(__xludf.DUMMYFUNCTION("""COMPUTED_VALUE"""),"He nicely mention all the code and his readme also looks good and interesting.")</f>
        <v>He nicely mention all the code and his readme also looks good and interesting.</v>
      </c>
      <c r="J262" s="3" t="str">
        <f>IFERROR(__xludf.DUMMYFUNCTION("""COMPUTED_VALUE"""),"23f1003155@ds.study.iitm.ac.in")</f>
        <v>23f1003155@ds.study.iitm.ac.in</v>
      </c>
      <c r="K262" s="3" t="str">
        <f t="shared" si="1"/>
        <v>23f1003155@ds.study.iitm.ac.inhttps://github.com/27-Swastik/tds_project_1</v>
      </c>
      <c r="L262" s="3" t="str">
        <f t="shared" si="2"/>
        <v>23f1003155@ds.study.iitm.ac.inhttps://github.com/Samcoderg78/IIT_M_DEMO_REPO</v>
      </c>
    </row>
    <row r="263">
      <c r="A263" s="3">
        <f>IFERROR(__xludf.DUMMYFUNCTION("""COMPUTED_VALUE"""),45600.57956292824)</f>
        <v>45600.57956</v>
      </c>
      <c r="B263" s="5" t="str">
        <f>IFERROR(__xludf.DUMMYFUNCTION("""COMPUTED_VALUE"""),"https://github.com/AdityaGuptaVarshney/tds-project1-iitm")</f>
        <v>https://github.com/AdityaGuptaVarshney/tds-project1-iitm</v>
      </c>
      <c r="C263" s="3">
        <f>IFERROR(__xludf.DUMMYFUNCTION("""COMPUTED_VALUE"""),10.0)</f>
        <v>10</v>
      </c>
      <c r="D263" s="3">
        <f>IFERROR(__xludf.DUMMYFUNCTION("""COMPUTED_VALUE"""),10.0)</f>
        <v>10</v>
      </c>
      <c r="E263" s="3" t="str">
        <f>IFERROR(__xludf.DUMMYFUNCTION("""COMPUTED_VALUE"""),"All code and Redme part were present . ")</f>
        <v>All code and Redme part were present . </v>
      </c>
      <c r="F263" s="5" t="str">
        <f>IFERROR(__xludf.DUMMYFUNCTION("""COMPUTED_VALUE"""),"https://github.com/AnujKrishna-IIT/TDS-Project1")</f>
        <v>https://github.com/AnujKrishna-IIT/TDS-Project1</v>
      </c>
      <c r="G263" s="3">
        <f>IFERROR(__xludf.DUMMYFUNCTION("""COMPUTED_VALUE"""),10.0)</f>
        <v>10</v>
      </c>
      <c r="H263" s="3">
        <f>IFERROR(__xludf.DUMMYFUNCTION("""COMPUTED_VALUE"""),10.0)</f>
        <v>10</v>
      </c>
      <c r="I263" s="3" t="str">
        <f>IFERROR(__xludf.DUMMYFUNCTION("""COMPUTED_VALUE"""),"All code and Redme part were present . ")</f>
        <v>All code and Redme part were present . </v>
      </c>
      <c r="J263" s="3" t="str">
        <f>IFERROR(__xludf.DUMMYFUNCTION("""COMPUTED_VALUE"""),"21f2000717@ds.study.iitm.ac.in")</f>
        <v>21f2000717@ds.study.iitm.ac.in</v>
      </c>
      <c r="K263" s="3" t="str">
        <f t="shared" si="1"/>
        <v>21f2000717@ds.study.iitm.ac.inhttps://github.com/AdityaGuptaVarshney/tds-project1-iitm</v>
      </c>
      <c r="L263" s="3" t="str">
        <f t="shared" si="2"/>
        <v>21f2000717@ds.study.iitm.ac.inhttps://github.com/AnujKrishna-IIT/TDS-Project1</v>
      </c>
    </row>
    <row r="264">
      <c r="A264" s="3">
        <f>IFERROR(__xludf.DUMMYFUNCTION("""COMPUTED_VALUE"""),45600.59961895834)</f>
        <v>45600.59962</v>
      </c>
      <c r="B264" s="5" t="str">
        <f>IFERROR(__xludf.DUMMYFUNCTION("""COMPUTED_VALUE"""),"https://github.com/AMOL-023/main")</f>
        <v>https://github.com/AMOL-023/main</v>
      </c>
      <c r="C264" s="3">
        <f>IFERROR(__xludf.DUMMYFUNCTION("""COMPUTED_VALUE"""),9.0)</f>
        <v>9</v>
      </c>
      <c r="D264" s="3">
        <f>IFERROR(__xludf.DUMMYFUNCTION("""COMPUTED_VALUE"""),0.0)</f>
        <v>0</v>
      </c>
      <c r="E264" s="3" t="str">
        <f>IFERROR(__xludf.DUMMYFUNCTION("""COMPUTED_VALUE"""),"The learner provided 3 mandatory bulletin points. The learner was able to analyze the data and identify key insights and also provided suggestions based on the analysis. The learner's repository doesn't have code as of now, so 0 for that.")</f>
        <v>The learner provided 3 mandatory bulletin points. The learner was able to analyze the data and identify key insights and also provided suggestions based on the analysis. The learner's repository doesn't have code as of now, so 0 for that.</v>
      </c>
      <c r="F264" s="5" t="str">
        <f>IFERROR(__xludf.DUMMYFUNCTION("""COMPUTED_VALUE"""),"https://github.com/Chinmoydass/TDS_Project1")</f>
        <v>https://github.com/Chinmoydass/TDS_Project1</v>
      </c>
      <c r="G264" s="3">
        <f>IFERROR(__xludf.DUMMYFUNCTION("""COMPUTED_VALUE"""),6.0)</f>
        <v>6</v>
      </c>
      <c r="H264" s="3">
        <f>IFERROR(__xludf.DUMMYFUNCTION("""COMPUTED_VALUE"""),0.0)</f>
        <v>0</v>
      </c>
      <c r="I264" s="3" t="str">
        <f>IFERROR(__xludf.DUMMYFUNCTION("""COMPUTED_VALUE"""),"The learner has 3 mandatory bulletin points on how he solved the project. The insights and suggestions provided by the leaner was not so useful as the learner did not mention what kind of trends he/she observed while analyzing the data. The learner's repo"&amp;"sitory only contains readme.md, repository.csv, and users.csv and no coding files as of now.")</f>
        <v>The learner has 3 mandatory bulletin points on how he solved the project. The insights and suggestions provided by the leaner was not so useful as the learner did not mention what kind of trends he/she observed while analyzing the data. The learner's repository only contains readme.md, repository.csv, and users.csv and no coding files as of now.</v>
      </c>
      <c r="J264" s="3" t="str">
        <f>IFERROR(__xludf.DUMMYFUNCTION("""COMPUTED_VALUE"""),"22f2000245@ds.study.iitm.ac.in")</f>
        <v>22f2000245@ds.study.iitm.ac.in</v>
      </c>
      <c r="K264" s="3" t="str">
        <f t="shared" si="1"/>
        <v>22f2000245@ds.study.iitm.ac.inhttps://github.com/AMOL-023/main</v>
      </c>
      <c r="L264" s="3" t="str">
        <f t="shared" si="2"/>
        <v>22f2000245@ds.study.iitm.ac.inhttps://github.com/Chinmoydass/TDS_Project1</v>
      </c>
    </row>
    <row r="265">
      <c r="A265" s="3">
        <f>IFERROR(__xludf.DUMMYFUNCTION("""COMPUTED_VALUE"""),45600.611456631945)</f>
        <v>45600.61146</v>
      </c>
      <c r="B265" s="5" t="str">
        <f>IFERROR(__xludf.DUMMYFUNCTION("""COMPUTED_VALUE"""),"https://github.com/Devanshshukla090705/PRJ1_TDS")</f>
        <v>https://github.com/Devanshshukla090705/PRJ1_TDS</v>
      </c>
      <c r="C265" s="3">
        <f>IFERROR(__xludf.DUMMYFUNCTION("""COMPUTED_VALUE"""),10.0)</f>
        <v>10</v>
      </c>
      <c r="D265" s="3">
        <f>IFERROR(__xludf.DUMMYFUNCTION("""COMPUTED_VALUE"""),7.0)</f>
        <v>7</v>
      </c>
      <c r="E265" s="3" t="str">
        <f>IFERROR(__xludf.DUMMYFUNCTION("""COMPUTED_VALUE"""),"while true loop is used for extracting repos which can fetch more than 500 records.")</f>
        <v>while true loop is used for extracting repos which can fetch more than 500 records.</v>
      </c>
      <c r="F265" s="5" t="str">
        <f>IFERROR(__xludf.DUMMYFUNCTION("""COMPUTED_VALUE"""),"https://github.com/Hitesh-Binjrawat/TDSProject1")</f>
        <v>https://github.com/Hitesh-Binjrawat/TDSProject1</v>
      </c>
      <c r="G265" s="3">
        <f>IFERROR(__xludf.DUMMYFUNCTION("""COMPUTED_VALUE"""),5.0)</f>
        <v>5</v>
      </c>
      <c r="H265" s="3">
        <f>IFERROR(__xludf.DUMMYFUNCTION("""COMPUTED_VALUE"""),3.0)</f>
        <v>3</v>
      </c>
      <c r="I265" s="3" t="str">
        <f>IFERROR(__xludf.DUMMYFUNCTION("""COMPUTED_VALUE"""),"In readme only point 1 and 2 are relevant. In codebase pagination is not used for users and for repository pagination is not controlled to have only certain number of repositories.")</f>
        <v>In readme only point 1 and 2 are relevant. In codebase pagination is not used for users and for repository pagination is not controlled to have only certain number of repositories.</v>
      </c>
      <c r="J265" s="3" t="str">
        <f>IFERROR(__xludf.DUMMYFUNCTION("""COMPUTED_VALUE"""),"21f1003107@ds.study.iitm.ac.in")</f>
        <v>21f1003107@ds.study.iitm.ac.in</v>
      </c>
      <c r="K265" s="3" t="str">
        <f t="shared" si="1"/>
        <v>21f1003107@ds.study.iitm.ac.inhttps://github.com/Devanshshukla090705/PRJ1_TDS</v>
      </c>
      <c r="L265" s="3" t="str">
        <f t="shared" si="2"/>
        <v>21f1003107@ds.study.iitm.ac.inhttps://github.com/Hitesh-Binjrawat/TDSProject1</v>
      </c>
    </row>
    <row r="266">
      <c r="A266" s="3">
        <f>IFERROR(__xludf.DUMMYFUNCTION("""COMPUTED_VALUE"""),45600.61740509259)</f>
        <v>45600.61741</v>
      </c>
      <c r="B266" s="5" t="str">
        <f>IFERROR(__xludf.DUMMYFUNCTION("""COMPUTED_VALUE"""),"https://github.com/ak5h1ta/tds-project1")</f>
        <v>https://github.com/ak5h1ta/tds-project1</v>
      </c>
      <c r="C266" s="3">
        <f>IFERROR(__xludf.DUMMYFUNCTION("""COMPUTED_VALUE"""),10.0)</f>
        <v>10</v>
      </c>
      <c r="D266" s="3">
        <f>IFERROR(__xludf.DUMMYFUNCTION("""COMPUTED_VALUE"""),10.0)</f>
        <v>10</v>
      </c>
      <c r="E266" s="3" t="str">
        <f>IFERROR(__xludf.DUMMYFUNCTION("""COMPUTED_VALUE"""),"The code and README are added and clearly written. The README gives interesting insights from the data.")</f>
        <v>The code and README are added and clearly written. The README gives interesting insights from the data.</v>
      </c>
      <c r="F266" s="5" t="str">
        <f>IFERROR(__xludf.DUMMYFUNCTION("""COMPUTED_VALUE"""),"https://github.com/22f2001193-neeraj-menon-iitm/TDS_Project_1")</f>
        <v>https://github.com/22f2001193-neeraj-menon-iitm/TDS_Project_1</v>
      </c>
      <c r="G266" s="3">
        <f>IFERROR(__xludf.DUMMYFUNCTION("""COMPUTED_VALUE"""),10.0)</f>
        <v>10</v>
      </c>
      <c r="H266" s="3">
        <f>IFERROR(__xludf.DUMMYFUNCTION("""COMPUTED_VALUE"""),10.0)</f>
        <v>10</v>
      </c>
      <c r="I266" s="3" t="str">
        <f>IFERROR(__xludf.DUMMYFUNCTION("""COMPUTED_VALUE"""),"Code and README are added properly. Both are clear. README gives amazing insights from the data.")</f>
        <v>Code and README are added properly. Both are clear. README gives amazing insights from the data.</v>
      </c>
      <c r="J266" s="3" t="str">
        <f>IFERROR(__xludf.DUMMYFUNCTION("""COMPUTED_VALUE"""),"22f2001166@ds.study.iitm.ac.in")</f>
        <v>22f2001166@ds.study.iitm.ac.in</v>
      </c>
      <c r="K266" s="3" t="str">
        <f t="shared" si="1"/>
        <v>22f2001166@ds.study.iitm.ac.inhttps://github.com/ak5h1ta/tds-project1</v>
      </c>
      <c r="L266" s="3" t="str">
        <f t="shared" si="2"/>
        <v>22f2001166@ds.study.iitm.ac.inhttps://github.com/22f2001193-neeraj-menon-iitm/TDS_Project_1</v>
      </c>
    </row>
    <row r="267">
      <c r="A267" s="3">
        <f>IFERROR(__xludf.DUMMYFUNCTION("""COMPUTED_VALUE"""),45600.63747760416)</f>
        <v>45600.63748</v>
      </c>
      <c r="B267" s="5" t="str">
        <f>IFERROR(__xludf.DUMMYFUNCTION("""COMPUTED_VALUE"""),"https://github.com/Anish071105/TDS-project1")</f>
        <v>https://github.com/Anish071105/TDS-project1</v>
      </c>
      <c r="C267" s="3">
        <f>IFERROR(__xludf.DUMMYFUNCTION("""COMPUTED_VALUE"""),10.0)</f>
        <v>10</v>
      </c>
      <c r="D267" s="3">
        <f>IFERROR(__xludf.DUMMYFUNCTION("""COMPUTED_VALUE"""),10.0)</f>
        <v>10</v>
      </c>
      <c r="E267" s="3" t="str">
        <f>IFERROR(__xludf.DUMMYFUNCTION("""COMPUTED_VALUE"""),"Student has provided all the information that how he scrapped the data and what how he has analysed the data. His code are clear and elegant that's why i have provided these ratings to him.")</f>
        <v>Student has provided all the information that how he scrapped the data and what how he has analysed the data. His code are clear and elegant that's why i have provided these ratings to him.</v>
      </c>
      <c r="F267" s="5" t="str">
        <f>IFERROR(__xludf.DUMMYFUNCTION("""COMPUTED_VALUE"""),"https://github.com/MANAV-py/tds_project1")</f>
        <v>https://github.com/MANAV-py/tds_project1</v>
      </c>
      <c r="G267" s="3">
        <f>IFERROR(__xludf.DUMMYFUNCTION("""COMPUTED_VALUE"""),8.0)</f>
        <v>8</v>
      </c>
      <c r="H267" s="3">
        <f>IFERROR(__xludf.DUMMYFUNCTION("""COMPUTED_VALUE"""),10.0)</f>
        <v>10</v>
      </c>
      <c r="I267" s="3" t="str">
        <f>IFERROR(__xludf.DUMMYFUNCTION("""COMPUTED_VALUE"""),"Student has provided all the information that how he scrapped the data and what how he has analysed the data. His code are clear and elegant that's why i have provided these ratings to him.")</f>
        <v>Student has provided all the information that how he scrapped the data and what how he has analysed the data. His code are clear and elegant that's why i have provided these ratings to him.</v>
      </c>
      <c r="J267" s="3" t="str">
        <f>IFERROR(__xludf.DUMMYFUNCTION("""COMPUTED_VALUE"""),"23f1003171@ds.study.iitm.ac.in")</f>
        <v>23f1003171@ds.study.iitm.ac.in</v>
      </c>
      <c r="K267" s="3" t="str">
        <f t="shared" si="1"/>
        <v>23f1003171@ds.study.iitm.ac.inhttps://github.com/Anish071105/TDS-project1</v>
      </c>
      <c r="L267" s="3" t="str">
        <f t="shared" si="2"/>
        <v>23f1003171@ds.study.iitm.ac.inhttps://github.com/MANAV-py/tds_project1</v>
      </c>
    </row>
    <row r="268">
      <c r="A268" s="3">
        <f>IFERROR(__xludf.DUMMYFUNCTION("""COMPUTED_VALUE"""),45600.7124746412)</f>
        <v>45600.71247</v>
      </c>
      <c r="B268" s="5" t="str">
        <f>IFERROR(__xludf.DUMMYFUNCTION("""COMPUTED_VALUE"""),"https://github.com/SrujanKVK/23f2003652-ds.study.iitm.ac.in__London-500")</f>
        <v>https://github.com/SrujanKVK/23f2003652-ds.study.iitm.ac.in__London-500</v>
      </c>
      <c r="C268" s="3">
        <f>IFERROR(__xludf.DUMMYFUNCTION("""COMPUTED_VALUE"""),8.0)</f>
        <v>8</v>
      </c>
      <c r="D268" s="3">
        <f>IFERROR(__xludf.DUMMYFUNCTION("""COMPUTED_VALUE"""),0.0)</f>
        <v>0</v>
      </c>
      <c r="E268" s="3" t="str">
        <f>IFERROR(__xludf.DUMMYFUNCTION("""COMPUTED_VALUE"""),"The observation provided felt like the data was analysed well but it was not really helpful so I provided a rating of 8.")</f>
        <v>The observation provided felt like the data was analysed well but it was not really helpful so I provided a rating of 8.</v>
      </c>
      <c r="F268" s="5" t="str">
        <f>IFERROR(__xludf.DUMMYFUNCTION("""COMPUTED_VALUE"""),"https://github.com/pranjal300799/TDS-proj1")</f>
        <v>https://github.com/pranjal300799/TDS-proj1</v>
      </c>
      <c r="G268" s="3">
        <f>IFERROR(__xludf.DUMMYFUNCTION("""COMPUTED_VALUE"""),10.0)</f>
        <v>10</v>
      </c>
      <c r="H268" s="3">
        <f>IFERROR(__xludf.DUMMYFUNCTION("""COMPUTED_VALUE"""),10.0)</f>
        <v>10</v>
      </c>
      <c r="I268" s="3" t="str">
        <f>IFERROR(__xludf.DUMMYFUNCTION("""COMPUTED_VALUE"""),"The code provided uses the class implementations. Great from my side. The finding was interesting, where it described about the general type of jobs that people do in Barcelona")</f>
        <v>The code provided uses the class implementations. Great from my side. The finding was interesting, where it described about the general type of jobs that people do in Barcelona</v>
      </c>
      <c r="J268" s="3" t="str">
        <f>IFERROR(__xludf.DUMMYFUNCTION("""COMPUTED_VALUE"""),"23f2003845@ds.study.iitm.ac.in")</f>
        <v>23f2003845@ds.study.iitm.ac.in</v>
      </c>
      <c r="K268" s="3" t="str">
        <f t="shared" si="1"/>
        <v>23f2003845@ds.study.iitm.ac.inhttps://github.com/SrujanKVK/23f2003652-ds.study.iitm.ac.in__London-500</v>
      </c>
      <c r="L268" s="3" t="str">
        <f t="shared" si="2"/>
        <v>23f2003845@ds.study.iitm.ac.inhttps://github.com/pranjal300799/TDS-proj1</v>
      </c>
    </row>
    <row r="269">
      <c r="A269" s="3">
        <f>IFERROR(__xludf.DUMMYFUNCTION("""COMPUTED_VALUE"""),45600.75897112269)</f>
        <v>45600.75897</v>
      </c>
      <c r="B269" s="5" t="str">
        <f>IFERROR(__xludf.DUMMYFUNCTION("""COMPUTED_VALUE"""),"https://github.com/ratantiwaridev/tds_project1")</f>
        <v>https://github.com/ratantiwaridev/tds_project1</v>
      </c>
      <c r="C269" s="3">
        <f>IFERROR(__xludf.DUMMYFUNCTION("""COMPUTED_VALUE"""),8.0)</f>
        <v>8</v>
      </c>
      <c r="D269" s="3">
        <f>IFERROR(__xludf.DUMMYFUNCTION("""COMPUTED_VALUE"""),9.0)</f>
        <v>9</v>
      </c>
      <c r="E269" s="3" t="str">
        <f>IFERROR(__xludf.DUMMYFUNCTION("""COMPUTED_VALUE"""),"I gained interesting and valid insights from the findings of Repo1. The code is properly organized but it would have been complete if the code used for analyzing individual questions was also provided.")</f>
        <v>I gained interesting and valid insights from the findings of Repo1. The code is properly organized but it would have been complete if the code used for analyzing individual questions was also provided.</v>
      </c>
      <c r="F269" s="5" t="str">
        <f>IFERROR(__xludf.DUMMYFUNCTION("""COMPUTED_VALUE"""),"https://github.com/samreen-fathima-s/tds")</f>
        <v>https://github.com/samreen-fathima-s/tds</v>
      </c>
      <c r="G269" s="3">
        <f>IFERROR(__xludf.DUMMYFUNCTION("""COMPUTED_VALUE"""),9.0)</f>
        <v>9</v>
      </c>
      <c r="H269" s="3">
        <f>IFERROR(__xludf.DUMMYFUNCTION("""COMPUTED_VALUE"""),10.0)</f>
        <v>10</v>
      </c>
      <c r="I269" s="3" t="str">
        <f>IFERROR(__xludf.DUMMYFUNCTION("""COMPUTED_VALUE"""),"The insights gained from Repo2 are factual. The code is clear and organized.")</f>
        <v>The insights gained from Repo2 are factual. The code is clear and organized.</v>
      </c>
      <c r="J269" s="3" t="str">
        <f>IFERROR(__xludf.DUMMYFUNCTION("""COMPUTED_VALUE"""),"22f3000087@ds.study.iitm.ac.in")</f>
        <v>22f3000087@ds.study.iitm.ac.in</v>
      </c>
      <c r="K269" s="3" t="str">
        <f t="shared" si="1"/>
        <v>22f3000087@ds.study.iitm.ac.inhttps://github.com/ratantiwaridev/tds_project1</v>
      </c>
      <c r="L269" s="3" t="str">
        <f t="shared" si="2"/>
        <v>22f3000087@ds.study.iitm.ac.inhttps://github.com/samreen-fathima-s/tds</v>
      </c>
    </row>
    <row r="270">
      <c r="A270" s="3">
        <f>IFERROR(__xludf.DUMMYFUNCTION("""COMPUTED_VALUE"""),45600.76609844908)</f>
        <v>45600.7661</v>
      </c>
      <c r="B270" s="5" t="str">
        <f>IFERROR(__xludf.DUMMYFUNCTION("""COMPUTED_VALUE"""),"https://github.com/Abimanyu-A-J/TDSProj1/tree/main")</f>
        <v>https://github.com/Abimanyu-A-J/TDSProj1/tree/main</v>
      </c>
      <c r="C270" s="3">
        <f>IFERROR(__xludf.DUMMYFUNCTION("""COMPUTED_VALUE"""),4.0)</f>
        <v>4</v>
      </c>
      <c r="D270" s="3">
        <f>IFERROR(__xludf.DUMMYFUNCTION("""COMPUTED_VALUE"""),9.0)</f>
        <v>9</v>
      </c>
      <c r="E270" s="3" t="str">
        <f>IFERROR(__xludf.DUMMYFUNCTION("""COMPUTED_VALUE"""),"the repo was nice with clean csv file and code")</f>
        <v>the repo was nice with clean csv file and code</v>
      </c>
      <c r="F270" s="5" t="str">
        <f>IFERROR(__xludf.DUMMYFUNCTION("""COMPUTED_VALUE"""),"https://github.com/srishtyAg19/Moscow-50")</f>
        <v>https://github.com/srishtyAg19/Moscow-50</v>
      </c>
      <c r="G270" s="3">
        <f>IFERROR(__xludf.DUMMYFUNCTION("""COMPUTED_VALUE"""),10.0)</f>
        <v>10</v>
      </c>
      <c r="H270" s="3">
        <f>IFERROR(__xludf.DUMMYFUNCTION("""COMPUTED_VALUE"""),10.0)</f>
        <v>10</v>
      </c>
      <c r="I270" s="3" t="str">
        <f>IFERROR(__xludf.DUMMYFUNCTION("""COMPUTED_VALUE"""),"it was a nice repo with all the needs fulfilled completely")</f>
        <v>it was a nice repo with all the needs fulfilled completely</v>
      </c>
      <c r="J270" s="3" t="str">
        <f>IFERROR(__xludf.DUMMYFUNCTION("""COMPUTED_VALUE"""),"23f2003190@ds.study.iitm.ac.in")</f>
        <v>23f2003190@ds.study.iitm.ac.in</v>
      </c>
      <c r="K270" s="3" t="str">
        <f t="shared" si="1"/>
        <v>23f2003190@ds.study.iitm.ac.inhttps://github.com/Abimanyu-A-J/TDSProj1/tree/main</v>
      </c>
      <c r="L270" s="3" t="str">
        <f t="shared" si="2"/>
        <v>23f2003190@ds.study.iitm.ac.inhttps://github.com/srishtyAg19/Moscow-50</v>
      </c>
    </row>
    <row r="271">
      <c r="A271" s="3">
        <f>IFERROR(__xludf.DUMMYFUNCTION("""COMPUTED_VALUE"""),45604.77731791667)</f>
        <v>45604.77732</v>
      </c>
      <c r="B271" s="5" t="str">
        <f>IFERROR(__xludf.DUMMYFUNCTION("""COMPUTED_VALUE"""),"https://github.com/22f2000894/tds-project-1")</f>
        <v>https://github.com/22f2000894/tds-project-1</v>
      </c>
      <c r="C271" s="3">
        <f>IFERROR(__xludf.DUMMYFUNCTION("""COMPUTED_VALUE"""),9.0)</f>
        <v>9</v>
      </c>
      <c r="D271" s="3">
        <f>IFERROR(__xludf.DUMMYFUNCTION("""COMPUTED_VALUE"""),10.0)</f>
        <v>10</v>
      </c>
      <c r="E271" s="3" t="str">
        <f>IFERROR(__xludf.DUMMYFUNCTION("""COMPUTED_VALUE"""),"the readme file is present and the student has explained how he has scraped the data, and has mentioned multiple facts about the data , but the findings could have been more interesting than simply the correlation between the variables.
The code file is "&amp;"present, the student has created the notebook in a well structured format making the code readable.")</f>
        <v>the readme file is present and the student has explained how he has scraped the data, and has mentioned multiple facts about the data , but the findings could have been more interesting than simply the correlation between the variables.
The code file is present, the student has created the notebook in a well structured format making the code readable.</v>
      </c>
      <c r="F271" s="5" t="str">
        <f>IFERROR(__xludf.DUMMYFUNCTION("""COMPUTED_VALUE"""),"https://github.com/phanthomx/TDS_PROJECT")</f>
        <v>https://github.com/phanthomx/TDS_PROJECT</v>
      </c>
      <c r="G271" s="3">
        <f>IFERROR(__xludf.DUMMYFUNCTION("""COMPUTED_VALUE"""),9.0)</f>
        <v>9</v>
      </c>
      <c r="H271" s="3">
        <f>IFERROR(__xludf.DUMMYFUNCTION("""COMPUTED_VALUE"""),9.0)</f>
        <v>9</v>
      </c>
      <c r="I271" s="3" t="str">
        <f>IFERROR(__xludf.DUMMYFUNCTION("""COMPUTED_VALUE"""),"The readme file is present, but the insights could have been better.
The code file is present, it has solved all the questions but the code for scrapping data is not present.")</f>
        <v>The readme file is present, but the insights could have been better.
The code file is present, it has solved all the questions but the code for scrapping data is not present.</v>
      </c>
      <c r="J271" s="3" t="str">
        <f>IFERROR(__xludf.DUMMYFUNCTION("""COMPUTED_VALUE"""),"22f2000713@ds.study.iitm.ac.in")</f>
        <v>22f2000713@ds.study.iitm.ac.in</v>
      </c>
      <c r="K271" s="3" t="str">
        <f t="shared" si="1"/>
        <v>22f2000713@ds.study.iitm.ac.inhttps://github.com/22f2000894/tds-project-1</v>
      </c>
      <c r="L271" s="3" t="str">
        <f t="shared" si="2"/>
        <v>22f2000713@ds.study.iitm.ac.inhttps://github.com/phanthomx/TDS_PROJECT</v>
      </c>
    </row>
    <row r="272">
      <c r="A272" s="3">
        <f>IFERROR(__xludf.DUMMYFUNCTION("""COMPUTED_VALUE"""),45600.79899232639)</f>
        <v>45600.79899</v>
      </c>
      <c r="B272" s="5" t="str">
        <f>IFERROR(__xludf.DUMMYFUNCTION("""COMPUTED_VALUE"""),"https://github.com/JAISUBIKSHA/TDS_PROJECT1")</f>
        <v>https://github.com/JAISUBIKSHA/TDS_PROJECT1</v>
      </c>
      <c r="C272" s="3">
        <f>IFERROR(__xludf.DUMMYFUNCTION("""COMPUTED_VALUE"""),7.0)</f>
        <v>7</v>
      </c>
      <c r="D272" s="3">
        <f>IFERROR(__xludf.DUMMYFUNCTION("""COMPUTED_VALUE"""),6.0)</f>
        <v>6</v>
      </c>
      <c r="E272" s="3" t="str">
        <f>IFERROR(__xludf.DUMMYFUNCTION("""COMPUTED_VALUE"""),"the code is there , not written as function , basic codes are there")</f>
        <v>the code is there , not written as function , basic codes are there</v>
      </c>
      <c r="F272" s="5" t="str">
        <f>IFERROR(__xludf.DUMMYFUNCTION("""COMPUTED_VALUE"""),"https://github.com/abhistjain/Project_tds")</f>
        <v>https://github.com/abhistjain/Project_tds</v>
      </c>
      <c r="G272" s="3">
        <f>IFERROR(__xludf.DUMMYFUNCTION("""COMPUTED_VALUE"""),7.0)</f>
        <v>7</v>
      </c>
      <c r="H272" s="3">
        <f>IFERROR(__xludf.DUMMYFUNCTION("""COMPUTED_VALUE"""),8.0)</f>
        <v>8</v>
      </c>
      <c r="I272" s="3" t="str">
        <f>IFERROR(__xludf.DUMMYFUNCTION("""COMPUTED_VALUE"""),"good explanation of the codes in the function tried most of the questions")</f>
        <v>good explanation of the codes in the function tried most of the questions</v>
      </c>
      <c r="J272" s="3" t="str">
        <f>IFERROR(__xludf.DUMMYFUNCTION("""COMPUTED_VALUE"""),"21f3000279@ds.study.iitm.ac.in")</f>
        <v>21f3000279@ds.study.iitm.ac.in</v>
      </c>
      <c r="K272" s="3" t="str">
        <f t="shared" si="1"/>
        <v>21f3000279@ds.study.iitm.ac.inhttps://github.com/JAISUBIKSHA/TDS_PROJECT1</v>
      </c>
      <c r="L272" s="3" t="str">
        <f t="shared" si="2"/>
        <v>21f3000279@ds.study.iitm.ac.inhttps://github.com/abhistjain/Project_tds</v>
      </c>
    </row>
    <row r="273">
      <c r="A273" s="3">
        <f>IFERROR(__xludf.DUMMYFUNCTION("""COMPUTED_VALUE"""),45600.79988119213)</f>
        <v>45600.79988</v>
      </c>
      <c r="B273" s="5" t="str">
        <f>IFERROR(__xludf.DUMMYFUNCTION("""COMPUTED_VALUE"""),"https://github.com/SakshamBindal07/github_sydney_users")</f>
        <v>https://github.com/SakshamBindal07/github_sydney_users</v>
      </c>
      <c r="C273" s="3">
        <f>IFERROR(__xludf.DUMMYFUNCTION("""COMPUTED_VALUE"""),8.0)</f>
        <v>8</v>
      </c>
      <c r="D273" s="3">
        <f>IFERROR(__xludf.DUMMYFUNCTION("""COMPUTED_VALUE"""),10.0)</f>
        <v>10</v>
      </c>
      <c r="E273" s="3" t="str">
        <f>IFERROR(__xludf.DUMMYFUNCTION("""COMPUTED_VALUE"""),"Although the code is cleanly formatted, the 'findings' is very vague and basic. The user mentions that specific languages and well-documented repos attract more viewers, but doesn't mention which language. A deeper analysis and some statistics to support "&amp;"the finding would've been great.")</f>
        <v>Although the code is cleanly formatted, the 'findings' is very vague and basic. The user mentions that specific languages and well-documented repos attract more viewers, but doesn't mention which language. A deeper analysis and some statistics to support the finding would've been great.</v>
      </c>
      <c r="F273" s="5" t="str">
        <f>IFERROR(__xludf.DUMMYFUNCTION("""COMPUTED_VALUE"""),"https://github.com/amittkulkarni/tds-project-1")</f>
        <v>https://github.com/amittkulkarni/tds-project-1</v>
      </c>
      <c r="G273" s="3">
        <f>IFERROR(__xludf.DUMMYFUNCTION("""COMPUTED_VALUE"""),10.0)</f>
        <v>10</v>
      </c>
      <c r="H273" s="3">
        <f>IFERROR(__xludf.DUMMYFUNCTION("""COMPUTED_VALUE"""),10.0)</f>
        <v>10</v>
      </c>
      <c r="I273" s="3" t="str">
        <f>IFERROR(__xludf.DUMMYFUNCTION("""COMPUTED_VALUE"""),"The code is written in a very functional manner, which shows the author's familiarity with the benefits of functional programming. The finding clearly mentions which programming languages were the most popular and which was the least expected to be popula"&amp;"r but actually was in fact popular.")</f>
        <v>The code is written in a very functional manner, which shows the author's familiarity with the benefits of functional programming. The finding clearly mentions which programming languages were the most popular and which was the least expected to be popular but actually was in fact popular.</v>
      </c>
      <c r="J273" s="3" t="str">
        <f>IFERROR(__xludf.DUMMYFUNCTION("""COMPUTED_VALUE"""),"23f1001901@ds.study.iitm.ac.in")</f>
        <v>23f1001901@ds.study.iitm.ac.in</v>
      </c>
      <c r="K273" s="3" t="str">
        <f t="shared" si="1"/>
        <v>23f1001901@ds.study.iitm.ac.inhttps://github.com/SakshamBindal07/github_sydney_users</v>
      </c>
      <c r="L273" s="3" t="str">
        <f t="shared" si="2"/>
        <v>23f1001901@ds.study.iitm.ac.inhttps://github.com/amittkulkarni/tds-project-1</v>
      </c>
    </row>
    <row r="274">
      <c r="A274" s="3">
        <f>IFERROR(__xludf.DUMMYFUNCTION("""COMPUTED_VALUE"""),45600.82551943287)</f>
        <v>45600.82552</v>
      </c>
      <c r="B274" s="5" t="str">
        <f>IFERROR(__xludf.DUMMYFUNCTION("""COMPUTED_VALUE"""),"https://github.com/Atharva-Garajkar/TDS")</f>
        <v>https://github.com/Atharva-Garajkar/TDS</v>
      </c>
      <c r="C274" s="3">
        <f>IFERROR(__xludf.DUMMYFUNCTION("""COMPUTED_VALUE"""),10.0)</f>
        <v>10</v>
      </c>
      <c r="D274" s="3">
        <f>IFERROR(__xludf.DUMMYFUNCTION("""COMPUTED_VALUE"""),9.0)</f>
        <v>9</v>
      </c>
      <c r="E274" s="3" t="str">
        <f>IFERROR(__xludf.DUMMYFUNCTION("""COMPUTED_VALUE"""),"For README I gave 10, because 1st repo's README was to the point.
For code I gave 9 because 1st repo's code was clear.")</f>
        <v>For README I gave 10, because 1st repo's README was to the point.
For code I gave 9 because 1st repo's code was clear.</v>
      </c>
      <c r="F274" s="5" t="str">
        <f>IFERROR(__xludf.DUMMYFUNCTION("""COMPUTED_VALUE"""),"https://github.com/Ashiskushwaha/project-1")</f>
        <v>https://github.com/Ashiskushwaha/project-1</v>
      </c>
      <c r="G274" s="3">
        <f>IFERROR(__xludf.DUMMYFUNCTION("""COMPUTED_VALUE"""),9.0)</f>
        <v>9</v>
      </c>
      <c r="H274" s="3">
        <f>IFERROR(__xludf.DUMMYFUNCTION("""COMPUTED_VALUE"""),10.0)</f>
        <v>10</v>
      </c>
      <c r="I274" s="3" t="str">
        <f>IFERROR(__xludf.DUMMYFUNCTION("""COMPUTED_VALUE"""),"I gave 9  out of 10 for 2nd repo's README, because README was lengthy. In our project it was mention each bullet must be one sentence no more than 50 words. 
For code I gave 10, because repo's code was clear, elegant and any one can understand repo's code"&amp;".")</f>
        <v>I gave 9  out of 10 for 2nd repo's README, because README was lengthy. In our project it was mention each bullet must be one sentence no more than 50 words. 
For code I gave 10, because repo's code was clear, elegant and any one can understand repo's code.</v>
      </c>
      <c r="J274" s="3" t="str">
        <f>IFERROR(__xludf.DUMMYFUNCTION("""COMPUTED_VALUE"""),"22f1000998@ds.study.iitm.ac.in")</f>
        <v>22f1000998@ds.study.iitm.ac.in</v>
      </c>
      <c r="K274" s="3" t="str">
        <f t="shared" si="1"/>
        <v>22f1000998@ds.study.iitm.ac.inhttps://github.com/Atharva-Garajkar/TDS</v>
      </c>
      <c r="L274" s="3" t="str">
        <f t="shared" si="2"/>
        <v>22f1000998@ds.study.iitm.ac.inhttps://github.com/Ashiskushwaha/project-1</v>
      </c>
    </row>
    <row r="275">
      <c r="A275" s="3">
        <f>IFERROR(__xludf.DUMMYFUNCTION("""COMPUTED_VALUE"""),45600.8313656713)</f>
        <v>45600.83137</v>
      </c>
      <c r="B275" s="5" t="str">
        <f>IFERROR(__xludf.DUMMYFUNCTION("""COMPUTED_VALUE"""),"https://github.com/raj-jaiswal/TDS_Github_API")</f>
        <v>https://github.com/raj-jaiswal/TDS_Github_API</v>
      </c>
      <c r="C275" s="3">
        <f>IFERROR(__xludf.DUMMYFUNCTION("""COMPUTED_VALUE"""),10.0)</f>
        <v>10</v>
      </c>
      <c r="D275" s="3">
        <f>IFERROR(__xludf.DUMMYFUNCTION("""COMPUTED_VALUE"""),10.0)</f>
        <v>10</v>
      </c>
      <c r="E275" s="3" t="str">
        <f>IFERROR(__xludf.DUMMYFUNCTION("""COMPUTED_VALUE"""),"The tasks were done clearly and it has all the required files. The readme file gave interesting insights like:  A significant number of Basel developers with higher follower counts tend to focus on a few key repositories rather than numerous projects. ")</f>
        <v>The tasks were done clearly and it has all the required files. The readme file gave interesting insights like:  A significant number of Basel developers with higher follower counts tend to focus on a few key repositories rather than numerous projects. </v>
      </c>
      <c r="F275" s="5" t="str">
        <f>IFERROR(__xludf.DUMMYFUNCTION("""COMPUTED_VALUE"""),"https://github.com/Ajit5370/tds-project-1")</f>
        <v>https://github.com/Ajit5370/tds-project-1</v>
      </c>
      <c r="G275" s="3">
        <f>IFERROR(__xludf.DUMMYFUNCTION("""COMPUTED_VALUE"""),10.0)</f>
        <v>10</v>
      </c>
      <c r="H275" s="3">
        <f>IFERROR(__xludf.DUMMYFUNCTION("""COMPUTED_VALUE"""),10.0)</f>
        <v>10</v>
      </c>
      <c r="I275" s="3" t="str">
        <f>IFERROR(__xludf.DUMMYFUNCTION("""COMPUTED_VALUE"""),"The tasks were done clearly and it has all the required files. The readme file gave interesting insights like: Data analysis revealed that Andrei Neagoie leads with 10,280 followers, while Toronto users have an average of 88 public repos and a 100% hireab"&amp;"le rate. ")</f>
        <v>The tasks were done clearly and it has all the required files. The readme file gave interesting insights like: Data analysis revealed that Andrei Neagoie leads with 10,280 followers, while Toronto users have an average of 88 public repos and a 100% hireable rate. </v>
      </c>
      <c r="J275" s="3" t="str">
        <f>IFERROR(__xludf.DUMMYFUNCTION("""COMPUTED_VALUE"""),"23f1002330@ds.study.iitm.ac.in")</f>
        <v>23f1002330@ds.study.iitm.ac.in</v>
      </c>
      <c r="K275" s="3" t="str">
        <f t="shared" si="1"/>
        <v>23f1002330@ds.study.iitm.ac.inhttps://github.com/raj-jaiswal/TDS_Github_API</v>
      </c>
      <c r="L275" s="3" t="str">
        <f t="shared" si="2"/>
        <v>23f1002330@ds.study.iitm.ac.inhttps://github.com/Ajit5370/tds-project-1</v>
      </c>
    </row>
    <row r="276">
      <c r="A276" s="3">
        <f>IFERROR(__xludf.DUMMYFUNCTION("""COMPUTED_VALUE"""),45600.83836241898)</f>
        <v>45600.83836</v>
      </c>
      <c r="B276" s="5" t="str">
        <f>IFERROR(__xludf.DUMMYFUNCTION("""COMPUTED_VALUE"""),"https://github.com/siddhant-bapna/TDSP1")</f>
        <v>https://github.com/siddhant-bapna/TDSP1</v>
      </c>
      <c r="C276" s="3">
        <f>IFERROR(__xludf.DUMMYFUNCTION("""COMPUTED_VALUE"""),10.0)</f>
        <v>10</v>
      </c>
      <c r="D276" s="3">
        <f>IFERROR(__xludf.DUMMYFUNCTION("""COMPUTED_VALUE"""),9.0)</f>
        <v>9</v>
      </c>
      <c r="E276" s="3" t="str">
        <f>IFERROR(__xludf.DUMMYFUNCTION("""COMPUTED_VALUE"""),"He has provided all answers and files properly")</f>
        <v>He has provided all answers and files properly</v>
      </c>
      <c r="F276" s="5" t="str">
        <f>IFERROR(__xludf.DUMMYFUNCTION("""COMPUTED_VALUE"""),"https://github.com/Madras-protagonist/Bangalore-GitHub-Users-Project")</f>
        <v>https://github.com/Madras-protagonist/Bangalore-GitHub-Users-Project</v>
      </c>
      <c r="G276" s="3">
        <f>IFERROR(__xludf.DUMMYFUNCTION("""COMPUTED_VALUE"""),10.0)</f>
        <v>10</v>
      </c>
      <c r="H276" s="3">
        <f>IFERROR(__xludf.DUMMYFUNCTION("""COMPUTED_VALUE"""),10.0)</f>
        <v>10</v>
      </c>
      <c r="I276" s="3" t="str">
        <f>IFERROR(__xludf.DUMMYFUNCTION("""COMPUTED_VALUE"""),"all the questions were well answered ")</f>
        <v>all the questions were well answered </v>
      </c>
      <c r="J276" s="3" t="str">
        <f>IFERROR(__xludf.DUMMYFUNCTION("""COMPUTED_VALUE"""),"22f3001768@ds.study.iitm.ac.in")</f>
        <v>22f3001768@ds.study.iitm.ac.in</v>
      </c>
      <c r="K276" s="3" t="str">
        <f t="shared" si="1"/>
        <v>22f3001768@ds.study.iitm.ac.inhttps://github.com/siddhant-bapna/TDSP1</v>
      </c>
      <c r="L276" s="3" t="str">
        <f t="shared" si="2"/>
        <v>22f3001768@ds.study.iitm.ac.inhttps://github.com/Madras-protagonist/Bangalore-GitHub-Users-Project</v>
      </c>
    </row>
    <row r="277">
      <c r="A277" s="3">
        <f>IFERROR(__xludf.DUMMYFUNCTION("""COMPUTED_VALUE"""),45600.8428808912)</f>
        <v>45600.84288</v>
      </c>
      <c r="B277" s="5" t="str">
        <f>IFERROR(__xludf.DUMMYFUNCTION("""COMPUTED_VALUE"""),"https://github.com/Nupur-learns/Project1")</f>
        <v>https://github.com/Nupur-learns/Project1</v>
      </c>
      <c r="C277" s="3">
        <f>IFERROR(__xludf.DUMMYFUNCTION("""COMPUTED_VALUE"""),10.0)</f>
        <v>10</v>
      </c>
      <c r="D277" s="3">
        <f>IFERROR(__xludf.DUMMYFUNCTION("""COMPUTED_VALUE"""),10.0)</f>
        <v>10</v>
      </c>
      <c r="E277" s="3" t="str">
        <f>IFERROR(__xludf.DUMMYFUNCTION("""COMPUTED_VALUE"""),"README is clearly written and repo's code is clear and professionally written")</f>
        <v>README is clearly written and repo's code is clear and professionally written</v>
      </c>
      <c r="F277" s="5" t="str">
        <f>IFERROR(__xludf.DUMMYFUNCTION("""COMPUTED_VALUE"""),"https://github.com/ashwiniitm/tdsProject1")</f>
        <v>https://github.com/ashwiniitm/tdsProject1</v>
      </c>
      <c r="G277" s="3">
        <f>IFERROR(__xludf.DUMMYFUNCTION("""COMPUTED_VALUE"""),10.0)</f>
        <v>10</v>
      </c>
      <c r="H277" s="3">
        <f>IFERROR(__xludf.DUMMYFUNCTION("""COMPUTED_VALUE"""),10.0)</f>
        <v>10</v>
      </c>
      <c r="I277" s="3" t="str">
        <f>IFERROR(__xludf.DUMMYFUNCTION("""COMPUTED_VALUE"""),"README is clearly written and repo's code is clear and professionally written")</f>
        <v>README is clearly written and repo's code is clear and professionally written</v>
      </c>
      <c r="J277" s="3" t="str">
        <f>IFERROR(__xludf.DUMMYFUNCTION("""COMPUTED_VALUE"""),"23f1000602@ds.study.iitm.ac.in")</f>
        <v>23f1000602@ds.study.iitm.ac.in</v>
      </c>
      <c r="K277" s="3" t="str">
        <f t="shared" si="1"/>
        <v>23f1000602@ds.study.iitm.ac.inhttps://github.com/Nupur-learns/Project1</v>
      </c>
      <c r="L277" s="3" t="str">
        <f t="shared" si="2"/>
        <v>23f1000602@ds.study.iitm.ac.inhttps://github.com/ashwiniitm/tdsProject1</v>
      </c>
    </row>
    <row r="278">
      <c r="A278" s="3">
        <f>IFERROR(__xludf.DUMMYFUNCTION("""COMPUTED_VALUE"""),45600.84879809028)</f>
        <v>45600.8488</v>
      </c>
      <c r="B278" s="5" t="str">
        <f>IFERROR(__xludf.DUMMYFUNCTION("""COMPUTED_VALUE"""),"https://github.com/22f2000809/project_1")</f>
        <v>https://github.com/22f2000809/project_1</v>
      </c>
      <c r="C278" s="3">
        <f>IFERROR(__xludf.DUMMYFUNCTION("""COMPUTED_VALUE"""),9.0)</f>
        <v>9</v>
      </c>
      <c r="D278" s="3">
        <f>IFERROR(__xludf.DUMMYFUNCTION("""COMPUTED_VALUE"""),9.0)</f>
        <v>9</v>
      </c>
      <c r="E278" s="3" t="str">
        <f>IFERROR(__xludf.DUMMYFUNCTION("""COMPUTED_VALUE"""),"its really good and informative ")</f>
        <v>its really good and informative </v>
      </c>
      <c r="F278" s="5" t="str">
        <f>IFERROR(__xludf.DUMMYFUNCTION("""COMPUTED_VALUE"""),"https://github.com/23ds3000139/my_TDS_P1_submission")</f>
        <v>https://github.com/23ds3000139/my_TDS_P1_submission</v>
      </c>
      <c r="G278" s="3">
        <f>IFERROR(__xludf.DUMMYFUNCTION("""COMPUTED_VALUE"""),9.0)</f>
        <v>9</v>
      </c>
      <c r="H278" s="3">
        <f>IFERROR(__xludf.DUMMYFUNCTION("""COMPUTED_VALUE"""),9.0)</f>
        <v>9</v>
      </c>
      <c r="I278" s="3" t="str">
        <f>IFERROR(__xludf.DUMMYFUNCTION("""COMPUTED_VALUE"""),"its good and informative and i learned stuff")</f>
        <v>its good and informative and i learned stuff</v>
      </c>
      <c r="J278" s="3" t="str">
        <f>IFERROR(__xludf.DUMMYFUNCTION("""COMPUTED_VALUE"""),"22f2000854@ds.study.iitm.ac.in")</f>
        <v>22f2000854@ds.study.iitm.ac.in</v>
      </c>
      <c r="K278" s="3" t="str">
        <f t="shared" si="1"/>
        <v>22f2000854@ds.study.iitm.ac.inhttps://github.com/22f2000809/project_1</v>
      </c>
      <c r="L278" s="3" t="str">
        <f t="shared" si="2"/>
        <v>22f2000854@ds.study.iitm.ac.inhttps://github.com/23ds3000139/my_TDS_P1_submission</v>
      </c>
    </row>
    <row r="279">
      <c r="A279" s="3">
        <f>IFERROR(__xludf.DUMMYFUNCTION("""COMPUTED_VALUE"""),45600.851263530094)</f>
        <v>45600.85126</v>
      </c>
      <c r="B279" s="5" t="str">
        <f>IFERROR(__xludf.DUMMYFUNCTION("""COMPUTED_VALUE"""),"https://github.com/hsnak2245/tds_p1")</f>
        <v>https://github.com/hsnak2245/tds_p1</v>
      </c>
      <c r="C279" s="3">
        <f>IFERROR(__xludf.DUMMYFUNCTION("""COMPUTED_VALUE"""),0.0)</f>
        <v>0</v>
      </c>
      <c r="D279" s="3">
        <f>IFERROR(__xludf.DUMMYFUNCTION("""COMPUTED_VALUE"""),0.0)</f>
        <v>0</v>
      </c>
      <c r="E279" s="3" t="str">
        <f>IFERROR(__xludf.DUMMYFUNCTION("""COMPUTED_VALUE"""),"Due to absence of codes and readme file contents as per project")</f>
        <v>Due to absence of codes and readme file contents as per project</v>
      </c>
      <c r="F279" s="5" t="str">
        <f>IFERROR(__xludf.DUMMYFUNCTION("""COMPUTED_VALUE"""),"https://github.com/22f3001905/tds-project-1-github-users-repos")</f>
        <v>https://github.com/22f3001905/tds-project-1-github-users-repos</v>
      </c>
      <c r="G279" s="3">
        <f>IFERROR(__xludf.DUMMYFUNCTION("""COMPUTED_VALUE"""),10.0)</f>
        <v>10</v>
      </c>
      <c r="H279" s="3">
        <f>IFERROR(__xludf.DUMMYFUNCTION("""COMPUTED_VALUE"""),10.0)</f>
        <v>10</v>
      </c>
      <c r="I279" s="3" t="str">
        <f>IFERROR(__xludf.DUMMYFUNCTION("""COMPUTED_VALUE"""),"The presentation and contents of the readme file and repo codes are excellent ")</f>
        <v>The presentation and contents of the readme file and repo codes are excellent </v>
      </c>
      <c r="J279" s="3" t="str">
        <f>IFERROR(__xludf.DUMMYFUNCTION("""COMPUTED_VALUE"""),"22f3001877@ds.study.iitm.ac.in")</f>
        <v>22f3001877@ds.study.iitm.ac.in</v>
      </c>
      <c r="K279" s="3" t="str">
        <f t="shared" si="1"/>
        <v>22f3001877@ds.study.iitm.ac.inhttps://github.com/hsnak2245/tds_p1</v>
      </c>
      <c r="L279" s="3" t="str">
        <f t="shared" si="2"/>
        <v>22f3001877@ds.study.iitm.ac.inhttps://github.com/22f3001905/tds-project-1-github-users-repos</v>
      </c>
    </row>
    <row r="280">
      <c r="A280" s="3">
        <f>IFERROR(__xludf.DUMMYFUNCTION("""COMPUTED_VALUE"""),45600.852836273145)</f>
        <v>45600.85284</v>
      </c>
      <c r="B280" s="5" t="str">
        <f>IFERROR(__xludf.DUMMYFUNCTION("""COMPUTED_VALUE"""),"https://github.com/student2403/tds-project-1")</f>
        <v>https://github.com/student2403/tds-project-1</v>
      </c>
      <c r="C280" s="3">
        <f>IFERROR(__xludf.DUMMYFUNCTION("""COMPUTED_VALUE"""),8.0)</f>
        <v>8</v>
      </c>
      <c r="D280" s="3">
        <f>IFERROR(__xludf.DUMMYFUNCTION("""COMPUTED_VALUE"""),10.0)</f>
        <v>10</v>
      </c>
      <c r="E280" s="3" t="str">
        <f>IFERROR(__xludf.DUMMYFUNCTION("""COMPUTED_VALUE"""),"Because the readme is interesting and the repo's code is very clear and elegant.")</f>
        <v>Because the readme is interesting and the repo's code is very clear and elegant.</v>
      </c>
      <c r="F280" s="5" t="str">
        <f>IFERROR(__xludf.DUMMYFUNCTION("""COMPUTED_VALUE"""),"https://github.com/Aditya647bc/tds1")</f>
        <v>https://github.com/Aditya647bc/tds1</v>
      </c>
      <c r="G280" s="3">
        <f>IFERROR(__xludf.DUMMYFUNCTION("""COMPUTED_VALUE"""),8.0)</f>
        <v>8</v>
      </c>
      <c r="H280" s="3">
        <f>IFERROR(__xludf.DUMMYFUNCTION("""COMPUTED_VALUE"""),10.0)</f>
        <v>10</v>
      </c>
      <c r="I280" s="3" t="str">
        <f>IFERROR(__xludf.DUMMYFUNCTION("""COMPUTED_VALUE"""),"Because the readme is interesting and the repo's code is very clear and elegant.")</f>
        <v>Because the readme is interesting and the repo's code is very clear and elegant.</v>
      </c>
      <c r="J280" s="3" t="str">
        <f>IFERROR(__xludf.DUMMYFUNCTION("""COMPUTED_VALUE"""),"23f1001990@ds.study.iitm.ac.in")</f>
        <v>23f1001990@ds.study.iitm.ac.in</v>
      </c>
      <c r="K280" s="3" t="str">
        <f t="shared" si="1"/>
        <v>23f1001990@ds.study.iitm.ac.inhttps://github.com/student2403/tds-project-1</v>
      </c>
      <c r="L280" s="3" t="str">
        <f t="shared" si="2"/>
        <v>23f1001990@ds.study.iitm.ac.inhttps://github.com/Aditya647bc/tds1</v>
      </c>
    </row>
    <row r="281">
      <c r="A281" s="3">
        <f>IFERROR(__xludf.DUMMYFUNCTION("""COMPUTED_VALUE"""),45600.85536412037)</f>
        <v>45600.85536</v>
      </c>
      <c r="B281" s="5" t="str">
        <f>IFERROR(__xludf.DUMMYFUNCTION("""COMPUTED_VALUE"""),"https://github.com/Vanshika-tiwari98/Beijing-GitHub-Users")</f>
        <v>https://github.com/Vanshika-tiwari98/Beijing-GitHub-Users</v>
      </c>
      <c r="C281" s="3">
        <f>IFERROR(__xludf.DUMMYFUNCTION("""COMPUTED_VALUE"""),8.0)</f>
        <v>8</v>
      </c>
      <c r="D281" s="3">
        <f>IFERROR(__xludf.DUMMYFUNCTION("""COMPUTED_VALUE"""),9.0)</f>
        <v>9</v>
      </c>
      <c r="E281" s="3" t="str">
        <f>IFERROR(__xludf.DUMMYFUNCTION("""COMPUTED_VALUE"""),"The code was efficient and clean, while the analysis was clear.")</f>
        <v>The code was efficient and clean, while the analysis was clear.</v>
      </c>
      <c r="F281" s="5" t="str">
        <f>IFERROR(__xludf.DUMMYFUNCTION("""COMPUTED_VALUE"""),"https://github.com/Aravindh-18/Project1")</f>
        <v>https://github.com/Aravindh-18/Project1</v>
      </c>
      <c r="G281" s="3">
        <f>IFERROR(__xludf.DUMMYFUNCTION("""COMPUTED_VALUE"""),9.0)</f>
        <v>9</v>
      </c>
      <c r="H281" s="3">
        <f>IFERROR(__xludf.DUMMYFUNCTION("""COMPUTED_VALUE"""),10.0)</f>
        <v>10</v>
      </c>
      <c r="I281" s="3" t="str">
        <f>IFERROR(__xludf.DUMMYFUNCTION("""COMPUTED_VALUE"""),"The code was well-structured and reliable, while the analysis is insightful.")</f>
        <v>The code was well-structured and reliable, while the analysis is insightful.</v>
      </c>
      <c r="J281" s="3" t="str">
        <f>IFERROR(__xludf.DUMMYFUNCTION("""COMPUTED_VALUE"""),"22f3001138@ds.study.iitm.ac.in")</f>
        <v>22f3001138@ds.study.iitm.ac.in</v>
      </c>
      <c r="K281" s="3" t="str">
        <f t="shared" si="1"/>
        <v>22f3001138@ds.study.iitm.ac.inhttps://github.com/Vanshika-tiwari98/Beijing-GitHub-Users</v>
      </c>
      <c r="L281" s="3" t="str">
        <f t="shared" si="2"/>
        <v>22f3001138@ds.study.iitm.ac.inhttps://github.com/Aravindh-18/Project1</v>
      </c>
    </row>
    <row r="282">
      <c r="A282" s="3">
        <f>IFERROR(__xludf.DUMMYFUNCTION("""COMPUTED_VALUE"""),45600.85644502315)</f>
        <v>45600.85645</v>
      </c>
      <c r="B282" s="5" t="str">
        <f>IFERROR(__xludf.DUMMYFUNCTION("""COMPUTED_VALUE"""),"https://github.com/ShijuPJohn/tds_p1")</f>
        <v>https://github.com/ShijuPJohn/tds_p1</v>
      </c>
      <c r="C282" s="3">
        <f>IFERROR(__xludf.DUMMYFUNCTION("""COMPUTED_VALUE"""),9.0)</f>
        <v>9</v>
      </c>
      <c r="D282" s="3">
        <f>IFERROR(__xludf.DUMMYFUNCTION("""COMPUTED_VALUE"""),9.0)</f>
        <v>9</v>
      </c>
      <c r="E282" s="3" t="str">
        <f>IFERROR(__xludf.DUMMYFUNCTION("""COMPUTED_VALUE"""),"The README highlighted an intriguing observation about the activity levels of popular Melbourne-based GitHub users. Despite their high follower counts, many have inactive or minimal public repositories. This finding sheds light on the importance of active"&amp;" engagement for building a meaningful following. The analysis was both unexpected and thought-provoking. 
The code was clear and methodically structured. The process of scraping data from the GitHub API and handling user profiles and repositories was well"&amp;"-documented and straightforward. The implementation showed a good understanding of API usage and data manipulation. ")</f>
        <v>The README highlighted an intriguing observation about the activity levels of popular Melbourne-based GitHub users. Despite their high follower counts, many have inactive or minimal public repositories. This finding sheds light on the importance of active engagement for building a meaningful following. The analysis was both unexpected and thought-provoking. 
The code was clear and methodically structured. The process of scraping data from the GitHub API and handling user profiles and repositories was well-documented and straightforward. The implementation showed a good understanding of API usage and data manipulation. </v>
      </c>
      <c r="F282" s="5" t="str">
        <f>IFERROR(__xludf.DUMMYFUNCTION("""COMPUTED_VALUE"""),"https://github.com/rajyalakshmijampani-iitm/tds-project1")</f>
        <v>https://github.com/rajyalakshmijampani-iitm/tds-project1</v>
      </c>
      <c r="G282" s="3">
        <f>IFERROR(__xludf.DUMMYFUNCTION("""COMPUTED_VALUE"""),10.0)</f>
        <v>10</v>
      </c>
      <c r="H282" s="3">
        <f>IFERROR(__xludf.DUMMYFUNCTION("""COMPUTED_VALUE"""),10.0)</f>
        <v>10</v>
      </c>
      <c r="I282" s="3" t="str">
        <f>IFERROR(__xludf.DUMMYFUNCTION("""COMPUTED_VALUE"""),"The README provided fascinating insights into trends within the developer community, specifically highlighting the prominence of JavaScript and the rising significance of Rust. The analysis of hireability based on language usage was both informative and e"&amp;"ngaging.
The code showcased in the repository was clear and structured. The implementation of paginated requests, rate limit management, and the use of statistical analysis demonstrated is satisfactory.")</f>
        <v>The README provided fascinating insights into trends within the developer community, specifically highlighting the prominence of JavaScript and the rising significance of Rust. The analysis of hireability based on language usage was both informative and engaging.
The code showcased in the repository was clear and structured. The implementation of paginated requests, rate limit management, and the use of statistical analysis demonstrated is satisfactory.</v>
      </c>
      <c r="J282" s="3" t="str">
        <f>IFERROR(__xludf.DUMMYFUNCTION("""COMPUTED_VALUE"""),"22f3002758@ds.study.iitm.ac.in")</f>
        <v>22f3002758@ds.study.iitm.ac.in</v>
      </c>
      <c r="K282" s="3" t="str">
        <f t="shared" si="1"/>
        <v>22f3002758@ds.study.iitm.ac.inhttps://github.com/ShijuPJohn/tds_p1</v>
      </c>
      <c r="L282" s="3" t="str">
        <f t="shared" si="2"/>
        <v>22f3002758@ds.study.iitm.ac.inhttps://github.com/rajyalakshmijampani-iitm/tds-project1</v>
      </c>
    </row>
    <row r="283">
      <c r="A283" s="3">
        <f>IFERROR(__xludf.DUMMYFUNCTION("""COMPUTED_VALUE"""),45600.87527701389)</f>
        <v>45600.87528</v>
      </c>
      <c r="B283" s="5" t="str">
        <f>IFERROR(__xludf.DUMMYFUNCTION("""COMPUTED_VALUE"""),"https://github.com/PoornimaIITm/Tds_barcelona100")</f>
        <v>https://github.com/PoornimaIITm/Tds_barcelona100</v>
      </c>
      <c r="C283" s="3">
        <f>IFERROR(__xludf.DUMMYFUNCTION("""COMPUTED_VALUE"""),9.0)</f>
        <v>9</v>
      </c>
      <c r="D283" s="3">
        <f>IFERROR(__xludf.DUMMYFUNCTION("""COMPUTED_VALUE"""),10.0)</f>
        <v>10</v>
      </c>
      <c r="E283" s="3" t="str">
        <f>IFERROR(__xludf.DUMMYFUNCTION("""COMPUTED_VALUE"""),"Provided insights offer a mix of specific, data-driven findings and general recommendations, which could be useful for developers aiming to improve their profiles and hireability. However, the findings could be even more compelling if there were concrete "&amp;"definitions for terms like ""leader strength"" or if examples were given to illustrate these trends.
The provided Code is structured and clear.")</f>
        <v>Provided insights offer a mix of specific, data-driven findings and general recommendations, which could be useful for developers aiming to improve their profiles and hireability. However, the findings could be even more compelling if there were concrete definitions for terms like "leader strength" or if examples were given to illustrate these trends.
The provided Code is structured and clear.</v>
      </c>
      <c r="F283" s="5" t="str">
        <f>IFERROR(__xludf.DUMMYFUNCTION("""COMPUTED_VALUE"""),"https://github.com/jahnavi-bd/Project_TDS")</f>
        <v>https://github.com/jahnavi-bd/Project_TDS</v>
      </c>
      <c r="G283" s="3">
        <f>IFERROR(__xludf.DUMMYFUNCTION("""COMPUTED_VALUE"""),9.0)</f>
        <v>9</v>
      </c>
      <c r="H283" s="3">
        <f>IFERROR(__xludf.DUMMYFUNCTION("""COMPUTED_VALUE"""),10.0)</f>
        <v>10</v>
      </c>
      <c r="I283" s="3" t="str">
        <f>IFERROR(__xludf.DUMMYFUNCTION("""COMPUTED_VALUE"""),"The README mentions an interesting fact about the diversity of programming languages used by developers in Melbourne, which is somewhat engaging. However, it doesn’t provide specific details or data insights to illustrate this diversity or to show any uni"&amp;"que trends. The recommendation to connect with local developers is positive but fairly general. Overall, the findings are moderately interesting, as they give a bit of context about Melbourne's developer ecosystem, but they don’t delve into any particular"&amp;"ly surprising or novel insights.")</f>
        <v>The README mentions an interesting fact about the diversity of programming languages used by developers in Melbourne, which is somewhat engaging. However, it doesn’t provide specific details or data insights to illustrate this diversity or to show any unique trends. The recommendation to connect with local developers is positive but fairly general. Overall, the findings are moderately interesting, as they give a bit of context about Melbourne's developer ecosystem, but they don’t delve into any particularly surprising or novel insights.</v>
      </c>
      <c r="J283" s="3" t="str">
        <f>IFERROR(__xludf.DUMMYFUNCTION("""COMPUTED_VALUE"""),"22f3002094@ds.study.iitm.ac.in")</f>
        <v>22f3002094@ds.study.iitm.ac.in</v>
      </c>
      <c r="K283" s="3" t="str">
        <f t="shared" si="1"/>
        <v>22f3002094@ds.study.iitm.ac.inhttps://github.com/PoornimaIITm/Tds_barcelona100</v>
      </c>
      <c r="L283" s="3" t="str">
        <f t="shared" si="2"/>
        <v>22f3002094@ds.study.iitm.ac.inhttps://github.com/jahnavi-bd/Project_TDS</v>
      </c>
    </row>
    <row r="284">
      <c r="A284" s="3">
        <f>IFERROR(__xludf.DUMMYFUNCTION("""COMPUTED_VALUE"""),45600.877274108796)</f>
        <v>45600.87727</v>
      </c>
      <c r="B284" s="5" t="str">
        <f>IFERROR(__xludf.DUMMYFUNCTION("""COMPUTED_VALUE"""),"https://github.com/VishakhAgarwal/proj1")</f>
        <v>https://github.com/VishakhAgarwal/proj1</v>
      </c>
      <c r="C284" s="3">
        <f>IFERROR(__xludf.DUMMYFUNCTION("""COMPUTED_VALUE"""),5.0)</f>
        <v>5</v>
      </c>
      <c r="D284" s="3">
        <f>IFERROR(__xludf.DUMMYFUNCTION("""COMPUTED_VALUE"""),5.0)</f>
        <v>5</v>
      </c>
      <c r="E284" s="3" t="str">
        <f>IFERROR(__xludf.DUMMYFUNCTION("""COMPUTED_VALUE"""),"No findings in readme and no code in repo")</f>
        <v>No findings in readme and no code in repo</v>
      </c>
      <c r="F284" s="5" t="str">
        <f>IFERROR(__xludf.DUMMYFUNCTION("""COMPUTED_VALUE"""),"https://github.com/vaishnavich44/Beijing-GitHub-Analysis")</f>
        <v>https://github.com/vaishnavich44/Beijing-GitHub-Analysis</v>
      </c>
      <c r="G284" s="3">
        <f>IFERROR(__xludf.DUMMYFUNCTION("""COMPUTED_VALUE"""),10.0)</f>
        <v>10</v>
      </c>
      <c r="H284" s="3">
        <f>IFERROR(__xludf.DUMMYFUNCTION("""COMPUTED_VALUE"""),10.0)</f>
        <v>10</v>
      </c>
      <c r="I284" s="3" t="str">
        <f>IFERROR(__xludf.DUMMYFUNCTION("""COMPUTED_VALUE"""),"Excellent. This repo has everything needed to get a perfect score")</f>
        <v>Excellent. This repo has everything needed to get a perfect score</v>
      </c>
      <c r="J284" s="3" t="str">
        <f>IFERROR(__xludf.DUMMYFUNCTION("""COMPUTED_VALUE"""),"21f2000351@ds.study.iitm.ac.in")</f>
        <v>21f2000351@ds.study.iitm.ac.in</v>
      </c>
      <c r="K284" s="3" t="str">
        <f t="shared" si="1"/>
        <v>21f2000351@ds.study.iitm.ac.inhttps://github.com/VishakhAgarwal/proj1</v>
      </c>
      <c r="L284" s="3" t="str">
        <f t="shared" si="2"/>
        <v>21f2000351@ds.study.iitm.ac.inhttps://github.com/vaishnavich44/Beijing-GitHub-Analysis</v>
      </c>
    </row>
    <row r="285">
      <c r="A285" s="3">
        <f>IFERROR(__xludf.DUMMYFUNCTION("""COMPUTED_VALUE"""),45600.87859841435)</f>
        <v>45600.8786</v>
      </c>
      <c r="B285" s="5" t="str">
        <f>IFERROR(__xludf.DUMMYFUNCTION("""COMPUTED_VALUE"""),"https://github.com/vilas-007/TDS-project1")</f>
        <v>https://github.com/vilas-007/TDS-project1</v>
      </c>
      <c r="C285" s="3">
        <f>IFERROR(__xludf.DUMMYFUNCTION("""COMPUTED_VALUE"""),2.0)</f>
        <v>2</v>
      </c>
      <c r="D285" s="3">
        <f>IFERROR(__xludf.DUMMYFUNCTION("""COMPUTED_VALUE"""),0.0)</f>
        <v>0</v>
      </c>
      <c r="E285" s="3" t="str">
        <f>IFERROR(__xludf.DUMMYFUNCTION("""COMPUTED_VALUE"""),"The readme files does mention of gitscrap.py file but files is not included.
No files of findings attached.")</f>
        <v>The readme files does mention of gitscrap.py file but files is not included.
No files of findings attached.</v>
      </c>
      <c r="F285" s="5" t="str">
        <f>IFERROR(__xludf.DUMMYFUNCTION("""COMPUTED_VALUE"""),"https://github.com/suryadhn/boston_user_repo")</f>
        <v>https://github.com/suryadhn/boston_user_repo</v>
      </c>
      <c r="G285" s="3">
        <f>IFERROR(__xludf.DUMMYFUNCTION("""COMPUTED_VALUE"""),8.0)</f>
        <v>8</v>
      </c>
      <c r="H285" s="3">
        <f>IFERROR(__xludf.DUMMYFUNCTION("""COMPUTED_VALUE"""),10.0)</f>
        <v>10</v>
      </c>
      <c r="I285" s="3" t="str">
        <f>IFERROR(__xludf.DUMMYFUNCTION("""COMPUTED_VALUE"""),"There is only one finding mentioned, the files attached is clear.")</f>
        <v>There is only one finding mentioned, the files attached is clear.</v>
      </c>
      <c r="J285" s="3" t="str">
        <f>IFERROR(__xludf.DUMMYFUNCTION("""COMPUTED_VALUE"""),"22f3003074@ds.study.iitm.ac.in")</f>
        <v>22f3003074@ds.study.iitm.ac.in</v>
      </c>
      <c r="K285" s="3" t="str">
        <f t="shared" si="1"/>
        <v>22f3003074@ds.study.iitm.ac.inhttps://github.com/vilas-007/TDS-project1</v>
      </c>
      <c r="L285" s="3" t="str">
        <f t="shared" si="2"/>
        <v>22f3003074@ds.study.iitm.ac.inhttps://github.com/suryadhn/boston_user_repo</v>
      </c>
    </row>
    <row r="286">
      <c r="A286" s="3">
        <f>IFERROR(__xludf.DUMMYFUNCTION("""COMPUTED_VALUE"""),45600.900176967596)</f>
        <v>45600.90018</v>
      </c>
      <c r="B286" s="5" t="str">
        <f>IFERROR(__xludf.DUMMYFUNCTION("""COMPUTED_VALUE"""),"https://github.com/Omkar-pawar1/TDS-PROJECT-1")</f>
        <v>https://github.com/Omkar-pawar1/TDS-PROJECT-1</v>
      </c>
      <c r="C286" s="3">
        <f>IFERROR(__xludf.DUMMYFUNCTION("""COMPUTED_VALUE"""),1.0)</f>
        <v>1</v>
      </c>
      <c r="D286" s="3">
        <f>IFERROR(__xludf.DUMMYFUNCTION("""COMPUTED_VALUE"""),0.0)</f>
        <v>0</v>
      </c>
      <c r="E286" s="3" t="str">
        <f>IFERROR(__xludf.DUMMYFUNCTION("""COMPUTED_VALUE"""),"The repository includes a README.md file. However, no findings are provided within this file. Hence, I have awarded 1 mark.
Although a link to the code is present in the README.md, access is denied, preventing me from reviewing the code. As a result, I h"&amp;"ave assigned 0 marks for the code component.")</f>
        <v>The repository includes a README.md file. However, no findings are provided within this file. Hence, I have awarded 1 mark.
Although a link to the code is present in the README.md, access is denied, preventing me from reviewing the code. As a result, I have assigned 0 marks for the code component.</v>
      </c>
      <c r="F286" s="5" t="str">
        <f>IFERROR(__xludf.DUMMYFUNCTION("""COMPUTED_VALUE"""),"https://github.com/im-adamya-vatsalya-sharma-09/TDS-Project-1")</f>
        <v>https://github.com/im-adamya-vatsalya-sharma-09/TDS-Project-1</v>
      </c>
      <c r="G286" s="3">
        <f>IFERROR(__xludf.DUMMYFUNCTION("""COMPUTED_VALUE"""),1.0)</f>
        <v>1</v>
      </c>
      <c r="H286" s="3">
        <f>IFERROR(__xludf.DUMMYFUNCTION("""COMPUTED_VALUE"""),8.0)</f>
        <v>8</v>
      </c>
      <c r="I286" s="3" t="str">
        <f>IFERROR(__xludf.DUMMYFUNCTION("""COMPUTED_VALUE"""),"The repository includes a README.md file. However, no findings are provided (only one bullet point containing the way the data was scraped; no findings as such). Hence, I have awarded 1 mark.
On a scale from 0 to 10, I  rate this code 8. 
The code is MOD"&amp;"ULAR and structured well. However there are some weaknesses to the code:
1. The function name get_users_in_berlin is misleading as it queries users in Basel.
2. Basic error handling exists, but it should be improved with try-except blocks for network requ"&amp;"ests.
3. The code does not account for GitHub API rate limits, which could lead to request failures.")</f>
        <v>The repository includes a README.md file. However, no findings are provided (only one bullet point containing the way the data was scraped; no findings as such). Hence, I have awarded 1 mark.
On a scale from 0 to 10, I  rate this code 8. 
The code is MODULAR and structured well. However there are some weaknesses to the code:
1. The function name get_users_in_berlin is misleading as it queries users in Basel.
2. Basic error handling exists, but it should be improved with try-except blocks for network requests.
3. The code does not account for GitHub API rate limits, which could lead to request failures.</v>
      </c>
      <c r="J286" s="3" t="str">
        <f>IFERROR(__xludf.DUMMYFUNCTION("""COMPUTED_VALUE"""),"21f3000331@ds.study.iitm.ac.in")</f>
        <v>21f3000331@ds.study.iitm.ac.in</v>
      </c>
      <c r="K286" s="3" t="str">
        <f t="shared" si="1"/>
        <v>21f3000331@ds.study.iitm.ac.inhttps://github.com/Omkar-pawar1/TDS-PROJECT-1</v>
      </c>
      <c r="L286" s="3" t="str">
        <f t="shared" si="2"/>
        <v>21f3000331@ds.study.iitm.ac.inhttps://github.com/im-adamya-vatsalya-sharma-09/TDS-Project-1</v>
      </c>
    </row>
    <row r="287">
      <c r="A287" s="3">
        <f>IFERROR(__xludf.DUMMYFUNCTION("""COMPUTED_VALUE"""),45600.95569258102)</f>
        <v>45600.95569</v>
      </c>
      <c r="B287" s="5" t="str">
        <f>IFERROR(__xludf.DUMMYFUNCTION("""COMPUTED_VALUE"""),"https://github.com/sameer2799/tds_project_1")</f>
        <v>https://github.com/sameer2799/tds_project_1</v>
      </c>
      <c r="C287" s="3">
        <f>IFERROR(__xludf.DUMMYFUNCTION("""COMPUTED_VALUE"""),10.0)</f>
        <v>10</v>
      </c>
      <c r="D287" s="3">
        <f>IFERROR(__xludf.DUMMYFUNCTION("""COMPUTED_VALUE"""),10.0)</f>
        <v>10</v>
      </c>
      <c r="E287" s="3" t="str">
        <f>IFERROR(__xludf.DUMMYFUNCTION("""COMPUTED_VALUE"""),"The repo is well structured and organised, also the code given is professional.")</f>
        <v>The repo is well structured and organised, also the code given is professional.</v>
      </c>
      <c r="F287" s="5" t="str">
        <f>IFERROR(__xludf.DUMMYFUNCTION("""COMPUTED_VALUE"""),"https://github.com/code-kalrav/IITM-P1/tree/main")</f>
        <v>https://github.com/code-kalrav/IITM-P1/tree/main</v>
      </c>
      <c r="G287" s="3">
        <f>IFERROR(__xludf.DUMMYFUNCTION("""COMPUTED_VALUE"""),8.0)</f>
        <v>8</v>
      </c>
      <c r="H287" s="3">
        <f>IFERROR(__xludf.DUMMYFUNCTION("""COMPUTED_VALUE"""),9.0)</f>
        <v>9</v>
      </c>
      <c r="I287" s="3" t="str">
        <f>IFERROR(__xludf.DUMMYFUNCTION("""COMPUTED_VALUE"""),"The finding is not much interesting but the code provided is clear and is organised in a single file.")</f>
        <v>The finding is not much interesting but the code provided is clear and is organised in a single file.</v>
      </c>
      <c r="J287" s="3" t="str">
        <f>IFERROR(__xludf.DUMMYFUNCTION("""COMPUTED_VALUE"""),"22f1000693@ds.study.iitm.ac.in")</f>
        <v>22f1000693@ds.study.iitm.ac.in</v>
      </c>
      <c r="K287" s="3" t="str">
        <f t="shared" si="1"/>
        <v>22f1000693@ds.study.iitm.ac.inhttps://github.com/sameer2799/tds_project_1</v>
      </c>
      <c r="L287" s="3" t="str">
        <f t="shared" si="2"/>
        <v>22f1000693@ds.study.iitm.ac.inhttps://github.com/code-kalrav/IITM-P1/tree/main</v>
      </c>
    </row>
    <row r="288">
      <c r="A288" s="3">
        <f>IFERROR(__xludf.DUMMYFUNCTION("""COMPUTED_VALUE"""),45600.912632175925)</f>
        <v>45600.91263</v>
      </c>
      <c r="B288" s="5" t="str">
        <f>IFERROR(__xludf.DUMMYFUNCTION("""COMPUTED_VALUE"""),"https://github.com/zerx1307/TDS_project_1")</f>
        <v>https://github.com/zerx1307/TDS_project_1</v>
      </c>
      <c r="C288" s="3">
        <f>IFERROR(__xludf.DUMMYFUNCTION("""COMPUTED_VALUE"""),7.0)</f>
        <v>7</v>
      </c>
      <c r="D288" s="3">
        <f>IFERROR(__xludf.DUMMYFUNCTION("""COMPUTED_VALUE"""),8.0)</f>
        <v>8</v>
      </c>
      <c r="E288" s="3" t="str">
        <f>IFERROR(__xludf.DUMMYFUNCTION("""COMPUTED_VALUE"""),"There are multiple grammatical errors in the README file and no explanation for the recommendation in point 3. The code is clear, however the user has mentioned python is the most popular language for users who joined after 2020 while the output of their "&amp;"code shows JavaScript as the answer. Since the code is in colab, i found the jupyter notebook format to be professional")</f>
        <v>There are multiple grammatical errors in the README file and no explanation for the recommendation in point 3. The code is clear, however the user has mentioned python is the most popular language for users who joined after 2020 while the output of their code shows JavaScript as the answer. Since the code is in colab, i found the jupyter notebook format to be professional</v>
      </c>
      <c r="F288" s="5" t="str">
        <f>IFERROR(__xludf.DUMMYFUNCTION("""COMPUTED_VALUE"""),"https://github.com/Dnyan-iitm/TDS-Project1")</f>
        <v>https://github.com/Dnyan-iitm/TDS-Project1</v>
      </c>
      <c r="G288" s="3">
        <f>IFERROR(__xludf.DUMMYFUNCTION("""COMPUTED_VALUE"""),5.0)</f>
        <v>5</v>
      </c>
      <c r="H288" s="3">
        <f>IFERROR(__xludf.DUMMYFUNCTION("""COMPUTED_VALUE"""),5.0)</f>
        <v>5</v>
      </c>
      <c r="I288" s="3" t="str">
        <f>IFERROR(__xludf.DUMMYFUNCTION("""COMPUTED_VALUE"""),"The README file does not have recommendations point. The other points haven't been elaborated. The user has uploaded a separate code file for each question for which the required libraries have to be loaded every single time. This is why I did not find it"&amp;" very elegant. It would be much better to have a jupyter notebook or a single code file.
")</f>
        <v>The README file does not have recommendations point. The other points haven't been elaborated. The user has uploaded a separate code file for each question for which the required libraries have to be loaded every single time. This is why I did not find it very elegant. It would be much better to have a jupyter notebook or a single code file.
</v>
      </c>
      <c r="J288" s="3" t="str">
        <f>IFERROR(__xludf.DUMMYFUNCTION("""COMPUTED_VALUE"""),"23f1002016@ds.study.iitm.ac.in")</f>
        <v>23f1002016@ds.study.iitm.ac.in</v>
      </c>
      <c r="K288" s="3" t="str">
        <f t="shared" si="1"/>
        <v>23f1002016@ds.study.iitm.ac.inhttps://github.com/zerx1307/TDS_project_1</v>
      </c>
      <c r="L288" s="3" t="str">
        <f t="shared" si="2"/>
        <v>23f1002016@ds.study.iitm.ac.inhttps://github.com/Dnyan-iitm/TDS-Project1</v>
      </c>
    </row>
    <row r="289">
      <c r="A289" s="3">
        <f>IFERROR(__xludf.DUMMYFUNCTION("""COMPUTED_VALUE"""),45600.92014710648)</f>
        <v>45600.92015</v>
      </c>
      <c r="B289" s="5" t="str">
        <f>IFERROR(__xludf.DUMMYFUNCTION("""COMPUTED_VALUE"""),"https://github.com/Preena-iitmds/pree_ZurichProj1")</f>
        <v>https://github.com/Preena-iitmds/pree_ZurichProj1</v>
      </c>
      <c r="C289" s="3">
        <f>IFERROR(__xludf.DUMMYFUNCTION("""COMPUTED_VALUE"""),0.0)</f>
        <v>0</v>
      </c>
      <c r="D289" s="3">
        <f>IFERROR(__xludf.DUMMYFUNCTION("""COMPUTED_VALUE"""),0.0)</f>
        <v>0</v>
      </c>
      <c r="E289" s="3" t="str">
        <f>IFERROR(__xludf.DUMMYFUNCTION("""COMPUTED_VALUE"""),"No code or findings were given.")</f>
        <v>No code or findings were given.</v>
      </c>
      <c r="F289" s="5" t="str">
        <f>IFERROR(__xludf.DUMMYFUNCTION("""COMPUTED_VALUE"""),"https://github.com/nihalkumar833/tds")</f>
        <v>https://github.com/nihalkumar833/tds</v>
      </c>
      <c r="G289" s="3">
        <f>IFERROR(__xludf.DUMMYFUNCTION("""COMPUTED_VALUE"""),10.0)</f>
        <v>10</v>
      </c>
      <c r="H289" s="3">
        <f>IFERROR(__xludf.DUMMYFUNCTION("""COMPUTED_VALUE"""),10.0)</f>
        <v>10</v>
      </c>
      <c r="I289" s="3" t="str">
        <f>IFERROR(__xludf.DUMMYFUNCTION("""COMPUTED_VALUE"""),"The findings given were insightful and the code was clearly explained.")</f>
        <v>The findings given were insightful and the code was clearly explained.</v>
      </c>
      <c r="J289" s="3" t="str">
        <f>IFERROR(__xludf.DUMMYFUNCTION("""COMPUTED_VALUE"""),"22f1001082@ds.study.iitm.ac.in")</f>
        <v>22f1001082@ds.study.iitm.ac.in</v>
      </c>
      <c r="K289" s="3" t="str">
        <f t="shared" si="1"/>
        <v>22f1001082@ds.study.iitm.ac.inhttps://github.com/Preena-iitmds/pree_ZurichProj1</v>
      </c>
      <c r="L289" s="3" t="str">
        <f t="shared" si="2"/>
        <v>22f1001082@ds.study.iitm.ac.inhttps://github.com/nihalkumar833/tds</v>
      </c>
    </row>
    <row r="290">
      <c r="A290" s="3">
        <f>IFERROR(__xludf.DUMMYFUNCTION("""COMPUTED_VALUE"""),45602.930598506944)</f>
        <v>45602.9306</v>
      </c>
      <c r="B290" s="5" t="str">
        <f>IFERROR(__xludf.DUMMYFUNCTION("""COMPUTED_VALUE"""),"https://github.com/UJJWALg-08/TDS-Project1")</f>
        <v>https://github.com/UJJWALg-08/TDS-Project1</v>
      </c>
      <c r="C290" s="3">
        <f>IFERROR(__xludf.DUMMYFUNCTION("""COMPUTED_VALUE"""),10.0)</f>
        <v>10</v>
      </c>
      <c r="D290" s="3">
        <f>IFERROR(__xludf.DUMMYFUNCTION("""COMPUTED_VALUE"""),10.0)</f>
        <v>10</v>
      </c>
      <c r="E290" s="3" t="str">
        <f>IFERROR(__xludf.DUMMYFUNCTION("""COMPUTED_VALUE"""),"Fact from analysis, a significant number of developers in Zurich work for startups is really surprising as mostly people target established companies. Also code given is very clear and elegant. These are the points based on which I have reviewed.")</f>
        <v>Fact from analysis, a significant number of developers in Zurich work for startups is really surprising as mostly people target established companies. Also code given is very clear and elegant. These are the points based on which I have reviewed.</v>
      </c>
      <c r="F290" s="5" t="str">
        <f>IFERROR(__xludf.DUMMYFUNCTION("""COMPUTED_VALUE"""),"https://github.com/Mahabodhi4652/tds_project1")</f>
        <v>https://github.com/Mahabodhi4652/tds_project1</v>
      </c>
      <c r="G290" s="3">
        <f>IFERROR(__xludf.DUMMYFUNCTION("""COMPUTED_VALUE"""),10.0)</f>
        <v>10</v>
      </c>
      <c r="H290" s="3">
        <f>IFERROR(__xludf.DUMMYFUNCTION("""COMPUTED_VALUE"""),10.0)</f>
        <v>10</v>
      </c>
      <c r="I290" s="3" t="str">
        <f>IFERROR(__xludf.DUMMYFUNCTION("""COMPUTED_VALUE"""),"Collaboration is different from Populariity, Good to know this. The README points clearly and legibly brings out the above Fact !!! Codes are also given and is clear and legible.")</f>
        <v>Collaboration is different from Populariity, Good to know this. The README points clearly and legibly brings out the above Fact !!! Codes are also given and is clear and legible.</v>
      </c>
      <c r="J290" s="3" t="str">
        <f>IFERROR(__xludf.DUMMYFUNCTION("""COMPUTED_VALUE"""),"23f2004625@ds.study.iitm.ac.in")</f>
        <v>23f2004625@ds.study.iitm.ac.in</v>
      </c>
      <c r="K290" s="3" t="str">
        <f t="shared" si="1"/>
        <v>23f2004625@ds.study.iitm.ac.inhttps://github.com/UJJWALg-08/TDS-Project1</v>
      </c>
      <c r="L290" s="3" t="str">
        <f t="shared" si="2"/>
        <v>23f2004625@ds.study.iitm.ac.inhttps://github.com/Mahabodhi4652/tds_project1</v>
      </c>
    </row>
    <row r="291">
      <c r="A291" s="3">
        <f>IFERROR(__xludf.DUMMYFUNCTION("""COMPUTED_VALUE"""),45600.986442106485)</f>
        <v>45600.98644</v>
      </c>
      <c r="B291" s="5" t="str">
        <f>IFERROR(__xludf.DUMMYFUNCTION("""COMPUTED_VALUE"""),"https://github.com/yyyzznnn/TDS-Project1")</f>
        <v>https://github.com/yyyzznnn/TDS-Project1</v>
      </c>
      <c r="C291" s="3">
        <f>IFERROR(__xludf.DUMMYFUNCTION("""COMPUTED_VALUE"""),1.0)</f>
        <v>1</v>
      </c>
      <c r="D291" s="3">
        <f>IFERROR(__xludf.DUMMYFUNCTION("""COMPUTED_VALUE"""),0.0)</f>
        <v>0</v>
      </c>
      <c r="E291" s="3" t="str">
        <f>IFERROR(__xludf.DUMMYFUNCTION("""COMPUTED_VALUE"""),"There isn't any code nor any interesting information on the README")</f>
        <v>There isn't any code nor any interesting information on the README</v>
      </c>
      <c r="F291" s="5" t="str">
        <f>IFERROR(__xludf.DUMMYFUNCTION("""COMPUTED_VALUE"""),"https://github.com/pavan-santhosh-iitm/Project1")</f>
        <v>https://github.com/pavan-santhosh-iitm/Project1</v>
      </c>
      <c r="G291" s="3">
        <f>IFERROR(__xludf.DUMMYFUNCTION("""COMPUTED_VALUE"""),9.0)</f>
        <v>9</v>
      </c>
      <c r="H291" s="3">
        <f>IFERROR(__xludf.DUMMYFUNCTION("""COMPUTED_VALUE"""),10.0)</f>
        <v>10</v>
      </c>
      <c r="I291" s="3" t="str">
        <f>IFERROR(__xludf.DUMMYFUNCTION("""COMPUTED_VALUE"""),"Every questions's code is neatly done and handled well through python scripts. Also read me contains all the major data")</f>
        <v>Every questions's code is neatly done and handled well through python scripts. Also read me contains all the major data</v>
      </c>
      <c r="J291" s="3" t="str">
        <f>IFERROR(__xludf.DUMMYFUNCTION("""COMPUTED_VALUE"""),"24f1002469@ds.study.iitm.ac.in")</f>
        <v>24f1002469@ds.study.iitm.ac.in</v>
      </c>
      <c r="K291" s="3" t="str">
        <f t="shared" si="1"/>
        <v>24f1002469@ds.study.iitm.ac.inhttps://github.com/yyyzznnn/TDS-Project1</v>
      </c>
      <c r="L291" s="3" t="str">
        <f t="shared" si="2"/>
        <v>24f1002469@ds.study.iitm.ac.inhttps://github.com/pavan-santhosh-iitm/Project1</v>
      </c>
    </row>
    <row r="292">
      <c r="A292" s="3">
        <f>IFERROR(__xludf.DUMMYFUNCTION("""COMPUTED_VALUE"""),45600.994080902776)</f>
        <v>45600.99408</v>
      </c>
      <c r="B292" s="5" t="str">
        <f>IFERROR(__xludf.DUMMYFUNCTION("""COMPUTED_VALUE"""),"https://github.com/Tarun-Kandarpa/Beijing-Github-Users")</f>
        <v>https://github.com/Tarun-Kandarpa/Beijing-Github-Users</v>
      </c>
      <c r="C292" s="3">
        <f>IFERROR(__xludf.DUMMYFUNCTION("""COMPUTED_VALUE"""),10.0)</f>
        <v>10</v>
      </c>
      <c r="D292" s="3">
        <f>IFERROR(__xludf.DUMMYFUNCTION("""COMPUTED_VALUE"""),10.0)</f>
        <v>10</v>
      </c>
      <c r="E292" s="3" t="str">
        <f>IFERROR(__xludf.DUMMYFUNCTION("""COMPUTED_VALUE"""),"README.md and Repo are clearly defined.")</f>
        <v>README.md and Repo are clearly defined.</v>
      </c>
      <c r="F292" s="5" t="str">
        <f>IFERROR(__xludf.DUMMYFUNCTION("""COMPUTED_VALUE"""),"https://github.com/AvinashRajender/tdsproject1")</f>
        <v>https://github.com/AvinashRajender/tdsproject1</v>
      </c>
      <c r="G292" s="3">
        <f>IFERROR(__xludf.DUMMYFUNCTION("""COMPUTED_VALUE"""),10.0)</f>
        <v>10</v>
      </c>
      <c r="H292" s="3">
        <f>IFERROR(__xludf.DUMMYFUNCTION("""COMPUTED_VALUE"""),10.0)</f>
        <v>10</v>
      </c>
      <c r="I292" s="3" t="str">
        <f>IFERROR(__xludf.DUMMYFUNCTION("""COMPUTED_VALUE"""),"Both are very clear and understandable.")</f>
        <v>Both are very clear and understandable.</v>
      </c>
      <c r="J292" s="3" t="str">
        <f>IFERROR(__xludf.DUMMYFUNCTION("""COMPUTED_VALUE"""),"23f2004032@ds.study.iitm.ac.in")</f>
        <v>23f2004032@ds.study.iitm.ac.in</v>
      </c>
      <c r="K292" s="3" t="str">
        <f t="shared" si="1"/>
        <v>23f2004032@ds.study.iitm.ac.inhttps://github.com/Tarun-Kandarpa/Beijing-Github-Users</v>
      </c>
      <c r="L292" s="3" t="str">
        <f t="shared" si="2"/>
        <v>23f2004032@ds.study.iitm.ac.inhttps://github.com/AvinashRajender/tdsproject1</v>
      </c>
    </row>
    <row r="293">
      <c r="A293" s="3">
        <f>IFERROR(__xludf.DUMMYFUNCTION("""COMPUTED_VALUE"""),45600.99532461805)</f>
        <v>45600.99532</v>
      </c>
      <c r="B293" s="5" t="str">
        <f>IFERROR(__xludf.DUMMYFUNCTION("""COMPUTED_VALUE"""),"https://github.com/NandhaaKishore-10/TDS-PROJECT-1")</f>
        <v>https://github.com/NandhaaKishore-10/TDS-PROJECT-1</v>
      </c>
      <c r="C293" s="3">
        <f>IFERROR(__xludf.DUMMYFUNCTION("""COMPUTED_VALUE"""),10.0)</f>
        <v>10</v>
      </c>
      <c r="D293" s="3">
        <f>IFERROR(__xludf.DUMMYFUNCTION("""COMPUTED_VALUE"""),10.0)</f>
        <v>10</v>
      </c>
      <c r="E293" s="3" t="str">
        <f>IFERROR(__xludf.DUMMYFUNCTION("""COMPUTED_VALUE"""),"The code is clear and elegant and the insights provided is quite interesting.")</f>
        <v>The code is clear and elegant and the insights provided is quite interesting.</v>
      </c>
      <c r="F293" s="5" t="str">
        <f>IFERROR(__xludf.DUMMYFUNCTION("""COMPUTED_VALUE"""),"https://github.com/aniko1806/GitHub_API_Analysis_Boston")</f>
        <v>https://github.com/aniko1806/GitHub_API_Analysis_Boston</v>
      </c>
      <c r="G293" s="3">
        <f>IFERROR(__xludf.DUMMYFUNCTION("""COMPUTED_VALUE"""),10.0)</f>
        <v>10</v>
      </c>
      <c r="H293" s="3">
        <f>IFERROR(__xludf.DUMMYFUNCTION("""COMPUTED_VALUE"""),10.0)</f>
        <v>10</v>
      </c>
      <c r="I293" s="3" t="str">
        <f>IFERROR(__xludf.DUMMYFUNCTION("""COMPUTED_VALUE"""),"The code is extremely elegant and the findings are interesting.")</f>
        <v>The code is extremely elegant and the findings are interesting.</v>
      </c>
      <c r="J293" s="3" t="str">
        <f>IFERROR(__xludf.DUMMYFUNCTION("""COMPUTED_VALUE"""),"22f1000259@ds.study.iitm.ac.in")</f>
        <v>22f1000259@ds.study.iitm.ac.in</v>
      </c>
      <c r="K293" s="3" t="str">
        <f t="shared" si="1"/>
        <v>22f1000259@ds.study.iitm.ac.inhttps://github.com/NandhaaKishore-10/TDS-PROJECT-1</v>
      </c>
      <c r="L293" s="3" t="str">
        <f t="shared" si="2"/>
        <v>22f1000259@ds.study.iitm.ac.inhttps://github.com/aniko1806/GitHub_API_Analysis_Boston</v>
      </c>
    </row>
    <row r="294">
      <c r="A294" s="3">
        <f>IFERROR(__xludf.DUMMYFUNCTION("""COMPUTED_VALUE"""),45601.02038188657)</f>
        <v>45601.02038</v>
      </c>
      <c r="B294" s="5" t="str">
        <f>IFERROR(__xludf.DUMMYFUNCTION("""COMPUTED_VALUE"""),"https://github.com/tanmayi-iitm/Tanmayi_project_1")</f>
        <v>https://github.com/tanmayi-iitm/Tanmayi_project_1</v>
      </c>
      <c r="C294" s="3">
        <f>IFERROR(__xludf.DUMMYFUNCTION("""COMPUTED_VALUE"""),7.0)</f>
        <v>7</v>
      </c>
      <c r="D294" s="3">
        <f>IFERROR(__xludf.DUMMYFUNCTION("""COMPUTED_VALUE"""),9.0)</f>
        <v>9</v>
      </c>
      <c r="E294" s="3" t="str">
        <f>IFERROR(__xludf.DUMMYFUNCTION("""COMPUTED_VALUE"""),"The findings are intriguing, especially in showing the diversity of languages in Stockholm's developer community, which highlights a collaborative and dynamic environment. This could be insightful for developers interested in the local tech landscape, mak"&amp;"ing the recommendation on networking valuable. However, while informative, the overview might benefit from additional depth, like specific stats or standout projects, to further engage readers.
I'd rate this  as a 7 for its interesting insights but I sug"&amp;"gest it could be improved with some more detailed, data-backed highlights. and code is clear
")</f>
        <v>The findings are intriguing, especially in showing the diversity of languages in Stockholm's developer community, which highlights a collaborative and dynamic environment. This could be insightful for developers interested in the local tech landscape, making the recommendation on networking valuable. However, while informative, the overview might benefit from additional depth, like specific stats or standout projects, to further engage readers.
I'd rate this  as a 7 for its interesting insights but I suggest it could be improved with some more detailed, data-backed highlights. and code is clear
</v>
      </c>
      <c r="F294" s="5" t="str">
        <f>IFERROR(__xludf.DUMMYFUNCTION("""COMPUTED_VALUE"""),"https://github.com/anshikaiitm/toronto_github_users")</f>
        <v>https://github.com/anshikaiitm/toronto_github_users</v>
      </c>
      <c r="G294" s="3">
        <f>IFERROR(__xludf.DUMMYFUNCTION("""COMPUTED_VALUE"""),8.0)</f>
        <v>8</v>
      </c>
      <c r="H294" s="3">
        <f>IFERROR(__xludf.DUMMYFUNCTION("""COMPUTED_VALUE"""),10.0)</f>
        <v>10</v>
      </c>
      <c r="I294" s="3" t="str">
        <f>IFERROR(__xludf.DUMMYFUNCTION("""COMPUTED_VALUE"""),"The README for the Toronto GitHub Users Data Analysis presents compelling insights, particularly with its data on top contributing companies and high-engagement niche languages like Cython and Forth. This gives a clear view of influential companies and sp"&amp;"ecialized languages within the Toronto GitHub community, which could be valuable for developers looking to network or enhance their profiles in specific areas.
The actionable insights are practical and encourage developers to engage strategically within "&amp;"the community, which adds depth to the README. However, it could be enhanced further by explaining how engagement metrics were calculated or adding a few example visualizations.
I’d assign this an 8 due to its strong, data-driven insights and practical r"&amp;"ecommendations, though a bit more detail would push it to a 10. and code is best")</f>
        <v>The README for the Toronto GitHub Users Data Analysis presents compelling insights, particularly with its data on top contributing companies and high-engagement niche languages like Cython and Forth. This gives a clear view of influential companies and specialized languages within the Toronto GitHub community, which could be valuable for developers looking to network or enhance their profiles in specific areas.
The actionable insights are practical and encourage developers to engage strategically within the community, which adds depth to the README. However, it could be enhanced further by explaining how engagement metrics were calculated or adding a few example visualizations.
I’d assign this an 8 due to its strong, data-driven insights and practical recommendations, though a bit more detail would push it to a 10. and code is best</v>
      </c>
      <c r="J294" s="3" t="str">
        <f>IFERROR(__xludf.DUMMYFUNCTION("""COMPUTED_VALUE"""),"21f3001858@ds.study.iitm.ac.in")</f>
        <v>21f3001858@ds.study.iitm.ac.in</v>
      </c>
      <c r="K294" s="3" t="str">
        <f t="shared" si="1"/>
        <v>21f3001858@ds.study.iitm.ac.inhttps://github.com/tanmayi-iitm/Tanmayi_project_1</v>
      </c>
      <c r="L294" s="3" t="str">
        <f t="shared" si="2"/>
        <v>21f3001858@ds.study.iitm.ac.inhttps://github.com/anshikaiitm/toronto_github_users</v>
      </c>
    </row>
    <row r="295">
      <c r="A295" s="3">
        <f>IFERROR(__xludf.DUMMYFUNCTION("""COMPUTED_VALUE"""),45601.00096116898)</f>
        <v>45601.00096</v>
      </c>
      <c r="B295" s="5" t="str">
        <f>IFERROR(__xludf.DUMMYFUNCTION("""COMPUTED_VALUE"""),"https://github.com/salmanulfaris/tds-project")</f>
        <v>https://github.com/salmanulfaris/tds-project</v>
      </c>
      <c r="C295" s="3">
        <f>IFERROR(__xludf.DUMMYFUNCTION("""COMPUTED_VALUE"""),10.0)</f>
        <v>10</v>
      </c>
      <c r="D295" s="3">
        <f>IFERROR(__xludf.DUMMYFUNCTION("""COMPUTED_VALUE"""),10.0)</f>
        <v>10</v>
      </c>
      <c r="E295" s="3" t="str">
        <f>IFERROR(__xludf.DUMMYFUNCTION("""COMPUTED_VALUE"""),"The code was clear and concise")</f>
        <v>The code was clear and concise</v>
      </c>
      <c r="F295" s="5" t="str">
        <f>IFERROR(__xludf.DUMMYFUNCTION("""COMPUTED_VALUE"""),"https://github.com/vinaysurya1505/TDS-project-1")</f>
        <v>https://github.com/vinaysurya1505/TDS-project-1</v>
      </c>
      <c r="G295" s="3">
        <f>IFERROR(__xludf.DUMMYFUNCTION("""COMPUTED_VALUE"""),10.0)</f>
        <v>10</v>
      </c>
      <c r="H295" s="3">
        <f>IFERROR(__xludf.DUMMYFUNCTION("""COMPUTED_VALUE"""),10.0)</f>
        <v>10</v>
      </c>
      <c r="I295" s="3" t="str">
        <f>IFERROR(__xludf.DUMMYFUNCTION("""COMPUTED_VALUE"""),"The analysis provided was very insightful and had a unique take on the dataset")</f>
        <v>The analysis provided was very insightful and had a unique take on the dataset</v>
      </c>
      <c r="J295" s="3" t="str">
        <f>IFERROR(__xludf.DUMMYFUNCTION("""COMPUTED_VALUE"""),"23f2002742@ds.study.iitm.ac.in")</f>
        <v>23f2002742@ds.study.iitm.ac.in</v>
      </c>
      <c r="K295" s="3" t="str">
        <f t="shared" si="1"/>
        <v>23f2002742@ds.study.iitm.ac.inhttps://github.com/salmanulfaris/tds-project</v>
      </c>
      <c r="L295" s="3" t="str">
        <f t="shared" si="2"/>
        <v>23f2002742@ds.study.iitm.ac.inhttps://github.com/vinaysurya1505/TDS-project-1</v>
      </c>
    </row>
    <row r="296">
      <c r="A296" s="3">
        <f>IFERROR(__xludf.DUMMYFUNCTION("""COMPUTED_VALUE"""),45601.01718946759)</f>
        <v>45601.01719</v>
      </c>
      <c r="B296" s="5" t="str">
        <f>IFERROR(__xludf.DUMMYFUNCTION("""COMPUTED_VALUE"""),"https://github.com/Nupur-learns/Project1")</f>
        <v>https://github.com/Nupur-learns/Project1</v>
      </c>
      <c r="C296" s="3">
        <f>IFERROR(__xludf.DUMMYFUNCTION("""COMPUTED_VALUE"""),10.0)</f>
        <v>10</v>
      </c>
      <c r="D296" s="3">
        <f>IFERROR(__xludf.DUMMYFUNCTION("""COMPUTED_VALUE"""),10.0)</f>
        <v>10</v>
      </c>
      <c r="E296" s="3" t="str">
        <f>IFERROR(__xludf.DUMMYFUNCTION("""COMPUTED_VALUE"""),"Clear and concise, contents are given as required ")</f>
        <v>Clear and concise, contents are given as required </v>
      </c>
      <c r="F296" s="5" t="str">
        <f>IFERROR(__xludf.DUMMYFUNCTION("""COMPUTED_VALUE"""),"https://github.com/ashwiniitm/tdsProject1")</f>
        <v>https://github.com/ashwiniitm/tdsProject1</v>
      </c>
      <c r="G296" s="3">
        <f>IFERROR(__xludf.DUMMYFUNCTION("""COMPUTED_VALUE"""),10.0)</f>
        <v>10</v>
      </c>
      <c r="H296" s="3">
        <f>IFERROR(__xludf.DUMMYFUNCTION("""COMPUTED_VALUE"""),10.0)</f>
        <v>10</v>
      </c>
      <c r="I296" s="3" t="str">
        <f>IFERROR(__xludf.DUMMYFUNCTION("""COMPUTED_VALUE"""),"Clear and concise, contents are given as required ")</f>
        <v>Clear and concise, contents are given as required </v>
      </c>
      <c r="J296" s="3" t="str">
        <f>IFERROR(__xludf.DUMMYFUNCTION("""COMPUTED_VALUE"""),"23f2005375@ds.study.iitm.ac.in")</f>
        <v>23f2005375@ds.study.iitm.ac.in</v>
      </c>
      <c r="K296" s="3" t="str">
        <f t="shared" si="1"/>
        <v>23f2005375@ds.study.iitm.ac.inhttps://github.com/Nupur-learns/Project1</v>
      </c>
      <c r="L296" s="3" t="str">
        <f t="shared" si="2"/>
        <v>23f2005375@ds.study.iitm.ac.inhttps://github.com/ashwiniitm/tdsProject1</v>
      </c>
    </row>
    <row r="297">
      <c r="A297" s="3">
        <f>IFERROR(__xludf.DUMMYFUNCTION("""COMPUTED_VALUE"""),45601.02113354167)</f>
        <v>45601.02113</v>
      </c>
      <c r="B297" s="5" t="str">
        <f>IFERROR(__xludf.DUMMYFUNCTION("""COMPUTED_VALUE"""),"https://github.com/Kratikavarshney-16/Mumbai50")</f>
        <v>https://github.com/Kratikavarshney-16/Mumbai50</v>
      </c>
      <c r="C297" s="3">
        <f>IFERROR(__xludf.DUMMYFUNCTION("""COMPUTED_VALUE"""),8.0)</f>
        <v>8</v>
      </c>
      <c r="D297" s="3">
        <f>IFERROR(__xludf.DUMMYFUNCTION("""COMPUTED_VALUE"""),0.0)</f>
        <v>0</v>
      </c>
      <c r="E297" s="3" t="str">
        <f>IFERROR(__xludf.DUMMYFUNCTION("""COMPUTED_VALUE"""),"The findings are amazingly evident ,and there could have been more to it. Unfortunately  I didn't find any code as of now, when I am reviewing ,hence I'm left with no options")</f>
        <v>The findings are amazingly evident ,and there could have been more to it. Unfortunately  I didn't find any code as of now, when I am reviewing ,hence I'm left with no options</v>
      </c>
      <c r="F297" s="5" t="str">
        <f>IFERROR(__xludf.DUMMYFUNCTION("""COMPUTED_VALUE"""),"https://github.com/RajaVishwanathDasari/TDS-Project-1")</f>
        <v>https://github.com/RajaVishwanathDasari/TDS-Project-1</v>
      </c>
      <c r="G297" s="3">
        <f>IFERROR(__xludf.DUMMYFUNCTION("""COMPUTED_VALUE"""),10.0)</f>
        <v>10</v>
      </c>
      <c r="H297" s="3">
        <f>IFERROR(__xludf.DUMMYFUNCTION("""COMPUTED_VALUE"""),7.0)</f>
        <v>7</v>
      </c>
      <c r="I297" s="3" t="str">
        <f>IFERROR(__xludf.DUMMYFUNCTION("""COMPUTED_VALUE"""),"The Finding touches all bars of Amazement and Presentation with the additional use of matplotlib to demonstrate the results.
The code though clear misses the exceptional handling part, which is quite essential while dealing with such huge data , also affe"&amp;"cting the code compatibility on various platforms and operating systems.")</f>
        <v>The Finding touches all bars of Amazement and Presentation with the additional use of matplotlib to demonstrate the results.
The code though clear misses the exceptional handling part, which is quite essential while dealing with such huge data , also affecting the code compatibility on various platforms and operating systems.</v>
      </c>
      <c r="J297" s="3" t="str">
        <f>IFERROR(__xludf.DUMMYFUNCTION("""COMPUTED_VALUE"""),"23f3002592@ds.study.iitm.ac.in")</f>
        <v>23f3002592@ds.study.iitm.ac.in</v>
      </c>
      <c r="K297" s="3" t="str">
        <f t="shared" si="1"/>
        <v>23f3002592@ds.study.iitm.ac.inhttps://github.com/Kratikavarshney-16/Mumbai50</v>
      </c>
      <c r="L297" s="3" t="str">
        <f t="shared" si="2"/>
        <v>23f3002592@ds.study.iitm.ac.inhttps://github.com/RajaVishwanathDasari/TDS-Project-1</v>
      </c>
    </row>
    <row r="298">
      <c r="A298" s="3">
        <f>IFERROR(__xludf.DUMMYFUNCTION("""COMPUTED_VALUE"""),45601.03325699074)</f>
        <v>45601.03326</v>
      </c>
      <c r="B298" s="5" t="str">
        <f>IFERROR(__xludf.DUMMYFUNCTION("""COMPUTED_VALUE"""),"https://github.com/sadiq1402/TDS-Project-1")</f>
        <v>https://github.com/sadiq1402/TDS-Project-1</v>
      </c>
      <c r="C298" s="3">
        <f>IFERROR(__xludf.DUMMYFUNCTION("""COMPUTED_VALUE"""),10.0)</f>
        <v>10</v>
      </c>
      <c r="D298" s="3">
        <f>IFERROR(__xludf.DUMMYFUNCTION("""COMPUTED_VALUE"""),10.0)</f>
        <v>10</v>
      </c>
      <c r="E298" s="3" t="str">
        <f>IFERROR(__xludf.DUMMYFUNCTION("""COMPUTED_VALUE"""),"The Readme file provided the clear steps in which work is done and interesting things found in the dataset, while the code was clear with comments explaining each step.")</f>
        <v>The Readme file provided the clear steps in which work is done and interesting things found in the dataset, while the code was clear with comments explaining each step.</v>
      </c>
      <c r="F298" s="5" t="str">
        <f>IFERROR(__xludf.DUMMYFUNCTION("""COMPUTED_VALUE"""),"https://github.com/NeeharikaBhaide/TDS_P1")</f>
        <v>https://github.com/NeeharikaBhaide/TDS_P1</v>
      </c>
      <c r="G298" s="3">
        <f>IFERROR(__xludf.DUMMYFUNCTION("""COMPUTED_VALUE"""),10.0)</f>
        <v>10</v>
      </c>
      <c r="H298" s="3">
        <f>IFERROR(__xludf.DUMMYFUNCTION("""COMPUTED_VALUE"""),10.0)</f>
        <v>10</v>
      </c>
      <c r="I298" s="3" t="str">
        <f>IFERROR(__xludf.DUMMYFUNCTION("""COMPUTED_VALUE"""),"The Readme file provided the clear steps in which work is done and interesting things found in the dataset, while the code was clear with comments explaining each step.")</f>
        <v>The Readme file provided the clear steps in which work is done and interesting things found in the dataset, while the code was clear with comments explaining each step.</v>
      </c>
      <c r="J298" s="3" t="str">
        <f>IFERROR(__xludf.DUMMYFUNCTION("""COMPUTED_VALUE"""),"22f2001555@ds.study.iitm.ac.in")</f>
        <v>22f2001555@ds.study.iitm.ac.in</v>
      </c>
      <c r="K298" s="3" t="str">
        <f t="shared" si="1"/>
        <v>22f2001555@ds.study.iitm.ac.inhttps://github.com/sadiq1402/TDS-Project-1</v>
      </c>
      <c r="L298" s="3" t="str">
        <f t="shared" si="2"/>
        <v>22f2001555@ds.study.iitm.ac.inhttps://github.com/NeeharikaBhaide/TDS_P1</v>
      </c>
    </row>
    <row r="299">
      <c r="A299" s="3">
        <f>IFERROR(__xludf.DUMMYFUNCTION("""COMPUTED_VALUE"""),45601.03329774305)</f>
        <v>45601.0333</v>
      </c>
      <c r="B299" s="5" t="str">
        <f>IFERROR(__xludf.DUMMYFUNCTION("""COMPUTED_VALUE"""),"https://github.com/theiitman/tds_project_1_03777")</f>
        <v>https://github.com/theiitman/tds_project_1_03777</v>
      </c>
      <c r="C299" s="3">
        <f>IFERROR(__xludf.DUMMYFUNCTION("""COMPUTED_VALUE"""),9.0)</f>
        <v>9</v>
      </c>
      <c r="D299" s="3">
        <f>IFERROR(__xludf.DUMMYFUNCTION("""COMPUTED_VALUE"""),9.0)</f>
        <v>9</v>
      </c>
      <c r="E299" s="3" t="str">
        <f>IFERROR(__xludf.DUMMYFUNCTION("""COMPUTED_VALUE"""),"I like the way the README is written. It's clear and concise.")</f>
        <v>I like the way the README is written. It's clear and concise.</v>
      </c>
      <c r="F299" s="5" t="str">
        <f>IFERROR(__xludf.DUMMYFUNCTION("""COMPUTED_VALUE"""),"https://github.com/shamanthakiitm/TDS-Project-1")</f>
        <v>https://github.com/shamanthakiitm/TDS-Project-1</v>
      </c>
      <c r="G299" s="3">
        <f>IFERROR(__xludf.DUMMYFUNCTION("""COMPUTED_VALUE"""),9.0)</f>
        <v>9</v>
      </c>
      <c r="H299" s="3">
        <f>IFERROR(__xludf.DUMMYFUNCTION("""COMPUTED_VALUE"""),9.0)</f>
        <v>9</v>
      </c>
      <c r="I299" s="3" t="str">
        <f>IFERROR(__xludf.DUMMYFUNCTION("""COMPUTED_VALUE"""),"I like the way README is structured. It's separated and indented and explained nicely.")</f>
        <v>I like the way README is structured. It's separated and indented and explained nicely.</v>
      </c>
      <c r="J299" s="3" t="str">
        <f>IFERROR(__xludf.DUMMYFUNCTION("""COMPUTED_VALUE"""),"21f2001529@ds.study.iitm.ac.in")</f>
        <v>21f2001529@ds.study.iitm.ac.in</v>
      </c>
      <c r="K299" s="3" t="str">
        <f t="shared" si="1"/>
        <v>21f2001529@ds.study.iitm.ac.inhttps://github.com/theiitman/tds_project_1_03777</v>
      </c>
      <c r="L299" s="3" t="str">
        <f t="shared" si="2"/>
        <v>21f2001529@ds.study.iitm.ac.inhttps://github.com/shamanthakiitm/TDS-Project-1</v>
      </c>
    </row>
    <row r="300">
      <c r="A300" s="3">
        <f>IFERROR(__xludf.DUMMYFUNCTION("""COMPUTED_VALUE"""),45601.07161304398)</f>
        <v>45601.07161</v>
      </c>
      <c r="B300" s="5" t="str">
        <f>IFERROR(__xludf.DUMMYFUNCTION("""COMPUTED_VALUE"""),"https://github.com/BriIITM/Project1-TDS")</f>
        <v>https://github.com/BriIITM/Project1-TDS</v>
      </c>
      <c r="C300" s="3">
        <f>IFERROR(__xludf.DUMMYFUNCTION("""COMPUTED_VALUE"""),10.0)</f>
        <v>10</v>
      </c>
      <c r="D300" s="3">
        <f>IFERROR(__xludf.DUMMYFUNCTION("""COMPUTED_VALUE"""),10.0)</f>
        <v>10</v>
      </c>
      <c r="E300" s="3" t="str">
        <f>IFERROR(__xludf.DUMMYFUNCTION("""COMPUTED_VALUE"""),"The code written was professional and accurate problem solving was done.")</f>
        <v>The code written was professional and accurate problem solving was done.</v>
      </c>
      <c r="F300" s="5" t="str">
        <f>IFERROR(__xludf.DUMMYFUNCTION("""COMPUTED_VALUE"""),"https://github.com/RiyaAgarwal22/TDS_Proj_1")</f>
        <v>https://github.com/RiyaAgarwal22/TDS_Proj_1</v>
      </c>
      <c r="G300" s="3">
        <f>IFERROR(__xludf.DUMMYFUNCTION("""COMPUTED_VALUE"""),10.0)</f>
        <v>10</v>
      </c>
      <c r="H300" s="3">
        <f>IFERROR(__xludf.DUMMYFUNCTION("""COMPUTED_VALUE"""),10.0)</f>
        <v>10</v>
      </c>
      <c r="I300" s="3" t="str">
        <f>IFERROR(__xludf.DUMMYFUNCTION("""COMPUTED_VALUE"""),"Code written was brief and accurate and all problems were solved.")</f>
        <v>Code written was brief and accurate and all problems were solved.</v>
      </c>
      <c r="J300" s="3" t="str">
        <f>IFERROR(__xludf.DUMMYFUNCTION("""COMPUTED_VALUE"""),"23f1002608@ds.study.iitm.ac.in")</f>
        <v>23f1002608@ds.study.iitm.ac.in</v>
      </c>
      <c r="K300" s="3" t="str">
        <f t="shared" si="1"/>
        <v>23f1002608@ds.study.iitm.ac.inhttps://github.com/BriIITM/Project1-TDS</v>
      </c>
      <c r="L300" s="3" t="str">
        <f t="shared" si="2"/>
        <v>23f1002608@ds.study.iitm.ac.inhttps://github.com/RiyaAgarwal22/TDS_Proj_1</v>
      </c>
    </row>
    <row r="301">
      <c r="A301" s="3">
        <f>IFERROR(__xludf.DUMMYFUNCTION("""COMPUTED_VALUE"""),45601.133328275464)</f>
        <v>45601.13333</v>
      </c>
      <c r="B301" s="5" t="str">
        <f>IFERROR(__xludf.DUMMYFUNCTION("""COMPUTED_VALUE"""),"https://github.com/DivyamShaiv/TDS_project1")</f>
        <v>https://github.com/DivyamShaiv/TDS_project1</v>
      </c>
      <c r="C301" s="3">
        <f>IFERROR(__xludf.DUMMYFUNCTION("""COMPUTED_VALUE"""),10.0)</f>
        <v>10</v>
      </c>
      <c r="D301" s="3">
        <f>IFERROR(__xludf.DUMMYFUNCTION("""COMPUTED_VALUE"""),10.0)</f>
        <v>10</v>
      </c>
      <c r="E301" s="3" t="str">
        <f>IFERROR(__xludf.DUMMYFUNCTION("""COMPUTED_VALUE"""),"Good code and readme file provided very insightful ")</f>
        <v>Good code and readme file provided very insightful </v>
      </c>
      <c r="F301" s="5" t="str">
        <f>IFERROR(__xludf.DUMMYFUNCTION("""COMPUTED_VALUE"""),"https://github.com/ShivamS191/hiiii")</f>
        <v>https://github.com/ShivamS191/hiiii</v>
      </c>
      <c r="G301" s="3">
        <f>IFERROR(__xludf.DUMMYFUNCTION("""COMPUTED_VALUE"""),10.0)</f>
        <v>10</v>
      </c>
      <c r="H301" s="3">
        <f>IFERROR(__xludf.DUMMYFUNCTION("""COMPUTED_VALUE"""),10.0)</f>
        <v>10</v>
      </c>
      <c r="I301" s="3" t="str">
        <f>IFERROR(__xludf.DUMMYFUNCTION("""COMPUTED_VALUE"""),"Good code and readme file provided very insightful ")</f>
        <v>Good code and readme file provided very insightful </v>
      </c>
      <c r="J301" s="3" t="str">
        <f>IFERROR(__xludf.DUMMYFUNCTION("""COMPUTED_VALUE"""),"23f1001473@ds.study.iitm.ac.in")</f>
        <v>23f1001473@ds.study.iitm.ac.in</v>
      </c>
      <c r="K301" s="3" t="str">
        <f t="shared" si="1"/>
        <v>23f1001473@ds.study.iitm.ac.inhttps://github.com/DivyamShaiv/TDS_project1</v>
      </c>
      <c r="L301" s="3" t="str">
        <f t="shared" si="2"/>
        <v>23f1001473@ds.study.iitm.ac.inhttps://github.com/ShivamS191/hiiii</v>
      </c>
    </row>
    <row r="302">
      <c r="A302" s="3">
        <f>IFERROR(__xludf.DUMMYFUNCTION("""COMPUTED_VALUE"""),45601.15336148148)</f>
        <v>45601.15336</v>
      </c>
      <c r="B302" s="5" t="str">
        <f>IFERROR(__xludf.DUMMYFUNCTION("""COMPUTED_VALUE"""),"https://github.com/manjuiitm/Dublin1")</f>
        <v>https://github.com/manjuiitm/Dublin1</v>
      </c>
      <c r="C302" s="3">
        <f>IFERROR(__xludf.DUMMYFUNCTION("""COMPUTED_VALUE"""),10.0)</f>
        <v>10</v>
      </c>
      <c r="D302" s="3">
        <f>IFERROR(__xludf.DUMMYFUNCTION("""COMPUTED_VALUE"""),10.0)</f>
        <v>10</v>
      </c>
      <c r="E302" s="3" t="str">
        <f>IFERROR(__xludf.DUMMYFUNCTION("""COMPUTED_VALUE"""),"The repo meets the requirements")</f>
        <v>The repo meets the requirements</v>
      </c>
      <c r="F302" s="5" t="str">
        <f>IFERROR(__xludf.DUMMYFUNCTION("""COMPUTED_VALUE"""),"https://github.com/indalbind/tds_project_first")</f>
        <v>https://github.com/indalbind/tds_project_first</v>
      </c>
      <c r="G302" s="3">
        <f>IFERROR(__xludf.DUMMYFUNCTION("""COMPUTED_VALUE"""),10.0)</f>
        <v>10</v>
      </c>
      <c r="H302" s="3">
        <f>IFERROR(__xludf.DUMMYFUNCTION("""COMPUTED_VALUE"""),10.0)</f>
        <v>10</v>
      </c>
      <c r="I302" s="3" t="str">
        <f>IFERROR(__xludf.DUMMYFUNCTION("""COMPUTED_VALUE"""),"This repo also meets the requirements")</f>
        <v>This repo also meets the requirements</v>
      </c>
      <c r="J302" s="3" t="str">
        <f>IFERROR(__xludf.DUMMYFUNCTION("""COMPUTED_VALUE"""),"24ds2000141@ds.study.iitm.ac.in")</f>
        <v>24ds2000141@ds.study.iitm.ac.in</v>
      </c>
      <c r="K302" s="3" t="str">
        <f t="shared" si="1"/>
        <v>24ds2000141@ds.study.iitm.ac.inhttps://github.com/manjuiitm/Dublin1</v>
      </c>
      <c r="L302" s="3" t="str">
        <f t="shared" si="2"/>
        <v>24ds2000141@ds.study.iitm.ac.inhttps://github.com/indalbind/tds_project_first</v>
      </c>
    </row>
    <row r="303">
      <c r="A303" s="3">
        <f>IFERROR(__xludf.DUMMYFUNCTION("""COMPUTED_VALUE"""),45601.21544885417)</f>
        <v>45601.21545</v>
      </c>
      <c r="B303" s="5" t="str">
        <f>IFERROR(__xludf.DUMMYFUNCTION("""COMPUTED_VALUE"""),"https://github.com/amitkrajput08/IITM_TDS_PROJECT1")</f>
        <v>https://github.com/amitkrajput08/IITM_TDS_PROJECT1</v>
      </c>
      <c r="C303" s="3">
        <f>IFERROR(__xludf.DUMMYFUNCTION("""COMPUTED_VALUE"""),7.0)</f>
        <v>7</v>
      </c>
      <c r="D303" s="3">
        <f>IFERROR(__xludf.DUMMYFUNCTION("""COMPUTED_VALUE"""),7.0)</f>
        <v>7</v>
      </c>
      <c r="E303" s="3" t="str">
        <f>IFERROR(__xludf.DUMMYFUNCTION("""COMPUTED_VALUE"""),"Readme was a bit long, codes are clear and standard.")</f>
        <v>Readme was a bit long, codes are clear and standard.</v>
      </c>
      <c r="F303" s="5" t="str">
        <f>IFERROR(__xludf.DUMMYFUNCTION("""COMPUTED_VALUE"""),"https://github.com/hack-sketch/tds-project")</f>
        <v>https://github.com/hack-sketch/tds-project</v>
      </c>
      <c r="G303" s="3">
        <f>IFERROR(__xludf.DUMMYFUNCTION("""COMPUTED_VALUE"""),5.0)</f>
        <v>5</v>
      </c>
      <c r="H303" s="3">
        <f>IFERROR(__xludf.DUMMYFUNCTION("""COMPUTED_VALUE"""),8.0)</f>
        <v>8</v>
      </c>
      <c r="I303" s="3" t="str">
        <f>IFERROR(__xludf.DUMMYFUNCTION("""COMPUTED_VALUE"""),"Readme was very long but informative, Codes are great specially the graphs and plots ")</f>
        <v>Readme was very long but informative, Codes are great specially the graphs and plots </v>
      </c>
      <c r="J303" s="3" t="str">
        <f>IFERROR(__xludf.DUMMYFUNCTION("""COMPUTED_VALUE"""),"23ds2000050@ds.study.iitm.ac.in")</f>
        <v>23ds2000050@ds.study.iitm.ac.in</v>
      </c>
      <c r="K303" s="3" t="str">
        <f t="shared" si="1"/>
        <v>23ds2000050@ds.study.iitm.ac.inhttps://github.com/amitkrajput08/IITM_TDS_PROJECT1</v>
      </c>
      <c r="L303" s="3" t="str">
        <f t="shared" si="2"/>
        <v>23ds2000050@ds.study.iitm.ac.inhttps://github.com/hack-sketch/tds-project</v>
      </c>
    </row>
    <row r="304">
      <c r="A304" s="3">
        <f>IFERROR(__xludf.DUMMYFUNCTION("""COMPUTED_VALUE"""),45601.42231996528)</f>
        <v>45601.42232</v>
      </c>
      <c r="B304" s="5" t="str">
        <f>IFERROR(__xludf.DUMMYFUNCTION("""COMPUTED_VALUE"""),"https://github.com/Hitachi006/TDS_Proj_2455_Basel10")</f>
        <v>https://github.com/Hitachi006/TDS_Proj_2455_Basel10</v>
      </c>
      <c r="C304" s="3">
        <f>IFERROR(__xludf.DUMMYFUNCTION("""COMPUTED_VALUE"""),10.0)</f>
        <v>10</v>
      </c>
      <c r="D304" s="3">
        <f>IFERROR(__xludf.DUMMYFUNCTION("""COMPUTED_VALUE"""),9.0)</f>
        <v>9</v>
      </c>
      <c r="E304" s="3" t="str">
        <f>IFERROR(__xludf.DUMMYFUNCTION("""COMPUTED_VALUE"""),"Findings are interesting, code looks good")</f>
        <v>Findings are interesting, code looks good</v>
      </c>
      <c r="F304" s="5" t="str">
        <f>IFERROR(__xludf.DUMMYFUNCTION("""COMPUTED_VALUE"""),"https://github.com/Praveenkunn/TDS-Project1")</f>
        <v>https://github.com/Praveenkunn/TDS-Project1</v>
      </c>
      <c r="G304" s="3">
        <f>IFERROR(__xludf.DUMMYFUNCTION("""COMPUTED_VALUE"""),9.0)</f>
        <v>9</v>
      </c>
      <c r="H304" s="3">
        <f>IFERROR(__xludf.DUMMYFUNCTION("""COMPUTED_VALUE"""),1.0)</f>
        <v>1</v>
      </c>
      <c r="I304" s="3" t="str">
        <f>IFERROR(__xludf.DUMMYFUNCTION("""COMPUTED_VALUE"""),"There is no analysis code provided ")</f>
        <v>There is no analysis code provided </v>
      </c>
      <c r="J304" s="3" t="str">
        <f>IFERROR(__xludf.DUMMYFUNCTION("""COMPUTED_VALUE"""),"23f3002347@ds.study.iitm.ac.in")</f>
        <v>23f3002347@ds.study.iitm.ac.in</v>
      </c>
      <c r="K304" s="3" t="str">
        <f t="shared" si="1"/>
        <v>23f3002347@ds.study.iitm.ac.inhttps://github.com/Hitachi006/TDS_Proj_2455_Basel10</v>
      </c>
      <c r="L304" s="3" t="str">
        <f t="shared" si="2"/>
        <v>23f3002347@ds.study.iitm.ac.inhttps://github.com/Praveenkunn/TDS-Project1</v>
      </c>
    </row>
    <row r="305">
      <c r="A305" s="3">
        <f>IFERROR(__xludf.DUMMYFUNCTION("""COMPUTED_VALUE"""),45601.43568459491)</f>
        <v>45601.43568</v>
      </c>
      <c r="B305" s="5" t="str">
        <f>IFERROR(__xludf.DUMMYFUNCTION("""COMPUTED_VALUE"""),"https://github.com/MeenakshiIIT/Project1")</f>
        <v>https://github.com/MeenakshiIIT/Project1</v>
      </c>
      <c r="C305" s="3">
        <f>IFERROR(__xludf.DUMMYFUNCTION("""COMPUTED_VALUE"""),10.0)</f>
        <v>10</v>
      </c>
      <c r="D305" s="3">
        <f>IFERROR(__xludf.DUMMYFUNCTION("""COMPUTED_VALUE"""),10.0)</f>
        <v>10</v>
      </c>
      <c r="E305" s="3" t="str">
        <f>IFERROR(__xludf.DUMMYFUNCTION("""COMPUTED_VALUE"""),"Explanation is clear and detailed ")</f>
        <v>Explanation is clear and detailed </v>
      </c>
      <c r="F305" s="5" t="str">
        <f>IFERROR(__xludf.DUMMYFUNCTION("""COMPUTED_VALUE"""),"https://github.com/puneeth2907/TDS-Project-1")</f>
        <v>https://github.com/puneeth2907/TDS-Project-1</v>
      </c>
      <c r="G305" s="3">
        <f>IFERROR(__xludf.DUMMYFUNCTION("""COMPUTED_VALUE"""),7.0)</f>
        <v>7</v>
      </c>
      <c r="H305" s="3">
        <f>IFERROR(__xludf.DUMMYFUNCTION("""COMPUTED_VALUE"""),9.0)</f>
        <v>9</v>
      </c>
      <c r="I305" s="3" t="str">
        <f>IFERROR(__xludf.DUMMYFUNCTION("""COMPUTED_VALUE"""),"very clear and understandable ")</f>
        <v>very clear and understandable </v>
      </c>
      <c r="J305" s="3" t="str">
        <f>IFERROR(__xludf.DUMMYFUNCTION("""COMPUTED_VALUE"""),"21f3000678@ds.study.iitm.ac.in")</f>
        <v>21f3000678@ds.study.iitm.ac.in</v>
      </c>
      <c r="K305" s="3" t="str">
        <f t="shared" si="1"/>
        <v>21f3000678@ds.study.iitm.ac.inhttps://github.com/MeenakshiIIT/Project1</v>
      </c>
      <c r="L305" s="3" t="str">
        <f t="shared" si="2"/>
        <v>21f3000678@ds.study.iitm.ac.inhttps://github.com/puneeth2907/TDS-Project-1</v>
      </c>
    </row>
    <row r="306">
      <c r="A306" s="3">
        <f>IFERROR(__xludf.DUMMYFUNCTION("""COMPUTED_VALUE"""),45601.53446207176)</f>
        <v>45601.53446</v>
      </c>
      <c r="B306" s="5" t="str">
        <f>IFERROR(__xludf.DUMMYFUNCTION("""COMPUTED_VALUE"""),"https://github.com/saksham5555/project")</f>
        <v>https://github.com/saksham5555/project</v>
      </c>
      <c r="C306" s="3">
        <f>IFERROR(__xludf.DUMMYFUNCTION("""COMPUTED_VALUE"""),9.0)</f>
        <v>9</v>
      </c>
      <c r="D306" s="3">
        <f>IFERROR(__xludf.DUMMYFUNCTION("""COMPUTED_VALUE"""),10.0)</f>
        <v>10</v>
      </c>
      <c r="E306" s="3" t="str">
        <f>IFERROR(__xludf.DUMMYFUNCTION("""COMPUTED_VALUE"""),"The code was modular so 10/10. The observations were good enough.")</f>
        <v>The code was modular so 10/10. The observations were good enough.</v>
      </c>
      <c r="F306" s="5" t="str">
        <f>IFERROR(__xludf.DUMMYFUNCTION("""COMPUTED_VALUE"""),"https://github.com/AnantLuthra/tds-project1")</f>
        <v>https://github.com/AnantLuthra/tds-project1</v>
      </c>
      <c r="G306" s="3">
        <f>IFERROR(__xludf.DUMMYFUNCTION("""COMPUTED_VALUE"""),8.0)</f>
        <v>8</v>
      </c>
      <c r="H306" s="3">
        <f>IFERROR(__xludf.DUMMYFUNCTION("""COMPUTED_VALUE"""),10.0)</f>
        <v>10</v>
      </c>
      <c r="I306" s="3" t="str">
        <f>IFERROR(__xludf.DUMMYFUNCTION("""COMPUTED_VALUE"""),"The code was modular so 10/10. The observations on the other hand were just some general insight points.")</f>
        <v>The code was modular so 10/10. The observations on the other hand were just some general insight points.</v>
      </c>
      <c r="J306" s="3" t="str">
        <f>IFERROR(__xludf.DUMMYFUNCTION("""COMPUTED_VALUE"""),"22f3000742@ds.study.iitm.ac.in")</f>
        <v>22f3000742@ds.study.iitm.ac.in</v>
      </c>
      <c r="K306" s="3" t="str">
        <f t="shared" si="1"/>
        <v>22f3000742@ds.study.iitm.ac.inhttps://github.com/saksham5555/project</v>
      </c>
      <c r="L306" s="3" t="str">
        <f t="shared" si="2"/>
        <v>22f3000742@ds.study.iitm.ac.inhttps://github.com/AnantLuthra/tds-project1</v>
      </c>
    </row>
    <row r="307">
      <c r="A307" s="3">
        <f>IFERROR(__xludf.DUMMYFUNCTION("""COMPUTED_VALUE"""),45601.5345475)</f>
        <v>45601.53455</v>
      </c>
      <c r="B307" s="5" t="str">
        <f>IFERROR(__xludf.DUMMYFUNCTION("""COMPUTED_VALUE"""),"https://github.com/harinivas21/tds")</f>
        <v>https://github.com/harinivas21/tds</v>
      </c>
      <c r="C307" s="3">
        <f>IFERROR(__xludf.DUMMYFUNCTION("""COMPUTED_VALUE"""),6.0)</f>
        <v>6</v>
      </c>
      <c r="D307" s="3">
        <f>IFERROR(__xludf.DUMMYFUNCTION("""COMPUTED_VALUE"""),5.0)</f>
        <v>5</v>
      </c>
      <c r="E307" s="3" t="str">
        <f>IFERROR(__xludf.DUMMYFUNCTION("""COMPUTED_VALUE"""),"The 'Interesting Finding' was not really fascinating to learn, but the recommendation was a good one. And there was no code of analysis in the repo.")</f>
        <v>The 'Interesting Finding' was not really fascinating to learn, but the recommendation was a good one. And there was no code of analysis in the repo.</v>
      </c>
      <c r="F307" s="5" t="str">
        <f>IFERROR(__xludf.DUMMYFUNCTION("""COMPUTED_VALUE"""),"https://github.com/SravanVullanki/TDSPROJECT1")</f>
        <v>https://github.com/SravanVullanki/TDSPROJECT1</v>
      </c>
      <c r="G307" s="3">
        <f>IFERROR(__xludf.DUMMYFUNCTION("""COMPUTED_VALUE"""),9.0)</f>
        <v>9</v>
      </c>
      <c r="H307" s="3">
        <f>IFERROR(__xludf.DUMMYFUNCTION("""COMPUTED_VALUE"""),8.0)</f>
        <v>8</v>
      </c>
      <c r="I307" s="3" t="str">
        <f>IFERROR(__xludf.DUMMYFUNCTION("""COMPUTED_VALUE"""),"The 'Interesting Finding' was good but it's something usually a seen pattern. The code of analysis is quite lengthy and could have written concise code for all questions in a single file.")</f>
        <v>The 'Interesting Finding' was good but it's something usually a seen pattern. The code of analysis is quite lengthy and could have written concise code for all questions in a single file.</v>
      </c>
      <c r="J307" s="3" t="str">
        <f>IFERROR(__xludf.DUMMYFUNCTION("""COMPUTED_VALUE"""),"23f1001562@ds.study.iitm.ac.in")</f>
        <v>23f1001562@ds.study.iitm.ac.in</v>
      </c>
      <c r="K307" s="3" t="str">
        <f t="shared" si="1"/>
        <v>23f1001562@ds.study.iitm.ac.inhttps://github.com/harinivas21/tds</v>
      </c>
      <c r="L307" s="3" t="str">
        <f t="shared" si="2"/>
        <v>23f1001562@ds.study.iitm.ac.inhttps://github.com/SravanVullanki/TDSPROJECT1</v>
      </c>
    </row>
    <row r="308">
      <c r="A308" s="3">
        <f>IFERROR(__xludf.DUMMYFUNCTION("""COMPUTED_VALUE"""),45601.54489597223)</f>
        <v>45601.5449</v>
      </c>
      <c r="B308" s="5" t="str">
        <f>IFERROR(__xludf.DUMMYFUNCTION("""COMPUTED_VALUE"""),"https://github.com/k121mayur/TDA_PROJECT_1")</f>
        <v>https://github.com/k121mayur/TDA_PROJECT_1</v>
      </c>
      <c r="C308" s="3">
        <f>IFERROR(__xludf.DUMMYFUNCTION("""COMPUTED_VALUE"""),10.0)</f>
        <v>10</v>
      </c>
      <c r="D308" s="3">
        <f>IFERROR(__xludf.DUMMYFUNCTION("""COMPUTED_VALUE"""),10.0)</f>
        <v>10</v>
      </c>
      <c r="E308" s="3" t="str">
        <f>IFERROR(__xludf.DUMMYFUNCTION("""COMPUTED_VALUE"""),"The Student has provided clear and concise answers (the three points) and his code seems to be very clean as well!")</f>
        <v>The Student has provided clear and concise answers (the three points) and his code seems to be very clean as well!</v>
      </c>
      <c r="F308" s="5" t="str">
        <f>IFERROR(__xludf.DUMMYFUNCTION("""COMPUTED_VALUE"""),"https://github.com/AnkitaDev05/TDS-Project1")</f>
        <v>https://github.com/AnkitaDev05/TDS-Project1</v>
      </c>
      <c r="G308" s="3">
        <f>IFERROR(__xludf.DUMMYFUNCTION("""COMPUTED_VALUE"""),10.0)</f>
        <v>10</v>
      </c>
      <c r="H308" s="3">
        <f>IFERROR(__xludf.DUMMYFUNCTION("""COMPUTED_VALUE"""),10.0)</f>
        <v>10</v>
      </c>
      <c r="I308" s="3" t="str">
        <f>IFERROR(__xludf.DUMMYFUNCTION("""COMPUTED_VALUE"""),"The student has worked hard to write more than what is required in the README.md file (Only the three points were necessary and all the three points include sufficient information)
She has also explained her full scraping process in the README file.
Her c"&amp;"ode also seems to be clean and professional")</f>
        <v>The student has worked hard to write more than what is required in the README.md file (Only the three points were necessary and all the three points include sufficient information)
She has also explained her full scraping process in the README file.
Her code also seems to be clean and professional</v>
      </c>
      <c r="J308" s="3" t="str">
        <f>IFERROR(__xludf.DUMMYFUNCTION("""COMPUTED_VALUE"""),"23f2001005@ds.study.iitm.ac.in")</f>
        <v>23f2001005@ds.study.iitm.ac.in</v>
      </c>
      <c r="K308" s="3" t="str">
        <f t="shared" si="1"/>
        <v>23f2001005@ds.study.iitm.ac.inhttps://github.com/k121mayur/TDA_PROJECT_1</v>
      </c>
      <c r="L308" s="3" t="str">
        <f t="shared" si="2"/>
        <v>23f2001005@ds.study.iitm.ac.inhttps://github.com/AnkitaDev05/TDS-Project1</v>
      </c>
    </row>
    <row r="309">
      <c r="A309" s="3">
        <f>IFERROR(__xludf.DUMMYFUNCTION("""COMPUTED_VALUE"""),45601.54772608796)</f>
        <v>45601.54773</v>
      </c>
      <c r="B309" s="5" t="str">
        <f>IFERROR(__xludf.DUMMYFUNCTION("""COMPUTED_VALUE"""),"https://github.com/jeevan-yohan-varghese/tds-project1")</f>
        <v>https://github.com/jeevan-yohan-varghese/tds-project1</v>
      </c>
      <c r="C309" s="3">
        <f>IFERROR(__xludf.DUMMYFUNCTION("""COMPUTED_VALUE"""),7.0)</f>
        <v>7</v>
      </c>
      <c r="D309" s="3">
        <f>IFERROR(__xludf.DUMMYFUNCTION("""COMPUTED_VALUE"""),7.0)</f>
        <v>7</v>
      </c>
      <c r="E309" s="3" t="str">
        <f>IFERROR(__xludf.DUMMYFUNCTION("""COMPUTED_VALUE"""),"I found that after applying the filter condition of location and followers in api, there is another place the filter is being checked, I think its redundant. For the get_user_repositories function, its fetching all the repos for a user then truncating to "&amp;"500, instead of it should stop when it cross 500 repos. It should reduce time")</f>
        <v>I found that after applying the filter condition of location and followers in api, there is another place the filter is being checked, I think its redundant. For the get_user_repositories function, its fetching all the repos for a user then truncating to 500, instead of it should stop when it cross 500 repos. It should reduce time</v>
      </c>
      <c r="F309" s="5" t="str">
        <f>IFERROR(__xludf.DUMMYFUNCTION("""COMPUTED_VALUE"""),"https://github.com/kasturi190602/TDSProject")</f>
        <v>https://github.com/kasturi190602/TDSProject</v>
      </c>
      <c r="G309" s="3">
        <f>IFERROR(__xludf.DUMMYFUNCTION("""COMPUTED_VALUE"""),8.0)</f>
        <v>8</v>
      </c>
      <c r="H309" s="3">
        <f>IFERROR(__xludf.DUMMYFUNCTION("""COMPUTED_VALUE"""),9.0)</f>
        <v>9</v>
      </c>
      <c r="I309" s="3" t="str">
        <f>IFERROR(__xludf.DUMMYFUNCTION("""COMPUTED_VALUE"""),"code is very well organized and professional. Have learnt python logging module from this repo ")</f>
        <v>code is very well organized and professional. Have learnt python logging module from this repo </v>
      </c>
      <c r="J309" s="3" t="str">
        <f>IFERROR(__xludf.DUMMYFUNCTION("""COMPUTED_VALUE"""),"21f1000303@ds.study.iitm.ac.in")</f>
        <v>21f1000303@ds.study.iitm.ac.in</v>
      </c>
      <c r="K309" s="3" t="str">
        <f t="shared" si="1"/>
        <v>21f1000303@ds.study.iitm.ac.inhttps://github.com/jeevan-yohan-varghese/tds-project1</v>
      </c>
      <c r="L309" s="3" t="str">
        <f t="shared" si="2"/>
        <v>21f1000303@ds.study.iitm.ac.inhttps://github.com/kasturi190602/TDSProject</v>
      </c>
    </row>
    <row r="310">
      <c r="A310" s="3">
        <f>IFERROR(__xludf.DUMMYFUNCTION("""COMPUTED_VALUE"""),45601.55182984954)</f>
        <v>45601.55183</v>
      </c>
      <c r="B310" s="5" t="str">
        <f>IFERROR(__xludf.DUMMYFUNCTION("""COMPUTED_VALUE"""),"https://github.com/22f3001059/TDS-project1")</f>
        <v>https://github.com/22f3001059/TDS-project1</v>
      </c>
      <c r="C310" s="3">
        <f>IFERROR(__xludf.DUMMYFUNCTION("""COMPUTED_VALUE"""),10.0)</f>
        <v>10</v>
      </c>
      <c r="D310" s="3">
        <f>IFERROR(__xludf.DUMMYFUNCTION("""COMPUTED_VALUE"""),10.0)</f>
        <v>10</v>
      </c>
      <c r="E310" s="3" t="str">
        <f>IFERROR(__xludf.DUMMYFUNCTION("""COMPUTED_VALUE"""),"The data was scraped in a methodical and precise manner. Furthermore, the README explained all the key pointers required to understand the dataset and method used.")</f>
        <v>The data was scraped in a methodical and precise manner. Furthermore, the README explained all the key pointers required to understand the dataset and method used.</v>
      </c>
      <c r="F310" s="5" t="str">
        <f>IFERROR(__xludf.DUMMYFUNCTION("""COMPUTED_VALUE"""),"https://github.com/lakshyaonweb22/TDS_Project1")</f>
        <v>https://github.com/lakshyaonweb22/TDS_Project1</v>
      </c>
      <c r="G310" s="3">
        <f>IFERROR(__xludf.DUMMYFUNCTION("""COMPUTED_VALUE"""),10.0)</f>
        <v>10</v>
      </c>
      <c r="H310" s="3">
        <f>IFERROR(__xludf.DUMMYFUNCTION("""COMPUTED_VALUE"""),10.0)</f>
        <v>10</v>
      </c>
      <c r="I310" s="3" t="str">
        <f>IFERROR(__xludf.DUMMYFUNCTION("""COMPUTED_VALUE"""),"The code was well formatted into functions that provide a deeper understanding into how they worked on their project. The README file had a well thought out expansion of their approach and thoughts.")</f>
        <v>The code was well formatted into functions that provide a deeper understanding into how they worked on their project. The README file had a well thought out expansion of their approach and thoughts.</v>
      </c>
      <c r="J310" s="3" t="str">
        <f>IFERROR(__xludf.DUMMYFUNCTION("""COMPUTED_VALUE"""),"22f3001350@ds.study.iitm.ac.in")</f>
        <v>22f3001350@ds.study.iitm.ac.in</v>
      </c>
      <c r="K310" s="3" t="str">
        <f t="shared" si="1"/>
        <v>22f3001350@ds.study.iitm.ac.inhttps://github.com/22f3001059/TDS-project1</v>
      </c>
      <c r="L310" s="3" t="str">
        <f t="shared" si="2"/>
        <v>22f3001350@ds.study.iitm.ac.inhttps://github.com/lakshyaonweb22/TDS_Project1</v>
      </c>
    </row>
    <row r="311">
      <c r="A311" s="3">
        <f>IFERROR(__xludf.DUMMYFUNCTION("""COMPUTED_VALUE"""),45601.57328788194)</f>
        <v>45601.57329</v>
      </c>
      <c r="B311" s="5" t="str">
        <f>IFERROR(__xludf.DUMMYFUNCTION("""COMPUTED_VALUE"""),"https://github.com/bhavikasharma999/project1-tokyo-follower")</f>
        <v>https://github.com/bhavikasharma999/project1-tokyo-follower</v>
      </c>
      <c r="C311" s="3">
        <f>IFERROR(__xludf.DUMMYFUNCTION("""COMPUTED_VALUE"""),9.0)</f>
        <v>9</v>
      </c>
      <c r="D311" s="3">
        <f>IFERROR(__xludf.DUMMYFUNCTION("""COMPUTED_VALUE"""),10.0)</f>
        <v>10</v>
      </c>
      <c r="E311" s="3" t="str">
        <f>IFERROR(__xludf.DUMMYFUNCTION("""COMPUTED_VALUE"""),"The README file includes a Project Description and Repository Structure, but it lacks a summary of the key findings from the data analysis. Although the code file is available in the repository, an overview of the analysis results needs to be included.")</f>
        <v>The README file includes a Project Description and Repository Structure, but it lacks a summary of the key findings from the data analysis. Although the code file is available in the repository, an overview of the analysis results needs to be included.</v>
      </c>
      <c r="F311" s="5" t="str">
        <f>IFERROR(__xludf.DUMMYFUNCTION("""COMPUTED_VALUE"""),"https://github.com/tejasreematta/TDS-Project-1")</f>
        <v>https://github.com/tejasreematta/TDS-Project-1</v>
      </c>
      <c r="G311" s="3">
        <f>IFERROR(__xludf.DUMMYFUNCTION("""COMPUTED_VALUE"""),10.0)</f>
        <v>10</v>
      </c>
      <c r="H311" s="3">
        <f>IFERROR(__xludf.DUMMYFUNCTION("""COMPUTED_VALUE"""),10.0)</f>
        <v>10</v>
      </c>
      <c r="I311" s="3" t="str">
        <f>IFERROR(__xludf.DUMMYFUNCTION("""COMPUTED_VALUE"""),"I provided these ratings because all the necessary points are mentioned very clearly and thoroughly.")</f>
        <v>I provided these ratings because all the necessary points are mentioned very clearly and thoroughly.</v>
      </c>
      <c r="J311" s="3" t="str">
        <f>IFERROR(__xludf.DUMMYFUNCTION("""COMPUTED_VALUE"""),"21f2000372@ds.study.iitm.ac.in")</f>
        <v>21f2000372@ds.study.iitm.ac.in</v>
      </c>
      <c r="K311" s="3" t="str">
        <f t="shared" si="1"/>
        <v>21f2000372@ds.study.iitm.ac.inhttps://github.com/bhavikasharma999/project1-tokyo-follower</v>
      </c>
      <c r="L311" s="3" t="str">
        <f t="shared" si="2"/>
        <v>21f2000372@ds.study.iitm.ac.inhttps://github.com/tejasreematta/TDS-Project-1</v>
      </c>
    </row>
    <row r="312">
      <c r="A312" s="3">
        <f>IFERROR(__xludf.DUMMYFUNCTION("""COMPUTED_VALUE"""),45601.58089650463)</f>
        <v>45601.5809</v>
      </c>
      <c r="B312" s="5" t="str">
        <f>IFERROR(__xludf.DUMMYFUNCTION("""COMPUTED_VALUE"""),"https://github.com/ManuIITM-Coder/MOSCOW-50")</f>
        <v>https://github.com/ManuIITM-Coder/MOSCOW-50</v>
      </c>
      <c r="C312" s="3">
        <f>IFERROR(__xludf.DUMMYFUNCTION("""COMPUTED_VALUE"""),0.0)</f>
        <v>0</v>
      </c>
      <c r="D312" s="3">
        <f>IFERROR(__xludf.DUMMYFUNCTION("""COMPUTED_VALUE"""),0.0)</f>
        <v>0</v>
      </c>
      <c r="E312" s="3" t="str">
        <f>IFERROR(__xludf.DUMMYFUNCTION("""COMPUTED_VALUE"""),"No findings in readme and there's no code")</f>
        <v>No findings in readme and there's no code</v>
      </c>
      <c r="F312" s="5" t="str">
        <f>IFERROR(__xludf.DUMMYFUNCTION("""COMPUTED_VALUE"""),"https://github.com/ishitabhalla16/TDS-Project-1")</f>
        <v>https://github.com/ishitabhalla16/TDS-Project-1</v>
      </c>
      <c r="G312" s="3">
        <f>IFERROR(__xludf.DUMMYFUNCTION("""COMPUTED_VALUE"""),8.0)</f>
        <v>8</v>
      </c>
      <c r="H312" s="3">
        <f>IFERROR(__xludf.DUMMYFUNCTION("""COMPUTED_VALUE"""),0.0)</f>
        <v>0</v>
      </c>
      <c r="I312" s="3" t="str">
        <f>IFERROR(__xludf.DUMMYFUNCTION("""COMPUTED_VALUE"""),"Findings are present but code file is not present")</f>
        <v>Findings are present but code file is not present</v>
      </c>
      <c r="J312" s="3" t="str">
        <f>IFERROR(__xludf.DUMMYFUNCTION("""COMPUTED_VALUE"""),"23f2004408@ds.study.iitm.ac.in")</f>
        <v>23f2004408@ds.study.iitm.ac.in</v>
      </c>
      <c r="K312" s="3" t="str">
        <f t="shared" si="1"/>
        <v>23f2004408@ds.study.iitm.ac.inhttps://github.com/ManuIITM-Coder/MOSCOW-50</v>
      </c>
      <c r="L312" s="3" t="str">
        <f t="shared" si="2"/>
        <v>23f2004408@ds.study.iitm.ac.inhttps://github.com/ishitabhalla16/TDS-Project-1</v>
      </c>
    </row>
    <row r="313">
      <c r="A313" s="3">
        <f>IFERROR(__xludf.DUMMYFUNCTION("""COMPUTED_VALUE"""),45601.58198403935)</f>
        <v>45601.58198</v>
      </c>
      <c r="B313" s="5" t="str">
        <f>IFERROR(__xludf.DUMMYFUNCTION("""COMPUTED_VALUE"""),"https://github.com/karthikeyan456/tdsproject1")</f>
        <v>https://github.com/karthikeyan456/tdsproject1</v>
      </c>
      <c r="C313" s="3">
        <f>IFERROR(__xludf.DUMMYFUNCTION("""COMPUTED_VALUE"""),10.0)</f>
        <v>10</v>
      </c>
      <c r="D313" s="3">
        <f>IFERROR(__xludf.DUMMYFUNCTION("""COMPUTED_VALUE"""),10.0)</f>
        <v>10</v>
      </c>
      <c r="E313" s="3" t="str">
        <f>IFERROR(__xludf.DUMMYFUNCTION("""COMPUTED_VALUE"""),"The findings are really informative and explained well. The code is clear and concise, able to interpret easily. ")</f>
        <v>The findings are really informative and explained well. The code is clear and concise, able to interpret easily. </v>
      </c>
      <c r="F313" s="5" t="str">
        <f>IFERROR(__xludf.DUMMYFUNCTION("""COMPUTED_VALUE"""),"https://github.com/JaySoni77/Project-1")</f>
        <v>https://github.com/JaySoni77/Project-1</v>
      </c>
      <c r="G313" s="3">
        <f>IFERROR(__xludf.DUMMYFUNCTION("""COMPUTED_VALUE"""),10.0)</f>
        <v>10</v>
      </c>
      <c r="H313" s="3">
        <f>IFERROR(__xludf.DUMMYFUNCTION("""COMPUTED_VALUE"""),10.0)</f>
        <v>10</v>
      </c>
      <c r="I313" s="3" t="str">
        <f>IFERROR(__xludf.DUMMYFUNCTION("""COMPUTED_VALUE"""),"The insights are really clear and explained plain and simple. Code was easy to read and presented neatly.")</f>
        <v>The insights are really clear and explained plain and simple. Code was easy to read and presented neatly.</v>
      </c>
      <c r="J313" s="3" t="str">
        <f>IFERROR(__xludf.DUMMYFUNCTION("""COMPUTED_VALUE"""),"23ds3000066@ds.study.iitm.ac.in")</f>
        <v>23ds3000066@ds.study.iitm.ac.in</v>
      </c>
      <c r="K313" s="3" t="str">
        <f t="shared" si="1"/>
        <v>23ds3000066@ds.study.iitm.ac.inhttps://github.com/karthikeyan456/tdsproject1</v>
      </c>
      <c r="L313" s="3" t="str">
        <f t="shared" si="2"/>
        <v>23ds3000066@ds.study.iitm.ac.inhttps://github.com/JaySoni77/Project-1</v>
      </c>
    </row>
    <row r="314">
      <c r="A314" s="3">
        <f>IFERROR(__xludf.DUMMYFUNCTION("""COMPUTED_VALUE"""),45601.59555453704)</f>
        <v>45601.59555</v>
      </c>
      <c r="B314" s="5" t="str">
        <f>IFERROR(__xludf.DUMMYFUNCTION("""COMPUTED_VALUE"""),"https://github.com/KaustubhaRam/London_GitHub_Users")</f>
        <v>https://github.com/KaustubhaRam/London_GitHub_Users</v>
      </c>
      <c r="C314" s="3">
        <f>IFERROR(__xludf.DUMMYFUNCTION("""COMPUTED_VALUE"""),10.0)</f>
        <v>10</v>
      </c>
      <c r="D314" s="3">
        <f>IFERROR(__xludf.DUMMYFUNCTION("""COMPUTED_VALUE"""),10.0)</f>
        <v>10</v>
      </c>
      <c r="E314" s="3" t="str">
        <f>IFERROR(__xludf.DUMMYFUNCTION("""COMPUTED_VALUE"""),"The project was well done covering all points that were mandatory and the information provided was crisp and interesting .")</f>
        <v>The project was well done covering all points that were mandatory and the information provided was crisp and interesting .</v>
      </c>
      <c r="F314" s="5" t="str">
        <f>IFERROR(__xludf.DUMMYFUNCTION("""COMPUTED_VALUE"""),"https://github.com/leyther5813/b100")</f>
        <v>https://github.com/leyther5813/b100</v>
      </c>
      <c r="G314" s="3">
        <f>IFERROR(__xludf.DUMMYFUNCTION("""COMPUTED_VALUE"""),10.0)</f>
        <v>10</v>
      </c>
      <c r="H314" s="3">
        <f>IFERROR(__xludf.DUMMYFUNCTION("""COMPUTED_VALUE"""),10.0)</f>
        <v>10</v>
      </c>
      <c r="I314" s="3" t="str">
        <f>IFERROR(__xludf.DUMMYFUNCTION("""COMPUTED_VALUE"""),"Project was well done covering all required criteria and The data was well explained")</f>
        <v>Project was well done covering all required criteria and The data was well explained</v>
      </c>
      <c r="J314" s="3" t="str">
        <f>IFERROR(__xludf.DUMMYFUNCTION("""COMPUTED_VALUE"""),"23f2003415@ds.study.iitm.ac.in")</f>
        <v>23f2003415@ds.study.iitm.ac.in</v>
      </c>
      <c r="K314" s="3" t="str">
        <f t="shared" si="1"/>
        <v>23f2003415@ds.study.iitm.ac.inhttps://github.com/KaustubhaRam/London_GitHub_Users</v>
      </c>
      <c r="L314" s="3" t="str">
        <f t="shared" si="2"/>
        <v>23f2003415@ds.study.iitm.ac.inhttps://github.com/leyther5813/b100</v>
      </c>
    </row>
    <row r="315">
      <c r="A315" s="3">
        <f>IFERROR(__xludf.DUMMYFUNCTION("""COMPUTED_VALUE"""),45601.599377129634)</f>
        <v>45601.59938</v>
      </c>
      <c r="B315" s="5" t="str">
        <f>IFERROR(__xludf.DUMMYFUNCTION("""COMPUTED_VALUE"""),"https://github.com/21f1002976/tds_project_1")</f>
        <v>https://github.com/21f1002976/tds_project_1</v>
      </c>
      <c r="C315" s="3">
        <f>IFERROR(__xludf.DUMMYFUNCTION("""COMPUTED_VALUE"""),10.0)</f>
        <v>10</v>
      </c>
      <c r="D315" s="3">
        <f>IFERROR(__xludf.DUMMYFUNCTION("""COMPUTED_VALUE"""),0.0)</f>
        <v>0</v>
      </c>
      <c r="E315" s="3" t="str">
        <f>IFERROR(__xludf.DUMMYFUNCTION("""COMPUTED_VALUE"""),"There is no code to the project provided thats why 0 for that and the read.me is very interesting and perfectly written")</f>
        <v>There is no code to the project provided thats why 0 for that and the read.me is very interesting and perfectly written</v>
      </c>
      <c r="F315" s="5" t="str">
        <f>IFERROR(__xludf.DUMMYFUNCTION("""COMPUTED_VALUE"""),"https://github.com/SANDESH9098/TDS-Project1")</f>
        <v>https://github.com/SANDESH9098/TDS-Project1</v>
      </c>
      <c r="G315" s="3">
        <f>IFERROR(__xludf.DUMMYFUNCTION("""COMPUTED_VALUE"""),10.0)</f>
        <v>10</v>
      </c>
      <c r="H315" s="3">
        <f>IFERROR(__xludf.DUMMYFUNCTION("""COMPUTED_VALUE"""),0.0)</f>
        <v>0</v>
      </c>
      <c r="I315" s="3" t="str">
        <f>IFERROR(__xludf.DUMMYFUNCTION("""COMPUTED_VALUE"""),"There is no code to the project provided thats why 0 for that and the read.me is very interesting and perfectly written")</f>
        <v>There is no code to the project provided thats why 0 for that and the read.me is very interesting and perfectly written</v>
      </c>
      <c r="J315" s="3" t="str">
        <f>IFERROR(__xludf.DUMMYFUNCTION("""COMPUTED_VALUE"""),"23f2001120@ds.study.iitm.ac.in")</f>
        <v>23f2001120@ds.study.iitm.ac.in</v>
      </c>
      <c r="K315" s="3" t="str">
        <f t="shared" si="1"/>
        <v>23f2001120@ds.study.iitm.ac.inhttps://github.com/21f1002976/tds_project_1</v>
      </c>
      <c r="L315" s="3" t="str">
        <f t="shared" si="2"/>
        <v>23f2001120@ds.study.iitm.ac.inhttps://github.com/SANDESH9098/TDS-Project1</v>
      </c>
    </row>
    <row r="316">
      <c r="A316" s="3">
        <f>IFERROR(__xludf.DUMMYFUNCTION("""COMPUTED_VALUE"""),45601.59940626158)</f>
        <v>45601.59941</v>
      </c>
      <c r="B316" s="5" t="str">
        <f>IFERROR(__xludf.DUMMYFUNCTION("""COMPUTED_VALUE"""),"https://github.com/perceptron-01/project-1")</f>
        <v>https://github.com/perceptron-01/project-1</v>
      </c>
      <c r="C316" s="3">
        <f>IFERROR(__xludf.DUMMYFUNCTION("""COMPUTED_VALUE"""),2.0)</f>
        <v>2</v>
      </c>
      <c r="D316" s="3">
        <f>IFERROR(__xludf.DUMMYFUNCTION("""COMPUTED_VALUE"""),7.0)</f>
        <v>7</v>
      </c>
      <c r="E316" s="3" t="str">
        <f>IFERROR(__xludf.DUMMYFUNCTION("""COMPUTED_VALUE"""),"There was a README file but nothing relevant to the question. There were no specific bullet points as asked in the question. The code was professional and properly documented, but there was some ambiguity, the comment part of his code had place as Delhi b"&amp;"ut the code had Dublin as city.")</f>
        <v>There was a README file but nothing relevant to the question. There were no specific bullet points as asked in the question. The code was professional and properly documented, but there was some ambiguity, the comment part of his code had place as Delhi but the code had Dublin as city.</v>
      </c>
      <c r="F316" s="5" t="str">
        <f>IFERROR(__xludf.DUMMYFUNCTION("""COMPUTED_VALUE"""),"https://github.com/Madhav-Sanjay-Patil/TDS_23f1002049")</f>
        <v>https://github.com/Madhav-Sanjay-Patil/TDS_23f1002049</v>
      </c>
      <c r="G316" s="3">
        <f>IFERROR(__xludf.DUMMYFUNCTION("""COMPUTED_VALUE"""),8.0)</f>
        <v>8</v>
      </c>
      <c r="H316" s="3">
        <f>IFERROR(__xludf.DUMMYFUNCTION("""COMPUTED_VALUE"""),9.0)</f>
        <v>9</v>
      </c>
      <c r="I316" s="3" t="str">
        <f>IFERROR(__xludf.DUMMYFUNCTION("""COMPUTED_VALUE"""),"There was a readme file with 3 bullet points and good explanation in those 3 points. The code was also properly documented and clear.")</f>
        <v>There was a readme file with 3 bullet points and good explanation in those 3 points. The code was also properly documented and clear.</v>
      </c>
      <c r="J316" s="3" t="str">
        <f>IFERROR(__xludf.DUMMYFUNCTION("""COMPUTED_VALUE"""),"23f2001083@ds.study.iitm.ac.in")</f>
        <v>23f2001083@ds.study.iitm.ac.in</v>
      </c>
      <c r="K316" s="3" t="str">
        <f t="shared" si="1"/>
        <v>23f2001083@ds.study.iitm.ac.inhttps://github.com/perceptron-01/project-1</v>
      </c>
      <c r="L316" s="3" t="str">
        <f t="shared" si="2"/>
        <v>23f2001083@ds.study.iitm.ac.inhttps://github.com/Madhav-Sanjay-Patil/TDS_23f1002049</v>
      </c>
    </row>
    <row r="317">
      <c r="A317" s="3">
        <f>IFERROR(__xludf.DUMMYFUNCTION("""COMPUTED_VALUE"""),45601.601972986115)</f>
        <v>45601.60197</v>
      </c>
      <c r="B317" s="5" t="str">
        <f>IFERROR(__xludf.DUMMYFUNCTION("""COMPUTED_VALUE"""),"https://github.com/bhumi-gupta2201/Austin100.git")</f>
        <v>https://github.com/bhumi-gupta2201/Austin100.git</v>
      </c>
      <c r="C317" s="3">
        <f>IFERROR(__xludf.DUMMYFUNCTION("""COMPUTED_VALUE"""),9.0)</f>
        <v>9</v>
      </c>
      <c r="D317" s="3">
        <f>IFERROR(__xludf.DUMMYFUNCTION("""COMPUTED_VALUE"""),5.0)</f>
        <v>5</v>
      </c>
      <c r="E317" s="3" t="str">
        <f>IFERROR(__xludf.DUMMYFUNCTION("""COMPUTED_VALUE"""),"The repo has all the necessary requirements so it got 9. For code it does have extraction code but doesn't have code for each question.")</f>
        <v>The repo has all the necessary requirements so it got 9. For code it does have extraction code but doesn't have code for each question.</v>
      </c>
      <c r="F317" s="5" t="str">
        <f>IFERROR(__xludf.DUMMYFUNCTION("""COMPUTED_VALUE"""),"https://github.com/Abhinandan-IIT-M/austin-github-users.git")</f>
        <v>https://github.com/Abhinandan-IIT-M/austin-github-users.git</v>
      </c>
      <c r="G317" s="3">
        <f>IFERROR(__xludf.DUMMYFUNCTION("""COMPUTED_VALUE"""),10.0)</f>
        <v>10</v>
      </c>
      <c r="H317" s="3">
        <f>IFERROR(__xludf.DUMMYFUNCTION("""COMPUTED_VALUE"""),10.0)</f>
        <v>10</v>
      </c>
      <c r="I317" s="3" t="str">
        <f>IFERROR(__xludf.DUMMYFUNCTION("""COMPUTED_VALUE"""),"All the necessary requirements are satisfied, In addition to that all the necessary code has been provided clearly.")</f>
        <v>All the necessary requirements are satisfied, In addition to that all the necessary code has been provided clearly.</v>
      </c>
      <c r="J317" s="3" t="str">
        <f>IFERROR(__xludf.DUMMYFUNCTION("""COMPUTED_VALUE"""),"22f3001699@ds.study.iitm.ac.in")</f>
        <v>22f3001699@ds.study.iitm.ac.in</v>
      </c>
      <c r="K317" s="3" t="str">
        <f t="shared" si="1"/>
        <v>22f3001699@ds.study.iitm.ac.inhttps://github.com/bhumi-gupta2201/Austin100.git</v>
      </c>
      <c r="L317" s="3" t="str">
        <f t="shared" si="2"/>
        <v>22f3001699@ds.study.iitm.ac.inhttps://github.com/Abhinandan-IIT-M/austin-github-users.git</v>
      </c>
    </row>
    <row r="318">
      <c r="A318" s="3">
        <f>IFERROR(__xludf.DUMMYFUNCTION("""COMPUTED_VALUE"""),45601.60738724537)</f>
        <v>45601.60739</v>
      </c>
      <c r="B318" s="5" t="str">
        <f>IFERROR(__xludf.DUMMYFUNCTION("""COMPUTED_VALUE"""),"https://github.com/Jayaraja-SK/TDS-Project1")</f>
        <v>https://github.com/Jayaraja-SK/TDS-Project1</v>
      </c>
      <c r="C318" s="3">
        <f>IFERROR(__xludf.DUMMYFUNCTION("""COMPUTED_VALUE"""),7.0)</f>
        <v>7</v>
      </c>
      <c r="D318" s="3">
        <f>IFERROR(__xludf.DUMMYFUNCTION("""COMPUTED_VALUE"""),9.0)</f>
        <v>9</v>
      </c>
      <c r="E318" s="3" t="str">
        <f>IFERROR(__xludf.DUMMYFUNCTION("""COMPUTED_VALUE"""),"The 3rd bullet point in the README.md was meant to be a recommendation for developers, but it is similar to the 2nd point. 
The data for license_name in repositories.csv was incorrect. According to the instructions in the question, it was supposed to be t"&amp;"aken from license.key and not from license.name")</f>
        <v>The 3rd bullet point in the README.md was meant to be a recommendation for developers, but it is similar to the 2nd point. 
The data for license_name in repositories.csv was incorrect. According to the instructions in the question, it was supposed to be taken from license.key and not from license.name</v>
      </c>
      <c r="F318" s="5" t="str">
        <f>IFERROR(__xludf.DUMMYFUNCTION("""COMPUTED_VALUE"""),"https://github.com/singh-akhand/tds-project-1")</f>
        <v>https://github.com/singh-akhand/tds-project-1</v>
      </c>
      <c r="G318" s="3">
        <f>IFERROR(__xludf.DUMMYFUNCTION("""COMPUTED_VALUE"""),5.0)</f>
        <v>5</v>
      </c>
      <c r="H318" s="3">
        <f>IFERROR(__xludf.DUMMYFUNCTION("""COMPUTED_VALUE"""),10.0)</f>
        <v>10</v>
      </c>
      <c r="I318" s="3" t="str">
        <f>IFERROR(__xludf.DUMMYFUNCTION("""COMPUTED_VALUE"""),"The format of the README.md file was not according to the instructions i.e it did not begin with 3 bullet points. Also, some of the text seemed to be AI-generated. ")</f>
        <v>The format of the README.md file was not according to the instructions i.e it did not begin with 3 bullet points. Also, some of the text seemed to be AI-generated. </v>
      </c>
      <c r="J318" s="3" t="str">
        <f>IFERROR(__xludf.DUMMYFUNCTION("""COMPUTED_VALUE"""),"21f1004430@ds.study.iitm.ac.in")</f>
        <v>21f1004430@ds.study.iitm.ac.in</v>
      </c>
      <c r="K318" s="3" t="str">
        <f t="shared" si="1"/>
        <v>21f1004430@ds.study.iitm.ac.inhttps://github.com/Jayaraja-SK/TDS-Project1</v>
      </c>
      <c r="L318" s="3" t="str">
        <f t="shared" si="2"/>
        <v>21f1004430@ds.study.iitm.ac.inhttps://github.com/singh-akhand/tds-project-1</v>
      </c>
    </row>
    <row r="319">
      <c r="A319" s="3">
        <f>IFERROR(__xludf.DUMMYFUNCTION("""COMPUTED_VALUE"""),45601.61017409722)</f>
        <v>45601.61017</v>
      </c>
      <c r="B319" s="5" t="str">
        <f>IFERROR(__xludf.DUMMYFUNCTION("""COMPUTED_VALUE"""),"https://github.com/jalajverma007/tds-pj1")</f>
        <v>https://github.com/jalajverma007/tds-pj1</v>
      </c>
      <c r="C319" s="3">
        <f>IFERROR(__xludf.DUMMYFUNCTION("""COMPUTED_VALUE"""),10.0)</f>
        <v>10</v>
      </c>
      <c r="D319" s="3">
        <f>IFERROR(__xludf.DUMMYFUNCTION("""COMPUTED_VALUE"""),10.0)</f>
        <v>10</v>
      </c>
      <c r="E319" s="3" t="str">
        <f>IFERROR(__xludf.DUMMYFUNCTION("""COMPUTED_VALUE"""),"I rated it 10 because the README provides a concise but insightful summary of the findings from the data collected.
README is engaging because it doesn't just present raw data but interprets it, offering valuable insights for the developer community in Ba"&amp;"sel.")</f>
        <v>I rated it 10 because the README provides a concise but insightful summary of the findings from the data collected.
README is engaging because it doesn't just present raw data but interprets it, offering valuable insights for the developer community in Basel.</v>
      </c>
      <c r="F319" s="5" t="str">
        <f>IFERROR(__xludf.DUMMYFUNCTION("""COMPUTED_VALUE"""),"https://github.com/sn1411/chicago-github-users")</f>
        <v>https://github.com/sn1411/chicago-github-users</v>
      </c>
      <c r="G319" s="3">
        <f>IFERROR(__xludf.DUMMYFUNCTION("""COMPUTED_VALUE"""),10.0)</f>
        <v>10</v>
      </c>
      <c r="H319" s="3">
        <f>IFERROR(__xludf.DUMMYFUNCTION("""COMPUTED_VALUE"""),10.0)</f>
        <v>10</v>
      </c>
      <c r="I319" s="3" t="str">
        <f>IFERROR(__xludf.DUMMYFUNCTION("""COMPUTED_VALUE"""),"I rated it 10 because the README is thorough and provides a well-rounded view of the findings, with a variety of analyses that offer both depth and practical insights.
This README not only presents the data but also interprets it meaningfully, providing a"&amp;"ctionable advice and multiple levels of analysis, which makes it an engaging and highly informative summary.")</f>
        <v>I rated it 10 because the README is thorough and provides a well-rounded view of the findings, with a variety of analyses that offer both depth and practical insights.
This README not only presents the data but also interprets it meaningfully, providing actionable advice and multiple levels of analysis, which makes it an engaging and highly informative summary.</v>
      </c>
      <c r="J319" s="3" t="str">
        <f>IFERROR(__xludf.DUMMYFUNCTION("""COMPUTED_VALUE"""),"21f2001119@ds.study.iitm.ac.in")</f>
        <v>21f2001119@ds.study.iitm.ac.in</v>
      </c>
      <c r="K319" s="3" t="str">
        <f t="shared" si="1"/>
        <v>21f2001119@ds.study.iitm.ac.inhttps://github.com/jalajverma007/tds-pj1</v>
      </c>
      <c r="L319" s="3" t="str">
        <f t="shared" si="2"/>
        <v>21f2001119@ds.study.iitm.ac.inhttps://github.com/sn1411/chicago-github-users</v>
      </c>
    </row>
    <row r="320">
      <c r="A320" s="3">
        <f>IFERROR(__xludf.DUMMYFUNCTION("""COMPUTED_VALUE"""),45601.612171388886)</f>
        <v>45601.61217</v>
      </c>
      <c r="B320" s="5" t="str">
        <f>IFERROR(__xludf.DUMMYFUNCTION("""COMPUTED_VALUE"""),"https://github.com/Saagar-22/Hyderabad_50")</f>
        <v>https://github.com/Saagar-22/Hyderabad_50</v>
      </c>
      <c r="C320" s="3">
        <f>IFERROR(__xludf.DUMMYFUNCTION("""COMPUTED_VALUE"""),10.0)</f>
        <v>10</v>
      </c>
      <c r="D320" s="3">
        <f>IFERROR(__xludf.DUMMYFUNCTION("""COMPUTED_VALUE"""),8.0)</f>
        <v>8</v>
      </c>
      <c r="E320" s="3" t="str">
        <f>IFERROR(__xludf.DUMMYFUNCTION("""COMPUTED_VALUE"""),"analysis file is not well written but readme file is well written")</f>
        <v>analysis file is not well written but readme file is well written</v>
      </c>
      <c r="F320" s="5" t="str">
        <f>IFERROR(__xludf.DUMMYFUNCTION("""COMPUTED_VALUE"""),"https://github.com/akulbansal1/TDS_Project_1")</f>
        <v>https://github.com/akulbansal1/TDS_Project_1</v>
      </c>
      <c r="G320" s="3">
        <f>IFERROR(__xludf.DUMMYFUNCTION("""COMPUTED_VALUE"""),10.0)</f>
        <v>10</v>
      </c>
      <c r="H320" s="3">
        <f>IFERROR(__xludf.DUMMYFUNCTION("""COMPUTED_VALUE"""),5.0)</f>
        <v>5</v>
      </c>
      <c r="I320" s="3" t="str">
        <f>IFERROR(__xludf.DUMMYFUNCTION("""COMPUTED_VALUE"""),"there is no analysis file but data-scrapping file is provided so 5 marks and readme file is well written so 10 marks")</f>
        <v>there is no analysis file but data-scrapping file is provided so 5 marks and readme file is well written so 10 marks</v>
      </c>
      <c r="J320" s="3" t="str">
        <f>IFERROR(__xludf.DUMMYFUNCTION("""COMPUTED_VALUE"""),"23f1001897@ds.study.iitm.ac.in")</f>
        <v>23f1001897@ds.study.iitm.ac.in</v>
      </c>
      <c r="K320" s="3" t="str">
        <f t="shared" si="1"/>
        <v>23f1001897@ds.study.iitm.ac.inhttps://github.com/Saagar-22/Hyderabad_50</v>
      </c>
      <c r="L320" s="3" t="str">
        <f t="shared" si="2"/>
        <v>23f1001897@ds.study.iitm.ac.inhttps://github.com/akulbansal1/TDS_Project_1</v>
      </c>
    </row>
    <row r="321">
      <c r="A321" s="3">
        <f>IFERROR(__xludf.DUMMYFUNCTION("""COMPUTED_VALUE"""),45601.621896550925)</f>
        <v>45601.6219</v>
      </c>
      <c r="B321" s="5" t="str">
        <f>IFERROR(__xludf.DUMMYFUNCTION("""COMPUTED_VALUE"""),"https://github.com/vikashkj2024/tds-project-1")</f>
        <v>https://github.com/vikashkj2024/tds-project-1</v>
      </c>
      <c r="C321" s="3">
        <f>IFERROR(__xludf.DUMMYFUNCTION("""COMPUTED_VALUE"""),7.0)</f>
        <v>7</v>
      </c>
      <c r="D321" s="3">
        <f>IFERROR(__xludf.DUMMYFUNCTION("""COMPUTED_VALUE"""),7.0)</f>
        <v>7</v>
      </c>
      <c r="E321" s="3" t="str">
        <f>IFERROR(__xludf.DUMMYFUNCTION("""COMPUTED_VALUE"""),"The README and codes uploaded were not complete, as per my understanding. ")</f>
        <v>The README and codes uploaded were not complete, as per my understanding. </v>
      </c>
      <c r="F321" s="5" t="str">
        <f>IFERROR(__xludf.DUMMYFUNCTION("""COMPUTED_VALUE"""),"https://github.com/PradeepIITMBS/TDS-PROJECT-1")</f>
        <v>https://github.com/PradeepIITMBS/TDS-PROJECT-1</v>
      </c>
      <c r="G321" s="3">
        <f>IFERROR(__xludf.DUMMYFUNCTION("""COMPUTED_VALUE"""),10.0)</f>
        <v>10</v>
      </c>
      <c r="H321" s="3">
        <f>IFERROR(__xludf.DUMMYFUNCTION("""COMPUTED_VALUE"""),10.0)</f>
        <v>10</v>
      </c>
      <c r="I321" s="3" t="str">
        <f>IFERROR(__xludf.DUMMYFUNCTION("""COMPUTED_VALUE"""),"Both README and codes were provided and found interesting.")</f>
        <v>Both README and codes were provided and found interesting.</v>
      </c>
      <c r="J321" s="3" t="str">
        <f>IFERROR(__xludf.DUMMYFUNCTION("""COMPUTED_VALUE"""),"23f1001172@ds.study.iitm.ac.in")</f>
        <v>23f1001172@ds.study.iitm.ac.in</v>
      </c>
      <c r="K321" s="3" t="str">
        <f t="shared" si="1"/>
        <v>23f1001172@ds.study.iitm.ac.inhttps://github.com/vikashkj2024/tds-project-1</v>
      </c>
      <c r="L321" s="3" t="str">
        <f t="shared" si="2"/>
        <v>23f1001172@ds.study.iitm.ac.inhttps://github.com/PradeepIITMBS/TDS-PROJECT-1</v>
      </c>
    </row>
    <row r="322">
      <c r="A322" s="3">
        <f>IFERROR(__xludf.DUMMYFUNCTION("""COMPUTED_VALUE"""),45601.65138292824)</f>
        <v>45601.65138</v>
      </c>
      <c r="B322" s="5" t="str">
        <f>IFERROR(__xludf.DUMMYFUNCTION("""COMPUTED_VALUE"""),"https://github.com/sneh2105/tds_proj1")</f>
        <v>https://github.com/sneh2105/tds_proj1</v>
      </c>
      <c r="C322" s="3">
        <f>IFERROR(__xludf.DUMMYFUNCTION("""COMPUTED_VALUE"""),6.0)</f>
        <v>6</v>
      </c>
      <c r="D322" s="3">
        <f>IFERROR(__xludf.DUMMYFUNCTION("""COMPUTED_VALUE"""),4.0)</f>
        <v>4</v>
      </c>
      <c r="E322" s="3" t="str">
        <f>IFERROR(__xludf.DUMMYFUNCTION("""COMPUTED_VALUE"""),"Code was provided only for data collection. Code for answers to the questions were not provided. Interesting facts provided was also an obvious fact based on the question given")</f>
        <v>Code was provided only for data collection. Code for answers to the questions were not provided. Interesting facts provided was also an obvious fact based on the question given</v>
      </c>
      <c r="F322" s="5" t="str">
        <f>IFERROR(__xludf.DUMMYFUNCTION("""COMPUTED_VALUE"""),"https://github.com/rishikarai23/TDS-PROJECT")</f>
        <v>https://github.com/rishikarai23/TDS-PROJECT</v>
      </c>
      <c r="G322" s="3">
        <f>IFERROR(__xludf.DUMMYFUNCTION("""COMPUTED_VALUE"""),9.0)</f>
        <v>9</v>
      </c>
      <c r="H322" s="3">
        <f>IFERROR(__xludf.DUMMYFUNCTION("""COMPUTED_VALUE"""),10.0)</f>
        <v>10</v>
      </c>
      <c r="I322" s="3" t="str">
        <f>IFERROR(__xludf.DUMMYFUNCTION("""COMPUTED_VALUE"""),"Though the interesting fact provided is obvious from the questions asked, the way it is presented is very good. Hence gave 9/10 . Repo code was very clear. Code for data scrapping and question-answers were provided.")</f>
        <v>Though the interesting fact provided is obvious from the questions asked, the way it is presented is very good. Hence gave 9/10 . Repo code was very clear. Code for data scrapping and question-answers were provided.</v>
      </c>
      <c r="J322" s="3" t="str">
        <f>IFERROR(__xludf.DUMMYFUNCTION("""COMPUTED_VALUE"""),"21f3002950@ds.study.iitm.ac.in")</f>
        <v>21f3002950@ds.study.iitm.ac.in</v>
      </c>
      <c r="K322" s="3" t="str">
        <f t="shared" si="1"/>
        <v>21f3002950@ds.study.iitm.ac.inhttps://github.com/sneh2105/tds_proj1</v>
      </c>
      <c r="L322" s="3" t="str">
        <f t="shared" si="2"/>
        <v>21f3002950@ds.study.iitm.ac.inhttps://github.com/rishikarai23/TDS-PROJECT</v>
      </c>
    </row>
    <row r="323">
      <c r="A323" s="3">
        <f>IFERROR(__xludf.DUMMYFUNCTION("""COMPUTED_VALUE"""),45601.69737376158)</f>
        <v>45601.69737</v>
      </c>
      <c r="B323" s="5" t="str">
        <f>IFERROR(__xludf.DUMMYFUNCTION("""COMPUTED_VALUE"""),"https://github.com/infamous-01/TDS-Project-1")</f>
        <v>https://github.com/infamous-01/TDS-Project-1</v>
      </c>
      <c r="C323" s="3">
        <f>IFERROR(__xludf.DUMMYFUNCTION("""COMPUTED_VALUE"""),10.0)</f>
        <v>10</v>
      </c>
      <c r="D323" s="3">
        <f>IFERROR(__xludf.DUMMYFUNCTION("""COMPUTED_VALUE"""),10.0)</f>
        <v>10</v>
      </c>
      <c r="E323" s="3" t="str">
        <f>IFERROR(__xludf.DUMMYFUNCTION("""COMPUTED_VALUE"""),"I provided these ratings because the project thoroughly covers data collection, analysis, and presentation. The use of the GitHub API is well-executed, the findings are insightful, and the documentation is clear and professional, making it easy to follow."&amp;" This combination of technical skills and clear presentation makes it deserving of a top rating.")</f>
        <v>I provided these ratings because the project thoroughly covers data collection, analysis, and presentation. The use of the GitHub API is well-executed, the findings are insightful, and the documentation is clear and professional, making it easy to follow. This combination of technical skills and clear presentation makes it deserving of a top rating.</v>
      </c>
      <c r="F323" s="5" t="str">
        <f>IFERROR(__xludf.DUMMYFUNCTION("""COMPUTED_VALUE"""),"https://github.com/joy-pro26/TDSProject1")</f>
        <v>https://github.com/joy-pro26/TDSProject1</v>
      </c>
      <c r="G323" s="3">
        <f>IFERROR(__xludf.DUMMYFUNCTION("""COMPUTED_VALUE"""),10.0)</f>
        <v>10</v>
      </c>
      <c r="H323" s="3">
        <f>IFERROR(__xludf.DUMMYFUNCTION("""COMPUTED_VALUE"""),10.0)</f>
        <v>10</v>
      </c>
      <c r="I323" s="3" t="str">
        <f>IFERROR(__xludf.DUMMYFUNCTION("""COMPUTED_VALUE"""),"I provided these ratings because the project thoroughly covers data collection, analysis, and presentation. The use of the GitHub API is well-executed, the findings are insightful, and the documentation is clear and professional, making it easy to follow."&amp;" This combination of technical skills and clear presentation makes it deserving of a top rating.")</f>
        <v>I provided these ratings because the project thoroughly covers data collection, analysis, and presentation. The use of the GitHub API is well-executed, the findings are insightful, and the documentation is clear and professional, making it easy to follow. This combination of technical skills and clear presentation makes it deserving of a top rating.</v>
      </c>
      <c r="J323" s="3" t="str">
        <f>IFERROR(__xludf.DUMMYFUNCTION("""COMPUTED_VALUE"""),"22f2001335@ds.study.iitm.ac.in")</f>
        <v>22f2001335@ds.study.iitm.ac.in</v>
      </c>
      <c r="K323" s="3" t="str">
        <f t="shared" si="1"/>
        <v>22f2001335@ds.study.iitm.ac.inhttps://github.com/infamous-01/TDS-Project-1</v>
      </c>
      <c r="L323" s="3" t="str">
        <f t="shared" si="2"/>
        <v>22f2001335@ds.study.iitm.ac.inhttps://github.com/joy-pro26/TDSProject1</v>
      </c>
    </row>
    <row r="324">
      <c r="A324" s="3">
        <f>IFERROR(__xludf.DUMMYFUNCTION("""COMPUTED_VALUE"""),45601.75966146991)</f>
        <v>45601.75966</v>
      </c>
      <c r="B324" s="5" t="str">
        <f>IFERROR(__xludf.DUMMYFUNCTION("""COMPUTED_VALUE"""),"https://github.com/Rxhit1/TDSproj1/tree/main")</f>
        <v>https://github.com/Rxhit1/TDSproj1/tree/main</v>
      </c>
      <c r="C324" s="3">
        <f>IFERROR(__xludf.DUMMYFUNCTION("""COMPUTED_VALUE"""),8.0)</f>
        <v>8</v>
      </c>
      <c r="D324" s="3">
        <f>IFERROR(__xludf.DUMMYFUNCTION("""COMPUTED_VALUE"""),0.0)</f>
        <v>0</v>
      </c>
      <c r="E324" s="3" t="str">
        <f>IFERROR(__xludf.DUMMYFUNCTION("""COMPUTED_VALUE"""),"fascinating information was shared in README.md. There was absence of code")</f>
        <v>fascinating information was shared in README.md. There was absence of code</v>
      </c>
      <c r="F324" s="5" t="str">
        <f>IFERROR(__xludf.DUMMYFUNCTION("""COMPUTED_VALUE"""),"https://github.com/Jayaprakash1710/TDS-Project-1")</f>
        <v>https://github.com/Jayaprakash1710/TDS-Project-1</v>
      </c>
      <c r="G324" s="3">
        <f>IFERROR(__xludf.DUMMYFUNCTION("""COMPUTED_VALUE"""),9.0)</f>
        <v>9</v>
      </c>
      <c r="H324" s="3">
        <f>IFERROR(__xludf.DUMMYFUNCTION("""COMPUTED_VALUE"""),8.0)</f>
        <v>8</v>
      </c>
      <c r="I324" s="3" t="str">
        <f>IFERROR(__xludf.DUMMYFUNCTION("""COMPUTED_VALUE"""),"Interesting insights about Perl language has given . Python code written  is very concise")</f>
        <v>Interesting insights about Perl language has given . Python code written  is very concise</v>
      </c>
      <c r="J324" s="3" t="str">
        <f>IFERROR(__xludf.DUMMYFUNCTION("""COMPUTED_VALUE"""),"21f1005443@ds.study.iitm.ac.in")</f>
        <v>21f1005443@ds.study.iitm.ac.in</v>
      </c>
      <c r="K324" s="3" t="str">
        <f t="shared" si="1"/>
        <v>21f1005443@ds.study.iitm.ac.inhttps://github.com/Rxhit1/TDSproj1/tree/main</v>
      </c>
      <c r="L324" s="3" t="str">
        <f t="shared" si="2"/>
        <v>21f1005443@ds.study.iitm.ac.inhttps://github.com/Jayaprakash1710/TDS-Project-1</v>
      </c>
    </row>
    <row r="325">
      <c r="A325" s="3">
        <f>IFERROR(__xludf.DUMMYFUNCTION("""COMPUTED_VALUE"""),45601.774571319445)</f>
        <v>45601.77457</v>
      </c>
      <c r="B325" s="5" t="str">
        <f>IFERROR(__xludf.DUMMYFUNCTION("""COMPUTED_VALUE"""),"https://github.com/vaibhavgupta-iitm/TDS-Project-1")</f>
        <v>https://github.com/vaibhavgupta-iitm/TDS-Project-1</v>
      </c>
      <c r="C325" s="3">
        <f>IFERROR(__xludf.DUMMYFUNCTION("""COMPUTED_VALUE"""),0.0)</f>
        <v>0</v>
      </c>
      <c r="D325" s="3">
        <f>IFERROR(__xludf.DUMMYFUNCTION("""COMPUTED_VALUE"""),5.0)</f>
        <v>5</v>
      </c>
      <c r="E325" s="3" t="str">
        <f>IFERROR(__xludf.DUMMYFUNCTION("""COMPUTED_VALUE"""),"The repository contains several Python scripts, including BeautifulSoupSCrapper.py, app.py, health.py, and solution.py. The absence of a README complicates comprehension.")</f>
        <v>The repository contains several Python scripts, including BeautifulSoupSCrapper.py, app.py, health.py, and solution.py. The absence of a README complicates comprehension.</v>
      </c>
      <c r="F325" s="5" t="str">
        <f>IFERROR(__xludf.DUMMYFUNCTION("""COMPUTED_VALUE"""),"https://github.com/Rosh-10/tds-project-1")</f>
        <v>https://github.com/Rosh-10/tds-project-1</v>
      </c>
      <c r="G325" s="3">
        <f>IFERROR(__xludf.DUMMYFUNCTION("""COMPUTED_VALUE"""),10.0)</f>
        <v>10</v>
      </c>
      <c r="H325" s="3">
        <f>IFERROR(__xludf.DUMMYFUNCTION("""COMPUTED_VALUE"""),8.0)</f>
        <v>8</v>
      </c>
      <c r="I325" s="3" t="str">
        <f>IFERROR(__xludf.DUMMYFUNCTION("""COMPUTED_VALUE"""),"The repository includes Python scripts like scraper.py and CSV files (repositories.csv and users.csv). The code appears organized, and the presence of a README aids in understanding the project's structure and purpose. However, the code could benefit from"&amp;" additional comments and documentation to enhance clarity.")</f>
        <v>The repository includes Python scripts like scraper.py and CSV files (repositories.csv and users.csv). The code appears organized, and the presence of a README aids in understanding the project's structure and purpose. However, the code could benefit from additional comments and documentation to enhance clarity.</v>
      </c>
      <c r="J325" s="3" t="str">
        <f>IFERROR(__xludf.DUMMYFUNCTION("""COMPUTED_VALUE"""),"23f2001942@ds.study.iitm.ac.in")</f>
        <v>23f2001942@ds.study.iitm.ac.in</v>
      </c>
      <c r="K325" s="3" t="str">
        <f t="shared" si="1"/>
        <v>23f2001942@ds.study.iitm.ac.inhttps://github.com/vaibhavgupta-iitm/TDS-Project-1</v>
      </c>
      <c r="L325" s="3" t="str">
        <f t="shared" si="2"/>
        <v>23f2001942@ds.study.iitm.ac.inhttps://github.com/Rosh-10/tds-project-1</v>
      </c>
    </row>
    <row r="326">
      <c r="A326" s="3">
        <f>IFERROR(__xludf.DUMMYFUNCTION("""COMPUTED_VALUE"""),45601.7762046875)</f>
        <v>45601.7762</v>
      </c>
      <c r="B326" s="5" t="str">
        <f>IFERROR(__xludf.DUMMYFUNCTION("""COMPUTED_VALUE"""),"https://github.com/Prajwalit-Tiwari/TDS_Project1")</f>
        <v>https://github.com/Prajwalit-Tiwari/TDS_Project1</v>
      </c>
      <c r="C326" s="3">
        <f>IFERROR(__xludf.DUMMYFUNCTION("""COMPUTED_VALUE"""),1.0)</f>
        <v>1</v>
      </c>
      <c r="D326" s="3">
        <f>IFERROR(__xludf.DUMMYFUNCTION("""COMPUTED_VALUE"""),8.0)</f>
        <v>8</v>
      </c>
      <c r="E326" s="3" t="str">
        <f>IFERROR(__xludf.DUMMYFUNCTION("""COMPUTED_VALUE"""),"Only title name is present in README file. Code part seems clear and understandable but needs to get rid of type errors to make it look more presentable.")</f>
        <v>Only title name is present in README file. Code part seems clear and understandable but needs to get rid of type errors to make it look more presentable.</v>
      </c>
      <c r="F326" s="5" t="str">
        <f>IFERROR(__xludf.DUMMYFUNCTION("""COMPUTED_VALUE"""),"https://github.com/ml1608/TDS-Project1")</f>
        <v>https://github.com/ml1608/TDS-Project1</v>
      </c>
      <c r="G326" s="3">
        <f>IFERROR(__xludf.DUMMYFUNCTION("""COMPUTED_VALUE"""),6.0)</f>
        <v>6</v>
      </c>
      <c r="H326" s="3">
        <f>IFERROR(__xludf.DUMMYFUNCTION("""COMPUTED_VALUE"""),10.0)</f>
        <v>10</v>
      </c>
      <c r="I326" s="3" t="str">
        <f>IFERROR(__xludf.DUMMYFUNCTION("""COMPUTED_VALUE"""),"README file contains information about data collection and files present in the repository but it doesn't seem to have any interesting facts/findings from dataset. The code part is very clear, understandable and presentable.")</f>
        <v>README file contains information about data collection and files present in the repository but it doesn't seem to have any interesting facts/findings from dataset. The code part is very clear, understandable and presentable.</v>
      </c>
      <c r="J326" s="3" t="str">
        <f>IFERROR(__xludf.DUMMYFUNCTION("""COMPUTED_VALUE"""),"21f1004929@ds.study.iitm.ac.in")</f>
        <v>21f1004929@ds.study.iitm.ac.in</v>
      </c>
      <c r="K326" s="3" t="str">
        <f t="shared" si="1"/>
        <v>21f1004929@ds.study.iitm.ac.inhttps://github.com/Prajwalit-Tiwari/TDS_Project1</v>
      </c>
      <c r="L326" s="3" t="str">
        <f t="shared" si="2"/>
        <v>21f1004929@ds.study.iitm.ac.inhttps://github.com/ml1608/TDS-Project1</v>
      </c>
    </row>
    <row r="327">
      <c r="A327" s="3">
        <f>IFERROR(__xludf.DUMMYFUNCTION("""COMPUTED_VALUE"""),45601.78743597222)</f>
        <v>45601.78744</v>
      </c>
      <c r="B327" s="5" t="str">
        <f>IFERROR(__xludf.DUMMYFUNCTION("""COMPUTED_VALUE"""),"https://github.com/VijeethC300/BangaloreGitHubUsers")</f>
        <v>https://github.com/VijeethC300/BangaloreGitHubUsers</v>
      </c>
      <c r="C327" s="3">
        <f>IFERROR(__xludf.DUMMYFUNCTION("""COMPUTED_VALUE"""),9.0)</f>
        <v>9</v>
      </c>
      <c r="D327" s="3">
        <f>IFERROR(__xludf.DUMMYFUNCTION("""COMPUTED_VALUE"""),10.0)</f>
        <v>10</v>
      </c>
      <c r="E327" s="3" t="str">
        <f>IFERROR(__xludf.DUMMYFUNCTION("""COMPUTED_VALUE"""),"In the README.md file, there is no bullet point for ""Recommendation for developers"". So, the mark is reduced.")</f>
        <v>In the README.md file, there is no bullet point for "Recommendation for developers". So, the mark is reduced.</v>
      </c>
      <c r="F327" s="5" t="str">
        <f>IFERROR(__xludf.DUMMYFUNCTION("""COMPUTED_VALUE"""),"https://github.com/21f2001015/tds-project-1")</f>
        <v>https://github.com/21f2001015/tds-project-1</v>
      </c>
      <c r="G327" s="3">
        <f>IFERROR(__xludf.DUMMYFUNCTION("""COMPUTED_VALUE"""),10.0)</f>
        <v>10</v>
      </c>
      <c r="H327" s="3">
        <f>IFERROR(__xludf.DUMMYFUNCTION("""COMPUTED_VALUE"""),10.0)</f>
        <v>10</v>
      </c>
      <c r="I327" s="3" t="str">
        <f>IFERROR(__xludf.DUMMYFUNCTION("""COMPUTED_VALUE"""),"The points in the README.md is clear and the code is also easy to understand.")</f>
        <v>The points in the README.md is clear and the code is also easy to understand.</v>
      </c>
      <c r="J327" s="3" t="str">
        <f>IFERROR(__xludf.DUMMYFUNCTION("""COMPUTED_VALUE"""),"21f2000852@ds.study.iitm.ac.in")</f>
        <v>21f2000852@ds.study.iitm.ac.in</v>
      </c>
      <c r="K327" s="3" t="str">
        <f t="shared" si="1"/>
        <v>21f2000852@ds.study.iitm.ac.inhttps://github.com/VijeethC300/BangaloreGitHubUsers</v>
      </c>
      <c r="L327" s="3" t="str">
        <f t="shared" si="2"/>
        <v>21f2000852@ds.study.iitm.ac.inhttps://github.com/21f2001015/tds-project-1</v>
      </c>
    </row>
    <row r="328">
      <c r="A328" s="3">
        <f>IFERROR(__xludf.DUMMYFUNCTION("""COMPUTED_VALUE"""),45601.80278020834)</f>
        <v>45601.80278</v>
      </c>
      <c r="B328" s="5" t="str">
        <f>IFERROR(__xludf.DUMMYFUNCTION("""COMPUTED_VALUE"""),"https://github.com/Saradha24ds1000095/TDS_Project1/")</f>
        <v>https://github.com/Saradha24ds1000095/TDS_Project1/</v>
      </c>
      <c r="C328" s="3">
        <f>IFERROR(__xludf.DUMMYFUNCTION("""COMPUTED_VALUE"""),10.0)</f>
        <v>10</v>
      </c>
      <c r="D328" s="3">
        <f>IFERROR(__xludf.DUMMYFUNCTION("""COMPUTED_VALUE"""),10.0)</f>
        <v>10</v>
      </c>
      <c r="E328" s="3" t="str">
        <f>IFERROR(__xludf.DUMMYFUNCTION("""COMPUTED_VALUE"""),"The code is professional and the README.md file has good findings.")</f>
        <v>The code is professional and the README.md file has good findings.</v>
      </c>
      <c r="F328" s="5" t="str">
        <f>IFERROR(__xludf.DUMMYFUNCTION("""COMPUTED_VALUE"""),"https://github.com/Ajmalkajm/TDS-Project_1")</f>
        <v>https://github.com/Ajmalkajm/TDS-Project_1</v>
      </c>
      <c r="G328" s="3">
        <f>IFERROR(__xludf.DUMMYFUNCTION("""COMPUTED_VALUE"""),10.0)</f>
        <v>10</v>
      </c>
      <c r="H328" s="3">
        <f>IFERROR(__xludf.DUMMYFUNCTION("""COMPUTED_VALUE"""),10.0)</f>
        <v>10</v>
      </c>
      <c r="I328" s="3" t="str">
        <f>IFERROR(__xludf.DUMMYFUNCTION("""COMPUTED_VALUE"""),"I liked the way in which the code as well as the README.md is presented.")</f>
        <v>I liked the way in which the code as well as the README.md is presented.</v>
      </c>
      <c r="J328" s="3" t="str">
        <f>IFERROR(__xludf.DUMMYFUNCTION("""COMPUTED_VALUE"""),"21f1002449@ds.study.iitm.ac.in")</f>
        <v>21f1002449@ds.study.iitm.ac.in</v>
      </c>
      <c r="K328" s="3" t="str">
        <f t="shared" si="1"/>
        <v>21f1002449@ds.study.iitm.ac.inhttps://github.com/Saradha24ds1000095/TDS_Project1/</v>
      </c>
      <c r="L328" s="3" t="str">
        <f t="shared" si="2"/>
        <v>21f1002449@ds.study.iitm.ac.inhttps://github.com/Ajmalkajm/TDS-Project_1</v>
      </c>
    </row>
    <row r="329">
      <c r="A329" s="3">
        <f>IFERROR(__xludf.DUMMYFUNCTION("""COMPUTED_VALUE"""),45601.816146805555)</f>
        <v>45601.81615</v>
      </c>
      <c r="B329" s="5" t="str">
        <f>IFERROR(__xludf.DUMMYFUNCTION("""COMPUTED_VALUE"""),"https://github.com/regisprabha/TDS-Project1")</f>
        <v>https://github.com/regisprabha/TDS-Project1</v>
      </c>
      <c r="C329" s="3">
        <f>IFERROR(__xludf.DUMMYFUNCTION("""COMPUTED_VALUE"""),8.0)</f>
        <v>8</v>
      </c>
      <c r="D329" s="3">
        <f>IFERROR(__xludf.DUMMYFUNCTION("""COMPUTED_VALUE"""),8.0)</f>
        <v>8</v>
      </c>
      <c r="E329" s="3" t="str">
        <f>IFERROR(__xludf.DUMMYFUNCTION("""COMPUTED_VALUE"""),"Interesting presentation from the repo")</f>
        <v>Interesting presentation from the repo</v>
      </c>
      <c r="F329" s="5" t="str">
        <f>IFERROR(__xludf.DUMMYFUNCTION("""COMPUTED_VALUE"""),"https://github.com/tuxdna/tds-project1")</f>
        <v>https://github.com/tuxdna/tds-project1</v>
      </c>
      <c r="G329" s="3">
        <f>IFERROR(__xludf.DUMMYFUNCTION("""COMPUTED_VALUE"""),8.0)</f>
        <v>8</v>
      </c>
      <c r="H329" s="3">
        <f>IFERROR(__xludf.DUMMYFUNCTION("""COMPUTED_VALUE"""),8.0)</f>
        <v>8</v>
      </c>
      <c r="I329" s="3" t="str">
        <f>IFERROR(__xludf.DUMMYFUNCTION("""COMPUTED_VALUE"""),"Interesting presentation from the repo")</f>
        <v>Interesting presentation from the repo</v>
      </c>
      <c r="J329" s="3" t="str">
        <f>IFERROR(__xludf.DUMMYFUNCTION("""COMPUTED_VALUE"""),"21f1006244@ds.study.iitm.ac.in")</f>
        <v>21f1006244@ds.study.iitm.ac.in</v>
      </c>
      <c r="K329" s="3" t="str">
        <f t="shared" si="1"/>
        <v>21f1006244@ds.study.iitm.ac.inhttps://github.com/regisprabha/TDS-Project1</v>
      </c>
      <c r="L329" s="3" t="str">
        <f t="shared" si="2"/>
        <v>21f1006244@ds.study.iitm.ac.inhttps://github.com/tuxdna/tds-project1</v>
      </c>
    </row>
    <row r="330">
      <c r="A330" s="3">
        <f>IFERROR(__xludf.DUMMYFUNCTION("""COMPUTED_VALUE"""),45601.82544162037)</f>
        <v>45601.82544</v>
      </c>
      <c r="B330" s="5" t="str">
        <f>IFERROR(__xludf.DUMMYFUNCTION("""COMPUTED_VALUE"""),"https://github.com/Rajalakshmi12/IITM_Tds_Project1")</f>
        <v>https://github.com/Rajalakshmi12/IITM_Tds_Project1</v>
      </c>
      <c r="C330" s="3">
        <f>IFERROR(__xludf.DUMMYFUNCTION("""COMPUTED_VALUE"""),10.0)</f>
        <v>10</v>
      </c>
      <c r="D330" s="3">
        <f>IFERROR(__xludf.DUMMYFUNCTION("""COMPUTED_VALUE"""),10.0)</f>
        <v>10</v>
      </c>
      <c r="E330" s="3" t="str">
        <f>IFERROR(__xludf.DUMMYFUNCTION("""COMPUTED_VALUE""")," The findings delve on aspects like images in README file etc. as well and the code looks professional")</f>
        <v> The findings delve on aspects like images in README file etc. as well and the code looks professional</v>
      </c>
      <c r="F330" s="5" t="str">
        <f>IFERROR(__xludf.DUMMYFUNCTION("""COMPUTED_VALUE"""),"https://github.com/heyitsshreya/Austin-GitHub-Users-Analysis")</f>
        <v>https://github.com/heyitsshreya/Austin-GitHub-Users-Analysis</v>
      </c>
      <c r="G330" s="3">
        <f>IFERROR(__xludf.DUMMYFUNCTION("""COMPUTED_VALUE"""),10.0)</f>
        <v>10</v>
      </c>
      <c r="H330" s="3">
        <f>IFERROR(__xludf.DUMMYFUNCTION("""COMPUTED_VALUE"""),10.0)</f>
        <v>10</v>
      </c>
      <c r="I330" s="3" t="str">
        <f>IFERROR(__xludf.DUMMYFUNCTION("""COMPUTED_VALUE"""),"The findings and the actionable insights are explained precisely")</f>
        <v>The findings and the actionable insights are explained precisely</v>
      </c>
      <c r="J330" s="3" t="str">
        <f>IFERROR(__xludf.DUMMYFUNCTION("""COMPUTED_VALUE"""),"23ds3000215@ds.study.iitm.ac.in")</f>
        <v>23ds3000215@ds.study.iitm.ac.in</v>
      </c>
      <c r="K330" s="3" t="str">
        <f t="shared" si="1"/>
        <v>23ds3000215@ds.study.iitm.ac.inhttps://github.com/Rajalakshmi12/IITM_Tds_Project1</v>
      </c>
      <c r="L330" s="3" t="str">
        <f t="shared" si="2"/>
        <v>23ds3000215@ds.study.iitm.ac.inhttps://github.com/heyitsshreya/Austin-GitHub-Users-Analysis</v>
      </c>
    </row>
    <row r="331">
      <c r="A331" s="3">
        <f>IFERROR(__xludf.DUMMYFUNCTION("""COMPUTED_VALUE"""),45601.87254719908)</f>
        <v>45601.87255</v>
      </c>
      <c r="B331" s="5" t="str">
        <f>IFERROR(__xludf.DUMMYFUNCTION("""COMPUTED_VALUE"""),"https://github.com/vilas-007/TDS-project1")</f>
        <v>https://github.com/vilas-007/TDS-project1</v>
      </c>
      <c r="C331" s="3">
        <f>IFERROR(__xludf.DUMMYFUNCTION("""COMPUTED_VALUE"""),2.0)</f>
        <v>2</v>
      </c>
      <c r="D331" s="3">
        <f>IFERROR(__xludf.DUMMYFUNCTION("""COMPUTED_VALUE"""),0.0)</f>
        <v>0</v>
      </c>
      <c r="E331" s="3" t="str">
        <f>IFERROR(__xludf.DUMMYFUNCTION("""COMPUTED_VALUE"""),"there's no code and the README file doesn't have any findings")</f>
        <v>there's no code and the README file doesn't have any findings</v>
      </c>
      <c r="F331" s="5" t="str">
        <f>IFERROR(__xludf.DUMMYFUNCTION("""COMPUTED_VALUE"""),"https://github.com/suryadhn/boston_user_repo")</f>
        <v>https://github.com/suryadhn/boston_user_repo</v>
      </c>
      <c r="G331" s="3">
        <f>IFERROR(__xludf.DUMMYFUNCTION("""COMPUTED_VALUE"""),10.0)</f>
        <v>10</v>
      </c>
      <c r="H331" s="3">
        <f>IFERROR(__xludf.DUMMYFUNCTION("""COMPUTED_VALUE"""),10.0)</f>
        <v>10</v>
      </c>
      <c r="I331" s="3" t="str">
        <f>IFERROR(__xludf.DUMMYFUNCTION("""COMPUTED_VALUE"""),"I learned something fascinating and the code is very clear and elegant.")</f>
        <v>I learned something fascinating and the code is very clear and elegant.</v>
      </c>
      <c r="J331" s="3" t="str">
        <f>IFERROR(__xludf.DUMMYFUNCTION("""COMPUTED_VALUE"""),"23f2004593@ds.study.iitm.ac.in")</f>
        <v>23f2004593@ds.study.iitm.ac.in</v>
      </c>
      <c r="K331" s="3" t="str">
        <f t="shared" si="1"/>
        <v>23f2004593@ds.study.iitm.ac.inhttps://github.com/vilas-007/TDS-project1</v>
      </c>
      <c r="L331" s="3" t="str">
        <f t="shared" si="2"/>
        <v>23f2004593@ds.study.iitm.ac.inhttps://github.com/suryadhn/boston_user_repo</v>
      </c>
    </row>
    <row r="332">
      <c r="A332" s="3">
        <f>IFERROR(__xludf.DUMMYFUNCTION("""COMPUTED_VALUE"""),45601.918482037036)</f>
        <v>45601.91848</v>
      </c>
      <c r="B332" s="5" t="str">
        <f>IFERROR(__xludf.DUMMYFUNCTION("""COMPUTED_VALUE"""),"https://github.com/23ds1000051/tds_project_1")</f>
        <v>https://github.com/23ds1000051/tds_project_1</v>
      </c>
      <c r="C332" s="3">
        <f>IFERROR(__xludf.DUMMYFUNCTION("""COMPUTED_VALUE"""),5.0)</f>
        <v>5</v>
      </c>
      <c r="D332" s="3">
        <f>IFERROR(__xludf.DUMMYFUNCTION("""COMPUTED_VALUE"""),9.0)</f>
        <v>9</v>
      </c>
      <c r="E332" s="3" t="str">
        <f>IFERROR(__xludf.DUMMYFUNCTION("""COMPUTED_VALUE"""),"The Candidate has tried to implement the leanings of the course although there there could be better insights brought out  ")</f>
        <v>The Candidate has tried to implement the leanings of the course although there there could be better insights brought out  </v>
      </c>
      <c r="F332" s="5" t="str">
        <f>IFERROR(__xludf.DUMMYFUNCTION("""COMPUTED_VALUE"""),"https://github.com/22f3000398/TDS-Project")</f>
        <v>https://github.com/22f3000398/TDS-Project</v>
      </c>
      <c r="G332" s="3">
        <f>IFERROR(__xludf.DUMMYFUNCTION("""COMPUTED_VALUE"""),1.0)</f>
        <v>1</v>
      </c>
      <c r="H332" s="3">
        <f>IFERROR(__xludf.DUMMYFUNCTION("""COMPUTED_VALUE"""),7.0)</f>
        <v>7</v>
      </c>
      <c r="I332" s="3" t="str">
        <f>IFERROR(__xludf.DUMMYFUNCTION("""COMPUTED_VALUE"""),"The Project could be done in a better way")</f>
        <v>The Project could be done in a better way</v>
      </c>
      <c r="J332" s="3" t="str">
        <f>IFERROR(__xludf.DUMMYFUNCTION("""COMPUTED_VALUE"""),"23ds3000049@ds.study.iitm.ac.in")</f>
        <v>23ds3000049@ds.study.iitm.ac.in</v>
      </c>
      <c r="K332" s="3" t="str">
        <f t="shared" si="1"/>
        <v>23ds3000049@ds.study.iitm.ac.inhttps://github.com/23ds1000051/tds_project_1</v>
      </c>
      <c r="L332" s="3" t="str">
        <f t="shared" si="2"/>
        <v>23ds3000049@ds.study.iitm.ac.inhttps://github.com/22f3000398/TDS-Project</v>
      </c>
    </row>
    <row r="333">
      <c r="A333" s="3">
        <f>IFERROR(__xludf.DUMMYFUNCTION("""COMPUTED_VALUE"""),45601.92210005787)</f>
        <v>45601.9221</v>
      </c>
      <c r="B333" s="5" t="str">
        <f>IFERROR(__xludf.DUMMYFUNCTION("""COMPUTED_VALUE"""),"https://github.com/Mr-GauravKumar/TDS-P1")</f>
        <v>https://github.com/Mr-GauravKumar/TDS-P1</v>
      </c>
      <c r="C333" s="3">
        <f>IFERROR(__xludf.DUMMYFUNCTION("""COMPUTED_VALUE"""),0.0)</f>
        <v>0</v>
      </c>
      <c r="D333" s="3">
        <f>IFERROR(__xludf.DUMMYFUNCTION("""COMPUTED_VALUE"""),10.0)</f>
        <v>10</v>
      </c>
      <c r="E333" s="3" t="str">
        <f>IFERROR(__xludf.DUMMYFUNCTION("""COMPUTED_VALUE"""),"In the first one there is no readme details but the code is quite clear and very good ")</f>
        <v>In the first one there is no readme details but the code is quite clear and very good </v>
      </c>
      <c r="F333" s="5" t="str">
        <f>IFERROR(__xludf.DUMMYFUNCTION("""COMPUTED_VALUE"""),"https://github.com/itsrohithreddy/TDS_Project1")</f>
        <v>https://github.com/itsrohithreddy/TDS_Project1</v>
      </c>
      <c r="G333" s="3">
        <f>IFERROR(__xludf.DUMMYFUNCTION("""COMPUTED_VALUE"""),10.0)</f>
        <v>10</v>
      </c>
      <c r="H333" s="3">
        <f>IFERROR(__xludf.DUMMYFUNCTION("""COMPUTED_VALUE"""),10.0)</f>
        <v>10</v>
      </c>
      <c r="I333" s="3" t="str">
        <f>IFERROR(__xludf.DUMMYFUNCTION("""COMPUTED_VALUE"""),"The readme file is perfectly made and all the codes are arranged in a good and perfect way and codes are quite described well. ")</f>
        <v>The readme file is perfectly made and all the codes are arranged in a good and perfect way and codes are quite described well. </v>
      </c>
      <c r="J333" s="3" t="str">
        <f>IFERROR(__xludf.DUMMYFUNCTION("""COMPUTED_VALUE"""),"22f1001118@ds.study.iitm.ac.in")</f>
        <v>22f1001118@ds.study.iitm.ac.in</v>
      </c>
      <c r="K333" s="3" t="str">
        <f t="shared" si="1"/>
        <v>22f1001118@ds.study.iitm.ac.inhttps://github.com/Mr-GauravKumar/TDS-P1</v>
      </c>
      <c r="L333" s="3" t="str">
        <f t="shared" si="2"/>
        <v>22f1001118@ds.study.iitm.ac.inhttps://github.com/itsrohithreddy/TDS_Project1</v>
      </c>
    </row>
    <row r="334">
      <c r="A334" s="3">
        <f>IFERROR(__xludf.DUMMYFUNCTION("""COMPUTED_VALUE"""),45601.933416932865)</f>
        <v>45601.93342</v>
      </c>
      <c r="B334" s="5" t="str">
        <f>IFERROR(__xludf.DUMMYFUNCTION("""COMPUTED_VALUE"""),"https://github.com/Rajnish2899/Mynewproject")</f>
        <v>https://github.com/Rajnish2899/Mynewproject</v>
      </c>
      <c r="C334" s="3">
        <f>IFERROR(__xludf.DUMMYFUNCTION("""COMPUTED_VALUE"""),5.0)</f>
        <v>5</v>
      </c>
      <c r="D334" s="3">
        <f>IFERROR(__xludf.DUMMYFUNCTION("""COMPUTED_VALUE"""),0.0)</f>
        <v>0</v>
      </c>
      <c r="E334" s="3" t="str">
        <f>IFERROR(__xludf.DUMMYFUNCTION("""COMPUTED_VALUE"""),"No code, the findings were average.")</f>
        <v>No code, the findings were average.</v>
      </c>
      <c r="F334" s="5" t="str">
        <f>IFERROR(__xludf.DUMMYFUNCTION("""COMPUTED_VALUE"""),"https://github.com/mayanktripathii/TDS-Project-1")</f>
        <v>https://github.com/mayanktripathii/TDS-Project-1</v>
      </c>
      <c r="G334" s="3">
        <f>IFERROR(__xludf.DUMMYFUNCTION("""COMPUTED_VALUE"""),8.0)</f>
        <v>8</v>
      </c>
      <c r="H334" s="3">
        <f>IFERROR(__xludf.DUMMYFUNCTION("""COMPUTED_VALUE"""),10.0)</f>
        <v>10</v>
      </c>
      <c r="I334" s="3" t="str">
        <f>IFERROR(__xludf.DUMMYFUNCTION("""COMPUTED_VALUE"""),"Clean code and the findings were average, but used charts. ")</f>
        <v>Clean code and the findings were average, but used charts. </v>
      </c>
      <c r="J334" s="3" t="str">
        <f>IFERROR(__xludf.DUMMYFUNCTION("""COMPUTED_VALUE"""),"21f1001204@ds.study.iitm.ac.in")</f>
        <v>21f1001204@ds.study.iitm.ac.in</v>
      </c>
      <c r="K334" s="3" t="str">
        <f t="shared" si="1"/>
        <v>21f1001204@ds.study.iitm.ac.inhttps://github.com/Rajnish2899/Mynewproject</v>
      </c>
      <c r="L334" s="3" t="str">
        <f t="shared" si="2"/>
        <v>21f1001204@ds.study.iitm.ac.inhttps://github.com/mayanktripathii/TDS-Project-1</v>
      </c>
    </row>
    <row r="335">
      <c r="A335" s="3">
        <f>IFERROR(__xludf.DUMMYFUNCTION("""COMPUTED_VALUE"""),45601.9349024074)</f>
        <v>45601.9349</v>
      </c>
      <c r="B335" s="5" t="str">
        <f>IFERROR(__xludf.DUMMYFUNCTION("""COMPUTED_VALUE"""),"https://github.com/iitmrs/Project1")</f>
        <v>https://github.com/iitmrs/Project1</v>
      </c>
      <c r="C335" s="3">
        <f>IFERROR(__xludf.DUMMYFUNCTION("""COMPUTED_VALUE"""),6.0)</f>
        <v>6</v>
      </c>
      <c r="D335" s="3">
        <f>IFERROR(__xludf.DUMMYFUNCTION("""COMPUTED_VALUE"""),0.0)</f>
        <v>0</v>
      </c>
      <c r="E335" s="3" t="str">
        <f>IFERROR(__xludf.DUMMYFUNCTION("""COMPUTED_VALUE"""),"There was no code in the repo. Secondly, the content in README.md should be more elaborative.")</f>
        <v>There was no code in the repo. Secondly, the content in README.md should be more elaborative.</v>
      </c>
      <c r="F335" s="5" t="str">
        <f>IFERROR(__xludf.DUMMYFUNCTION("""COMPUTED_VALUE"""),"https://github.com/KRISHBORANA/Sydney-100")</f>
        <v>https://github.com/KRISHBORANA/Sydney-100</v>
      </c>
      <c r="G335" s="3">
        <f>IFERROR(__xludf.DUMMYFUNCTION("""COMPUTED_VALUE"""),9.0)</f>
        <v>9</v>
      </c>
      <c r="H335" s="3">
        <f>IFERROR(__xludf.DUMMYFUNCTION("""COMPUTED_VALUE"""),9.0)</f>
        <v>9</v>
      </c>
      <c r="I335" s="3" t="str">
        <f>IFERROR(__xludf.DUMMYFUNCTION("""COMPUTED_VALUE"""),"The repo had the code file and the README.md was written in a professional manner.")</f>
        <v>The repo had the code file and the README.md was written in a professional manner.</v>
      </c>
      <c r="J335" s="3" t="str">
        <f>IFERROR(__xludf.DUMMYFUNCTION("""COMPUTED_VALUE"""),"21f3002290@ds.study.iitm.ac.in")</f>
        <v>21f3002290@ds.study.iitm.ac.in</v>
      </c>
      <c r="K335" s="3" t="str">
        <f t="shared" si="1"/>
        <v>21f3002290@ds.study.iitm.ac.inhttps://github.com/iitmrs/Project1</v>
      </c>
      <c r="L335" s="3" t="str">
        <f t="shared" si="2"/>
        <v>21f3002290@ds.study.iitm.ac.inhttps://github.com/KRISHBORANA/Sydney-100</v>
      </c>
    </row>
    <row r="336">
      <c r="A336" s="3">
        <f>IFERROR(__xludf.DUMMYFUNCTION("""COMPUTED_VALUE"""),45601.95086002315)</f>
        <v>45601.95086</v>
      </c>
      <c r="B336" s="5" t="str">
        <f>IFERROR(__xludf.DUMMYFUNCTION("""COMPUTED_VALUE"""),"https://github.com/himanesh21/GithubUserDataAnalysis")</f>
        <v>https://github.com/himanesh21/GithubUserDataAnalysis</v>
      </c>
      <c r="C336" s="3">
        <f>IFERROR(__xludf.DUMMYFUNCTION("""COMPUTED_VALUE"""),8.0)</f>
        <v>8</v>
      </c>
      <c r="D336" s="3">
        <f>IFERROR(__xludf.DUMMYFUNCTION("""COMPUTED_VALUE"""),8.0)</f>
        <v>8</v>
      </c>
      <c r="E336" s="3" t="str">
        <f>IFERROR(__xludf.DUMMYFUNCTION("""COMPUTED_VALUE"""),"The README is well-written, with a detailed explanation of data scraping. The insights and recommendations are fine but could be expanded further. The code is clear and understandable, though it would be improved by including the code used to address the "&amp;"specific questions.")</f>
        <v>The README is well-written, with a detailed explanation of data scraping. The insights and recommendations are fine but could be expanded further. The code is clear and understandable, though it would be improved by including the code used to address the specific questions.</v>
      </c>
      <c r="F336" s="5" t="str">
        <f>IFERROR(__xludf.DUMMYFUNCTION("""COMPUTED_VALUE"""),"https://github.com/Varun-K34/github-users-toronto")</f>
        <v>https://github.com/Varun-K34/github-users-toronto</v>
      </c>
      <c r="G336" s="3">
        <f>IFERROR(__xludf.DUMMYFUNCTION("""COMPUTED_VALUE"""),8.0)</f>
        <v>8</v>
      </c>
      <c r="H336" s="3">
        <f>IFERROR(__xludf.DUMMYFUNCTION("""COMPUTED_VALUE"""),9.0)</f>
        <v>9</v>
      </c>
      <c r="I336" s="3" t="str">
        <f>IFERROR(__xludf.DUMMYFUNCTION("""COMPUTED_VALUE"""),"The README is fine, but more details on the data scraping process, as well as improved insights and recommendations, would be helpful. The code is good and understandable, though it would be better if everything was consolidated into a single Python file.")</f>
        <v>The README is fine, but more details on the data scraping process, as well as improved insights and recommendations, would be helpful. The code is good and understandable, though it would be better if everything was consolidated into a single Python file.</v>
      </c>
      <c r="J336" s="3" t="str">
        <f>IFERROR(__xludf.DUMMYFUNCTION("""COMPUTED_VALUE"""),"22f3000350@ds.study.iitm.ac.in")</f>
        <v>22f3000350@ds.study.iitm.ac.in</v>
      </c>
      <c r="K336" s="3" t="str">
        <f t="shared" si="1"/>
        <v>22f3000350@ds.study.iitm.ac.inhttps://github.com/himanesh21/GithubUserDataAnalysis</v>
      </c>
      <c r="L336" s="3" t="str">
        <f t="shared" si="2"/>
        <v>22f3000350@ds.study.iitm.ac.inhttps://github.com/Varun-K34/github-users-toronto</v>
      </c>
    </row>
    <row r="337">
      <c r="A337" s="3">
        <f>IFERROR(__xludf.DUMMYFUNCTION("""COMPUTED_VALUE"""),45601.96640763889)</f>
        <v>45601.96641</v>
      </c>
      <c r="B337" s="5" t="str">
        <f>IFERROR(__xludf.DUMMYFUNCTION("""COMPUTED_VALUE"""),"https://github.com/Biray143/Project-1")</f>
        <v>https://github.com/Biray143/Project-1</v>
      </c>
      <c r="C337" s="3">
        <f>IFERROR(__xludf.DUMMYFUNCTION("""COMPUTED_VALUE"""),10.0)</f>
        <v>10</v>
      </c>
      <c r="D337" s="3">
        <f>IFERROR(__xludf.DUMMYFUNCTION("""COMPUTED_VALUE"""),0.0)</f>
        <v>0</v>
      </c>
      <c r="E337" s="3" t="str">
        <f>IFERROR(__xludf.DUMMYFUNCTION("""COMPUTED_VALUE"""),"The readme seems like it was made with real experience and not from AI.")</f>
        <v>The readme seems like it was made with real experience and not from AI.</v>
      </c>
      <c r="F337" s="5" t="str">
        <f>IFERROR(__xludf.DUMMYFUNCTION("""COMPUTED_VALUE"""),"https://github.com/AlexStark110/MELB_USERS")</f>
        <v>https://github.com/AlexStark110/MELB_USERS</v>
      </c>
      <c r="G337" s="3">
        <f>IFERROR(__xludf.DUMMYFUNCTION("""COMPUTED_VALUE"""),6.0)</f>
        <v>6</v>
      </c>
      <c r="H337" s="3">
        <f>IFERROR(__xludf.DUMMYFUNCTION("""COMPUTED_VALUE"""),10.0)</f>
        <v>10</v>
      </c>
      <c r="I337" s="3" t="str">
        <f>IFERROR(__xludf.DUMMYFUNCTION("""COMPUTED_VALUE"""),"The readme is not following the format as given, the code seems well written.")</f>
        <v>The readme is not following the format as given, the code seems well written.</v>
      </c>
      <c r="J337" s="3" t="str">
        <f>IFERROR(__xludf.DUMMYFUNCTION("""COMPUTED_VALUE"""),"23ds3000059@ds.study.iitm.ac.in")</f>
        <v>23ds3000059@ds.study.iitm.ac.in</v>
      </c>
      <c r="K337" s="3" t="str">
        <f t="shared" si="1"/>
        <v>23ds3000059@ds.study.iitm.ac.inhttps://github.com/Biray143/Project-1</v>
      </c>
      <c r="L337" s="3" t="str">
        <f t="shared" si="2"/>
        <v>23ds3000059@ds.study.iitm.ac.inhttps://github.com/AlexStark110/MELB_USERS</v>
      </c>
    </row>
    <row r="338">
      <c r="A338" s="3">
        <f>IFERROR(__xludf.DUMMYFUNCTION("""COMPUTED_VALUE"""),45601.96866673611)</f>
        <v>45601.96867</v>
      </c>
      <c r="B338" s="5" t="str">
        <f>IFERROR(__xludf.DUMMYFUNCTION("""COMPUTED_VALUE"""),"https://github.com/ayushiprajapti/TDS-PROJECT")</f>
        <v>https://github.com/ayushiprajapti/TDS-PROJECT</v>
      </c>
      <c r="C338" s="3">
        <f>IFERROR(__xludf.DUMMYFUNCTION("""COMPUTED_VALUE"""),9.0)</f>
        <v>9</v>
      </c>
      <c r="D338" s="3">
        <f>IFERROR(__xludf.DUMMYFUNCTION("""COMPUTED_VALUE"""),10.0)</f>
        <v>10</v>
      </c>
      <c r="E338" s="3" t="str">
        <f>IFERROR(__xludf.DUMMYFUNCTION("""COMPUTED_VALUE"""),"The README file of the first repository is well-written and effectively formatted. Although it exceeds 50 words, the content is clear and informative. The code within the repository is of excellent quality, with well-placed comments that enhance readabili"&amp;"ty and ensure the code is goal-oriented.")</f>
        <v>The README file of the first repository is well-written and effectively formatted. Although it exceeds 50 words, the content is clear and informative. The code within the repository is of excellent quality, with well-placed comments that enhance readability and ensure the code is goal-oriented.</v>
      </c>
      <c r="F338" s="5" t="str">
        <f>IFERROR(__xludf.DUMMYFUNCTION("""COMPUTED_VALUE"""),"https://github.com/raunak-kumar800/tds-project")</f>
        <v>https://github.com/raunak-kumar800/tds-project</v>
      </c>
      <c r="G338" s="3">
        <f>IFERROR(__xludf.DUMMYFUNCTION("""COMPUTED_VALUE"""),5.0)</f>
        <v>5</v>
      </c>
      <c r="H338" s="3">
        <f>IFERROR(__xludf.DUMMYFUNCTION("""COMPUTED_VALUE"""),8.0)</f>
        <v>8</v>
      </c>
      <c r="I338" s="3" t="str">
        <f>IFERROR(__xludf.DUMMYFUNCTION("""COMPUTED_VALUE"""),"The README file of the 2nd repo is not that much interesting and not formatted accordingly.  On the other hand the code is quite good.")</f>
        <v>The README file of the 2nd repo is not that much interesting and not formatted accordingly.  On the other hand the code is quite good.</v>
      </c>
      <c r="J338" s="3" t="str">
        <f>IFERROR(__xludf.DUMMYFUNCTION("""COMPUTED_VALUE"""),"23f1000205@ds.study.iitm.ac.in")</f>
        <v>23f1000205@ds.study.iitm.ac.in</v>
      </c>
      <c r="K338" s="3" t="str">
        <f t="shared" si="1"/>
        <v>23f1000205@ds.study.iitm.ac.inhttps://github.com/ayushiprajapti/TDS-PROJECT</v>
      </c>
      <c r="L338" s="3" t="str">
        <f t="shared" si="2"/>
        <v>23f1000205@ds.study.iitm.ac.inhttps://github.com/raunak-kumar800/tds-project</v>
      </c>
    </row>
    <row r="339">
      <c r="A339" s="3">
        <f>IFERROR(__xludf.DUMMYFUNCTION("""COMPUTED_VALUE"""),45601.97985689815)</f>
        <v>45601.97986</v>
      </c>
      <c r="B339" s="5" t="str">
        <f>IFERROR(__xludf.DUMMYFUNCTION("""COMPUTED_VALUE"""),"https://github.com/Utkarsh002-winner/TDS_P1")</f>
        <v>https://github.com/Utkarsh002-winner/TDS_P1</v>
      </c>
      <c r="C339" s="3">
        <f>IFERROR(__xludf.DUMMYFUNCTION("""COMPUTED_VALUE"""),0.0)</f>
        <v>0</v>
      </c>
      <c r="D339" s="3">
        <f>IFERROR(__xludf.DUMMYFUNCTION("""COMPUTED_VALUE"""),0.0)</f>
        <v>0</v>
      </c>
      <c r="E339" s="3" t="str">
        <f>IFERROR(__xludf.DUMMYFUNCTION("""COMPUTED_VALUE"""),"No findings are provided in README.md. There's NO code provided.")</f>
        <v>No findings are provided in README.md. There's NO code provided.</v>
      </c>
      <c r="F339" s="5" t="str">
        <f>IFERROR(__xludf.DUMMYFUNCTION("""COMPUTED_VALUE"""),"https://github.com/deep2003tds/project1/blob/main/repositories.csv")</f>
        <v>https://github.com/deep2003tds/project1/blob/main/repositories.csv</v>
      </c>
      <c r="G339" s="3">
        <f>IFERROR(__xludf.DUMMYFUNCTION("""COMPUTED_VALUE"""),7.0)</f>
        <v>7</v>
      </c>
      <c r="H339" s="3">
        <f>IFERROR(__xludf.DUMMYFUNCTION("""COMPUTED_VALUE"""),6.0)</f>
        <v>6</v>
      </c>
      <c r="I339" s="3" t="str">
        <f>IFERROR(__xludf.DUMMYFUNCTION("""COMPUTED_VALUE"""),"The README.md highlights differences in regional engagement and the influence of specific companies on GitHub visibility. However, the location-specific insights within Berlin aren’t fully clear, I assume it is regarding distinctions between remote and in"&amp;"-city activity. The company impact is interesting but expected.
The analysis is done in a Jupyter notebook. There’s redundancy, such as repeatedly importing libraries (like pandas) and re-reading CSVs to create multiple dataframes. To make the code more e"&amp;"fficient and concise, consider importing libraries once at the beginning and creating dataframes only once—additional dataframes can simply be copies of the original. Additional suggestions: Add comments for clarity, and include appropriate spacing betwee"&amp;"n code blocks to improve readability and organization. 
Overall, it looks good—keep up the good work!")</f>
        <v>The README.md highlights differences in regional engagement and the influence of specific companies on GitHub visibility. However, the location-specific insights within Berlin aren’t fully clear, I assume it is regarding distinctions between remote and in-city activity. The company impact is interesting but expected.
The analysis is done in a Jupyter notebook. There’s redundancy, such as repeatedly importing libraries (like pandas) and re-reading CSVs to create multiple dataframes. To make the code more efficient and concise, consider importing libraries once at the beginning and creating dataframes only once—additional dataframes can simply be copies of the original. Additional suggestions: Add comments for clarity, and include appropriate spacing between code blocks to improve readability and organization. 
Overall, it looks good—keep up the good work!</v>
      </c>
      <c r="J339" s="3" t="str">
        <f>IFERROR(__xludf.DUMMYFUNCTION("""COMPUTED_VALUE"""),"23f2001106@ds.study.iitm.ac.in")</f>
        <v>23f2001106@ds.study.iitm.ac.in</v>
      </c>
      <c r="K339" s="3" t="str">
        <f t="shared" si="1"/>
        <v>23f2001106@ds.study.iitm.ac.inhttps://github.com/Utkarsh002-winner/TDS_P1</v>
      </c>
      <c r="L339" s="3" t="str">
        <f t="shared" si="2"/>
        <v>23f2001106@ds.study.iitm.ac.inhttps://github.com/deep2003tds/project1/blob/main/repositories.csv</v>
      </c>
    </row>
    <row r="340">
      <c r="A340" s="3">
        <f>IFERROR(__xludf.DUMMYFUNCTION("""COMPUTED_VALUE"""),45601.996184641204)</f>
        <v>45601.99618</v>
      </c>
      <c r="B340" s="5" t="str">
        <f>IFERROR(__xludf.DUMMYFUNCTION("""COMPUTED_VALUE"""),"https://github.com/arshadnit/TDSP1")</f>
        <v>https://github.com/arshadnit/TDSP1</v>
      </c>
      <c r="C340" s="3">
        <f>IFERROR(__xludf.DUMMYFUNCTION("""COMPUTED_VALUE"""),10.0)</f>
        <v>10</v>
      </c>
      <c r="D340" s="3">
        <f>IFERROR(__xludf.DUMMYFUNCTION("""COMPUTED_VALUE"""),10.0)</f>
        <v>10</v>
      </c>
      <c r="E340" s="3" t="str">
        <f>IFERROR(__xludf.DUMMYFUNCTION("""COMPUTED_VALUE"""),"The readme file is interesting and also the code is clear and professional.")</f>
        <v>The readme file is interesting and also the code is clear and professional.</v>
      </c>
      <c r="F340" s="5" t="str">
        <f>IFERROR(__xludf.DUMMYFUNCTION("""COMPUTED_VALUE"""),"https://github.com/ARUNIMADILEEPK/TDS_Project_1")</f>
        <v>https://github.com/ARUNIMADILEEPK/TDS_Project_1</v>
      </c>
      <c r="G340" s="3">
        <f>IFERROR(__xludf.DUMMYFUNCTION("""COMPUTED_VALUE"""),10.0)</f>
        <v>10</v>
      </c>
      <c r="H340" s="3">
        <f>IFERROR(__xludf.DUMMYFUNCTION("""COMPUTED_VALUE"""),10.0)</f>
        <v>10</v>
      </c>
      <c r="I340" s="3" t="str">
        <f>IFERROR(__xludf.DUMMYFUNCTION("""COMPUTED_VALUE"""),"The readme file and the code is present and clear.")</f>
        <v>The readme file and the code is present and clear.</v>
      </c>
      <c r="J340" s="3" t="str">
        <f>IFERROR(__xludf.DUMMYFUNCTION("""COMPUTED_VALUE"""),"23f1002051@ds.study.iitm.ac.in")</f>
        <v>23f1002051@ds.study.iitm.ac.in</v>
      </c>
      <c r="K340" s="3" t="str">
        <f t="shared" si="1"/>
        <v>23f1002051@ds.study.iitm.ac.inhttps://github.com/arshadnit/TDSP1</v>
      </c>
      <c r="L340" s="3" t="str">
        <f t="shared" si="2"/>
        <v>23f1002051@ds.study.iitm.ac.inhttps://github.com/ARUNIMADILEEPK/TDS_Project_1</v>
      </c>
    </row>
    <row r="341">
      <c r="A341" s="3">
        <f>IFERROR(__xludf.DUMMYFUNCTION("""COMPUTED_VALUE"""),45602.00144458334)</f>
        <v>45602.00144</v>
      </c>
      <c r="B341" s="5" t="str">
        <f>IFERROR(__xludf.DUMMYFUNCTION("""COMPUTED_VALUE"""),"https://github.com/23ds1000051/tds_project_1")</f>
        <v>https://github.com/23ds1000051/tds_project_1</v>
      </c>
      <c r="C341" s="3">
        <f>IFERROR(__xludf.DUMMYFUNCTION("""COMPUTED_VALUE"""),10.0)</f>
        <v>10</v>
      </c>
      <c r="D341" s="3">
        <f>IFERROR(__xludf.DUMMYFUNCTION("""COMPUTED_VALUE"""),10.0)</f>
        <v>10</v>
      </c>
      <c r="E341" s="3" t="str">
        <f>IFERROR(__xludf.DUMMYFUNCTION("""COMPUTED_VALUE"""),"README file is good enough to get the info about both CSVs and code is also very structured")</f>
        <v>README file is good enough to get the info about both CSVs and code is also very structured</v>
      </c>
      <c r="F341" s="5" t="str">
        <f>IFERROR(__xludf.DUMMYFUNCTION("""COMPUTED_VALUE"""),"https://github.com/22f3000398/TDS-Project")</f>
        <v>https://github.com/22f3000398/TDS-Project</v>
      </c>
      <c r="G341" s="3">
        <f>IFERROR(__xludf.DUMMYFUNCTION("""COMPUTED_VALUE"""),0.0)</f>
        <v>0</v>
      </c>
      <c r="H341" s="3">
        <f>IFERROR(__xludf.DUMMYFUNCTION("""COMPUTED_VALUE"""),10.0)</f>
        <v>10</v>
      </c>
      <c r="I341" s="3" t="str">
        <f>IFERROR(__xludf.DUMMYFUNCTION("""COMPUTED_VALUE"""),"Not able to see the README file but main code file is accessible and good understand ")</f>
        <v>Not able to see the README file but main code file is accessible and good understand </v>
      </c>
      <c r="J341" s="3" t="str">
        <f>IFERROR(__xludf.DUMMYFUNCTION("""COMPUTED_VALUE"""),"22f3000364@ds.study.iitm.ac.in")</f>
        <v>22f3000364@ds.study.iitm.ac.in</v>
      </c>
      <c r="K341" s="3" t="str">
        <f t="shared" si="1"/>
        <v>22f3000364@ds.study.iitm.ac.inhttps://github.com/23ds1000051/tds_project_1</v>
      </c>
      <c r="L341" s="3" t="str">
        <f t="shared" si="2"/>
        <v>22f3000364@ds.study.iitm.ac.inhttps://github.com/22f3000398/TDS-Project</v>
      </c>
    </row>
    <row r="342">
      <c r="A342" s="3">
        <f>IFERROR(__xludf.DUMMYFUNCTION("""COMPUTED_VALUE"""),45602.0015234375)</f>
        <v>45602.00152</v>
      </c>
      <c r="B342" s="5" t="str">
        <f>IFERROR(__xludf.DUMMYFUNCTION("""COMPUTED_VALUE"""),"https://github.com/Yogesh-005/pro1")</f>
        <v>https://github.com/Yogesh-005/pro1</v>
      </c>
      <c r="C342" s="3">
        <f>IFERROR(__xludf.DUMMYFUNCTION("""COMPUTED_VALUE"""),0.0)</f>
        <v>0</v>
      </c>
      <c r="D342" s="3">
        <f>IFERROR(__xludf.DUMMYFUNCTION("""COMPUTED_VALUE"""),8.0)</f>
        <v>8</v>
      </c>
      <c r="E342" s="3" t="str">
        <f>IFERROR(__xludf.DUMMYFUNCTION("""COMPUTED_VALUE"""),"The repo has a README file but there is no findings. It contains the files available in the repo and the data collected. The notebook codes are clear and reasonably professional but there is a lack of enhanced documentation, consistent error handling, and"&amp;" refined output formatting.")</f>
        <v>The repo has a README file but there is no findings. It contains the files available in the repo and the data collected. The notebook codes are clear and reasonably professional but there is a lack of enhanced documentation, consistent error handling, and refined output formatting.</v>
      </c>
      <c r="F342" s="5" t="str">
        <f>IFERROR(__xludf.DUMMYFUNCTION("""COMPUTED_VALUE"""),"https://github.com/20vishnu27/TDS_Project-1")</f>
        <v>https://github.com/20vishnu27/TDS_Project-1</v>
      </c>
      <c r="G342" s="3">
        <f>IFERROR(__xludf.DUMMYFUNCTION("""COMPUTED_VALUE"""),10.0)</f>
        <v>10</v>
      </c>
      <c r="H342" s="3">
        <f>IFERROR(__xludf.DUMMYFUNCTION("""COMPUTED_VALUE"""),0.0)</f>
        <v>0</v>
      </c>
      <c r="I342" s="3" t="str">
        <f>IFERROR(__xludf.DUMMYFUNCTION("""COMPUTED_VALUE"""),"The repo's README file clearly explains in short and crisp on the need to stay updated with the current trend. I learnt how users present the repo if they are hireable.")</f>
        <v>The repo's README file clearly explains in short and crisp on the need to stay updated with the current trend. I learnt how users present the repo if they are hireable.</v>
      </c>
      <c r="J342" s="3" t="str">
        <f>IFERROR(__xludf.DUMMYFUNCTION("""COMPUTED_VALUE"""),"23f3002189@ds.study.iitm.ac.in")</f>
        <v>23f3002189@ds.study.iitm.ac.in</v>
      </c>
      <c r="K342" s="3" t="str">
        <f t="shared" si="1"/>
        <v>23f3002189@ds.study.iitm.ac.inhttps://github.com/Yogesh-005/pro1</v>
      </c>
      <c r="L342" s="3" t="str">
        <f t="shared" si="2"/>
        <v>23f3002189@ds.study.iitm.ac.inhttps://github.com/20vishnu27/TDS_Project-1</v>
      </c>
    </row>
    <row r="343">
      <c r="A343" s="3">
        <f>IFERROR(__xludf.DUMMYFUNCTION("""COMPUTED_VALUE"""),45602.01057716435)</f>
        <v>45602.01058</v>
      </c>
      <c r="B343" s="5" t="str">
        <f>IFERROR(__xludf.DUMMYFUNCTION("""COMPUTED_VALUE"""),"https://github.com/Udita1122/23f1000092")</f>
        <v>https://github.com/Udita1122/23f1000092</v>
      </c>
      <c r="C343" s="3">
        <f>IFERROR(__xludf.DUMMYFUNCTION("""COMPUTED_VALUE"""),8.0)</f>
        <v>8</v>
      </c>
      <c r="D343" s="3">
        <f>IFERROR(__xludf.DUMMYFUNCTION("""COMPUTED_VALUE"""),9.0)</f>
        <v>9</v>
      </c>
      <c r="E343" s="3" t="str">
        <f>IFERROR(__xludf.DUMMYFUNCTION("""COMPUTED_VALUE"""),"I provide this rating as there is readme file available and clearly accessible and also professionally given the users and their repositories files. Also i came to know about the data of Chennai who have 50 followers and interesting thing that i found is "&amp;"the individuals have been part of various projects and are licensed from various high ranking institutes. A lot of the are highly skilled individuals in there fields and are extremely hirable.")</f>
        <v>I provide this rating as there is readme file available and clearly accessible and also professionally given the users and their repositories files. Also i came to know about the data of Chennai who have 50 followers and interesting thing that i found is the individuals have been part of various projects and are licensed from various high ranking institutes. A lot of the are highly skilled individuals in there fields and are extremely hirable.</v>
      </c>
      <c r="F343" s="5" t="str">
        <f>IFERROR(__xludf.DUMMYFUNCTION("""COMPUTED_VALUE"""),"https://github.com/gyanesh-iitmiimb/TDSProject1/blob")</f>
        <v>https://github.com/gyanesh-iitmiimb/TDSProject1/blob</v>
      </c>
      <c r="G343" s="3">
        <f>IFERROR(__xludf.DUMMYFUNCTION("""COMPUTED_VALUE"""),0.0)</f>
        <v>0</v>
      </c>
      <c r="H343" s="3">
        <f>IFERROR(__xludf.DUMMYFUNCTION("""COMPUTED_VALUE"""),0.0)</f>
        <v>0</v>
      </c>
      <c r="I343" s="3" t="str">
        <f>IFERROR(__xludf.DUMMYFUNCTION("""COMPUTED_VALUE"""),"Repo is not available from the link its showing 404 Page not Found error")</f>
        <v>Repo is not available from the link its showing 404 Page not Found error</v>
      </c>
      <c r="J343" s="3" t="str">
        <f>IFERROR(__xludf.DUMMYFUNCTION("""COMPUTED_VALUE"""),"22f3000534@ds.study.iitm.ac.in")</f>
        <v>22f3000534@ds.study.iitm.ac.in</v>
      </c>
      <c r="K343" s="3" t="str">
        <f t="shared" si="1"/>
        <v>22f3000534@ds.study.iitm.ac.inhttps://github.com/Udita1122/23f1000092</v>
      </c>
      <c r="L343" s="3" t="str">
        <f t="shared" si="2"/>
        <v>22f3000534@ds.study.iitm.ac.inhttps://github.com/gyanesh-iitmiimb/TDSProject1/blob</v>
      </c>
    </row>
    <row r="344">
      <c r="A344" s="3">
        <f>IFERROR(__xludf.DUMMYFUNCTION("""COMPUTED_VALUE"""),45602.063901319445)</f>
        <v>45602.0639</v>
      </c>
      <c r="B344" s="5" t="str">
        <f>IFERROR(__xludf.DUMMYFUNCTION("""COMPUTED_VALUE"""),"https://github.com/Shiya-23/Project_-Stockholm")</f>
        <v>https://github.com/Shiya-23/Project_-Stockholm</v>
      </c>
      <c r="C344" s="3">
        <f>IFERROR(__xludf.DUMMYFUNCTION("""COMPUTED_VALUE"""),8.0)</f>
        <v>8</v>
      </c>
      <c r="D344" s="3">
        <f>IFERROR(__xludf.DUMMYFUNCTION("""COMPUTED_VALUE"""),8.0)</f>
        <v>8</v>
      </c>
      <c r="E344" s="3" t="str">
        <f>IFERROR(__xludf.DUMMYFUNCTION("""COMPUTED_VALUE"""),"Readme seems interesting and the code seems modular (though bith are chatgpt generated)")</f>
        <v>Readme seems interesting and the code seems modular (though bith are chatgpt generated)</v>
      </c>
      <c r="F344" s="5" t="str">
        <f>IFERROR(__xludf.DUMMYFUNCTION("""COMPUTED_VALUE"""),"https://github.com/RK-Codes-IITMBS/TDS-Project-1")</f>
        <v>https://github.com/RK-Codes-IITMBS/TDS-Project-1</v>
      </c>
      <c r="G344" s="3">
        <f>IFERROR(__xludf.DUMMYFUNCTION("""COMPUTED_VALUE"""),8.0)</f>
        <v>8</v>
      </c>
      <c r="H344" s="3">
        <f>IFERROR(__xludf.DUMMYFUNCTION("""COMPUTED_VALUE"""),8.0)</f>
        <v>8</v>
      </c>
      <c r="I344" s="3" t="str">
        <f>IFERROR(__xludf.DUMMYFUNCTION("""COMPUTED_VALUE"""),"Readme seems interesting and the code seems modular (though bith are chatgpt generated)")</f>
        <v>Readme seems interesting and the code seems modular (though bith are chatgpt generated)</v>
      </c>
      <c r="J344" s="3" t="str">
        <f>IFERROR(__xludf.DUMMYFUNCTION("""COMPUTED_VALUE"""),"22f3000373@ds.study.iitm.ac.in")</f>
        <v>22f3000373@ds.study.iitm.ac.in</v>
      </c>
      <c r="K344" s="3" t="str">
        <f t="shared" si="1"/>
        <v>22f3000373@ds.study.iitm.ac.inhttps://github.com/Shiya-23/Project_-Stockholm</v>
      </c>
      <c r="L344" s="3" t="str">
        <f t="shared" si="2"/>
        <v>22f3000373@ds.study.iitm.ac.inhttps://github.com/RK-Codes-IITMBS/TDS-Project-1</v>
      </c>
    </row>
    <row r="345">
      <c r="A345" s="3">
        <f>IFERROR(__xludf.DUMMYFUNCTION("""COMPUTED_VALUE"""),45602.070533680555)</f>
        <v>45602.07053</v>
      </c>
      <c r="B345" s="5" t="str">
        <f>IFERROR(__xludf.DUMMYFUNCTION("""COMPUTED_VALUE"""),"https://github.com/salmanulfaris/tds-project")</f>
        <v>https://github.com/salmanulfaris/tds-project</v>
      </c>
      <c r="C345" s="3">
        <f>IFERROR(__xludf.DUMMYFUNCTION("""COMPUTED_VALUE"""),10.0)</f>
        <v>10</v>
      </c>
      <c r="D345" s="3">
        <f>IFERROR(__xludf.DUMMYFUNCTION("""COMPUTED_VALUE"""),8.0)</f>
        <v>8</v>
      </c>
      <c r="E345" s="3" t="str">
        <f>IFERROR(__xludf.DUMMYFUNCTION("""COMPUTED_VALUE"""),"I was clear and professional and i liked it.")</f>
        <v>I was clear and professional and i liked it.</v>
      </c>
      <c r="F345" s="5" t="str">
        <f>IFERROR(__xludf.DUMMYFUNCTION("""COMPUTED_VALUE"""),"https://github.com/vinaysurya1505/TDS-project-1")</f>
        <v>https://github.com/vinaysurya1505/TDS-project-1</v>
      </c>
      <c r="G345" s="3">
        <f>IFERROR(__xludf.DUMMYFUNCTION("""COMPUTED_VALUE"""),8.0)</f>
        <v>8</v>
      </c>
      <c r="H345" s="3">
        <f>IFERROR(__xludf.DUMMYFUNCTION("""COMPUTED_VALUE"""),10.0)</f>
        <v>10</v>
      </c>
      <c r="I345" s="3" t="str">
        <f>IFERROR(__xludf.DUMMYFUNCTION("""COMPUTED_VALUE"""),"The repository readme file was nice and the code was also nice ")</f>
        <v>The repository readme file was nice and the code was also nice </v>
      </c>
      <c r="J345" s="3" t="str">
        <f>IFERROR(__xludf.DUMMYFUNCTION("""COMPUTED_VALUE"""),"22f2000625@ds.study.iitm.ac.in")</f>
        <v>22f2000625@ds.study.iitm.ac.in</v>
      </c>
      <c r="K345" s="3" t="str">
        <f t="shared" si="1"/>
        <v>22f2000625@ds.study.iitm.ac.inhttps://github.com/salmanulfaris/tds-project</v>
      </c>
      <c r="L345" s="3" t="str">
        <f t="shared" si="2"/>
        <v>22f2000625@ds.study.iitm.ac.inhttps://github.com/vinaysurya1505/TDS-project-1</v>
      </c>
    </row>
    <row r="346">
      <c r="A346" s="3">
        <f>IFERROR(__xludf.DUMMYFUNCTION("""COMPUTED_VALUE"""),45602.08150082176)</f>
        <v>45602.0815</v>
      </c>
      <c r="B346" s="5" t="str">
        <f>IFERROR(__xludf.DUMMYFUNCTION("""COMPUTED_VALUE"""),"https://github.com/KaustubhaRam/London_GitHub_Users")</f>
        <v>https://github.com/KaustubhaRam/London_GitHub_Users</v>
      </c>
      <c r="C346" s="3">
        <f>IFERROR(__xludf.DUMMYFUNCTION("""COMPUTED_VALUE"""),0.0)</f>
        <v>0</v>
      </c>
      <c r="D346" s="3">
        <f>IFERROR(__xludf.DUMMYFUNCTION("""COMPUTED_VALUE"""),10.0)</f>
        <v>10</v>
      </c>
      <c r="E346" s="3" t="str">
        <f>IFERROR(__xludf.DUMMYFUNCTION("""COMPUTED_VALUE"""),"Readme.md is blank. code is clear &amp; well-structured.")</f>
        <v>Readme.md is blank. code is clear &amp; well-structured.</v>
      </c>
      <c r="F346" s="5" t="str">
        <f>IFERROR(__xludf.DUMMYFUNCTION("""COMPUTED_VALUE"""),"https://github.com/leyther5813/b100")</f>
        <v>https://github.com/leyther5813/b100</v>
      </c>
      <c r="G346" s="3">
        <f>IFERROR(__xludf.DUMMYFUNCTION("""COMPUTED_VALUE"""),8.0)</f>
        <v>8</v>
      </c>
      <c r="H346" s="3">
        <f>IFERROR(__xludf.DUMMYFUNCTION("""COMPUTED_VALUE"""),0.0)</f>
        <v>0</v>
      </c>
      <c r="I346" s="3" t="str">
        <f>IFERROR(__xludf.DUMMYFUNCTION("""COMPUTED_VALUE"""),"Readme.md lacks specific insights and actionable recommendations. Repo doesn't have code.")</f>
        <v>Readme.md lacks specific insights and actionable recommendations. Repo doesn't have code.</v>
      </c>
      <c r="J346" s="3" t="str">
        <f>IFERROR(__xludf.DUMMYFUNCTION("""COMPUTED_VALUE"""),"22f2001196@ds.study.iitm.ac.in")</f>
        <v>22f2001196@ds.study.iitm.ac.in</v>
      </c>
      <c r="K346" s="3" t="str">
        <f t="shared" si="1"/>
        <v>22f2001196@ds.study.iitm.ac.inhttps://github.com/KaustubhaRam/London_GitHub_Users</v>
      </c>
      <c r="L346" s="3" t="str">
        <f t="shared" si="2"/>
        <v>22f2001196@ds.study.iitm.ac.inhttps://github.com/leyther5813/b100</v>
      </c>
    </row>
    <row r="347">
      <c r="A347" s="3">
        <f>IFERROR(__xludf.DUMMYFUNCTION("""COMPUTED_VALUE"""),45602.116965567126)</f>
        <v>45602.11697</v>
      </c>
      <c r="B347" s="5" t="str">
        <f>IFERROR(__xludf.DUMMYFUNCTION("""COMPUTED_VALUE"""),"https://github.com/51Hypers/TDS_Project_1")</f>
        <v>https://github.com/51Hypers/TDS_Project_1</v>
      </c>
      <c r="C347" s="3">
        <f>IFERROR(__xludf.DUMMYFUNCTION("""COMPUTED_VALUE"""),10.0)</f>
        <v>10</v>
      </c>
      <c r="D347" s="3">
        <f>IFERROR(__xludf.DUMMYFUNCTION("""COMPUTED_VALUE"""),10.0)</f>
        <v>10</v>
      </c>
      <c r="E347" s="3" t="str">
        <f>IFERROR(__xludf.DUMMYFUNCTION("""COMPUTED_VALUE"""),"I rated both the ""Interesting Findings"" and ""Code Clarity and Professionalism"" as 10 because the README provided fascinating insights that significantly enhanced my understanding of the project and its findings. The code was also exceptionally well-or"&amp;"ganized, clear, and easy to follow, reflecting a high level of professionalism and making it a pleasure to review.")</f>
        <v>I rated both the "Interesting Findings" and "Code Clarity and Professionalism" as 10 because the README provided fascinating insights that significantly enhanced my understanding of the project and its findings. The code was also exceptionally well-organized, clear, and easy to follow, reflecting a high level of professionalism and making it a pleasure to review.</v>
      </c>
      <c r="F347" s="5" t="str">
        <f>IFERROR(__xludf.DUMMYFUNCTION("""COMPUTED_VALUE"""),"https://github.com/chandrabs25/tds_project1")</f>
        <v>https://github.com/chandrabs25/tds_project1</v>
      </c>
      <c r="G347" s="3">
        <f>IFERROR(__xludf.DUMMYFUNCTION("""COMPUTED_VALUE"""),5.0)</f>
        <v>5</v>
      </c>
      <c r="H347" s="3">
        <f>IFERROR(__xludf.DUMMYFUNCTION("""COMPUTED_VALUE"""),10.0)</f>
        <v>10</v>
      </c>
      <c r="I347" s="3" t="str">
        <f>IFERROR(__xludf.DUMMYFUNCTION("""COMPUTED_VALUE"""),"I rated the README.md as 5 because, while it provided some information, it lacked a professional tone and structure, which affected its clarity and effectiveness in presenting the project's findings. However, I rated the code as 10 because it was exceptio"&amp;"nally well-written, clear, and professional, demonstrating strong coding practices and ease of readability.")</f>
        <v>I rated the README.md as 5 because, while it provided some information, it lacked a professional tone and structure, which affected its clarity and effectiveness in presenting the project's findings. However, I rated the code as 10 because it was exceptionally well-written, clear, and professional, demonstrating strong coding practices and ease of readability.</v>
      </c>
      <c r="J347" s="3" t="str">
        <f>IFERROR(__xludf.DUMMYFUNCTION("""COMPUTED_VALUE"""),"23f1001050@ds.study.iitm.ac.in")</f>
        <v>23f1001050@ds.study.iitm.ac.in</v>
      </c>
      <c r="K347" s="3" t="str">
        <f t="shared" si="1"/>
        <v>23f1001050@ds.study.iitm.ac.inhttps://github.com/51Hypers/TDS_Project_1</v>
      </c>
      <c r="L347" s="3" t="str">
        <f t="shared" si="2"/>
        <v>23f1001050@ds.study.iitm.ac.inhttps://github.com/chandrabs25/tds_project1</v>
      </c>
    </row>
    <row r="348">
      <c r="A348" s="3">
        <f>IFERROR(__xludf.DUMMYFUNCTION("""COMPUTED_VALUE"""),45602.11759263889)</f>
        <v>45602.11759</v>
      </c>
      <c r="B348" s="5" t="str">
        <f>IFERROR(__xludf.DUMMYFUNCTION("""COMPUTED_VALUE"""),"https://github.com/k121mayur/TDA_PROJECT_1")</f>
        <v>https://github.com/k121mayur/TDA_PROJECT_1</v>
      </c>
      <c r="C348" s="3">
        <f>IFERROR(__xludf.DUMMYFUNCTION("""COMPUTED_VALUE"""),10.0)</f>
        <v>10</v>
      </c>
      <c r="D348" s="3">
        <f>IFERROR(__xludf.DUMMYFUNCTION("""COMPUTED_VALUE"""),10.0)</f>
        <v>10</v>
      </c>
      <c r="E348" s="3" t="str">
        <f>IFERROR(__xludf.DUMMYFUNCTION("""COMPUTED_VALUE"""),"The repo was nicely communicated and well structured.")</f>
        <v>The repo was nicely communicated and well structured.</v>
      </c>
      <c r="F348" s="5" t="str">
        <f>IFERROR(__xludf.DUMMYFUNCTION("""COMPUTED_VALUE"""),"https://github.com/AnkitaDev05/TDS-Project1")</f>
        <v>https://github.com/AnkitaDev05/TDS-Project1</v>
      </c>
      <c r="G348" s="3">
        <f>IFERROR(__xludf.DUMMYFUNCTION("""COMPUTED_VALUE"""),9.0)</f>
        <v>9</v>
      </c>
      <c r="H348" s="3">
        <f>IFERROR(__xludf.DUMMYFUNCTION("""COMPUTED_VALUE"""),10.0)</f>
        <v>10</v>
      </c>
      <c r="I348" s="3" t="str">
        <f>IFERROR(__xludf.DUMMYFUNCTION("""COMPUTED_VALUE"""),"The repo was good and well-presented.")</f>
        <v>The repo was good and well-presented.</v>
      </c>
      <c r="J348" s="3" t="str">
        <f>IFERROR(__xludf.DUMMYFUNCTION("""COMPUTED_VALUE"""),"21f3000045@ds.study.iitm.ac.in")</f>
        <v>21f3000045@ds.study.iitm.ac.in</v>
      </c>
      <c r="K348" s="3" t="str">
        <f t="shared" si="1"/>
        <v>21f3000045@ds.study.iitm.ac.inhttps://github.com/k121mayur/TDA_PROJECT_1</v>
      </c>
      <c r="L348" s="3" t="str">
        <f t="shared" si="2"/>
        <v>21f3000045@ds.study.iitm.ac.inhttps://github.com/AnkitaDev05/TDS-Project1</v>
      </c>
    </row>
    <row r="349">
      <c r="A349" s="3">
        <f>IFERROR(__xludf.DUMMYFUNCTION("""COMPUTED_VALUE"""),45602.37737260417)</f>
        <v>45602.37737</v>
      </c>
      <c r="B349" s="5" t="str">
        <f>IFERROR(__xludf.DUMMYFUNCTION("""COMPUTED_VALUE"""),"https://github.com/iitmanshi/tdsp1")</f>
        <v>https://github.com/iitmanshi/tdsp1</v>
      </c>
      <c r="C349" s="3">
        <f>IFERROR(__xludf.DUMMYFUNCTION("""COMPUTED_VALUE"""),10.0)</f>
        <v>10</v>
      </c>
      <c r="D349" s="3">
        <f>IFERROR(__xludf.DUMMYFUNCTION("""COMPUTED_VALUE"""),0.0)</f>
        <v>0</v>
      </c>
      <c r="E349" s="3" t="str">
        <f>IFERROR(__xludf.DUMMYFUNCTION("""COMPUTED_VALUE"""),"The README section is short and sweet. But the code is missing.")</f>
        <v>The README section is short and sweet. But the code is missing.</v>
      </c>
      <c r="F349" s="5" t="str">
        <f>IFERROR(__xludf.DUMMYFUNCTION("""COMPUTED_VALUE"""),"https://github.com/Jivraj-18/temp_repo_for_tds_project")</f>
        <v>https://github.com/Jivraj-18/temp_repo_for_tds_project</v>
      </c>
      <c r="G349" s="3">
        <f>IFERROR(__xludf.DUMMYFUNCTION("""COMPUTED_VALUE"""),0.0)</f>
        <v>0</v>
      </c>
      <c r="H349" s="3">
        <f>IFERROR(__xludf.DUMMYFUNCTION("""COMPUTED_VALUE"""),0.0)</f>
        <v>0</v>
      </c>
      <c r="I349" s="3" t="str">
        <f>IFERROR(__xludf.DUMMYFUNCTION("""COMPUTED_VALUE"""),"Because the README section is empty and the code is missing.")</f>
        <v>Because the README section is empty and the code is missing.</v>
      </c>
      <c r="J349" s="3" t="str">
        <f>IFERROR(__xludf.DUMMYFUNCTION("""COMPUTED_VALUE"""),"22f3002533@ds.study.iitm.ac.in")</f>
        <v>22f3002533@ds.study.iitm.ac.in</v>
      </c>
      <c r="K349" s="3" t="str">
        <f t="shared" si="1"/>
        <v>22f3002533@ds.study.iitm.ac.inhttps://github.com/iitmanshi/tdsp1</v>
      </c>
      <c r="L349" s="3" t="str">
        <f t="shared" si="2"/>
        <v>22f3002533@ds.study.iitm.ac.inhttps://github.com/Jivraj-18/temp_repo_for_tds_project</v>
      </c>
    </row>
    <row r="350">
      <c r="A350" s="3">
        <f>IFERROR(__xludf.DUMMYFUNCTION("""COMPUTED_VALUE"""),45602.41068385416)</f>
        <v>45602.41068</v>
      </c>
      <c r="B350" s="5" t="str">
        <f>IFERROR(__xludf.DUMMYFUNCTION("""COMPUTED_VALUE"""),"https://github.com/DisRajeeth/proj-1-tds")</f>
        <v>https://github.com/DisRajeeth/proj-1-tds</v>
      </c>
      <c r="C350" s="3">
        <f>IFERROR(__xludf.DUMMYFUNCTION("""COMPUTED_VALUE"""),9.0)</f>
        <v>9</v>
      </c>
      <c r="D350" s="3">
        <f>IFERROR(__xludf.DUMMYFUNCTION("""COMPUTED_VALUE"""),10.0)</f>
        <v>10</v>
      </c>
      <c r="E350" s="3" t="str">
        <f>IFERROR(__xludf.DUMMYFUNCTION("""COMPUTED_VALUE"""),"I learnt something interesting in this repo about the users of the github.")</f>
        <v>I learnt something interesting in this repo about the users of the github.</v>
      </c>
      <c r="F350" s="5" t="str">
        <f>IFERROR(__xludf.DUMMYFUNCTION("""COMPUTED_VALUE"""),"https://github.com/22f3002094/Tds-project-1")</f>
        <v>https://github.com/22f3002094/Tds-project-1</v>
      </c>
      <c r="G350" s="3">
        <f>IFERROR(__xludf.DUMMYFUNCTION("""COMPUTED_VALUE"""),10.0)</f>
        <v>10</v>
      </c>
      <c r="H350" s="3">
        <f>IFERROR(__xludf.DUMMYFUNCTION("""COMPUTED_VALUE"""),10.0)</f>
        <v>10</v>
      </c>
      <c r="I350" s="3" t="str">
        <f>IFERROR(__xludf.DUMMYFUNCTION("""COMPUTED_VALUE"""),"This repo has good analysis of the data and good conclusion from the data which enabled me to learn something new.")</f>
        <v>This repo has good analysis of the data and good conclusion from the data which enabled me to learn something new.</v>
      </c>
      <c r="J350" s="3" t="str">
        <f>IFERROR(__xludf.DUMMYFUNCTION("""COMPUTED_VALUE"""),"22f3002051@ds.study.iitm.ac.in")</f>
        <v>22f3002051@ds.study.iitm.ac.in</v>
      </c>
      <c r="K350" s="3" t="str">
        <f t="shared" si="1"/>
        <v>22f3002051@ds.study.iitm.ac.inhttps://github.com/DisRajeeth/proj-1-tds</v>
      </c>
      <c r="L350" s="3" t="str">
        <f t="shared" si="2"/>
        <v>22f3002051@ds.study.iitm.ac.inhttps://github.com/22f3002094/Tds-project-1</v>
      </c>
    </row>
    <row r="351">
      <c r="A351" s="3">
        <f>IFERROR(__xludf.DUMMYFUNCTION("""COMPUTED_VALUE"""),45602.414942268515)</f>
        <v>45602.41494</v>
      </c>
      <c r="B351" s="5" t="str">
        <f>IFERROR(__xludf.DUMMYFUNCTION("""COMPUTED_VALUE"""),"https://github.com/aliabidi00/tds-project-1")</f>
        <v>https://github.com/aliabidi00/tds-project-1</v>
      </c>
      <c r="C351" s="3">
        <f>IFERROR(__xludf.DUMMYFUNCTION("""COMPUTED_VALUE"""),10.0)</f>
        <v>10</v>
      </c>
      <c r="D351" s="3">
        <f>IFERROR(__xludf.DUMMYFUNCTION("""COMPUTED_VALUE"""),7.0)</f>
        <v>7</v>
      </c>
      <c r="E351" s="3" t="str">
        <f>IFERROR(__xludf.DUMMYFUNCTION("""COMPUTED_VALUE"""),"The findings are good, the recommendations seems to be very interesting and in the coding part i did not find any analysis code just the code of data scraping which is clear and elegant.")</f>
        <v>The findings are good, the recommendations seems to be very interesting and in the coding part i did not find any analysis code just the code of data scraping which is clear and elegant.</v>
      </c>
      <c r="F351" s="5" t="str">
        <f>IFERROR(__xludf.DUMMYFUNCTION("""COMPUTED_VALUE"""),"https://github.com/shwetavyas12/Zurich-50")</f>
        <v>https://github.com/shwetavyas12/Zurich-50</v>
      </c>
      <c r="G351" s="3">
        <f>IFERROR(__xludf.DUMMYFUNCTION("""COMPUTED_VALUE"""),9.0)</f>
        <v>9</v>
      </c>
      <c r="H351" s="3">
        <f>IFERROR(__xludf.DUMMYFUNCTION("""COMPUTED_VALUE"""),10.0)</f>
        <v>10</v>
      </c>
      <c r="I351" s="3" t="str">
        <f>IFERROR(__xludf.DUMMYFUNCTION("""COMPUTED_VALUE"""),"The findings are good and the code part is clear.")</f>
        <v>The findings are good and the code part is clear.</v>
      </c>
      <c r="J351" s="3" t="str">
        <f>IFERROR(__xludf.DUMMYFUNCTION("""COMPUTED_VALUE"""),"24ds1000036@ds.study.iitm.ac.in")</f>
        <v>24ds1000036@ds.study.iitm.ac.in</v>
      </c>
      <c r="K351" s="3" t="str">
        <f t="shared" si="1"/>
        <v>24ds1000036@ds.study.iitm.ac.inhttps://github.com/aliabidi00/tds-project-1</v>
      </c>
      <c r="L351" s="3" t="str">
        <f t="shared" si="2"/>
        <v>24ds1000036@ds.study.iitm.ac.inhttps://github.com/shwetavyas12/Zurich-50</v>
      </c>
    </row>
    <row r="352">
      <c r="A352" s="3">
        <f>IFERROR(__xludf.DUMMYFUNCTION("""COMPUTED_VALUE"""),45602.48669158565)</f>
        <v>45602.48669</v>
      </c>
      <c r="B352" s="5" t="str">
        <f>IFERROR(__xludf.DUMMYFUNCTION("""COMPUTED_VALUE"""),"https://github.com/anshuraj007/22f3000757_TDS_Proj1")</f>
        <v>https://github.com/anshuraj007/22f3000757_TDS_Proj1</v>
      </c>
      <c r="C352" s="3">
        <f>IFERROR(__xludf.DUMMYFUNCTION("""COMPUTED_VALUE"""),8.0)</f>
        <v>8</v>
      </c>
      <c r="D352" s="3">
        <f>IFERROR(__xludf.DUMMYFUNCTION("""COMPUTED_VALUE"""),9.0)</f>
        <v>9</v>
      </c>
      <c r="E352" s="3" t="str">
        <f>IFERROR(__xludf.DUMMYFUNCTION("""COMPUTED_VALUE"""),"The findings are reasonable from the data obtained but could benefit from more quantitative explanation. The codes could include details on how answers were obtained.")</f>
        <v>The findings are reasonable from the data obtained but could benefit from more quantitative explanation. The codes could include details on how answers were obtained.</v>
      </c>
      <c r="F352" s="5" t="str">
        <f>IFERROR(__xludf.DUMMYFUNCTION("""COMPUTED_VALUE"""),"https://github.com/azh-py/london-github-users")</f>
        <v>https://github.com/azh-py/london-github-users</v>
      </c>
      <c r="G352" s="3">
        <f>IFERROR(__xludf.DUMMYFUNCTION("""COMPUTED_VALUE"""),4.0)</f>
        <v>4</v>
      </c>
      <c r="H352" s="3">
        <f>IFERROR(__xludf.DUMMYFUNCTION("""COMPUTED_VALUE"""),9.0)</f>
        <v>9</v>
      </c>
      <c r="I352" s="3" t="str">
        <f>IFERROR(__xludf.DUMMYFUNCTION("""COMPUTED_VALUE"""),"At the time of peer review, README includes overview and details about the data collected. However, it does not address the specific answers for the remaining 2nd and 3rd questions asked. Codes were provided for obtaining the answers.")</f>
        <v>At the time of peer review, README includes overview and details about the data collected. However, it does not address the specific answers for the remaining 2nd and 3rd questions asked. Codes were provided for obtaining the answers.</v>
      </c>
      <c r="J352" s="3" t="str">
        <f>IFERROR(__xludf.DUMMYFUNCTION("""COMPUTED_VALUE"""),"23f2004919@ds.study.iitm.ac.in")</f>
        <v>23f2004919@ds.study.iitm.ac.in</v>
      </c>
      <c r="K352" s="3" t="str">
        <f t="shared" si="1"/>
        <v>23f2004919@ds.study.iitm.ac.inhttps://github.com/anshuraj007/22f3000757_TDS_Proj1</v>
      </c>
      <c r="L352" s="3" t="str">
        <f t="shared" si="2"/>
        <v>23f2004919@ds.study.iitm.ac.inhttps://github.com/azh-py/london-github-users</v>
      </c>
    </row>
    <row r="353">
      <c r="A353" s="3">
        <f>IFERROR(__xludf.DUMMYFUNCTION("""COMPUTED_VALUE"""),45602.49974809028)</f>
        <v>45602.49975</v>
      </c>
      <c r="B353" s="5" t="str">
        <f>IFERROR(__xludf.DUMMYFUNCTION("""COMPUTED_VALUE"""),"https://github.com/Thanhanoorudheen/proj1")</f>
        <v>https://github.com/Thanhanoorudheen/proj1</v>
      </c>
      <c r="C353" s="3">
        <f>IFERROR(__xludf.DUMMYFUNCTION("""COMPUTED_VALUE"""),0.0)</f>
        <v>0</v>
      </c>
      <c r="D353" s="3">
        <f>IFERROR(__xludf.DUMMYFUNCTION("""COMPUTED_VALUE"""),0.0)</f>
        <v>0</v>
      </c>
      <c r="E353" s="3" t="str">
        <f>IFERROR(__xludf.DUMMYFUNCTION("""COMPUTED_VALUE"""),"I did not find anything other than how he fetched the data. Also, I did not see any code in it. there are only 2 csv files and a README.md file.")</f>
        <v>I did not find anything other than how he fetched the data. Also, I did not see any code in it. there are only 2 csv files and a README.md file.</v>
      </c>
      <c r="F353" s="5" t="str">
        <f>IFERROR(__xludf.DUMMYFUNCTION("""COMPUTED_VALUE"""),"https://github.com/kabir2505/zurich_scraping-tds")</f>
        <v>https://github.com/kabir2505/zurich_scraping-tds</v>
      </c>
      <c r="G353" s="3">
        <f>IFERROR(__xludf.DUMMYFUNCTION("""COMPUTED_VALUE"""),10.0)</f>
        <v>10</v>
      </c>
      <c r="H353" s="3">
        <f>IFERROR(__xludf.DUMMYFUNCTION("""COMPUTED_VALUE"""),10.0)</f>
        <v>10</v>
      </c>
      <c r="I353" s="3" t="str">
        <f>IFERROR(__xludf.DUMMYFUNCTION("""COMPUTED_VALUE"""),"The findings and its presentation were very nice. Looks Professional! And the code was also very neat and clean to read and interpret.")</f>
        <v>The findings and its presentation were very nice. Looks Professional! And the code was also very neat and clean to read and interpret.</v>
      </c>
      <c r="J353" s="3" t="str">
        <f>IFERROR(__xludf.DUMMYFUNCTION("""COMPUTED_VALUE"""),"22f3001119@ds.study.iitm.ac.in")</f>
        <v>22f3001119@ds.study.iitm.ac.in</v>
      </c>
      <c r="K353" s="3" t="str">
        <f t="shared" si="1"/>
        <v>22f3001119@ds.study.iitm.ac.inhttps://github.com/Thanhanoorudheen/proj1</v>
      </c>
      <c r="L353" s="3" t="str">
        <f t="shared" si="2"/>
        <v>22f3001119@ds.study.iitm.ac.inhttps://github.com/kabir2505/zurich_scraping-tds</v>
      </c>
    </row>
    <row r="354">
      <c r="A354" s="3">
        <f>IFERROR(__xludf.DUMMYFUNCTION("""COMPUTED_VALUE"""),45602.521704467596)</f>
        <v>45602.5217</v>
      </c>
      <c r="B354" s="5" t="str">
        <f>IFERROR(__xludf.DUMMYFUNCTION("""COMPUTED_VALUE"""),"https://github.com/manjuiitm/Dublin1")</f>
        <v>https://github.com/manjuiitm/Dublin1</v>
      </c>
      <c r="C354" s="3">
        <f>IFERROR(__xludf.DUMMYFUNCTION("""COMPUTED_VALUE"""),10.0)</f>
        <v>10</v>
      </c>
      <c r="D354" s="3">
        <f>IFERROR(__xludf.DUMMYFUNCTION("""COMPUTED_VALUE"""),10.0)</f>
        <v>10</v>
      </c>
      <c r="E354" s="3" t="str">
        <f>IFERROR(__xludf.DUMMYFUNCTION("""COMPUTED_VALUE"""),"The repository offers insights into the GitHub developer community in Dublin, focusing on users with over 50 followers. It highlights diverse language use among local developers, suggesting a collaborative, multi-language environment. The code is organize"&amp;"d with well-documented instructions, CSV data, and analysis steps, making it both clear and professional.")</f>
        <v>The repository offers insights into the GitHub developer community in Dublin, focusing on users with over 50 followers. It highlights diverse language use among local developers, suggesting a collaborative, multi-language environment. The code is organized with well-documented instructions, CSV data, and analysis steps, making it both clear and professional.</v>
      </c>
      <c r="F354" s="5" t="str">
        <f>IFERROR(__xludf.DUMMYFUNCTION("""COMPUTED_VALUE"""),"https://github.com/indalbind/tds_project_first")</f>
        <v>https://github.com/indalbind/tds_project_first</v>
      </c>
      <c r="G354" s="3">
        <f>IFERROR(__xludf.DUMMYFUNCTION("""COMPUTED_VALUE"""),10.0)</f>
        <v>10</v>
      </c>
      <c r="H354" s="3">
        <f>IFERROR(__xludf.DUMMYFUNCTION("""COMPUTED_VALUE"""),10.0)</f>
        <v>10</v>
      </c>
      <c r="I354" s="3" t="str">
        <f>IFERROR(__xludf.DUMMYFUNCTION("""COMPUTED_VALUE"""),"The repository received a “10” for its intriguing findings on GitHub data trends, highlighting influential users. It also scored a “10” for code quality due to its clear, well-organized structure, making it easy to understand and professionally presented.")</f>
        <v>The repository received a “10” for its intriguing findings on GitHub data trends, highlighting influential users. It also scored a “10” for code quality due to its clear, well-organized structure, making it easy to understand and professionally presented.</v>
      </c>
      <c r="J354" s="3" t="str">
        <f>IFERROR(__xludf.DUMMYFUNCTION("""COMPUTED_VALUE"""),"23f1002967@ds.study.iitm.ac.in")</f>
        <v>23f1002967@ds.study.iitm.ac.in</v>
      </c>
      <c r="K354" s="3" t="str">
        <f t="shared" si="1"/>
        <v>23f1002967@ds.study.iitm.ac.inhttps://github.com/manjuiitm/Dublin1</v>
      </c>
      <c r="L354" s="3" t="str">
        <f t="shared" si="2"/>
        <v>23f1002967@ds.study.iitm.ac.inhttps://github.com/indalbind/tds_project_first</v>
      </c>
    </row>
    <row r="355">
      <c r="A355" s="3">
        <f>IFERROR(__xludf.DUMMYFUNCTION("""COMPUTED_VALUE"""),45602.52186320601)</f>
        <v>45602.52186</v>
      </c>
      <c r="B355" s="5" t="str">
        <f>IFERROR(__xludf.DUMMYFUNCTION("""COMPUTED_VALUE"""),"https://github.com/Harini-RAJ/tdsproj")</f>
        <v>https://github.com/Harini-RAJ/tdsproj</v>
      </c>
      <c r="C355" s="3">
        <f>IFERROR(__xludf.DUMMYFUNCTION("""COMPUTED_VALUE"""),8.0)</f>
        <v>8</v>
      </c>
      <c r="D355" s="3">
        <f>IFERROR(__xludf.DUMMYFUNCTION("""COMPUTED_VALUE"""),9.0)</f>
        <v>9</v>
      </c>
      <c r="E355" s="3" t="str">
        <f>IFERROR(__xludf.DUMMYFUNCTION("""COMPUTED_VALUE"""),"code is much self explanatory and easy . he write interesting fact about data , which is also  right. ")</f>
        <v>code is much self explanatory and easy . he write interesting fact about data , which is also  right. </v>
      </c>
      <c r="F355" s="5" t="str">
        <f>IFERROR(__xludf.DUMMYFUNCTION("""COMPUTED_VALUE"""),"https://github.com/23f1000647/tds-project-1")</f>
        <v>https://github.com/23f1000647/tds-project-1</v>
      </c>
      <c r="G355" s="3">
        <f>IFERROR(__xludf.DUMMYFUNCTION("""COMPUTED_VALUE"""),9.0)</f>
        <v>9</v>
      </c>
      <c r="H355" s="3">
        <f>IFERROR(__xludf.DUMMYFUNCTION("""COMPUTED_VALUE"""),8.0)</f>
        <v>8</v>
      </c>
      <c r="I355" s="3" t="str">
        <f>IFERROR(__xludf.DUMMYFUNCTION("""COMPUTED_VALUE"""),"HE Write and show some interesting fact  about data ,which is fascinating .")</f>
        <v>HE Write and show some interesting fact  about data ,which is fascinating .</v>
      </c>
      <c r="J355" s="3" t="str">
        <f>IFERROR(__xludf.DUMMYFUNCTION("""COMPUTED_VALUE"""),"23f1000629@ds.study.iitm.ac.in")</f>
        <v>23f1000629@ds.study.iitm.ac.in</v>
      </c>
      <c r="K355" s="3" t="str">
        <f t="shared" si="1"/>
        <v>23f1000629@ds.study.iitm.ac.inhttps://github.com/Harini-RAJ/tdsproj</v>
      </c>
      <c r="L355" s="3" t="str">
        <f t="shared" si="2"/>
        <v>23f1000629@ds.study.iitm.ac.inhttps://github.com/23f1000647/tds-project-1</v>
      </c>
    </row>
    <row r="356">
      <c r="A356" s="3">
        <f>IFERROR(__xludf.DUMMYFUNCTION("""COMPUTED_VALUE"""),45602.53557523148)</f>
        <v>45602.53558</v>
      </c>
      <c r="B356" s="5" t="str">
        <f>IFERROR(__xludf.DUMMYFUNCTION("""COMPUTED_VALUE"""),"https://github.com/Saransh1329/main")</f>
        <v>https://github.com/Saransh1329/main</v>
      </c>
      <c r="C356" s="3">
        <f>IFERROR(__xludf.DUMMYFUNCTION("""COMPUTED_VALUE"""),10.0)</f>
        <v>10</v>
      </c>
      <c r="D356" s="3">
        <f>IFERROR(__xludf.DUMMYFUNCTION("""COMPUTED_VALUE"""),0.0)</f>
        <v>0</v>
      </c>
      <c r="E356" s="3" t="str">
        <f>IFERROR(__xludf.DUMMYFUNCTION("""COMPUTED_VALUE"""),"the findings are good and well drafted")</f>
        <v>the findings are good and well drafted</v>
      </c>
      <c r="F356" s="5" t="str">
        <f>IFERROR(__xludf.DUMMYFUNCTION("""COMPUTED_VALUE"""),"https://github.com/Sh1617/Project1")</f>
        <v>https://github.com/Sh1617/Project1</v>
      </c>
      <c r="G356" s="3">
        <f>IFERROR(__xludf.DUMMYFUNCTION("""COMPUTED_VALUE"""),10.0)</f>
        <v>10</v>
      </c>
      <c r="H356" s="3">
        <f>IFERROR(__xludf.DUMMYFUNCTION("""COMPUTED_VALUE"""),10.0)</f>
        <v>10</v>
      </c>
      <c r="I356" s="3" t="str">
        <f>IFERROR(__xludf.DUMMYFUNCTION("""COMPUTED_VALUE"""),"Nicely documented and the finiding are insightful")</f>
        <v>Nicely documented and the finiding are insightful</v>
      </c>
      <c r="J356" s="3" t="str">
        <f>IFERROR(__xludf.DUMMYFUNCTION("""COMPUTED_VALUE"""),"22f3001912@ds.study.iitm.ac.in")</f>
        <v>22f3001912@ds.study.iitm.ac.in</v>
      </c>
      <c r="K356" s="3" t="str">
        <f t="shared" si="1"/>
        <v>22f3001912@ds.study.iitm.ac.inhttps://github.com/Saransh1329/main</v>
      </c>
      <c r="L356" s="3" t="str">
        <f t="shared" si="2"/>
        <v>22f3001912@ds.study.iitm.ac.inhttps://github.com/Sh1617/Project1</v>
      </c>
    </row>
    <row r="357">
      <c r="A357" s="3">
        <f>IFERROR(__xludf.DUMMYFUNCTION("""COMPUTED_VALUE"""),45602.54256462963)</f>
        <v>45602.54256</v>
      </c>
      <c r="B357" s="5" t="str">
        <f>IFERROR(__xludf.DUMMYFUNCTION("""COMPUTED_VALUE"""),"https://github.com/dsenthilkumar95/TDS_P1_Barcelona100")</f>
        <v>https://github.com/dsenthilkumar95/TDS_P1_Barcelona100</v>
      </c>
      <c r="C357" s="3">
        <f>IFERROR(__xludf.DUMMYFUNCTION("""COMPUTED_VALUE"""),0.0)</f>
        <v>0</v>
      </c>
      <c r="D357" s="3">
        <f>IFERROR(__xludf.DUMMYFUNCTION("""COMPUTED_VALUE"""),4.0)</f>
        <v>4</v>
      </c>
      <c r="E357" s="3" t="str">
        <f>IFERROR(__xludf.DUMMYFUNCTION("""COMPUTED_VALUE"""),"In Readme file everyone was supposed to mention three bullet points but in readme file I can    only see the link to code so there were no findings mentioned in Readme File. Link of code was present in Readme file. The data has been nicely loaded and clea"&amp;"ned properly as mentioned. But other than that there were no question solved and how question were approached was not present. So I am giving rating based on only fetching the data and trimming it. ")</f>
        <v>In Readme file everyone was supposed to mention three bullet points but in readme file I can    only see the link to code so there were no findings mentioned in Readme File. Link of code was present in Readme file. The data has been nicely loaded and cleaned properly as mentioned. But other than that there were no question solved and how question were approached was not present. So I am giving rating based on only fetching the data and trimming it. </v>
      </c>
      <c r="F357" s="5" t="str">
        <f>IFERROR(__xludf.DUMMYFUNCTION("""COMPUTED_VALUE"""),"https://github.com/pranshu0205/TDS-Project-1")</f>
        <v>https://github.com/pranshu0205/TDS-Project-1</v>
      </c>
      <c r="G357" s="3">
        <f>IFERROR(__xludf.DUMMYFUNCTION("""COMPUTED_VALUE"""),10.0)</f>
        <v>10</v>
      </c>
      <c r="H357" s="3">
        <f>IFERROR(__xludf.DUMMYFUNCTION("""COMPUTED_VALUE"""),10.0)</f>
        <v>10</v>
      </c>
      <c r="I357" s="3" t="str">
        <f>IFERROR(__xludf.DUMMYFUNCTION("""COMPUTED_VALUE"""),"Overall the readme file was nicely made and well presented so it was good and findings were also interesting. Code was nicely written there was different file for how data was collected and how problems was solved. Python file were also neat and one can e"&amp;"asily understand the code. Comments were also present which improved ease in reading the code.")</f>
        <v>Overall the readme file was nicely made and well presented so it was good and findings were also interesting. Code was nicely written there was different file for how data was collected and how problems was solved. Python file were also neat and one can easily understand the code. Comments were also present which improved ease in reading the code.</v>
      </c>
      <c r="J357" s="3" t="str">
        <f>IFERROR(__xludf.DUMMYFUNCTION("""COMPUTED_VALUE"""),"22f2001255@ds.study.iitm.ac.in")</f>
        <v>22f2001255@ds.study.iitm.ac.in</v>
      </c>
      <c r="K357" s="3" t="str">
        <f t="shared" si="1"/>
        <v>22f2001255@ds.study.iitm.ac.inhttps://github.com/dsenthilkumar95/TDS_P1_Barcelona100</v>
      </c>
      <c r="L357" s="3" t="str">
        <f t="shared" si="2"/>
        <v>22f2001255@ds.study.iitm.ac.inhttps://github.com/pranshu0205/TDS-Project-1</v>
      </c>
    </row>
    <row r="358">
      <c r="A358" s="3">
        <f>IFERROR(__xludf.DUMMYFUNCTION("""COMPUTED_VALUE"""),45602.55840652778)</f>
        <v>45602.55841</v>
      </c>
      <c r="B358" s="5" t="str">
        <f>IFERROR(__xludf.DUMMYFUNCTION("""COMPUTED_VALUE"""),"https://github.com/Thanhanoorudheen/proj1")</f>
        <v>https://github.com/Thanhanoorudheen/proj1</v>
      </c>
      <c r="C358" s="3">
        <f>IFERROR(__xludf.DUMMYFUNCTION("""COMPUTED_VALUE"""),5.0)</f>
        <v>5</v>
      </c>
      <c r="D358" s="3">
        <f>IFERROR(__xludf.DUMMYFUNCTION("""COMPUTED_VALUE"""),0.0)</f>
        <v>0</v>
      </c>
      <c r="E358" s="3" t="str">
        <f>IFERROR(__xludf.DUMMYFUNCTION("""COMPUTED_VALUE"""),"In my understanding, the response in the readme file gives a basic overview. Also, I did not find the code, so I gave the rating according to that.")</f>
        <v>In my understanding, the response in the readme file gives a basic overview. Also, I did not find the code, so I gave the rating according to that.</v>
      </c>
      <c r="F358" s="5" t="str">
        <f>IFERROR(__xludf.DUMMYFUNCTION("""COMPUTED_VALUE"""),"https://github.com/kabir2505/zurich_scraping-tds")</f>
        <v>https://github.com/kabir2505/zurich_scraping-tds</v>
      </c>
      <c r="G358" s="3">
        <f>IFERROR(__xludf.DUMMYFUNCTION("""COMPUTED_VALUE"""),10.0)</f>
        <v>10</v>
      </c>
      <c r="H358" s="3">
        <f>IFERROR(__xludf.DUMMYFUNCTION("""COMPUTED_VALUE"""),10.0)</f>
        <v>10</v>
      </c>
      <c r="I358" s="3" t="str">
        <f>IFERROR(__xludf.DUMMYFUNCTION("""COMPUTED_VALUE"""),"I find the readme file very well maintained, gives a very good inside of the data, and the code is elegant and clean.")</f>
        <v>I find the readme file very well maintained, gives a very good inside of the data, and the code is elegant and clean.</v>
      </c>
      <c r="J358" s="3" t="str">
        <f>IFERROR(__xludf.DUMMYFUNCTION("""COMPUTED_VALUE"""),"23f1002570@ds.study.iitm.ac.in")</f>
        <v>23f1002570@ds.study.iitm.ac.in</v>
      </c>
      <c r="K358" s="3" t="str">
        <f t="shared" si="1"/>
        <v>23f1002570@ds.study.iitm.ac.inhttps://github.com/Thanhanoorudheen/proj1</v>
      </c>
      <c r="L358" s="3" t="str">
        <f t="shared" si="2"/>
        <v>23f1002570@ds.study.iitm.ac.inhttps://github.com/kabir2505/zurich_scraping-tds</v>
      </c>
    </row>
    <row r="359">
      <c r="A359" s="3">
        <f>IFERROR(__xludf.DUMMYFUNCTION("""COMPUTED_VALUE"""),45602.560985034725)</f>
        <v>45602.56099</v>
      </c>
      <c r="B359" s="5" t="str">
        <f>IFERROR(__xludf.DUMMYFUNCTION("""COMPUTED_VALUE"""),"https://github.com/22f2000784/basel-github-data-analysis")</f>
        <v>https://github.com/22f2000784/basel-github-data-analysis</v>
      </c>
      <c r="C359" s="3">
        <f>IFERROR(__xludf.DUMMYFUNCTION("""COMPUTED_VALUE"""),4.0)</f>
        <v>4</v>
      </c>
      <c r="D359" s="3">
        <f>IFERROR(__xludf.DUMMYFUNCTION("""COMPUTED_VALUE"""),1.0)</f>
        <v>1</v>
      </c>
      <c r="E359" s="3" t="str">
        <f>IFERROR(__xludf.DUMMYFUNCTION("""COMPUTED_VALUE"""),"He submitted same code in both place in scrape_users.py and scrape_reposatory.py. In readme.md file is not clearly mentioned.")</f>
        <v>He submitted same code in both place in scrape_users.py and scrape_reposatory.py. In readme.md file is not clearly mentioned.</v>
      </c>
      <c r="F359" s="5" t="str">
        <f>IFERROR(__xludf.DUMMYFUNCTION("""COMPUTED_VALUE"""),"https://github.com/Sreekar-1804/Tds_Project_1")</f>
        <v>https://github.com/Sreekar-1804/Tds_Project_1</v>
      </c>
      <c r="G359" s="3">
        <f>IFERROR(__xludf.DUMMYFUNCTION("""COMPUTED_VALUE"""),10.0)</f>
        <v>10</v>
      </c>
      <c r="H359" s="3">
        <f>IFERROR(__xludf.DUMMYFUNCTION("""COMPUTED_VALUE"""),10.0)</f>
        <v>10</v>
      </c>
      <c r="I359" s="3" t="str">
        <f>IFERROR(__xludf.DUMMYFUNCTION("""COMPUTED_VALUE"""),"He clearly mentioned all code and answer analysis. His readme.md file contains appropriate content.")</f>
        <v>He clearly mentioned all code and answer analysis. His readme.md file contains appropriate content.</v>
      </c>
      <c r="J359" s="3" t="str">
        <f>IFERROR(__xludf.DUMMYFUNCTION("""COMPUTED_VALUE"""),"23f2003412@ds.study.iitm.ac.in")</f>
        <v>23f2003412@ds.study.iitm.ac.in</v>
      </c>
      <c r="K359" s="3" t="str">
        <f t="shared" si="1"/>
        <v>23f2003412@ds.study.iitm.ac.inhttps://github.com/22f2000784/basel-github-data-analysis</v>
      </c>
      <c r="L359" s="3" t="str">
        <f t="shared" si="2"/>
        <v>23f2003412@ds.study.iitm.ac.inhttps://github.com/Sreekar-1804/Tds_Project_1</v>
      </c>
    </row>
    <row r="360">
      <c r="A360" s="3">
        <f>IFERROR(__xludf.DUMMYFUNCTION("""COMPUTED_VALUE"""),45602.573188298615)</f>
        <v>45602.57319</v>
      </c>
      <c r="B360" s="5" t="str">
        <f>IFERROR(__xludf.DUMMYFUNCTION("""COMPUTED_VALUE"""),"https://github.com/sky-m1618/TDS_project_1")</f>
        <v>https://github.com/sky-m1618/TDS_project_1</v>
      </c>
      <c r="C360" s="3">
        <f>IFERROR(__xludf.DUMMYFUNCTION("""COMPUTED_VALUE"""),5.0)</f>
        <v>5</v>
      </c>
      <c r="D360" s="3">
        <f>IFERROR(__xludf.DUMMYFUNCTION("""COMPUTED_VALUE"""),0.0)</f>
        <v>0</v>
      </c>
      <c r="E360" s="3" t="str">
        <f>IFERROR(__xludf.DUMMYFUNCTION("""COMPUTED_VALUE"""),"The README file contained only brief one-liners with some typographical errors. Additionally, the repository does not contain any code")</f>
        <v>The README file contained only brief one-liners with some typographical errors. Additionally, the repository does not contain any code</v>
      </c>
      <c r="F360" s="5" t="str">
        <f>IFERROR(__xludf.DUMMYFUNCTION("""COMPUTED_VALUE"""),"https://github.com/abhi-manyu04/tds-pr1")</f>
        <v>https://github.com/abhi-manyu04/tds-pr1</v>
      </c>
      <c r="G360" s="3">
        <f>IFERROR(__xludf.DUMMYFUNCTION("""COMPUTED_VALUE"""),8.0)</f>
        <v>8</v>
      </c>
      <c r="H360" s="3">
        <f>IFERROR(__xludf.DUMMYFUNCTION("""COMPUTED_VALUE"""),10.0)</f>
        <v>10</v>
      </c>
      <c r="I360" s="3" t="str">
        <f>IFERROR(__xludf.DUMMYFUNCTION("""COMPUTED_VALUE"""),"I found the readme file to be well-written but a bit confusing. The repo's code was clean and complete.")</f>
        <v>I found the readme file to be well-written but a bit confusing. The repo's code was clean and complete.</v>
      </c>
      <c r="J360" s="3" t="str">
        <f>IFERROR(__xludf.DUMMYFUNCTION("""COMPUTED_VALUE"""),"23f1001963@ds.study.iitm.ac.in")</f>
        <v>23f1001963@ds.study.iitm.ac.in</v>
      </c>
      <c r="K360" s="3" t="str">
        <f t="shared" si="1"/>
        <v>23f1001963@ds.study.iitm.ac.inhttps://github.com/sky-m1618/TDS_project_1</v>
      </c>
      <c r="L360" s="3" t="str">
        <f t="shared" si="2"/>
        <v>23f1001963@ds.study.iitm.ac.inhttps://github.com/abhi-manyu04/tds-pr1</v>
      </c>
    </row>
    <row r="361">
      <c r="A361" s="3">
        <f>IFERROR(__xludf.DUMMYFUNCTION("""COMPUTED_VALUE"""),45602.57376850695)</f>
        <v>45602.57377</v>
      </c>
      <c r="B361" s="5" t="str">
        <f>IFERROR(__xludf.DUMMYFUNCTION("""COMPUTED_VALUE"""),"https://github.com/Abimanyu-A-J/TDSProj1/tree/main")</f>
        <v>https://github.com/Abimanyu-A-J/TDSProj1/tree/main</v>
      </c>
      <c r="C361" s="3">
        <f>IFERROR(__xludf.DUMMYFUNCTION("""COMPUTED_VALUE"""),2.0)</f>
        <v>2</v>
      </c>
      <c r="D361" s="3">
        <f>IFERROR(__xludf.DUMMYFUNCTION("""COMPUTED_VALUE"""),5.0)</f>
        <v>5</v>
      </c>
      <c r="E361" s="3" t="str">
        <f>IFERROR(__xludf.DUMMYFUNCTION("""COMPUTED_VALUE"""),"Only less than half the code is there and Readme does not have anything written")</f>
        <v>Only less than half the code is there and Readme does not have anything written</v>
      </c>
      <c r="F361" s="5" t="str">
        <f>IFERROR(__xludf.DUMMYFUNCTION("""COMPUTED_VALUE"""),"https://github.com/srishtyAg19/Moscow-50")</f>
        <v>https://github.com/srishtyAg19/Moscow-50</v>
      </c>
      <c r="G361" s="3">
        <f>IFERROR(__xludf.DUMMYFUNCTION("""COMPUTED_VALUE"""),10.0)</f>
        <v>10</v>
      </c>
      <c r="H361" s="3">
        <f>IFERROR(__xludf.DUMMYFUNCTION("""COMPUTED_VALUE"""),10.0)</f>
        <v>10</v>
      </c>
      <c r="I361" s="3" t="str">
        <f>IFERROR(__xludf.DUMMYFUNCTION("""COMPUTED_VALUE"""),"code was very well written and efficient. ReadMe was to the point and interesting observations were made. ")</f>
        <v>code was very well written and efficient. ReadMe was to the point and interesting observations were made. </v>
      </c>
      <c r="J361" s="3" t="str">
        <f>IFERROR(__xludf.DUMMYFUNCTION("""COMPUTED_VALUE"""),"22f3003253@ds.study.iitm.ac.in")</f>
        <v>22f3003253@ds.study.iitm.ac.in</v>
      </c>
      <c r="K361" s="3" t="str">
        <f t="shared" si="1"/>
        <v>22f3003253@ds.study.iitm.ac.inhttps://github.com/Abimanyu-A-J/TDSProj1/tree/main</v>
      </c>
      <c r="L361" s="3" t="str">
        <f t="shared" si="2"/>
        <v>22f3003253@ds.study.iitm.ac.inhttps://github.com/srishtyAg19/Moscow-50</v>
      </c>
    </row>
    <row r="362">
      <c r="A362" s="3">
        <f>IFERROR(__xludf.DUMMYFUNCTION("""COMPUTED_VALUE"""),45602.57403054398)</f>
        <v>45602.57403</v>
      </c>
      <c r="B362" s="5" t="str">
        <f>IFERROR(__xludf.DUMMYFUNCTION("""COMPUTED_VALUE"""),"https://github.com/AllyNav/tds_project_1")</f>
        <v>https://github.com/AllyNav/tds_project_1</v>
      </c>
      <c r="C362" s="3">
        <f>IFERROR(__xludf.DUMMYFUNCTION("""COMPUTED_VALUE"""),9.0)</f>
        <v>9</v>
      </c>
      <c r="D362" s="3">
        <f>IFERROR(__xludf.DUMMYFUNCTION("""COMPUTED_VALUE"""),10.0)</f>
        <v>10</v>
      </c>
      <c r="E362" s="3" t="str">
        <f>IFERROR(__xludf.DUMMYFUNCTION("""COMPUTED_VALUE"""),"The repo's code were well iterarted and each steps were explained in comments to understand the coder's perspective on this.")</f>
        <v>The repo's code were well iterarted and each steps were explained in comments to understand the coder's perspective on this.</v>
      </c>
      <c r="F362" s="5" t="str">
        <f>IFERROR(__xludf.DUMMYFUNCTION("""COMPUTED_VALUE"""),"https://github.com/drashtish/TDS-Project1")</f>
        <v>https://github.com/drashtish/TDS-Project1</v>
      </c>
      <c r="G362" s="3">
        <f>IFERROR(__xludf.DUMMYFUNCTION("""COMPUTED_VALUE"""),10.0)</f>
        <v>10</v>
      </c>
      <c r="H362" s="3">
        <f>IFERROR(__xludf.DUMMYFUNCTION("""COMPUTED_VALUE"""),0.0)</f>
        <v>0</v>
      </c>
      <c r="I362" s="3" t="str">
        <f>IFERROR(__xludf.DUMMYFUNCTION("""COMPUTED_VALUE"""),"The reason being the readme part was superb simple yet explanative and explained the process with ease.")</f>
        <v>The reason being the readme part was superb simple yet explanative and explained the process with ease.</v>
      </c>
      <c r="J362" s="3" t="str">
        <f>IFERROR(__xludf.DUMMYFUNCTION("""COMPUTED_VALUE"""),"22f2001336@ds.study.iitm.ac.in")</f>
        <v>22f2001336@ds.study.iitm.ac.in</v>
      </c>
      <c r="K362" s="3" t="str">
        <f t="shared" si="1"/>
        <v>22f2001336@ds.study.iitm.ac.inhttps://github.com/AllyNav/tds_project_1</v>
      </c>
      <c r="L362" s="3" t="str">
        <f t="shared" si="2"/>
        <v>22f2001336@ds.study.iitm.ac.inhttps://github.com/drashtish/TDS-Project1</v>
      </c>
    </row>
    <row r="363">
      <c r="A363" s="3">
        <f>IFERROR(__xludf.DUMMYFUNCTION("""COMPUTED_VALUE"""),45602.584596712964)</f>
        <v>45602.5846</v>
      </c>
      <c r="B363" s="5" t="str">
        <f>IFERROR(__xludf.DUMMYFUNCTION("""COMPUTED_VALUE"""),"https://github.com/rahul-jha-2001/TDS")</f>
        <v>https://github.com/rahul-jha-2001/TDS</v>
      </c>
      <c r="C363" s="3">
        <f>IFERROR(__xludf.DUMMYFUNCTION("""COMPUTED_VALUE"""),10.0)</f>
        <v>10</v>
      </c>
      <c r="D363" s="3">
        <f>IFERROR(__xludf.DUMMYFUNCTION("""COMPUTED_VALUE"""),10.0)</f>
        <v>10</v>
      </c>
      <c r="E363" s="3" t="str">
        <f>IFERROR(__xludf.DUMMYFUNCTION("""COMPUTED_VALUE"""),"Findings were interesting, code was clear .")</f>
        <v>Findings were interesting, code was clear .</v>
      </c>
      <c r="F363" s="5" t="str">
        <f>IFERROR(__xludf.DUMMYFUNCTION("""COMPUTED_VALUE"""),"https://github.com/Tanuroy10/TdsProject")</f>
        <v>https://github.com/Tanuroy10/TdsProject</v>
      </c>
      <c r="G363" s="3">
        <f>IFERROR(__xludf.DUMMYFUNCTION("""COMPUTED_VALUE"""),5.0)</f>
        <v>5</v>
      </c>
      <c r="H363" s="3">
        <f>IFERROR(__xludf.DUMMYFUNCTION("""COMPUTED_VALUE"""),0.0)</f>
        <v>0</v>
      </c>
      <c r="I363" s="3" t="str">
        <f>IFERROR(__xludf.DUMMYFUNCTION("""COMPUTED_VALUE"""),"Read me file does not mention observations and recommendations .
Code file is missing.")</f>
        <v>Read me file does not mention observations and recommendations .
Code file is missing.</v>
      </c>
      <c r="J363" s="3" t="str">
        <f>IFERROR(__xludf.DUMMYFUNCTION("""COMPUTED_VALUE"""),"23ds3000249@ds.study.iitm.ac.in")</f>
        <v>23ds3000249@ds.study.iitm.ac.in</v>
      </c>
      <c r="K363" s="3" t="str">
        <f t="shared" si="1"/>
        <v>23ds3000249@ds.study.iitm.ac.inhttps://github.com/rahul-jha-2001/TDS</v>
      </c>
      <c r="L363" s="3" t="str">
        <f t="shared" si="2"/>
        <v>23ds3000249@ds.study.iitm.ac.inhttps://github.com/Tanuroy10/TdsProject</v>
      </c>
    </row>
    <row r="364">
      <c r="A364" s="3">
        <f>IFERROR(__xludf.DUMMYFUNCTION("""COMPUTED_VALUE"""),45604.957593865736)</f>
        <v>45604.95759</v>
      </c>
      <c r="B364" s="5" t="str">
        <f>IFERROR(__xludf.DUMMYFUNCTION("""COMPUTED_VALUE"""),"https://github.com/saksham5555/project")</f>
        <v>https://github.com/saksham5555/project</v>
      </c>
      <c r="C364" s="3">
        <f>IFERROR(__xludf.DUMMYFUNCTION("""COMPUTED_VALUE"""),9.0)</f>
        <v>9</v>
      </c>
      <c r="D364" s="3">
        <f>IFERROR(__xludf.DUMMYFUNCTION("""COMPUTED_VALUE"""),9.0)</f>
        <v>9</v>
      </c>
      <c r="E364" s="3" t="str">
        <f>IFERROR(__xludf.DUMMYFUNCTION("""COMPUTED_VALUE"""),"needs some improvement but is nicely done")</f>
        <v>needs some improvement but is nicely done</v>
      </c>
      <c r="F364" s="5" t="str">
        <f>IFERROR(__xludf.DUMMYFUNCTION("""COMPUTED_VALUE"""),"https://github.com/AnantLuthra/tds-project1")</f>
        <v>https://github.com/AnantLuthra/tds-project1</v>
      </c>
      <c r="G364" s="3">
        <f>IFERROR(__xludf.DUMMYFUNCTION("""COMPUTED_VALUE"""),9.0)</f>
        <v>9</v>
      </c>
      <c r="H364" s="3">
        <f>IFERROR(__xludf.DUMMYFUNCTION("""COMPUTED_VALUE"""),10.0)</f>
        <v>10</v>
      </c>
      <c r="I364" s="3" t="str">
        <f>IFERROR(__xludf.DUMMYFUNCTION("""COMPUTED_VALUE"""),"everything is there and very nicely presented")</f>
        <v>everything is there and very nicely presented</v>
      </c>
      <c r="J364" s="3" t="str">
        <f>IFERROR(__xludf.DUMMYFUNCTION("""COMPUTED_VALUE"""),"23f2004112@ds.study.iitm.ac.in")</f>
        <v>23f2004112@ds.study.iitm.ac.in</v>
      </c>
      <c r="K364" s="3" t="str">
        <f t="shared" si="1"/>
        <v>23f2004112@ds.study.iitm.ac.inhttps://github.com/saksham5555/project</v>
      </c>
      <c r="L364" s="3" t="str">
        <f t="shared" si="2"/>
        <v>23f2004112@ds.study.iitm.ac.inhttps://github.com/AnantLuthra/tds-project1</v>
      </c>
    </row>
    <row r="365">
      <c r="A365" s="3">
        <f>IFERROR(__xludf.DUMMYFUNCTION("""COMPUTED_VALUE"""),45602.58703488426)</f>
        <v>45602.58703</v>
      </c>
      <c r="B365" s="5" t="str">
        <f>IFERROR(__xludf.DUMMYFUNCTION("""COMPUTED_VALUE"""),"https://github.com/kanha-00001/project-1-final")</f>
        <v>https://github.com/kanha-00001/project-1-final</v>
      </c>
      <c r="C365" s="3">
        <f>IFERROR(__xludf.DUMMYFUNCTION("""COMPUTED_VALUE"""),8.0)</f>
        <v>8</v>
      </c>
      <c r="D365" s="3">
        <f>IFERROR(__xludf.DUMMYFUNCTION("""COMPUTED_VALUE"""),0.0)</f>
        <v>0</v>
      </c>
      <c r="E365" s="3" t="str">
        <f>IFERROR(__xludf.DUMMYFUNCTION("""COMPUTED_VALUE"""),"The code for the scraping of data and questions was not present. The readme file had generic facts.")</f>
        <v>The code for the scraping of data and questions was not present. The readme file had generic facts.</v>
      </c>
      <c r="F365" s="5" t="str">
        <f>IFERROR(__xludf.DUMMYFUNCTION("""COMPUTED_VALUE"""),"https://github.com/itznoor998/TDS_project1")</f>
        <v>https://github.com/itznoor998/TDS_project1</v>
      </c>
      <c r="G365" s="3">
        <f>IFERROR(__xludf.DUMMYFUNCTION("""COMPUTED_VALUE"""),10.0)</f>
        <v>10</v>
      </c>
      <c r="H365" s="3">
        <f>IFERROR(__xludf.DUMMYFUNCTION("""COMPUTED_VALUE"""),10.0)</f>
        <v>10</v>
      </c>
      <c r="I365" s="3" t="str">
        <f>IFERROR(__xludf.DUMMYFUNCTION("""COMPUTED_VALUE"""),"The readme file had new fact, which i had not noticed in the data earlier. The code was present, and it was easily understandable. ")</f>
        <v>The readme file had new fact, which i had not noticed in the data earlier. The code was present, and it was easily understandable. </v>
      </c>
      <c r="J365" s="3" t="str">
        <f>IFERROR(__xludf.DUMMYFUNCTION("""COMPUTED_VALUE"""),"23f1000200@ds.study.iitm.ac.in")</f>
        <v>23f1000200@ds.study.iitm.ac.in</v>
      </c>
      <c r="K365" s="3" t="str">
        <f t="shared" si="1"/>
        <v>23f1000200@ds.study.iitm.ac.inhttps://github.com/kanha-00001/project-1-final</v>
      </c>
      <c r="L365" s="3" t="str">
        <f t="shared" si="2"/>
        <v>23f1000200@ds.study.iitm.ac.inhttps://github.com/itznoor998/TDS_project1</v>
      </c>
    </row>
    <row r="366">
      <c r="A366" s="3">
        <f>IFERROR(__xludf.DUMMYFUNCTION("""COMPUTED_VALUE"""),45602.59488158565)</f>
        <v>45602.59488</v>
      </c>
      <c r="B366" s="5" t="str">
        <f>IFERROR(__xludf.DUMMYFUNCTION("""COMPUTED_VALUE"""),"https://github.com/SV-03/TDS-P1")</f>
        <v>https://github.com/SV-03/TDS-P1</v>
      </c>
      <c r="C366" s="3">
        <f>IFERROR(__xludf.DUMMYFUNCTION("""COMPUTED_VALUE"""),10.0)</f>
        <v>10</v>
      </c>
      <c r="D366" s="3">
        <f>IFERROR(__xludf.DUMMYFUNCTION("""COMPUTED_VALUE"""),9.0)</f>
        <v>9</v>
      </c>
      <c r="E366" s="3" t="str">
        <f>IFERROR(__xludf.DUMMYFUNCTION("""COMPUTED_VALUE"""),"The rating system aligns seamlessly with the existing code structure and matches the explanation provided in the README.")</f>
        <v>The rating system aligns seamlessly with the existing code structure and matches the explanation provided in the README.</v>
      </c>
      <c r="F366" s="5" t="str">
        <f>IFERROR(__xludf.DUMMYFUNCTION("""COMPUTED_VALUE"""),"https://github.com/vath-21/tdsproject1")</f>
        <v>https://github.com/vath-21/tdsproject1</v>
      </c>
      <c r="G366" s="3">
        <f>IFERROR(__xludf.DUMMYFUNCTION("""COMPUTED_VALUE"""),8.0)</f>
        <v>8</v>
      </c>
      <c r="H366" s="3">
        <f>IFERROR(__xludf.DUMMYFUNCTION("""COMPUTED_VALUE"""),10.0)</f>
        <v>10</v>
      </c>
      <c r="I366" s="3" t="str">
        <f>IFERROR(__xludf.DUMMYFUNCTION("""COMPUTED_VALUE"""),"
The rating system aligns seamlessly with the existing code structure.")</f>
        <v>
The rating system aligns seamlessly with the existing code structure.</v>
      </c>
      <c r="J366" s="3" t="str">
        <f>IFERROR(__xludf.DUMMYFUNCTION("""COMPUTED_VALUE"""),"23f3003763@ds.study.iitm.ac.in")</f>
        <v>23f3003763@ds.study.iitm.ac.in</v>
      </c>
      <c r="K366" s="3" t="str">
        <f t="shared" si="1"/>
        <v>23f3003763@ds.study.iitm.ac.inhttps://github.com/SV-03/TDS-P1</v>
      </c>
      <c r="L366" s="3" t="str">
        <f t="shared" si="2"/>
        <v>23f3003763@ds.study.iitm.ac.inhttps://github.com/vath-21/tdsproject1</v>
      </c>
    </row>
    <row r="367">
      <c r="A367" s="3">
        <f>IFERROR(__xludf.DUMMYFUNCTION("""COMPUTED_VALUE"""),45602.637326944445)</f>
        <v>45602.63733</v>
      </c>
      <c r="B367" s="5" t="str">
        <f>IFERROR(__xludf.DUMMYFUNCTION("""COMPUTED_VALUE"""),"https://github.com/rajakumari-sp/TDS_project1")</f>
        <v>https://github.com/rajakumari-sp/TDS_project1</v>
      </c>
      <c r="C367" s="3">
        <f>IFERROR(__xludf.DUMMYFUNCTION("""COMPUTED_VALUE"""),7.0)</f>
        <v>7</v>
      </c>
      <c r="D367" s="3">
        <f>IFERROR(__xludf.DUMMYFUNCTION("""COMPUTED_VALUE"""),6.0)</f>
        <v>6</v>
      </c>
      <c r="E367" s="3" t="str">
        <f>IFERROR(__xludf.DUMMYFUNCTION("""COMPUTED_VALUE"""),"The README contains some interesting insights, particularly around the popularity of JavaScript and the unexpected absence of Java in recent repositories. These findings are thought-provoking for understanding trends in programming languages.
The code is"&amp;" fairly clear, with understandable logic and appropriate library usage. However, it could benefit from more detailed comments and consistent formatting for improved readability and professionalism.
This repo has notable insights but could enhance clarity"&amp;" with minor refinements in code documentation and structure.")</f>
        <v>The README contains some interesting insights, particularly around the popularity of JavaScript and the unexpected absence of Java in recent repositories. These findings are thought-provoking for understanding trends in programming languages.
The code is fairly clear, with understandable logic and appropriate library usage. However, it could benefit from more detailed comments and consistent formatting for improved readability and professionalism.
This repo has notable insights but could enhance clarity with minor refinements in code documentation and structure.</v>
      </c>
      <c r="F367" s="5" t="str">
        <f>IFERROR(__xludf.DUMMYFUNCTION("""COMPUTED_VALUE"""),"https://github.com/swaraj753/Project-1")</f>
        <v>https://github.com/swaraj753/Project-1</v>
      </c>
      <c r="G367" s="3">
        <f>IFERROR(__xludf.DUMMYFUNCTION("""COMPUTED_VALUE"""),8.0)</f>
        <v>8</v>
      </c>
      <c r="H367" s="3">
        <f>IFERROR(__xludf.DUMMYFUNCTION("""COMPUTED_VALUE"""),7.0)</f>
        <v>7</v>
      </c>
      <c r="I367" s="3" t="str">
        <f>IFERROR(__xludf.DUMMYFUNCTION("""COMPUTED_VALUE"""),"The README provides detailed insights, such as the dominance of JavaScript among Stockholm users and the engagement boost from thorough documentation. These findings are both informative and practical for developers aiming to increase visibility.
The cod"&amp;"e is mostly clear and well-organized, especially in its use of Jupyter Notebook for analysis. Adding comments and improving the structure would enhance professionalism and readability further.
This repo is insightful and relatively well-organized, with m"&amp;"inor improvements needed for optimal clarity.")</f>
        <v>The README provides detailed insights, such as the dominance of JavaScript among Stockholm users and the engagement boost from thorough documentation. These findings are both informative and practical for developers aiming to increase visibility.
The code is mostly clear and well-organized, especially in its use of Jupyter Notebook for analysis. Adding comments and improving the structure would enhance professionalism and readability further.
This repo is insightful and relatively well-organized, with minor improvements needed for optimal clarity.</v>
      </c>
      <c r="J367" s="3" t="str">
        <f>IFERROR(__xludf.DUMMYFUNCTION("""COMPUTED_VALUE"""),"23ds3000113@ds.study.iitm.ac.in")</f>
        <v>23ds3000113@ds.study.iitm.ac.in</v>
      </c>
      <c r="K367" s="3" t="str">
        <f t="shared" si="1"/>
        <v>23ds3000113@ds.study.iitm.ac.inhttps://github.com/rajakumari-sp/TDS_project1</v>
      </c>
      <c r="L367" s="3" t="str">
        <f t="shared" si="2"/>
        <v>23ds3000113@ds.study.iitm.ac.inhttps://github.com/swaraj753/Project-1</v>
      </c>
    </row>
    <row r="368">
      <c r="A368" s="3">
        <f>IFERROR(__xludf.DUMMYFUNCTION("""COMPUTED_VALUE"""),45602.65597935185)</f>
        <v>45602.65598</v>
      </c>
      <c r="B368" s="5" t="str">
        <f>IFERROR(__xludf.DUMMYFUNCTION("""COMPUTED_VALUE"""),"https://github.com/JS121000/BERLINPROJECT")</f>
        <v>https://github.com/JS121000/BERLINPROJECT</v>
      </c>
      <c r="C368" s="3">
        <f>IFERROR(__xludf.DUMMYFUNCTION("""COMPUTED_VALUE"""),10.0)</f>
        <v>10</v>
      </c>
      <c r="D368" s="3">
        <f>IFERROR(__xludf.DUMMYFUNCTION("""COMPUTED_VALUE"""),10.0)</f>
        <v>10</v>
      </c>
      <c r="E368" s="3" t="str">
        <f>IFERROR(__xludf.DUMMYFUNCTION("""COMPUTED_VALUE"""),"1) Findings about most popular programming language and a suggestion to developers that learning the language can be helpful is interesting and relevant insight.  2)The code is well documented and easy to follow.")</f>
        <v>1) Findings about most popular programming language and a suggestion to developers that learning the language can be helpful is interesting and relevant insight.  2)The code is well documented and easy to follow.</v>
      </c>
      <c r="F368" s="5" t="str">
        <f>IFERROR(__xludf.DUMMYFUNCTION("""COMPUTED_VALUE"""),"https://github.com/madhavanrmiitm/tds-project1")</f>
        <v>https://github.com/madhavanrmiitm/tds-project1</v>
      </c>
      <c r="G368" s="3">
        <f>IFERROR(__xludf.DUMMYFUNCTION("""COMPUTED_VALUE"""),9.0)</f>
        <v>9</v>
      </c>
      <c r="H368" s="3">
        <f>IFERROR(__xludf.DUMMYFUNCTION("""COMPUTED_VALUE"""),10.0)</f>
        <v>10</v>
      </c>
      <c r="I368" s="3" t="str">
        <f>IFERROR(__xludf.DUMMYFUNCTION("""COMPUTED_VALUE"""),"1)The insights provided , and the actionable suggestions are interesting and relevant. The author did not just glance at the correlation between bio length and number of followers but identified at what length the relation changes. The author  then sugges"&amp;"ts an optimal length, which is what I found impressive. I reduced a mark though, for the reason that , the bullet points do not reflect the insights, as instructed. I got the insights rom the passage below. 2) the code is beautifully presented.")</f>
        <v>1)The insights provided , and the actionable suggestions are interesting and relevant. The author did not just glance at the correlation between bio length and number of followers but identified at what length the relation changes. The author  then suggests an optimal length, which is what I found impressive. I reduced a mark though, for the reason that , the bullet points do not reflect the insights, as instructed. I got the insights rom the passage below. 2) the code is beautifully presented.</v>
      </c>
      <c r="J368" s="3" t="str">
        <f>IFERROR(__xludf.DUMMYFUNCTION("""COMPUTED_VALUE"""),"24ds1000042@ds.study.iitm.ac.in")</f>
        <v>24ds1000042@ds.study.iitm.ac.in</v>
      </c>
      <c r="K368" s="3" t="str">
        <f t="shared" si="1"/>
        <v>24ds1000042@ds.study.iitm.ac.inhttps://github.com/JS121000/BERLINPROJECT</v>
      </c>
      <c r="L368" s="3" t="str">
        <f t="shared" si="2"/>
        <v>24ds1000042@ds.study.iitm.ac.inhttps://github.com/madhavanrmiitm/tds-project1</v>
      </c>
    </row>
    <row r="369">
      <c r="A369" s="3">
        <f>IFERROR(__xludf.DUMMYFUNCTION("""COMPUTED_VALUE"""),45602.65877444444)</f>
        <v>45602.65877</v>
      </c>
      <c r="B369" s="5" t="str">
        <f>IFERROR(__xludf.DUMMYFUNCTION("""COMPUTED_VALUE"""),"https://github.com/Param302/TDS-Project1")</f>
        <v>https://github.com/Param302/TDS-Project1</v>
      </c>
      <c r="C369" s="3">
        <f>IFERROR(__xludf.DUMMYFUNCTION("""COMPUTED_VALUE"""),10.0)</f>
        <v>10</v>
      </c>
      <c r="D369" s="3">
        <f>IFERROR(__xludf.DUMMYFUNCTION("""COMPUTED_VALUE"""),10.0)</f>
        <v>10</v>
      </c>
      <c r="E369" s="3" t="str">
        <f>IFERROR(__xludf.DUMMYFUNCTION("""COMPUTED_VALUE"""),"The repo is well maintained and clearly explained.")</f>
        <v>The repo is well maintained and clearly explained.</v>
      </c>
      <c r="F369" s="5" t="str">
        <f>IFERROR(__xludf.DUMMYFUNCTION("""COMPUTED_VALUE"""),"https://github.com/23f2004165/Scraping-GitHub-Users-And-Their-Repos-TDS-Project1-")</f>
        <v>https://github.com/23f2004165/Scraping-GitHub-Users-And-Their-Repos-TDS-Project1-</v>
      </c>
      <c r="G369" s="3">
        <f>IFERROR(__xludf.DUMMYFUNCTION("""COMPUTED_VALUE"""),10.0)</f>
        <v>10</v>
      </c>
      <c r="H369" s="3">
        <f>IFERROR(__xludf.DUMMYFUNCTION("""COMPUTED_VALUE"""),5.0)</f>
        <v>5</v>
      </c>
      <c r="I369" s="3" t="str">
        <f>IFERROR(__xludf.DUMMYFUNCTION("""COMPUTED_VALUE"""),"The findings are very good but need to upload a code and not just give a link of colab.")</f>
        <v>The findings are very good but need to upload a code and not just give a link of colab.</v>
      </c>
      <c r="J369" s="3" t="str">
        <f>IFERROR(__xludf.DUMMYFUNCTION("""COMPUTED_VALUE"""),"23f2004160@ds.study.iitm.ac.in")</f>
        <v>23f2004160@ds.study.iitm.ac.in</v>
      </c>
      <c r="K369" s="3" t="str">
        <f t="shared" si="1"/>
        <v>23f2004160@ds.study.iitm.ac.inhttps://github.com/Param302/TDS-Project1</v>
      </c>
      <c r="L369" s="3" t="str">
        <f t="shared" si="2"/>
        <v>23f2004160@ds.study.iitm.ac.inhttps://github.com/23f2004165/Scraping-GitHub-Users-And-Their-Repos-TDS-Project1-</v>
      </c>
    </row>
    <row r="370">
      <c r="A370" s="3">
        <f>IFERROR(__xludf.DUMMYFUNCTION("""COMPUTED_VALUE"""),45602.660766597226)</f>
        <v>45602.66077</v>
      </c>
      <c r="B370" s="5" t="str">
        <f>IFERROR(__xludf.DUMMYFUNCTION("""COMPUTED_VALUE"""),"https://github.com/Aryan0550p/LondonUsersRepo")</f>
        <v>https://github.com/Aryan0550p/LondonUsersRepo</v>
      </c>
      <c r="C370" s="3">
        <f>IFERROR(__xludf.DUMMYFUNCTION("""COMPUTED_VALUE"""),6.0)</f>
        <v>6</v>
      </c>
      <c r="D370" s="3">
        <f>IFERROR(__xludf.DUMMYFUNCTION("""COMPUTED_VALUE"""),6.0)</f>
        <v>6</v>
      </c>
      <c r="E370" s="3" t="str">
        <f>IFERROR(__xludf.DUMMYFUNCTION("""COMPUTED_VALUE"""),"Review notes on README (my internal split is a score of 5 for findings and a score of 5 for recommendations):
(1) The insights and recommendation is based off of a simple observation that JavaScript is the most popular language, however some additional wr"&amp;"iteup on why that could be the case could have been provided. Further, the recommendation that Javascript should be the language of choice to increase visibility on Github does not consider the fact that there are developers who do not necessarility work "&amp;"on the Javascript projects and there are ways besides contributing to Javascript open source project where they could gain more visibility.
(2) I would have awarded additional score to the readme had there been analysis based off of a combination of two f"&amp;"ields (say, correlation between length of bio and number of followers, for example)
Review notes on the code (my internal split is a score of 6 for the scraper and 4 for the analysis code/spreadsheet):
1. The scraping code is well written
2. Code and/or "&amp;"spreadsheet needed to perform analysis (project questions) was not uploaded (however same has been mentioned on the discourse thread): I would have awarded a 9/10 (minus 1 for the absence of documentation) had there been code (and/or spreadsheet) for the "&amp;"data analysis as well.")</f>
        <v>Review notes on README (my internal split is a score of 5 for findings and a score of 5 for recommendations):
(1) The insights and recommendation is based off of a simple observation that JavaScript is the most popular language, however some additional writeup on why that could be the case could have been provided. Further, the recommendation that Javascript should be the language of choice to increase visibility on Github does not consider the fact that there are developers who do not necessarility work on the Javascript projects and there are ways besides contributing to Javascript open source project where they could gain more visibility.
(2) I would have awarded additional score to the readme had there been analysis based off of a combination of two fields (say, correlation between length of bio and number of followers, for example)
Review notes on the code (my internal split is a score of 6 for the scraper and 4 for the analysis code/spreadsheet):
1. The scraping code is well written
2. Code and/or spreadsheet needed to perform analysis (project questions) was not uploaded (however same has been mentioned on the discourse thread): I would have awarded a 9/10 (minus 1 for the absence of documentation) had there been code (and/or spreadsheet) for the data analysis as well.</v>
      </c>
      <c r="F370" s="5" t="str">
        <f>IFERROR(__xludf.DUMMYFUNCTION("""COMPUTED_VALUE"""),"https://github.com/DigvijaysinhChudasamaIITM/ToolsinDataScience-Project1")</f>
        <v>https://github.com/DigvijaysinhChudasamaIITM/ToolsinDataScience-Project1</v>
      </c>
      <c r="G370" s="3">
        <f>IFERROR(__xludf.DUMMYFUNCTION("""COMPUTED_VALUE"""),8.0)</f>
        <v>8</v>
      </c>
      <c r="H370" s="3">
        <f>IFERROR(__xludf.DUMMYFUNCTION("""COMPUTED_VALUE"""),9.0)</f>
        <v>9</v>
      </c>
      <c r="I370" s="3" t="str">
        <f>IFERROR(__xludf.DUMMYFUNCTION("""COMPUTED_VALUE"""),"Review notes on README (my internal split is a score of 5 for findings and a score of 5 for recommendations):
1. Some supporting data could have been provided on how the following conclusion has been arrived at:
number of highly-followed GitHub users in S"&amp;"ydney are affiliated with startups and open-source projects,
2. A few supporting charts to substantiate the insights would have enhanced the writeup
3. I would have awarded a higher weghtage to conclusion(s) (and recommendations based off of conclusion(s)"&amp;") reflecting an insight from multi field analysis (say, is there any correlation between the length of bio versus the number of followers, number of repositories created versus the number of followers, analysis on star gazers count for example)
Review no"&amp;"tes on the code (my internal split is a score of 6 for the scraper and 4 for the analysis code/spreadsheet):
1. Code (both scraper and analysis) is well written, modular, has good logs and is well documented (including method level documentation). 
2. I w"&amp;"ould have awarded a 10 if: 
(a) Instead of splitting the answers into 15+ distinct Python files a single file (preferably a Jupyter notebook or a Colab notebook) had been provided because (in the context of this project) it makes it easier for another use"&amp;"r to quickly get onboarded and test out things (based on another user's code). 
")</f>
        <v>Review notes on README (my internal split is a score of 5 for findings and a score of 5 for recommendations):
1. Some supporting data could have been provided on how the following conclusion has been arrived at:
number of highly-followed GitHub users in Sydney are affiliated with startups and open-source projects,
2. A few supporting charts to substantiate the insights would have enhanced the writeup
3. I would have awarded a higher weghtage to conclusion(s) (and recommendations based off of conclusion(s)) reflecting an insight from multi field analysis (say, is there any correlation between the length of bio versus the number of followers, number of repositories created versus the number of followers, analysis on star gazers count for example)
Review notes on the code (my internal split is a score of 6 for the scraper and 4 for the analysis code/spreadsheet):
1. Code (both scraper and analysis) is well written, modular, has good logs and is well documented (including method level documentation). 
2. I would have awarded a 10 if: 
(a) Instead of splitting the answers into 15+ distinct Python files a single file (preferably a Jupyter notebook or a Colab notebook) had been provided because (in the context of this project) it makes it easier for another user to quickly get onboarded and test out things (based on another user's code). 
</v>
      </c>
      <c r="J370" s="3" t="str">
        <f>IFERROR(__xludf.DUMMYFUNCTION("""COMPUTED_VALUE"""),"24ds3000100@ds.study.iitm.ac.in")</f>
        <v>24ds3000100@ds.study.iitm.ac.in</v>
      </c>
      <c r="K370" s="3" t="str">
        <f t="shared" si="1"/>
        <v>24ds3000100@ds.study.iitm.ac.inhttps://github.com/Aryan0550p/LondonUsersRepo</v>
      </c>
      <c r="L370" s="3" t="str">
        <f t="shared" si="2"/>
        <v>24ds3000100@ds.study.iitm.ac.inhttps://github.com/DigvijaysinhChudasamaIITM/ToolsinDataScience-Project1</v>
      </c>
    </row>
    <row r="371">
      <c r="A371" s="3">
        <f>IFERROR(__xludf.DUMMYFUNCTION("""COMPUTED_VALUE"""),45602.683548807865)</f>
        <v>45602.68355</v>
      </c>
      <c r="B371" s="5" t="str">
        <f>IFERROR(__xludf.DUMMYFUNCTION("""COMPUTED_VALUE"""),"https://github.com/Devanshshukla090705/PRJ1_TDS")</f>
        <v>https://github.com/Devanshshukla090705/PRJ1_TDS</v>
      </c>
      <c r="C371" s="3">
        <f>IFERROR(__xludf.DUMMYFUNCTION("""COMPUTED_VALUE"""),9.0)</f>
        <v>9</v>
      </c>
      <c r="D371" s="3">
        <f>IFERROR(__xludf.DUMMYFUNCTION("""COMPUTED_VALUE"""),8.0)</f>
        <v>8</v>
      </c>
      <c r="E371" s="3" t="str">
        <f>IFERROR(__xludf.DUMMYFUNCTION("""COMPUTED_VALUE"""),"The given repo does contain a neat and elaborative code but the rest of the code which is used to answer the questions asked in test were giving error so it could be handled in more efficient way, but rest of the efforts are visible.")</f>
        <v>The given repo does contain a neat and elaborative code but the rest of the code which is used to answer the questions asked in test were giving error so it could be handled in more efficient way, but rest of the efforts are visible.</v>
      </c>
      <c r="F371" s="5" t="str">
        <f>IFERROR(__xludf.DUMMYFUNCTION("""COMPUTED_VALUE"""),"https://github.com/Hitesh-Binjrawat/TDSProject1")</f>
        <v>https://github.com/Hitesh-Binjrawat/TDSProject1</v>
      </c>
      <c r="G371" s="3">
        <f>IFERROR(__xludf.DUMMYFUNCTION("""COMPUTED_VALUE"""),6.0)</f>
        <v>6</v>
      </c>
      <c r="H371" s="3">
        <f>IFERROR(__xludf.DUMMYFUNCTION("""COMPUTED_VALUE"""),8.0)</f>
        <v>8</v>
      </c>
      <c r="I371" s="3" t="str">
        <f>IFERROR(__xludf.DUMMYFUNCTION("""COMPUTED_VALUE"""),"For the Findings part the user said ""The most interesting thing about data is that my watchers count was equal to stargazers count in almost all entries suggesting whoever watches the repositries also stars it"" When I read this I suddenly got curious ab"&amp;"out it like how it could be possible, it could happen in 40-50% data but not for all entries, and so I searched for it and get to know that:-
In the GitHub API, ""stargazers_count"" and ""watchers_count"" both return the same value for a repository. This "&amp;"is because of a historical change in GitHub's API, where ""watchers"" used to mean users who starred the repository to show interest in it. However, GitHub later changed the meaning of ""watchers"" to users who want to receive notifications for repository"&amp;" activity.
It means both the column actually targeting at same point, it's good that the user found it interesting but he/she should first think about it how's it could be possible for such big data.
For Clear and Professional Part:-
The code given in t"&amp;"he repo is indeed clear but most of the part is comment out which shouldn't be otherwise if I try to run that code then it would give error as some part of it will run and some part would be missing as comment out.")</f>
        <v>For the Findings part the user said "The most interesting thing about data is that my watchers count was equal to stargazers count in almost all entries suggesting whoever watches the repositries also stars it" When I read this I suddenly got curious about it like how it could be possible, it could happen in 40-50% data but not for all entries, and so I searched for it and get to know that:-
In the GitHub API, "stargazers_count" and "watchers_count" both return the same value for a repository. This is because of a historical change in GitHub's API, where "watchers" used to mean users who starred the repository to show interest in it. However, GitHub later changed the meaning of "watchers" to users who want to receive notifications for repository activity.
It means both the column actually targeting at same point, it's good that the user found it interesting but he/she should first think about it how's it could be possible for such big data.
For Clear and Professional Part:-
The code given in the repo is indeed clear but most of the part is comment out which shouldn't be otherwise if I try to run that code then it would give error as some part of it will run and some part would be missing as comment out.</v>
      </c>
      <c r="J371" s="3" t="str">
        <f>IFERROR(__xludf.DUMMYFUNCTION("""COMPUTED_VALUE"""),"22f2001226@ds.study.iitm.ac.in")</f>
        <v>22f2001226@ds.study.iitm.ac.in</v>
      </c>
      <c r="K371" s="3" t="str">
        <f t="shared" si="1"/>
        <v>22f2001226@ds.study.iitm.ac.inhttps://github.com/Devanshshukla090705/PRJ1_TDS</v>
      </c>
      <c r="L371" s="3" t="str">
        <f t="shared" si="2"/>
        <v>22f2001226@ds.study.iitm.ac.inhttps://github.com/Hitesh-Binjrawat/TDSProject1</v>
      </c>
    </row>
    <row r="372">
      <c r="A372" s="3">
        <f>IFERROR(__xludf.DUMMYFUNCTION("""COMPUTED_VALUE"""),45602.70940799768)</f>
        <v>45602.70941</v>
      </c>
      <c r="B372" s="5" t="str">
        <f>IFERROR(__xludf.DUMMYFUNCTION("""COMPUTED_VALUE"""),"https://github.com/Rivansh-Illika/TDS-ASSIGNMENT-P-1")</f>
        <v>https://github.com/Rivansh-Illika/TDS-ASSIGNMENT-P-1</v>
      </c>
      <c r="C372" s="3">
        <f>IFERROR(__xludf.DUMMYFUNCTION("""COMPUTED_VALUE"""),8.0)</f>
        <v>8</v>
      </c>
      <c r="D372" s="3">
        <f>IFERROR(__xludf.DUMMYFUNCTION("""COMPUTED_VALUE"""),6.0)</f>
        <v>6</v>
      </c>
      <c r="E372" s="3" t="str">
        <f>IFERROR(__xludf.DUMMYFUNCTION("""COMPUTED_VALUE"""),"I gave these ratings since the interesting fact was somewhat predictable. Regarding the code, the steps listed are just fine.")</f>
        <v>I gave these ratings since the interesting fact was somewhat predictable. Regarding the code, the steps listed are just fine.</v>
      </c>
      <c r="F372" s="5" t="str">
        <f>IFERROR(__xludf.DUMMYFUNCTION("""COMPUTED_VALUE"""),"https://github.com/shivasanthosh0804/TDSProject-1")</f>
        <v>https://github.com/shivasanthosh0804/TDSProject-1</v>
      </c>
      <c r="G372" s="3">
        <f>IFERROR(__xludf.DUMMYFUNCTION("""COMPUTED_VALUE"""),9.0)</f>
        <v>9</v>
      </c>
      <c r="H372" s="3">
        <f>IFERROR(__xludf.DUMMYFUNCTION("""COMPUTED_VALUE"""),8.0)</f>
        <v>8</v>
      </c>
      <c r="I372" s="3" t="str">
        <f>IFERROR(__xludf.DUMMYFUNCTION("""COMPUTED_VALUE"""),"I gave these ratings since some of the interesting facts were predictable while others fine. Regarding the code, the steps listed are just fine.")</f>
        <v>I gave these ratings since some of the interesting facts were predictable while others fine. Regarding the code, the steps listed are just fine.</v>
      </c>
      <c r="J372" s="3" t="str">
        <f>IFERROR(__xludf.DUMMYFUNCTION("""COMPUTED_VALUE"""),"23f1001535@ds.study.iitm.ac.in")</f>
        <v>23f1001535@ds.study.iitm.ac.in</v>
      </c>
      <c r="K372" s="3" t="str">
        <f t="shared" si="1"/>
        <v>23f1001535@ds.study.iitm.ac.inhttps://github.com/Rivansh-Illika/TDS-ASSIGNMENT-P-1</v>
      </c>
      <c r="L372" s="3" t="str">
        <f t="shared" si="2"/>
        <v>23f1001535@ds.study.iitm.ac.inhttps://github.com/shivasanthosh0804/TDSProject-1</v>
      </c>
    </row>
    <row r="373">
      <c r="A373" s="3">
        <f>IFERROR(__xludf.DUMMYFUNCTION("""COMPUTED_VALUE"""),45602.75987471065)</f>
        <v>45602.75987</v>
      </c>
      <c r="B373" s="5" t="str">
        <f>IFERROR(__xludf.DUMMYFUNCTION("""COMPUTED_VALUE"""),"https://github.com/techshad/TDS-Project")</f>
        <v>https://github.com/techshad/TDS-Project</v>
      </c>
      <c r="C373" s="3">
        <f>IFERROR(__xludf.DUMMYFUNCTION("""COMPUTED_VALUE"""),9.0)</f>
        <v>9</v>
      </c>
      <c r="D373" s="3">
        <f>IFERROR(__xludf.DUMMYFUNCTION("""COMPUTED_VALUE"""),8.0)</f>
        <v>8</v>
      </c>
      <c r="E373" s="3" t="str">
        <f>IFERROR(__xludf.DUMMYFUNCTION("""COMPUTED_VALUE"""),"The code represents the method to get insights from the data, but lacks the data 
pre-processing and initial steps followed to collect data using Github API ")</f>
        <v>The code represents the method to get insights from the data, but lacks the data 
pre-processing and initial steps followed to collect data using Github API </v>
      </c>
      <c r="F373" s="5" t="str">
        <f>IFERROR(__xludf.DUMMYFUNCTION("""COMPUTED_VALUE"""),"https://github.com/24f1002325-Jagan/Project-1/tree/main")</f>
        <v>https://github.com/24f1002325-Jagan/Project-1/tree/main</v>
      </c>
      <c r="G373" s="3">
        <f>IFERROR(__xludf.DUMMYFUNCTION("""COMPUTED_VALUE"""),8.0)</f>
        <v>8</v>
      </c>
      <c r="H373" s="3">
        <f>IFERROR(__xludf.DUMMYFUNCTION("""COMPUTED_VALUE"""),0.0)</f>
        <v>0</v>
      </c>
      <c r="I373" s="3" t="str">
        <f>IFERROR(__xludf.DUMMYFUNCTION("""COMPUTED_VALUE"""),"The code is not present in the repo.")</f>
        <v>The code is not present in the repo.</v>
      </c>
      <c r="J373" s="3" t="str">
        <f>IFERROR(__xludf.DUMMYFUNCTION("""COMPUTED_VALUE"""),"24f1002025@ds.study.iitm.ac.in")</f>
        <v>24f1002025@ds.study.iitm.ac.in</v>
      </c>
      <c r="K373" s="3" t="str">
        <f t="shared" si="1"/>
        <v>24f1002025@ds.study.iitm.ac.inhttps://github.com/techshad/TDS-Project</v>
      </c>
      <c r="L373" s="3" t="str">
        <f t="shared" si="2"/>
        <v>24f1002025@ds.study.iitm.ac.inhttps://github.com/24f1002325-Jagan/Project-1/tree/main</v>
      </c>
    </row>
    <row r="374">
      <c r="A374" s="3">
        <f>IFERROR(__xludf.DUMMYFUNCTION("""COMPUTED_VALUE"""),45602.796876886576)</f>
        <v>45602.79688</v>
      </c>
      <c r="B374" s="5" t="str">
        <f>IFERROR(__xludf.DUMMYFUNCTION("""COMPUTED_VALUE"""),"https://github.com/dhirajp1603/IITM-TDS")</f>
        <v>https://github.com/dhirajp1603/IITM-TDS</v>
      </c>
      <c r="C374" s="3">
        <f>IFERROR(__xludf.DUMMYFUNCTION("""COMPUTED_VALUE"""),3.0)</f>
        <v>3</v>
      </c>
      <c r="D374" s="3">
        <f>IFERROR(__xludf.DUMMYFUNCTION("""COMPUTED_VALUE"""),8.0)</f>
        <v>8</v>
      </c>
      <c r="E374" s="3" t="str">
        <f>IFERROR(__xludf.DUMMYFUNCTION("""COMPUTED_VALUE"""),"Readme is half-hearted, code is well documented")</f>
        <v>Readme is half-hearted, code is well documented</v>
      </c>
      <c r="F374" s="5" t="str">
        <f>IFERROR(__xludf.DUMMYFUNCTION("""COMPUTED_VALUE"""),"https://github.com/spideysanjay007/sanjay_tds_project_1")</f>
        <v>https://github.com/spideysanjay007/sanjay_tds_project_1</v>
      </c>
      <c r="G374" s="3">
        <f>IFERROR(__xludf.DUMMYFUNCTION("""COMPUTED_VALUE"""),3.0)</f>
        <v>3</v>
      </c>
      <c r="H374" s="3">
        <f>IFERROR(__xludf.DUMMYFUNCTION("""COMPUTED_VALUE"""),8.0)</f>
        <v>8</v>
      </c>
      <c r="I374" s="3" t="str">
        <f>IFERROR(__xludf.DUMMYFUNCTION("""COMPUTED_VALUE"""),"Readme is half-hearted, code is well documented")</f>
        <v>Readme is half-hearted, code is well documented</v>
      </c>
      <c r="J374" s="3" t="str">
        <f>IFERROR(__xludf.DUMMYFUNCTION("""COMPUTED_VALUE"""),"23f1002447@ds.study.iitm.ac.in")</f>
        <v>23f1002447@ds.study.iitm.ac.in</v>
      </c>
      <c r="K374" s="3" t="str">
        <f t="shared" si="1"/>
        <v>23f1002447@ds.study.iitm.ac.inhttps://github.com/dhirajp1603/IITM-TDS</v>
      </c>
      <c r="L374" s="3" t="str">
        <f t="shared" si="2"/>
        <v>23f1002447@ds.study.iitm.ac.inhttps://github.com/spideysanjay007/sanjay_tds_project_1</v>
      </c>
    </row>
    <row r="375">
      <c r="A375" s="3">
        <f>IFERROR(__xludf.DUMMYFUNCTION("""COMPUTED_VALUE"""),45602.817069826386)</f>
        <v>45602.81707</v>
      </c>
      <c r="B375" s="5" t="str">
        <f>IFERROR(__xludf.DUMMYFUNCTION("""COMPUTED_VALUE"""),"https://github.com/sky-m1618/TDS_project_1")</f>
        <v>https://github.com/sky-m1618/TDS_project_1</v>
      </c>
      <c r="C375" s="3">
        <f>IFERROR(__xludf.DUMMYFUNCTION("""COMPUTED_VALUE"""),10.0)</f>
        <v>10</v>
      </c>
      <c r="D375" s="3">
        <f>IFERROR(__xludf.DUMMYFUNCTION("""COMPUTED_VALUE"""),0.0)</f>
        <v>0</v>
      </c>
      <c r="E375" s="3" t="str">
        <f>IFERROR(__xludf.DUMMYFUNCTION("""COMPUTED_VALUE"""),"got to know about an interesting insight  that even i was not able to find out")</f>
        <v>got to know about an interesting insight  that even i was not able to find out</v>
      </c>
      <c r="F375" s="5" t="str">
        <f>IFERROR(__xludf.DUMMYFUNCTION("""COMPUTED_VALUE"""),"https://github.com/abhi-manyu04/tds-pr1")</f>
        <v>https://github.com/abhi-manyu04/tds-pr1</v>
      </c>
      <c r="G375" s="3">
        <f>IFERROR(__xludf.DUMMYFUNCTION("""COMPUTED_VALUE"""),10.0)</f>
        <v>10</v>
      </c>
      <c r="H375" s="3">
        <f>IFERROR(__xludf.DUMMYFUNCTION("""COMPUTED_VALUE"""),10.0)</f>
        <v>10</v>
      </c>
      <c r="I375" s="3" t="str">
        <f>IFERROR(__xludf.DUMMYFUNCTION("""COMPUTED_VALUE"""),"code was very clear and the read.md file was very well organized.
the insights given by this guy are very well and detailed")</f>
        <v>code was very clear and the read.md file was very well organized.
the insights given by this guy are very well and detailed</v>
      </c>
      <c r="J375" s="3" t="str">
        <f>IFERROR(__xludf.DUMMYFUNCTION("""COMPUTED_VALUE"""),"22f3000817@ds.study.iitm.ac.in")</f>
        <v>22f3000817@ds.study.iitm.ac.in</v>
      </c>
      <c r="K375" s="3" t="str">
        <f t="shared" si="1"/>
        <v>22f3000817@ds.study.iitm.ac.inhttps://github.com/sky-m1618/TDS_project_1</v>
      </c>
      <c r="L375" s="3" t="str">
        <f t="shared" si="2"/>
        <v>22f3000817@ds.study.iitm.ac.inhttps://github.com/abhi-manyu04/tds-pr1</v>
      </c>
    </row>
    <row r="376">
      <c r="A376" s="3">
        <f>IFERROR(__xludf.DUMMYFUNCTION("""COMPUTED_VALUE"""),45602.83275959491)</f>
        <v>45602.83276</v>
      </c>
      <c r="B376" s="5" t="str">
        <f>IFERROR(__xludf.DUMMYFUNCTION("""COMPUTED_VALUE"""),"https://github.com/Akif29/TDS-Project-1")</f>
        <v>https://github.com/Akif29/TDS-Project-1</v>
      </c>
      <c r="C376" s="3">
        <f>IFERROR(__xludf.DUMMYFUNCTION("""COMPUTED_VALUE"""),8.0)</f>
        <v>8</v>
      </c>
      <c r="D376" s="3">
        <f>IFERROR(__xludf.DUMMYFUNCTION("""COMPUTED_VALUE"""),8.0)</f>
        <v>8</v>
      </c>
      <c r="E376" s="3" t="str">
        <f>IFERROR(__xludf.DUMMYFUNCTION("""COMPUTED_VALUE"""),"Proper Analysis using python has been done. ")</f>
        <v>Proper Analysis using python has been done. </v>
      </c>
      <c r="F376" s="5" t="str">
        <f>IFERROR(__xludf.DUMMYFUNCTION("""COMPUTED_VALUE"""),"https://github.com/A-ojha31/Tokyo_200")</f>
        <v>https://github.com/A-ojha31/Tokyo_200</v>
      </c>
      <c r="G376" s="3">
        <f>IFERROR(__xludf.DUMMYFUNCTION("""COMPUTED_VALUE"""),9.0)</f>
        <v>9</v>
      </c>
      <c r="H376" s="3">
        <f>IFERROR(__xludf.DUMMYFUNCTION("""COMPUTED_VALUE"""),8.0)</f>
        <v>8</v>
      </c>
      <c r="I376" s="3" t="str">
        <f>IFERROR(__xludf.DUMMYFUNCTION("""COMPUTED_VALUE"""),"Proper Analysis using python has been done. Useful Insights have been found. The README.ms was interesting.")</f>
        <v>Proper Analysis using python has been done. Useful Insights have been found. The README.ms was interesting.</v>
      </c>
      <c r="J376" s="3" t="str">
        <f>IFERROR(__xludf.DUMMYFUNCTION("""COMPUTED_VALUE"""),"23f3002354@ds.study.iitm.ac.in")</f>
        <v>23f3002354@ds.study.iitm.ac.in</v>
      </c>
      <c r="K376" s="3" t="str">
        <f t="shared" si="1"/>
        <v>23f3002354@ds.study.iitm.ac.inhttps://github.com/Akif29/TDS-Project-1</v>
      </c>
      <c r="L376" s="3" t="str">
        <f t="shared" si="2"/>
        <v>23f3002354@ds.study.iitm.ac.inhttps://github.com/A-ojha31/Tokyo_200</v>
      </c>
    </row>
    <row r="377">
      <c r="A377" s="3">
        <f>IFERROR(__xludf.DUMMYFUNCTION("""COMPUTED_VALUE"""),45602.8922816088)</f>
        <v>45602.89228</v>
      </c>
      <c r="B377" s="5" t="str">
        <f>IFERROR(__xludf.DUMMYFUNCTION("""COMPUTED_VALUE"""),"https://github.com/titan-adi/Zurich-data-analysis")</f>
        <v>https://github.com/titan-adi/Zurich-data-analysis</v>
      </c>
      <c r="C377" s="3">
        <f>IFERROR(__xludf.DUMMYFUNCTION("""COMPUTED_VALUE"""),7.0)</f>
        <v>7</v>
      </c>
      <c r="D377" s="3">
        <f>IFERROR(__xludf.DUMMYFUNCTION("""COMPUTED_VALUE"""),7.0)</f>
        <v>7</v>
      </c>
      <c r="E377" s="3" t="str">
        <f>IFERROR(__xludf.DUMMYFUNCTION("""COMPUTED_VALUE"""),"README was quite interesting and provided some valuable insights")</f>
        <v>README was quite interesting and provided some valuable insights</v>
      </c>
      <c r="F377" s="5" t="str">
        <f>IFERROR(__xludf.DUMMYFUNCTION("""COMPUTED_VALUE"""),"https://github.com/Man24Jain/Tokyo-GitHub-Scraping-Project")</f>
        <v>https://github.com/Man24Jain/Tokyo-GitHub-Scraping-Project</v>
      </c>
      <c r="G377" s="3">
        <f>IFERROR(__xludf.DUMMYFUNCTION("""COMPUTED_VALUE"""),4.0)</f>
        <v>4</v>
      </c>
      <c r="H377" s="3">
        <f>IFERROR(__xludf.DUMMYFUNCTION("""COMPUTED_VALUE"""),0.0)</f>
        <v>0</v>
      </c>
      <c r="I377" s="3" t="str">
        <f>IFERROR(__xludf.DUMMYFUNCTION("""COMPUTED_VALUE"""),"README, they were not presented in a very engaging manner.")</f>
        <v>README, they were not presented in a very engaging manner.</v>
      </c>
      <c r="J377" s="3" t="str">
        <f>IFERROR(__xludf.DUMMYFUNCTION("""COMPUTED_VALUE"""),"23f3002560@ds.study.iitm.ac.in")</f>
        <v>23f3002560@ds.study.iitm.ac.in</v>
      </c>
      <c r="K377" s="3" t="str">
        <f t="shared" si="1"/>
        <v>23f3002560@ds.study.iitm.ac.inhttps://github.com/titan-adi/Zurich-data-analysis</v>
      </c>
      <c r="L377" s="3" t="str">
        <f t="shared" si="2"/>
        <v>23f3002560@ds.study.iitm.ac.inhttps://github.com/Man24Jain/Tokyo-GitHub-Scraping-Project</v>
      </c>
    </row>
    <row r="378">
      <c r="A378" s="3">
        <f>IFERROR(__xludf.DUMMYFUNCTION("""COMPUTED_VALUE"""),45602.89883805555)</f>
        <v>45602.89884</v>
      </c>
      <c r="B378" s="5" t="str">
        <f>IFERROR(__xludf.DUMMYFUNCTION("""COMPUTED_VALUE"""),"https://github.com/Anustup24/TDS/blob/main/README.md")</f>
        <v>https://github.com/Anustup24/TDS/blob/main/README.md</v>
      </c>
      <c r="C378" s="3">
        <f>IFERROR(__xludf.DUMMYFUNCTION("""COMPUTED_VALUE"""),7.0)</f>
        <v>7</v>
      </c>
      <c r="D378" s="3">
        <f>IFERROR(__xludf.DUMMYFUNCTION("""COMPUTED_VALUE"""),7.0)</f>
        <v>7</v>
      </c>
      <c r="E378" s="3" t="str">
        <f>IFERROR(__xludf.DUMMYFUNCTION("""COMPUTED_VALUE"""),"Clear with process and execution")</f>
        <v>Clear with process and execution</v>
      </c>
      <c r="F378" s="5" t="str">
        <f>IFERROR(__xludf.DUMMYFUNCTION("""COMPUTED_VALUE"""),"https://github.com/pranavtiwari-this/tdm-project1/blob/main/README.mdn/TDS_P1.ipynb")</f>
        <v>https://github.com/pranavtiwari-this/tdm-project1/blob/main/README.mdn/TDS_P1.ipynb</v>
      </c>
      <c r="G378" s="3">
        <f>IFERROR(__xludf.DUMMYFUNCTION("""COMPUTED_VALUE"""),6.0)</f>
        <v>6</v>
      </c>
      <c r="H378" s="3">
        <f>IFERROR(__xludf.DUMMYFUNCTION("""COMPUTED_VALUE"""),7.0)</f>
        <v>7</v>
      </c>
      <c r="I378" s="3" t="str">
        <f>IFERROR(__xludf.DUMMYFUNCTION("""COMPUTED_VALUE"""),"well written with steps followed for extracting/scraping the repos")</f>
        <v>well written with steps followed for extracting/scraping the repos</v>
      </c>
      <c r="J378" s="3" t="str">
        <f>IFERROR(__xludf.DUMMYFUNCTION("""COMPUTED_VALUE"""),"23f2004119@ds.study.iitm.ac.in")</f>
        <v>23f2004119@ds.study.iitm.ac.in</v>
      </c>
      <c r="K378" s="3" t="str">
        <f t="shared" si="1"/>
        <v>23f2004119@ds.study.iitm.ac.inhttps://github.com/Anustup24/TDS/blob/main/README.md</v>
      </c>
      <c r="L378" s="3" t="str">
        <f t="shared" si="2"/>
        <v>23f2004119@ds.study.iitm.ac.inhttps://github.com/pranavtiwari-this/tdm-project1/blob/main/README.mdn/TDS_P1.ipynb</v>
      </c>
    </row>
    <row r="379">
      <c r="A379" s="3">
        <f>IFERROR(__xludf.DUMMYFUNCTION("""COMPUTED_VALUE"""),45602.90436305555)</f>
        <v>45602.90436</v>
      </c>
      <c r="B379" s="5" t="str">
        <f>IFERROR(__xludf.DUMMYFUNCTION("""COMPUTED_VALUE"""),"https://github.com/yuviiitm26/TDS_PRO_1")</f>
        <v>https://github.com/yuviiitm26/TDS_PRO_1</v>
      </c>
      <c r="C379" s="3">
        <f>IFERROR(__xludf.DUMMYFUNCTION("""COMPUTED_VALUE"""),9.0)</f>
        <v>9</v>
      </c>
      <c r="D379" s="3">
        <f>IFERROR(__xludf.DUMMYFUNCTION("""COMPUTED_VALUE"""),9.0)</f>
        <v>9</v>
      </c>
      <c r="E379" s="3" t="str">
        <f>IFERROR(__xludf.DUMMYFUNCTION("""COMPUTED_VALUE"""),"It was nice and well organized")</f>
        <v>It was nice and well organized</v>
      </c>
      <c r="F379" s="5" t="str">
        <f>IFERROR(__xludf.DUMMYFUNCTION("""COMPUTED_VALUE"""),"https://github.com/Irshadanwar/berlin-200-users-repositories")</f>
        <v>https://github.com/Irshadanwar/berlin-200-users-repositories</v>
      </c>
      <c r="G379" s="3">
        <f>IFERROR(__xludf.DUMMYFUNCTION("""COMPUTED_VALUE"""),8.0)</f>
        <v>8</v>
      </c>
      <c r="H379" s="3">
        <f>IFERROR(__xludf.DUMMYFUNCTION("""COMPUTED_VALUE"""),8.0)</f>
        <v>8</v>
      </c>
      <c r="I379" s="3" t="str">
        <f>IFERROR(__xludf.DUMMYFUNCTION("""COMPUTED_VALUE"""),"It was nice and well organized")</f>
        <v>It was nice and well organized</v>
      </c>
      <c r="J379" s="3" t="str">
        <f>IFERROR(__xludf.DUMMYFUNCTION("""COMPUTED_VALUE"""),"23f1000966@ds.study.iitm.ac.in")</f>
        <v>23f1000966@ds.study.iitm.ac.in</v>
      </c>
      <c r="K379" s="3" t="str">
        <f t="shared" si="1"/>
        <v>23f1000966@ds.study.iitm.ac.inhttps://github.com/yuviiitm26/TDS_PRO_1</v>
      </c>
      <c r="L379" s="3" t="str">
        <f t="shared" si="2"/>
        <v>23f1000966@ds.study.iitm.ac.inhttps://github.com/Irshadanwar/berlin-200-users-repositories</v>
      </c>
    </row>
    <row r="380">
      <c r="A380" s="3">
        <f>IFERROR(__xludf.DUMMYFUNCTION("""COMPUTED_VALUE"""),45602.962581562504)</f>
        <v>45602.96258</v>
      </c>
      <c r="B380" s="5" t="str">
        <f>IFERROR(__xludf.DUMMYFUNCTION("""COMPUTED_VALUE"""),"https://github.com/keertidamani/TorontoAnalysisProject")</f>
        <v>https://github.com/keertidamani/TorontoAnalysisProject</v>
      </c>
      <c r="C380" s="3">
        <f>IFERROR(__xludf.DUMMYFUNCTION("""COMPUTED_VALUE"""),9.0)</f>
        <v>9</v>
      </c>
      <c r="D380" s="3">
        <f>IFERROR(__xludf.DUMMYFUNCTION("""COMPUTED_VALUE"""),10.0)</f>
        <v>10</v>
      </c>
      <c r="E380" s="3" t="str">
        <f>IFERROR(__xludf.DUMMYFUNCTION("""COMPUTED_VALUE"""),"The code and readme sections are done so presentable and with clear explanations for easy understanding.")</f>
        <v>The code and readme sections are done so presentable and with clear explanations for easy understanding.</v>
      </c>
      <c r="F380" s="5" t="str">
        <f>IFERROR(__xludf.DUMMYFUNCTION("""COMPUTED_VALUE"""),"https://github.com/SaikatMandal2022/TDS_Project1")</f>
        <v>https://github.com/SaikatMandal2022/TDS_Project1</v>
      </c>
      <c r="G380" s="3">
        <f>IFERROR(__xludf.DUMMYFUNCTION("""COMPUTED_VALUE"""),9.0)</f>
        <v>9</v>
      </c>
      <c r="H380" s="3">
        <f>IFERROR(__xludf.DUMMYFUNCTION("""COMPUTED_VALUE"""),9.0)</f>
        <v>9</v>
      </c>
      <c r="I380" s="3" t="str">
        <f>IFERROR(__xludf.DUMMYFUNCTION("""COMPUTED_VALUE"""),"The code had comments for easy understanding and was simple. The readme section was precise and to the point.")</f>
        <v>The code had comments for easy understanding and was simple. The readme section was precise and to the point.</v>
      </c>
      <c r="J380" s="3" t="str">
        <f>IFERROR(__xludf.DUMMYFUNCTION("""COMPUTED_VALUE"""),"23f2000668@ds.study.iitm.ac.in")</f>
        <v>23f2000668@ds.study.iitm.ac.in</v>
      </c>
      <c r="K380" s="3" t="str">
        <f t="shared" si="1"/>
        <v>23f2000668@ds.study.iitm.ac.inhttps://github.com/keertidamani/TorontoAnalysisProject</v>
      </c>
      <c r="L380" s="3" t="str">
        <f t="shared" si="2"/>
        <v>23f2000668@ds.study.iitm.ac.inhttps://github.com/SaikatMandal2022/TDS_Project1</v>
      </c>
    </row>
    <row r="381">
      <c r="A381" s="3">
        <f>IFERROR(__xludf.DUMMYFUNCTION("""COMPUTED_VALUE"""),45602.97248384259)</f>
        <v>45602.97248</v>
      </c>
      <c r="B381" s="5" t="str">
        <f>IFERROR(__xludf.DUMMYFUNCTION("""COMPUTED_VALUE"""),"https://github.com/Chinni1904/TDS_Proj1")</f>
        <v>https://github.com/Chinni1904/TDS_Proj1</v>
      </c>
      <c r="C381" s="3">
        <f>IFERROR(__xludf.DUMMYFUNCTION("""COMPUTED_VALUE"""),5.0)</f>
        <v>5</v>
      </c>
      <c r="D381" s="3">
        <f>IFERROR(__xludf.DUMMYFUNCTION("""COMPUTED_VALUE"""),0.0)</f>
        <v>0</v>
      </c>
      <c r="E381" s="3" t="str">
        <f>IFERROR(__xludf.DUMMYFUNCTION("""COMPUTED_VALUE"""),"The README.md file was okay and Repo doesn't have any code file in it.")</f>
        <v>The README.md file was okay and Repo doesn't have any code file in it.</v>
      </c>
      <c r="F381" s="5" t="str">
        <f>IFERROR(__xludf.DUMMYFUNCTION("""COMPUTED_VALUE"""),"https://github.com/m55d/P1_md")</f>
        <v>https://github.com/m55d/P1_md</v>
      </c>
      <c r="G381" s="3">
        <f>IFERROR(__xludf.DUMMYFUNCTION("""COMPUTED_VALUE"""),2.0)</f>
        <v>2</v>
      </c>
      <c r="H381" s="3">
        <f>IFERROR(__xludf.DUMMYFUNCTION("""COMPUTED_VALUE"""),10.0)</f>
        <v>10</v>
      </c>
      <c r="I381" s="3" t="str">
        <f>IFERROR(__xludf.DUMMYFUNCTION("""COMPUTED_VALUE"""),"The README.md file was simple but the code which was provided was pretty clear to understand.")</f>
        <v>The README.md file was simple but the code which was provided was pretty clear to understand.</v>
      </c>
      <c r="J381" s="3" t="str">
        <f>IFERROR(__xludf.DUMMYFUNCTION("""COMPUTED_VALUE"""),"23f2003198@ds.study.iitm.ac.in")</f>
        <v>23f2003198@ds.study.iitm.ac.in</v>
      </c>
      <c r="K381" s="3" t="str">
        <f t="shared" si="1"/>
        <v>23f2003198@ds.study.iitm.ac.inhttps://github.com/Chinni1904/TDS_Proj1</v>
      </c>
      <c r="L381" s="3" t="str">
        <f t="shared" si="2"/>
        <v>23f2003198@ds.study.iitm.ac.inhttps://github.com/m55d/P1_md</v>
      </c>
    </row>
    <row r="382">
      <c r="A382" s="3">
        <f>IFERROR(__xludf.DUMMYFUNCTION("""COMPUTED_VALUE"""),45602.97383474537)</f>
        <v>45602.97383</v>
      </c>
      <c r="B382" s="5" t="str">
        <f>IFERROR(__xludf.DUMMYFUNCTION("""COMPUTED_VALUE"""),"https://github.com/keertidamani/TorontoAnalysisProject")</f>
        <v>https://github.com/keertidamani/TorontoAnalysisProject</v>
      </c>
      <c r="C382" s="3">
        <f>IFERROR(__xludf.DUMMYFUNCTION("""COMPUTED_VALUE"""),9.0)</f>
        <v>9</v>
      </c>
      <c r="D382" s="3">
        <f>IFERROR(__xludf.DUMMYFUNCTION("""COMPUTED_VALUE"""),9.0)</f>
        <v>9</v>
      </c>
      <c r="E382" s="3" t="str">
        <f>IFERROR(__xludf.DUMMYFUNCTION("""COMPUTED_VALUE"""),"Way presented the Readme is quite fascinating with findings")</f>
        <v>Way presented the Readme is quite fascinating with findings</v>
      </c>
      <c r="F382" s="5" t="str">
        <f>IFERROR(__xludf.DUMMYFUNCTION("""COMPUTED_VALUE"""),"https://github.com/SaikatMandal2022/TDS_Project1")</f>
        <v>https://github.com/SaikatMandal2022/TDS_Project1</v>
      </c>
      <c r="G382" s="3">
        <f>IFERROR(__xludf.DUMMYFUNCTION("""COMPUTED_VALUE"""),8.0)</f>
        <v>8</v>
      </c>
      <c r="H382" s="3">
        <f>IFERROR(__xludf.DUMMYFUNCTION("""COMPUTED_VALUE"""),9.0)</f>
        <v>9</v>
      </c>
      <c r="I382" s="3" t="str">
        <f>IFERROR(__xludf.DUMMYFUNCTION("""COMPUTED_VALUE"""),"Readme is present with findings and coding part is also present in a professional manner")</f>
        <v>Readme is present with findings and coding part is also present in a professional manner</v>
      </c>
      <c r="J382" s="3" t="str">
        <f>IFERROR(__xludf.DUMMYFUNCTION("""COMPUTED_VALUE"""),"22f3001180@ds.study.iitm.ac.in")</f>
        <v>22f3001180@ds.study.iitm.ac.in</v>
      </c>
      <c r="K382" s="3" t="str">
        <f t="shared" si="1"/>
        <v>22f3001180@ds.study.iitm.ac.inhttps://github.com/keertidamani/TorontoAnalysisProject</v>
      </c>
      <c r="L382" s="3" t="str">
        <f t="shared" si="2"/>
        <v>22f3001180@ds.study.iitm.ac.inhttps://github.com/SaikatMandal2022/TDS_Project1</v>
      </c>
    </row>
    <row r="383">
      <c r="A383" s="3">
        <f>IFERROR(__xludf.DUMMYFUNCTION("""COMPUTED_VALUE"""),45602.98537296296)</f>
        <v>45602.98537</v>
      </c>
      <c r="B383" s="5" t="str">
        <f>IFERROR(__xludf.DUMMYFUNCTION("""COMPUTED_VALUE"""),"https://github.com/GauriTr/TDS_project_1")</f>
        <v>https://github.com/GauriTr/TDS_project_1</v>
      </c>
      <c r="C383" s="3">
        <f>IFERROR(__xludf.DUMMYFUNCTION("""COMPUTED_VALUE"""),10.0)</f>
        <v>10</v>
      </c>
      <c r="D383" s="3">
        <f>IFERROR(__xludf.DUMMYFUNCTION("""COMPUTED_VALUE"""),10.0)</f>
        <v>10</v>
      </c>
      <c r="E383" s="3" t="str">
        <f>IFERROR(__xludf.DUMMYFUNCTION("""COMPUTED_VALUE"""),"Yes, these were the best content.")</f>
        <v>Yes, these were the best content.</v>
      </c>
      <c r="F383" s="5" t="str">
        <f>IFERROR(__xludf.DUMMYFUNCTION("""COMPUTED_VALUE"""),"https://github.com/Meet-XML/Tds_pro1")</f>
        <v>https://github.com/Meet-XML/Tds_pro1</v>
      </c>
      <c r="G383" s="3">
        <f>IFERROR(__xludf.DUMMYFUNCTION("""COMPUTED_VALUE"""),10.0)</f>
        <v>10</v>
      </c>
      <c r="H383" s="3">
        <f>IFERROR(__xludf.DUMMYFUNCTION("""COMPUTED_VALUE"""),10.0)</f>
        <v>10</v>
      </c>
      <c r="I383" s="3" t="str">
        <f>IFERROR(__xludf.DUMMYFUNCTION("""COMPUTED_VALUE"""),"Yes, content were structured really clear")</f>
        <v>Yes, content were structured really clear</v>
      </c>
      <c r="J383" s="3" t="str">
        <f>IFERROR(__xludf.DUMMYFUNCTION("""COMPUTED_VALUE"""),"23f2005133@ds.study.iitm.ac.in")</f>
        <v>23f2005133@ds.study.iitm.ac.in</v>
      </c>
      <c r="K383" s="3" t="str">
        <f t="shared" si="1"/>
        <v>23f2005133@ds.study.iitm.ac.inhttps://github.com/GauriTr/TDS_project_1</v>
      </c>
      <c r="L383" s="3" t="str">
        <f t="shared" si="2"/>
        <v>23f2005133@ds.study.iitm.ac.inhttps://github.com/Meet-XML/Tds_pro1</v>
      </c>
    </row>
    <row r="384">
      <c r="A384" s="3">
        <f>IFERROR(__xludf.DUMMYFUNCTION("""COMPUTED_VALUE"""),45602.99434309028)</f>
        <v>45602.99434</v>
      </c>
      <c r="B384" s="5" t="str">
        <f>IFERROR(__xludf.DUMMYFUNCTION("""COMPUTED_VALUE"""),"https://github.com/pkala7968/TDS-PROJECT-1-IITM")</f>
        <v>https://github.com/pkala7968/TDS-PROJECT-1-IITM</v>
      </c>
      <c r="C384" s="3">
        <f>IFERROR(__xludf.DUMMYFUNCTION("""COMPUTED_VALUE"""),6.0)</f>
        <v>6</v>
      </c>
      <c r="D384" s="3">
        <f>IFERROR(__xludf.DUMMYFUNCTION("""COMPUTED_VALUE"""),7.0)</f>
        <v>7</v>
      </c>
      <c r="E384" s="3" t="str">
        <f>IFERROR(__xludf.DUMMYFUNCTION("""COMPUTED_VALUE"""),"Findings : While insightful, broadly answering questions asked and nothing beyond. Also, analysis code/excel missing and could not validate
Code : Code looks clean and elegant, but the function name refers to Basel in the name , while the analysis is for"&amp;" Hyderabad?")</f>
        <v>Findings : While insightful, broadly answering questions asked and nothing beyond. Also, analysis code/excel missing and could not validate
Code : Code looks clean and elegant, but the function name refers to Basel in the name , while the analysis is for Hyderabad?</v>
      </c>
      <c r="F384" s="5" t="str">
        <f>IFERROR(__xludf.DUMMYFUNCTION("""COMPUTED_VALUE"""),"https://github.com/LakshayB05/tds_project1")</f>
        <v>https://github.com/LakshayB05/tds_project1</v>
      </c>
      <c r="G384" s="3">
        <f>IFERROR(__xludf.DUMMYFUNCTION("""COMPUTED_VALUE"""),9.0)</f>
        <v>9</v>
      </c>
      <c r="H384" s="3">
        <f>IFERROR(__xludf.DUMMYFUNCTION("""COMPUTED_VALUE"""),9.0)</f>
        <v>9</v>
      </c>
      <c r="I384" s="3" t="str">
        <f>IFERROR(__xludf.DUMMYFUNCTION("""COMPUTED_VALUE"""),"Findings : Insightful and beyond the analysis related to the questions asked. Though, the analysis code/excel missing and could not validate
Code : Code looks clean and elegant - with clear markdown explaining each step and included use of approaches to "&amp;"avoid rate limit issue with the GitHub API . But no analysis excel or code?")</f>
        <v>Findings : Insightful and beyond the analysis related to the questions asked. Though, the analysis code/excel missing and could not validate
Code : Code looks clean and elegant - with clear markdown explaining each step and included use of approaches to avoid rate limit issue with the GitHub API . But no analysis excel or code?</v>
      </c>
      <c r="J384" s="3" t="str">
        <f>IFERROR(__xludf.DUMMYFUNCTION("""COMPUTED_VALUE"""),"23f1002455@ds.study.iitm.ac.in")</f>
        <v>23f1002455@ds.study.iitm.ac.in</v>
      </c>
      <c r="K384" s="3" t="str">
        <f t="shared" si="1"/>
        <v>23f1002455@ds.study.iitm.ac.inhttps://github.com/pkala7968/TDS-PROJECT-1-IITM</v>
      </c>
      <c r="L384" s="3" t="str">
        <f t="shared" si="2"/>
        <v>23f1002455@ds.study.iitm.ac.inhttps://github.com/LakshayB05/tds_project1</v>
      </c>
    </row>
    <row r="385">
      <c r="A385" s="3">
        <f>IFERROR(__xludf.DUMMYFUNCTION("""COMPUTED_VALUE"""),45603.00453081018)</f>
        <v>45603.00453</v>
      </c>
      <c r="B385" s="5" t="str">
        <f>IFERROR(__xludf.DUMMYFUNCTION("""COMPUTED_VALUE"""),"https://github.com/shekharkshitij/TDS_Project")</f>
        <v>https://github.com/shekharkshitij/TDS_Project</v>
      </c>
      <c r="C385" s="3">
        <f>IFERROR(__xludf.DUMMYFUNCTION("""COMPUTED_VALUE"""),10.0)</f>
        <v>10</v>
      </c>
      <c r="D385" s="3">
        <f>IFERROR(__xludf.DUMMYFUNCTION("""COMPUTED_VALUE"""),10.0)</f>
        <v>10</v>
      </c>
      <c r="E385" s="3" t="str">
        <f>IFERROR(__xludf.DUMMYFUNCTION("""COMPUTED_VALUE"""),"README and the CODE had all the required details")</f>
        <v>README and the CODE had all the required details</v>
      </c>
      <c r="F385" s="5" t="str">
        <f>IFERROR(__xludf.DUMMYFUNCTION("""COMPUTED_VALUE"""),"https://github.com/jyoti7398/TDS_proj1")</f>
        <v>https://github.com/jyoti7398/TDS_proj1</v>
      </c>
      <c r="G385" s="3">
        <f>IFERROR(__xludf.DUMMYFUNCTION("""COMPUTED_VALUE"""),10.0)</f>
        <v>10</v>
      </c>
      <c r="H385" s="3">
        <f>IFERROR(__xludf.DUMMYFUNCTION("""COMPUTED_VALUE"""),10.0)</f>
        <v>10</v>
      </c>
      <c r="I385" s="3" t="str">
        <f>IFERROR(__xludf.DUMMYFUNCTION("""COMPUTED_VALUE"""),"README and the CODE had all the required details")</f>
        <v>README and the CODE had all the required details</v>
      </c>
      <c r="J385" s="3" t="str">
        <f>IFERROR(__xludf.DUMMYFUNCTION("""COMPUTED_VALUE"""),"22f3000130@ds.study.iitm.ac.in")</f>
        <v>22f3000130@ds.study.iitm.ac.in</v>
      </c>
      <c r="K385" s="3" t="str">
        <f t="shared" si="1"/>
        <v>22f3000130@ds.study.iitm.ac.inhttps://github.com/shekharkshitij/TDS_Project</v>
      </c>
      <c r="L385" s="3" t="str">
        <f t="shared" si="2"/>
        <v>22f3000130@ds.study.iitm.ac.inhttps://github.com/jyoti7398/TDS_proj1</v>
      </c>
    </row>
    <row r="386">
      <c r="A386" s="3">
        <f>IFERROR(__xludf.DUMMYFUNCTION("""COMPUTED_VALUE"""),45603.00657704861)</f>
        <v>45603.00658</v>
      </c>
      <c r="B386" s="5" t="str">
        <f>IFERROR(__xludf.DUMMYFUNCTION("""COMPUTED_VALUE"""),"https://github.com/RealFalseGod/Project1")</f>
        <v>https://github.com/RealFalseGod/Project1</v>
      </c>
      <c r="C386" s="3">
        <f>IFERROR(__xludf.DUMMYFUNCTION("""COMPUTED_VALUE"""),5.0)</f>
        <v>5</v>
      </c>
      <c r="D386" s="3">
        <f>IFERROR(__xludf.DUMMYFUNCTION("""COMPUTED_VALUE"""),0.0)</f>
        <v>0</v>
      </c>
      <c r="E386" s="3" t="str">
        <f>IFERROR(__xludf.DUMMYFUNCTION("""COMPUTED_VALUE"""),"Simple Finding so Median Rating. There is no code so 0 on the second parameter")</f>
        <v>Simple Finding so Median Rating. There is no code so 0 on the second parameter</v>
      </c>
      <c r="F386" s="5" t="str">
        <f>IFERROR(__xludf.DUMMYFUNCTION("""COMPUTED_VALUE"""),"https://github.com/Anburajasp/TDS-PROJECT-1")</f>
        <v>https://github.com/Anburajasp/TDS-PROJECT-1</v>
      </c>
      <c r="G386" s="3">
        <f>IFERROR(__xludf.DUMMYFUNCTION("""COMPUTED_VALUE"""),5.0)</f>
        <v>5</v>
      </c>
      <c r="H386" s="3">
        <f>IFERROR(__xludf.DUMMYFUNCTION("""COMPUTED_VALUE"""),10.0)</f>
        <v>10</v>
      </c>
      <c r="I386" s="3" t="str">
        <f>IFERROR(__xludf.DUMMYFUNCTION("""COMPUTED_VALUE"""),"Simple Finding so Median Rating. The student has given a complete question by question code hence 10 for the second question.")</f>
        <v>Simple Finding so Median Rating. The student has given a complete question by question code hence 10 for the second question.</v>
      </c>
      <c r="J386" s="3" t="str">
        <f>IFERROR(__xludf.DUMMYFUNCTION("""COMPUTED_VALUE"""),"23ds3000139@ds.study.iitm.ac.in")</f>
        <v>23ds3000139@ds.study.iitm.ac.in</v>
      </c>
      <c r="K386" s="3" t="str">
        <f t="shared" si="1"/>
        <v>23ds3000139@ds.study.iitm.ac.inhttps://github.com/RealFalseGod/Project1</v>
      </c>
      <c r="L386" s="3" t="str">
        <f t="shared" si="2"/>
        <v>23ds3000139@ds.study.iitm.ac.inhttps://github.com/Anburajasp/TDS-PROJECT-1</v>
      </c>
    </row>
    <row r="387">
      <c r="A387" s="3">
        <f>IFERROR(__xludf.DUMMYFUNCTION("""COMPUTED_VALUE"""),45603.0222367824)</f>
        <v>45603.02224</v>
      </c>
      <c r="B387" s="5" t="str">
        <f>IFERROR(__xludf.DUMMYFUNCTION("""COMPUTED_VALUE"""),"https://github.com/ojast22/tds_proj1")</f>
        <v>https://github.com/ojast22/tds_proj1</v>
      </c>
      <c r="C387" s="3">
        <f>IFERROR(__xludf.DUMMYFUNCTION("""COMPUTED_VALUE"""),8.0)</f>
        <v>8</v>
      </c>
      <c r="D387" s="3">
        <f>IFERROR(__xludf.DUMMYFUNCTION("""COMPUTED_VALUE"""),9.0)</f>
        <v>9</v>
      </c>
      <c r="E387" s="3" t="str">
        <f>IFERROR(__xludf.DUMMYFUNCTION("""COMPUTED_VALUE"""),"The repo contained the .pynb file containing codes for individual questions that were framed really good and I found the findings slighty interesting.")</f>
        <v>The repo contained the .pynb file containing codes for individual questions that were framed really good and I found the findings slighty interesting.</v>
      </c>
      <c r="F387" s="5" t="str">
        <f>IFERROR(__xludf.DUMMYFUNCTION("""COMPUTED_VALUE"""),"https://github.com/Neha-Galande-14/scrapper-project")</f>
        <v>https://github.com/Neha-Galande-14/scrapper-project</v>
      </c>
      <c r="G387" s="3">
        <f>IFERROR(__xludf.DUMMYFUNCTION("""COMPUTED_VALUE"""),6.0)</f>
        <v>6</v>
      </c>
      <c r="H387" s="3">
        <f>IFERROR(__xludf.DUMMYFUNCTION("""COMPUTED_VALUE"""),5.0)</f>
        <v>5</v>
      </c>
      <c r="I387" s="3" t="str">
        <f>IFERROR(__xludf.DUMMYFUNCTION("""COMPUTED_VALUE"""),"Findings were not that interesting to me and it can be subjective. Plus, the code to fetch the data wasn't working.")</f>
        <v>Findings were not that interesting to me and it can be subjective. Plus, the code to fetch the data wasn't working.</v>
      </c>
      <c r="J387" s="3" t="str">
        <f>IFERROR(__xludf.DUMMYFUNCTION("""COMPUTED_VALUE"""),"23f2003665@ds.study.iitm.ac.in")</f>
        <v>23f2003665@ds.study.iitm.ac.in</v>
      </c>
      <c r="K387" s="3" t="str">
        <f t="shared" si="1"/>
        <v>23f2003665@ds.study.iitm.ac.inhttps://github.com/ojast22/tds_proj1</v>
      </c>
      <c r="L387" s="3" t="str">
        <f t="shared" si="2"/>
        <v>23f2003665@ds.study.iitm.ac.inhttps://github.com/Neha-Galande-14/scrapper-project</v>
      </c>
    </row>
    <row r="388">
      <c r="A388" s="3">
        <f>IFERROR(__xludf.DUMMYFUNCTION("""COMPUTED_VALUE"""),45603.02853806713)</f>
        <v>45603.02854</v>
      </c>
      <c r="B388" s="5" t="str">
        <f>IFERROR(__xludf.DUMMYFUNCTION("""COMPUTED_VALUE"""),"https://github.com/SakshamBindal07/github_sydney_users")</f>
        <v>https://github.com/SakshamBindal07/github_sydney_users</v>
      </c>
      <c r="C388" s="3">
        <f>IFERROR(__xludf.DUMMYFUNCTION("""COMPUTED_VALUE"""),9.0)</f>
        <v>9</v>
      </c>
      <c r="D388" s="3">
        <f>IFERROR(__xludf.DUMMYFUNCTION("""COMPUTED_VALUE"""),10.0)</f>
        <v>10</v>
      </c>
      <c r="E388" s="3" t="str">
        <f>IFERROR(__xludf.DUMMYFUNCTION("""COMPUTED_VALUE"""),"All the necessary files and codes were present and the Readme file was to the point and clear Overall the Repository is Elegant  ")</f>
        <v>All the necessary files and codes were present and the Readme file was to the point and clear Overall the Repository is Elegant  </v>
      </c>
      <c r="F388" s="5" t="str">
        <f>IFERROR(__xludf.DUMMYFUNCTION("""COMPUTED_VALUE"""),"https://github.com/amittkulkarni/tds-project-1")</f>
        <v>https://github.com/amittkulkarni/tds-project-1</v>
      </c>
      <c r="G388" s="3">
        <f>IFERROR(__xludf.DUMMYFUNCTION("""COMPUTED_VALUE"""),9.0)</f>
        <v>9</v>
      </c>
      <c r="H388" s="3">
        <f>IFERROR(__xludf.DUMMYFUNCTION("""COMPUTED_VALUE"""),10.0)</f>
        <v>10</v>
      </c>
      <c r="I388" s="3" t="str">
        <f>IFERROR(__xludf.DUMMYFUNCTION("""COMPUTED_VALUE"""),"All the necessary files and codes were present and the Readme file was to the point and clean Overall the Repository is Elegant  ")</f>
        <v>All the necessary files and codes were present and the Readme file was to the point and clean Overall the Repository is Elegant  </v>
      </c>
      <c r="J388" s="3" t="str">
        <f>IFERROR(__xludf.DUMMYFUNCTION("""COMPUTED_VALUE"""),"23f1003039@ds.study.iitm.ac.in")</f>
        <v>23f1003039@ds.study.iitm.ac.in</v>
      </c>
      <c r="K388" s="3" t="str">
        <f t="shared" si="1"/>
        <v>23f1003039@ds.study.iitm.ac.inhttps://github.com/SakshamBindal07/github_sydney_users</v>
      </c>
      <c r="L388" s="3" t="str">
        <f t="shared" si="2"/>
        <v>23f1003039@ds.study.iitm.ac.inhttps://github.com/amittkulkarni/tds-project-1</v>
      </c>
    </row>
    <row r="389">
      <c r="A389" s="3">
        <f>IFERROR(__xludf.DUMMYFUNCTION("""COMPUTED_VALUE"""),45603.032439930554)</f>
        <v>45603.03244</v>
      </c>
      <c r="B389" s="5" t="str">
        <f>IFERROR(__xludf.DUMMYFUNCTION("""COMPUTED_VALUE"""),"https://github.com/231fiitm/tdsproject")</f>
        <v>https://github.com/231fiitm/tdsproject</v>
      </c>
      <c r="C389" s="3">
        <f>IFERROR(__xludf.DUMMYFUNCTION("""COMPUTED_VALUE"""),10.0)</f>
        <v>10</v>
      </c>
      <c r="D389" s="3">
        <f>IFERROR(__xludf.DUMMYFUNCTION("""COMPUTED_VALUE"""),10.0)</f>
        <v>10</v>
      </c>
      <c r="E389" s="3" t="str">
        <f>IFERROR(__xludf.DUMMYFUNCTION("""COMPUTED_VALUE"""),"The repo stands out for its clarity, insight, and actionable recommendation. It concisely explains the data collection process, presents an intriguing and counterintuitive finding about bio length and followers, and provides a practical tip specifically t"&amp;"ailored for Seattle developers. The use of quantified analysis (""2.5 more followers per repository"") adds credibility and precision, making the findings feel relevant and useful. This combination of clear structure, actionable advice, and a data-backed "&amp;"insight likely led to the high rating.")</f>
        <v>The repo stands out for its clarity, insight, and actionable recommendation. It concisely explains the data collection process, presents an intriguing and counterintuitive finding about bio length and followers, and provides a practical tip specifically tailored for Seattle developers. The use of quantified analysis ("2.5 more followers per repository") adds credibility and precision, making the findings feel relevant and useful. This combination of clear structure, actionable advice, and a data-backed insight likely led to the high rating.</v>
      </c>
      <c r="F389" s="5" t="str">
        <f>IFERROR(__xludf.DUMMYFUNCTION("""COMPUTED_VALUE"""),"https://github.com/agaMadan/TDS-Project-1")</f>
        <v>https://github.com/agaMadan/TDS-Project-1</v>
      </c>
      <c r="G389" s="3">
        <f>IFERROR(__xludf.DUMMYFUNCTION("""COMPUTED_VALUE"""),10.0)</f>
        <v>10</v>
      </c>
      <c r="H389" s="3">
        <f>IFERROR(__xludf.DUMMYFUNCTION("""COMPUTED_VALUE"""),10.0)</f>
        <v>10</v>
      </c>
      <c r="I389" s="3" t="str">
        <f>IFERROR(__xludf.DUMMYFUNCTION("""COMPUTED_VALUE"""),"This repo is compelling because it combines technical precision, impressive data points, and practical insights. It effectively describes the data collection process, addressing the use of rate limiting and pagination, which adds credibility. The total st"&amp;"ar count across repositories captures the influence of Berlin-based developers, presenting a surprising metric. Finally, the recommendation to focus on JavaScript, based on its popularity, provides clear, actionable guidance that aligns with career develo"&amp;"pment, making it especially useful for readers.")</f>
        <v>This repo is compelling because it combines technical precision, impressive data points, and practical insights. It effectively describes the data collection process, addressing the use of rate limiting and pagination, which adds credibility. The total star count across repositories captures the influence of Berlin-based developers, presenting a surprising metric. Finally, the recommendation to focus on JavaScript, based on its popularity, provides clear, actionable guidance that aligns with career development, making it especially useful for readers.</v>
      </c>
      <c r="J389" s="3" t="str">
        <f>IFERROR(__xludf.DUMMYFUNCTION("""COMPUTED_VALUE"""),"24ds1000086@ds.study.iitm.ac.in")</f>
        <v>24ds1000086@ds.study.iitm.ac.in</v>
      </c>
      <c r="K389" s="3" t="str">
        <f t="shared" si="1"/>
        <v>24ds1000086@ds.study.iitm.ac.inhttps://github.com/231fiitm/tdsproject</v>
      </c>
      <c r="L389" s="3" t="str">
        <f t="shared" si="2"/>
        <v>24ds1000086@ds.study.iitm.ac.inhttps://github.com/agaMadan/TDS-Project-1</v>
      </c>
    </row>
    <row r="390">
      <c r="A390" s="3">
        <f>IFERROR(__xludf.DUMMYFUNCTION("""COMPUTED_VALUE"""),45603.04310710648)</f>
        <v>45603.04311</v>
      </c>
      <c r="B390" s="5" t="str">
        <f>IFERROR(__xludf.DUMMYFUNCTION("""COMPUTED_VALUE"""),"https://github.com/bhumi-gupta2201/Austin100")</f>
        <v>https://github.com/bhumi-gupta2201/Austin100</v>
      </c>
      <c r="C390" s="3">
        <f>IFERROR(__xludf.DUMMYFUNCTION("""COMPUTED_VALUE"""),2.0)</f>
        <v>2</v>
      </c>
      <c r="D390" s="3">
        <f>IFERROR(__xludf.DUMMYFUNCTION("""COMPUTED_VALUE"""),10.0)</f>
        <v>10</v>
      </c>
      <c r="E390" s="3" t="str">
        <f>IFERROR(__xludf.DUMMYFUNCTION("""COMPUTED_VALUE"""),"Python code is available and README.md file is also available but in README file there is no findings available after analyzing data, only general information is given.")</f>
        <v>Python code is available and README.md file is also available but in README file there is no findings available after analyzing data, only general information is given.</v>
      </c>
      <c r="F390" s="5" t="str">
        <f>IFERROR(__xludf.DUMMYFUNCTION("""COMPUTED_VALUE"""),"https://github.com/Abhinandan-IIT-M/austin-github-users")</f>
        <v>https://github.com/Abhinandan-IIT-M/austin-github-users</v>
      </c>
      <c r="G390" s="3">
        <f>IFERROR(__xludf.DUMMYFUNCTION("""COMPUTED_VALUE"""),2.0)</f>
        <v>2</v>
      </c>
      <c r="H390" s="3">
        <f>IFERROR(__xludf.DUMMYFUNCTION("""COMPUTED_VALUE"""),10.0)</f>
        <v>10</v>
      </c>
      <c r="I390" s="3" t="str">
        <f>IFERROR(__xludf.DUMMYFUNCTION("""COMPUTED_VALUE"""),"Python code is available and README.md file is also available but in README file there is no findings available after analyzing data, only general information is given.")</f>
        <v>Python code is available and README.md file is also available but in README file there is no findings available after analyzing data, only general information is given.</v>
      </c>
      <c r="J390" s="3" t="str">
        <f>IFERROR(__xludf.DUMMYFUNCTION("""COMPUTED_VALUE"""),"22f2001300@ds.study.iitm.ac.in")</f>
        <v>22f2001300@ds.study.iitm.ac.in</v>
      </c>
      <c r="K390" s="3" t="str">
        <f t="shared" si="1"/>
        <v>22f2001300@ds.study.iitm.ac.inhttps://github.com/bhumi-gupta2201/Austin100</v>
      </c>
      <c r="L390" s="3" t="str">
        <f t="shared" si="2"/>
        <v>22f2001300@ds.study.iitm.ac.inhttps://github.com/Abhinandan-IIT-M/austin-github-users</v>
      </c>
    </row>
    <row r="391">
      <c r="A391" s="3">
        <f>IFERROR(__xludf.DUMMYFUNCTION("""COMPUTED_VALUE"""),45603.045193275466)</f>
        <v>45603.04519</v>
      </c>
      <c r="B391" s="5" t="str">
        <f>IFERROR(__xludf.DUMMYFUNCTION("""COMPUTED_VALUE"""),"https://github.com/Akif29/TDS-Project-1")</f>
        <v>https://github.com/Akif29/TDS-Project-1</v>
      </c>
      <c r="C391" s="3">
        <f>IFERROR(__xludf.DUMMYFUNCTION("""COMPUTED_VALUE"""),6.0)</f>
        <v>6</v>
      </c>
      <c r="D391" s="3">
        <f>IFERROR(__xludf.DUMMYFUNCTION("""COMPUTED_VALUE"""),7.0)</f>
        <v>7</v>
      </c>
      <c r="E391" s="3" t="str">
        <f>IFERROR(__xludf.DUMMYFUNCTION("""COMPUTED_VALUE"""),"Interesting finding were very general and not specific ")</f>
        <v>Interesting finding were very general and not specific </v>
      </c>
      <c r="F391" s="5" t="str">
        <f>IFERROR(__xludf.DUMMYFUNCTION("""COMPUTED_VALUE"""),"https://github.com/A-ojha31/Tokyo_200")</f>
        <v>https://github.com/A-ojha31/Tokyo_200</v>
      </c>
      <c r="G391" s="3">
        <f>IFERROR(__xludf.DUMMYFUNCTION("""COMPUTED_VALUE"""),8.0)</f>
        <v>8</v>
      </c>
      <c r="H391" s="3">
        <f>IFERROR(__xludf.DUMMYFUNCTION("""COMPUTED_VALUE"""),8.0)</f>
        <v>8</v>
      </c>
      <c r="I391" s="3" t="str">
        <f>IFERROR(__xludf.DUMMYFUNCTION("""COMPUTED_VALUE"""),"Interesting findings were non general and informative. Code is neatly divided into 2 sections for simplicity")</f>
        <v>Interesting findings were non general and informative. Code is neatly divided into 2 sections for simplicity</v>
      </c>
      <c r="J391" s="3" t="str">
        <f>IFERROR(__xludf.DUMMYFUNCTION("""COMPUTED_VALUE"""),"23f1000029@ds.study.iitm.ac.in")</f>
        <v>23f1000029@ds.study.iitm.ac.in</v>
      </c>
      <c r="K391" s="3" t="str">
        <f t="shared" si="1"/>
        <v>23f1000029@ds.study.iitm.ac.inhttps://github.com/Akif29/TDS-Project-1</v>
      </c>
      <c r="L391" s="3" t="str">
        <f t="shared" si="2"/>
        <v>23f1000029@ds.study.iitm.ac.inhttps://github.com/A-ojha31/Tokyo_200</v>
      </c>
    </row>
    <row r="392">
      <c r="A392" s="3">
        <f>IFERROR(__xludf.DUMMYFUNCTION("""COMPUTED_VALUE"""),45603.06798148148)</f>
        <v>45603.06798</v>
      </c>
      <c r="B392" s="5" t="str">
        <f>IFERROR(__xludf.DUMMYFUNCTION("""COMPUTED_VALUE"""),"https://github.com/reddevilrohith/TDS_PROJ1")</f>
        <v>https://github.com/reddevilrohith/TDS_PROJ1</v>
      </c>
      <c r="C392" s="3">
        <f>IFERROR(__xludf.DUMMYFUNCTION("""COMPUTED_VALUE"""),10.0)</f>
        <v>10</v>
      </c>
      <c r="D392" s="3">
        <f>IFERROR(__xludf.DUMMYFUNCTION("""COMPUTED_VALUE"""),10.0)</f>
        <v>10</v>
      </c>
      <c r="E392" s="3" t="str">
        <f>IFERROR(__xludf.DUMMYFUNCTION("""COMPUTED_VALUE"""),"everything was perfect no complaints")</f>
        <v>everything was perfect no complaints</v>
      </c>
      <c r="F392" s="5" t="str">
        <f>IFERROR(__xludf.DUMMYFUNCTION("""COMPUTED_VALUE"""),"https://github.com/22f2001150/TDS-project-1")</f>
        <v>https://github.com/22f2001150/TDS-project-1</v>
      </c>
      <c r="G392" s="3">
        <f>IFERROR(__xludf.DUMMYFUNCTION("""COMPUTED_VALUE"""),10.0)</f>
        <v>10</v>
      </c>
      <c r="H392" s="3">
        <f>IFERROR(__xludf.DUMMYFUNCTION("""COMPUTED_VALUE"""),10.0)</f>
        <v>10</v>
      </c>
      <c r="I392" s="3" t="str">
        <f>IFERROR(__xludf.DUMMYFUNCTION("""COMPUTED_VALUE"""),"everything was fine no complaints")</f>
        <v>everything was fine no complaints</v>
      </c>
      <c r="J392" s="3" t="str">
        <f>IFERROR(__xludf.DUMMYFUNCTION("""COMPUTED_VALUE"""),"22f3002442@ds.study.iitm.ac.in")</f>
        <v>22f3002442@ds.study.iitm.ac.in</v>
      </c>
      <c r="K392" s="3" t="str">
        <f t="shared" si="1"/>
        <v>22f3002442@ds.study.iitm.ac.inhttps://github.com/reddevilrohith/TDS_PROJ1</v>
      </c>
      <c r="L392" s="3" t="str">
        <f t="shared" si="2"/>
        <v>22f3002442@ds.study.iitm.ac.inhttps://github.com/22f2001150/TDS-project-1</v>
      </c>
    </row>
    <row r="393">
      <c r="A393" s="3">
        <f>IFERROR(__xludf.DUMMYFUNCTION("""COMPUTED_VALUE"""),45603.11370393519)</f>
        <v>45603.1137</v>
      </c>
      <c r="B393" s="5" t="str">
        <f>IFERROR(__xludf.DUMMYFUNCTION("""COMPUTED_VALUE"""),"https://github.com/navuexists/tds-project-1-navya")</f>
        <v>https://github.com/navuexists/tds-project-1-navya</v>
      </c>
      <c r="C393" s="3">
        <f>IFERROR(__xludf.DUMMYFUNCTION("""COMPUTED_VALUE"""),9.0)</f>
        <v>9</v>
      </c>
      <c r="D393" s="3">
        <f>IFERROR(__xludf.DUMMYFUNCTION("""COMPUTED_VALUE"""),9.0)</f>
        <v>9</v>
      </c>
      <c r="E393" s="3" t="str">
        <f>IFERROR(__xludf.DUMMYFUNCTION("""COMPUTED_VALUE"""),"The code was very organised and has a lot of clarity.")</f>
        <v>The code was very organised and has a lot of clarity.</v>
      </c>
      <c r="F393" s="5" t="str">
        <f>IFERROR(__xludf.DUMMYFUNCTION("""COMPUTED_VALUE"""),"https://github.com/afsi07/github-users-london/tree/main")</f>
        <v>https://github.com/afsi07/github-users-london/tree/main</v>
      </c>
      <c r="G393" s="3">
        <f>IFERROR(__xludf.DUMMYFUNCTION("""COMPUTED_VALUE"""),8.0)</f>
        <v>8</v>
      </c>
      <c r="H393" s="3">
        <f>IFERROR(__xludf.DUMMYFUNCTION("""COMPUTED_VALUE"""),9.0)</f>
        <v>9</v>
      </c>
      <c r="I393" s="3" t="str">
        <f>IFERROR(__xludf.DUMMYFUNCTION("""COMPUTED_VALUE"""),"The code was great and but the readability was low. But everything else was lovely.")</f>
        <v>The code was great and but the readability was low. But everything else was lovely.</v>
      </c>
      <c r="J393" s="3" t="str">
        <f>IFERROR(__xludf.DUMMYFUNCTION("""COMPUTED_VALUE"""),"21f3001656@ds.study.iitm.ac.in")</f>
        <v>21f3001656@ds.study.iitm.ac.in</v>
      </c>
      <c r="K393" s="3" t="str">
        <f t="shared" si="1"/>
        <v>21f3001656@ds.study.iitm.ac.inhttps://github.com/navuexists/tds-project-1-navya</v>
      </c>
      <c r="L393" s="3" t="str">
        <f t="shared" si="2"/>
        <v>21f3001656@ds.study.iitm.ac.inhttps://github.com/afsi07/github-users-london/tree/main</v>
      </c>
    </row>
    <row r="394">
      <c r="A394" s="3">
        <f>IFERROR(__xludf.DUMMYFUNCTION("""COMPUTED_VALUE"""),45603.12913244213)</f>
        <v>45603.12913</v>
      </c>
      <c r="B394" s="5" t="str">
        <f>IFERROR(__xludf.DUMMYFUNCTION("""COMPUTED_VALUE"""),"https://github.com/raj-jaiswal/TDS_Github_API")</f>
        <v>https://github.com/raj-jaiswal/TDS_Github_API</v>
      </c>
      <c r="C394" s="3">
        <f>IFERROR(__xludf.DUMMYFUNCTION("""COMPUTED_VALUE"""),9.0)</f>
        <v>9</v>
      </c>
      <c r="D394" s="3">
        <f>IFERROR(__xludf.DUMMYFUNCTION("""COMPUTED_VALUE"""),8.0)</f>
        <v>8</v>
      </c>
      <c r="E394" s="3" t="str">
        <f>IFERROR(__xludf.DUMMYFUNCTION("""COMPUTED_VALUE"""),"User gave a huge and well documented README. I do remember only being allowed to use 3 bullet points though.  User provided ipynb file but  it is not as well commented and does not show all outputs.")</f>
        <v>User gave a huge and well documented README. I do remember only being allowed to use 3 bullet points though.  User provided ipynb file but  it is not as well commented and does not show all outputs.</v>
      </c>
      <c r="F394" s="5" t="str">
        <f>IFERROR(__xludf.DUMMYFUNCTION("""COMPUTED_VALUE"""),"https://github.com/Ajit5370/tds-project-1")</f>
        <v>https://github.com/Ajit5370/tds-project-1</v>
      </c>
      <c r="G394" s="3">
        <f>IFERROR(__xludf.DUMMYFUNCTION("""COMPUTED_VALUE"""),8.0)</f>
        <v>8</v>
      </c>
      <c r="H394" s="3">
        <f>IFERROR(__xludf.DUMMYFUNCTION("""COMPUTED_VALUE"""),10.0)</f>
        <v>10</v>
      </c>
      <c r="I394" s="3" t="str">
        <f>IFERROR(__xludf.DUMMYFUNCTION("""COMPUTED_VALUE"""),"User provided basic and interesting data on README. Followed three bullet points. Code was well written documented and written showing all outputs alongside providing python file.")</f>
        <v>User provided basic and interesting data on README. Followed three bullet points. Code was well written documented and written showing all outputs alongside providing python file.</v>
      </c>
      <c r="J394" s="3" t="str">
        <f>IFERROR(__xludf.DUMMYFUNCTION("""COMPUTED_VALUE"""),"23f2004468@ds.study.iitm.ac.in")</f>
        <v>23f2004468@ds.study.iitm.ac.in</v>
      </c>
      <c r="K394" s="3" t="str">
        <f t="shared" si="1"/>
        <v>23f2004468@ds.study.iitm.ac.inhttps://github.com/raj-jaiswal/TDS_Github_API</v>
      </c>
      <c r="L394" s="3" t="str">
        <f t="shared" si="2"/>
        <v>23f2004468@ds.study.iitm.ac.inhttps://github.com/Ajit5370/tds-project-1</v>
      </c>
    </row>
    <row r="395">
      <c r="A395" s="3">
        <f>IFERROR(__xludf.DUMMYFUNCTION("""COMPUTED_VALUE"""),45603.14405674768)</f>
        <v>45603.14406</v>
      </c>
      <c r="B395" s="5" t="str">
        <f>IFERROR(__xludf.DUMMYFUNCTION("""COMPUTED_VALUE"""),"https://github.com/gokuls23f2001566/TDSpj1")</f>
        <v>https://github.com/gokuls23f2001566/TDSpj1</v>
      </c>
      <c r="C395" s="3">
        <f>IFERROR(__xludf.DUMMYFUNCTION("""COMPUTED_VALUE"""),10.0)</f>
        <v>10</v>
      </c>
      <c r="D395" s="3">
        <f>IFERROR(__xludf.DUMMYFUNCTION("""COMPUTED_VALUE"""),8.0)</f>
        <v>8</v>
      </c>
      <c r="E395" s="3" t="str">
        <f>IFERROR(__xludf.DUMMYFUNCTION("""COMPUTED_VALUE"""),"I found the analysis fascinating. However, while the scraping code was clear, the EDA code was not clear.")</f>
        <v>I found the analysis fascinating. However, while the scraping code was clear, the EDA code was not clear.</v>
      </c>
      <c r="F395" s="5" t="str">
        <f>IFERROR(__xludf.DUMMYFUNCTION("""COMPUTED_VALUE"""),"https://github.com/SoumaySinghChauhan/Hyderabad_Github_users")</f>
        <v>https://github.com/SoumaySinghChauhan/Hyderabad_Github_users</v>
      </c>
      <c r="G395" s="3">
        <f>IFERROR(__xludf.DUMMYFUNCTION("""COMPUTED_VALUE"""),10.0)</f>
        <v>10</v>
      </c>
      <c r="H395" s="3">
        <f>IFERROR(__xludf.DUMMYFUNCTION("""COMPUTED_VALUE"""),10.0)</f>
        <v>10</v>
      </c>
      <c r="I395" s="3" t="str">
        <f>IFERROR(__xludf.DUMMYFUNCTION("""COMPUTED_VALUE"""),"I found the findings interesting and the codebase clean and concise.")</f>
        <v>I found the findings interesting and the codebase clean and concise.</v>
      </c>
      <c r="J395" s="3" t="str">
        <f>IFERROR(__xludf.DUMMYFUNCTION("""COMPUTED_VALUE"""),"22f3001412@ds.study.iitm.ac.in")</f>
        <v>22f3001412@ds.study.iitm.ac.in</v>
      </c>
      <c r="K395" s="3" t="str">
        <f t="shared" si="1"/>
        <v>22f3001412@ds.study.iitm.ac.inhttps://github.com/gokuls23f2001566/TDSpj1</v>
      </c>
      <c r="L395" s="3" t="str">
        <f t="shared" si="2"/>
        <v>22f3001412@ds.study.iitm.ac.inhttps://github.com/SoumaySinghChauhan/Hyderabad_Github_users</v>
      </c>
    </row>
    <row r="396">
      <c r="A396" s="3">
        <f>IFERROR(__xludf.DUMMYFUNCTION("""COMPUTED_VALUE"""),45603.17183648148)</f>
        <v>45603.17184</v>
      </c>
      <c r="B396" s="5" t="str">
        <f>IFERROR(__xludf.DUMMYFUNCTION("""COMPUTED_VALUE"""),"https://github.com/pranay2k3/iitpro")</f>
        <v>https://github.com/pranay2k3/iitpro</v>
      </c>
      <c r="C396" s="3">
        <f>IFERROR(__xludf.DUMMYFUNCTION("""COMPUTED_VALUE"""),0.0)</f>
        <v>0</v>
      </c>
      <c r="D396" s="3">
        <f>IFERROR(__xludf.DUMMYFUNCTION("""COMPUTED_VALUE"""),0.0)</f>
        <v>0</v>
      </c>
      <c r="E396" s="3" t="str">
        <f>IFERROR(__xludf.DUMMYFUNCTION("""COMPUTED_VALUE"""),"The repo did not have any code. Though there was a README.md it didn't have any content.")</f>
        <v>The repo did not have any code. Though there was a README.md it didn't have any content.</v>
      </c>
      <c r="F396" s="5" t="str">
        <f>IFERROR(__xludf.DUMMYFUNCTION("""COMPUTED_VALUE"""),"https://github.com/spacetime177/tds_proj")</f>
        <v>https://github.com/spacetime177/tds_proj</v>
      </c>
      <c r="G396" s="3">
        <f>IFERROR(__xludf.DUMMYFUNCTION("""COMPUTED_VALUE"""),10.0)</f>
        <v>10</v>
      </c>
      <c r="H396" s="3">
        <f>IFERROR(__xludf.DUMMYFUNCTION("""COMPUTED_VALUE"""),10.0)</f>
        <v>10</v>
      </c>
      <c r="I396" s="3" t="str">
        <f>IFERROR(__xludf.DUMMYFUNCTION("""COMPUTED_VALUE"""),"The code was well written with a clear logic flow. Adding comments would have made it better understandable and the Github personal access token should not have been committed since it can be potentially misused. The findings are fairly fascinating though"&amp;" insights beyond the questions asked in the project may have made it more interesting.")</f>
        <v>The code was well written with a clear logic flow. Adding comments would have made it better understandable and the Github personal access token should not have been committed since it can be potentially misused. The findings are fairly fascinating though insights beyond the questions asked in the project may have made it more interesting.</v>
      </c>
      <c r="J396" s="3" t="str">
        <f>IFERROR(__xludf.DUMMYFUNCTION("""COMPUTED_VALUE"""),"22f3002004@ds.study.iitm.ac.in")</f>
        <v>22f3002004@ds.study.iitm.ac.in</v>
      </c>
      <c r="K396" s="3" t="str">
        <f t="shared" si="1"/>
        <v>22f3002004@ds.study.iitm.ac.inhttps://github.com/pranay2k3/iitpro</v>
      </c>
      <c r="L396" s="3" t="str">
        <f t="shared" si="2"/>
        <v>22f3002004@ds.study.iitm.ac.inhttps://github.com/spacetime177/tds_proj</v>
      </c>
    </row>
    <row r="397">
      <c r="A397" s="3">
        <f>IFERROR(__xludf.DUMMYFUNCTION("""COMPUTED_VALUE"""),45603.42654864583)</f>
        <v>45603.42655</v>
      </c>
      <c r="B397" s="5" t="str">
        <f>IFERROR(__xludf.DUMMYFUNCTION("""COMPUTED_VALUE"""),"https://github.com/Akash7190/TDS-Project-1")</f>
        <v>https://github.com/Akash7190/TDS-Project-1</v>
      </c>
      <c r="C397" s="3">
        <f>IFERROR(__xludf.DUMMYFUNCTION("""COMPUTED_VALUE"""),10.0)</f>
        <v>10</v>
      </c>
      <c r="D397" s="3">
        <f>IFERROR(__xludf.DUMMYFUNCTION("""COMPUTED_VALUE"""),8.0)</f>
        <v>8</v>
      </c>
      <c r="E397" s="3" t="str">
        <f>IFERROR(__xludf.DUMMYFUNCTION("""COMPUTED_VALUE"""),"He used Rest Api to get data. Number of request very high.")</f>
        <v>He used Rest Api to get data. Number of request very high.</v>
      </c>
      <c r="F397" s="5" t="str">
        <f>IFERROR(__xludf.DUMMYFUNCTION("""COMPUTED_VALUE"""),"https://github.com/importAmmar/TDS-Project-1")</f>
        <v>https://github.com/importAmmar/TDS-Project-1</v>
      </c>
      <c r="G397" s="3">
        <f>IFERROR(__xludf.DUMMYFUNCTION("""COMPUTED_VALUE"""),10.0)</f>
        <v>10</v>
      </c>
      <c r="H397" s="3">
        <f>IFERROR(__xludf.DUMMYFUNCTION("""COMPUTED_VALUE"""),7.0)</f>
        <v>7</v>
      </c>
      <c r="I397" s="3" t="str">
        <f>IFERROR(__xludf.DUMMYFUNCTION("""COMPUTED_VALUE"""),"He used Rest Api to get data. Number of request very high and code is not looking as PROFESSIONAL.")</f>
        <v>He used Rest Api to get data. Number of request very high and code is not looking as PROFESSIONAL.</v>
      </c>
      <c r="J397" s="3" t="str">
        <f>IFERROR(__xludf.DUMMYFUNCTION("""COMPUTED_VALUE"""),"22f2000894@ds.study.iitm.ac.in")</f>
        <v>22f2000894@ds.study.iitm.ac.in</v>
      </c>
      <c r="K397" s="3" t="str">
        <f t="shared" si="1"/>
        <v>22f2000894@ds.study.iitm.ac.inhttps://github.com/Akash7190/TDS-Project-1</v>
      </c>
      <c r="L397" s="3" t="str">
        <f t="shared" si="2"/>
        <v>22f2000894@ds.study.iitm.ac.inhttps://github.com/importAmmar/TDS-Project-1</v>
      </c>
    </row>
    <row r="398">
      <c r="A398" s="3">
        <f>IFERROR(__xludf.DUMMYFUNCTION("""COMPUTED_VALUE"""),45603.46729773148)</f>
        <v>45603.4673</v>
      </c>
      <c r="B398" s="5" t="str">
        <f>IFERROR(__xludf.DUMMYFUNCTION("""COMPUTED_VALUE"""),"https://github.com/Bhavana2639/tds-proj-1")</f>
        <v>https://github.com/Bhavana2639/tds-proj-1</v>
      </c>
      <c r="C398" s="3">
        <f>IFERROR(__xludf.DUMMYFUNCTION("""COMPUTED_VALUE"""),9.0)</f>
        <v>9</v>
      </c>
      <c r="D398" s="3">
        <f>IFERROR(__xludf.DUMMYFUNCTION("""COMPUTED_VALUE"""),10.0)</f>
        <v>10</v>
      </c>
      <c r="E398" s="3" t="str">
        <f>IFERROR(__xludf.DUMMYFUNCTION("""COMPUTED_VALUE"""),"readme file contains findings but it could have been better. Repo's code is very clear and professional.")</f>
        <v>readme file contains findings but it could have been better. Repo's code is very clear and professional.</v>
      </c>
      <c r="F398" s="5" t="str">
        <f>IFERROR(__xludf.DUMMYFUNCTION("""COMPUTED_VALUE"""),"https://github.com/edurelated2021/tds-proj1")</f>
        <v>https://github.com/edurelated2021/tds-proj1</v>
      </c>
      <c r="G398" s="3">
        <f>IFERROR(__xludf.DUMMYFUNCTION("""COMPUTED_VALUE"""),10.0)</f>
        <v>10</v>
      </c>
      <c r="H398" s="3">
        <f>IFERROR(__xludf.DUMMYFUNCTION("""COMPUTED_VALUE"""),10.0)</f>
        <v>10</v>
      </c>
      <c r="I398" s="3" t="str">
        <f>IFERROR(__xludf.DUMMYFUNCTION("""COMPUTED_VALUE"""),"Readme findings are interesting. Code file is clear and professional. Efforts are clearly visible.")</f>
        <v>Readme findings are interesting. Code file is clear and professional. Efforts are clearly visible.</v>
      </c>
      <c r="J398" s="3" t="str">
        <f>IFERROR(__xludf.DUMMYFUNCTION("""COMPUTED_VALUE"""),"24ds2000089@ds.study.iitm.ac.in")</f>
        <v>24ds2000089@ds.study.iitm.ac.in</v>
      </c>
      <c r="K398" s="3" t="str">
        <f t="shared" si="1"/>
        <v>24ds2000089@ds.study.iitm.ac.inhttps://github.com/Bhavana2639/tds-proj-1</v>
      </c>
      <c r="L398" s="3" t="str">
        <f t="shared" si="2"/>
        <v>24ds2000089@ds.study.iitm.ac.inhttps://github.com/edurelated2021/tds-proj1</v>
      </c>
    </row>
    <row r="399">
      <c r="A399" s="3">
        <f>IFERROR(__xludf.DUMMYFUNCTION("""COMPUTED_VALUE"""),45603.505928784725)</f>
        <v>45603.50593</v>
      </c>
      <c r="B399" s="5" t="str">
        <f>IFERROR(__xludf.DUMMYFUNCTION("""COMPUTED_VALUE"""),"https://github.com/Rxhit1/TDSproj1/tree/main")</f>
        <v>https://github.com/Rxhit1/TDSproj1/tree/main</v>
      </c>
      <c r="C399" s="3">
        <f>IFERROR(__xludf.DUMMYFUNCTION("""COMPUTED_VALUE"""),5.0)</f>
        <v>5</v>
      </c>
      <c r="D399" s="3">
        <f>IFERROR(__xludf.DUMMYFUNCTION("""COMPUTED_VALUE"""),0.0)</f>
        <v>0</v>
      </c>
      <c r="E399" s="3" t="str">
        <f>IFERROR(__xludf.DUMMYFUNCTION("""COMPUTED_VALUE"""),"There are explanation for included files and their workings but only a single point explains the findings and there is no code attached.")</f>
        <v>There are explanation for included files and their workings but only a single point explains the findings and there is no code attached.</v>
      </c>
      <c r="F399" s="5" t="str">
        <f>IFERROR(__xludf.DUMMYFUNCTION("""COMPUTED_VALUE"""),"https://github.com/Jayaprakash1710/TDS-Project-1")</f>
        <v>https://github.com/Jayaprakash1710/TDS-Project-1</v>
      </c>
      <c r="G399" s="3">
        <f>IFERROR(__xludf.DUMMYFUNCTION("""COMPUTED_VALUE"""),8.0)</f>
        <v>8</v>
      </c>
      <c r="H399" s="3">
        <f>IFERROR(__xludf.DUMMYFUNCTION("""COMPUTED_VALUE"""),10.0)</f>
        <v>10</v>
      </c>
      <c r="I399" s="3" t="str">
        <f>IFERROR(__xludf.DUMMYFUNCTION("""COMPUTED_VALUE"""),"Provided code is elegantly written and the readme file also contains findings with 2 interesting findings and one explaining our objective.")</f>
        <v>Provided code is elegantly written and the readme file also contains findings with 2 interesting findings and one explaining our objective.</v>
      </c>
      <c r="J399" s="3" t="str">
        <f>IFERROR(__xludf.DUMMYFUNCTION("""COMPUTED_VALUE"""),"22f2000240@ds.study.iitm.ac.in")</f>
        <v>22f2000240@ds.study.iitm.ac.in</v>
      </c>
      <c r="K399" s="3" t="str">
        <f t="shared" si="1"/>
        <v>22f2000240@ds.study.iitm.ac.inhttps://github.com/Rxhit1/TDSproj1/tree/main</v>
      </c>
      <c r="L399" s="3" t="str">
        <f t="shared" si="2"/>
        <v>22f2000240@ds.study.iitm.ac.inhttps://github.com/Jayaprakash1710/TDS-Project-1</v>
      </c>
    </row>
    <row r="400">
      <c r="A400" s="3">
        <f>IFERROR(__xludf.DUMMYFUNCTION("""COMPUTED_VALUE"""),45603.51276293982)</f>
        <v>45603.51276</v>
      </c>
      <c r="B400" s="5" t="str">
        <f>IFERROR(__xludf.DUMMYFUNCTION("""COMPUTED_VALUE"""),"https://github.com/Preetham15092004/Hyderabad-GitHub-Users")</f>
        <v>https://github.com/Preetham15092004/Hyderabad-GitHub-Users</v>
      </c>
      <c r="C400" s="3">
        <f>IFERROR(__xludf.DUMMYFUNCTION("""COMPUTED_VALUE"""),5.0)</f>
        <v>5</v>
      </c>
      <c r="D400" s="3">
        <f>IFERROR(__xludf.DUMMYFUNCTION("""COMPUTED_VALUE"""),0.0)</f>
        <v>0</v>
      </c>
      <c r="E400" s="3" t="str">
        <f>IFERROR(__xludf.DUMMYFUNCTION("""COMPUTED_VALUE"""),"README.md is ok but there is neither colab file nor the code file for generating csv.")</f>
        <v>README.md is ok but there is neither colab file nor the code file for generating csv.</v>
      </c>
      <c r="F400" s="5" t="str">
        <f>IFERROR(__xludf.DUMMYFUNCTION("""COMPUTED_VALUE"""),"https://github.com/Abina-srini/TDS")</f>
        <v>https://github.com/Abina-srini/TDS</v>
      </c>
      <c r="G400" s="3">
        <f>IFERROR(__xludf.DUMMYFUNCTION("""COMPUTED_VALUE"""),10.0)</f>
        <v>10</v>
      </c>
      <c r="H400" s="3">
        <f>IFERROR(__xludf.DUMMYFUNCTION("""COMPUTED_VALUE"""),5.0)</f>
        <v>5</v>
      </c>
      <c r="I400" s="3" t="str">
        <f>IFERROR(__xludf.DUMMYFUNCTION("""COMPUTED_VALUE"""),"README.md is good but there is only colab file and no code file for generating csv.")</f>
        <v>README.md is good but there is only colab file and no code file for generating csv.</v>
      </c>
      <c r="J400" s="3" t="str">
        <f>IFERROR(__xludf.DUMMYFUNCTION("""COMPUTED_VALUE"""),"23f1001545@ds.study.iitm.ac.in")</f>
        <v>23f1001545@ds.study.iitm.ac.in</v>
      </c>
      <c r="K400" s="3" t="str">
        <f t="shared" si="1"/>
        <v>23f1001545@ds.study.iitm.ac.inhttps://github.com/Preetham15092004/Hyderabad-GitHub-Users</v>
      </c>
      <c r="L400" s="3" t="str">
        <f t="shared" si="2"/>
        <v>23f1001545@ds.study.iitm.ac.inhttps://github.com/Abina-srini/TDS</v>
      </c>
    </row>
    <row r="401">
      <c r="A401" s="3">
        <f>IFERROR(__xludf.DUMMYFUNCTION("""COMPUTED_VALUE"""),45603.531963587964)</f>
        <v>45603.53196</v>
      </c>
      <c r="B401" s="5" t="str">
        <f>IFERROR(__xludf.DUMMYFUNCTION("""COMPUTED_VALUE"""),"https://github.com/23f1002051/TDS_Project_1")</f>
        <v>https://github.com/23f1002051/TDS_Project_1</v>
      </c>
      <c r="C401" s="3">
        <f>IFERROR(__xludf.DUMMYFUNCTION("""COMPUTED_VALUE"""),7.0)</f>
        <v>7</v>
      </c>
      <c r="D401" s="3">
        <f>IFERROR(__xludf.DUMMYFUNCTION("""COMPUTED_VALUE"""),7.0)</f>
        <v>7</v>
      </c>
      <c r="E401" s="3" t="str">
        <f>IFERROR(__xludf.DUMMYFUNCTION("""COMPUTED_VALUE"""),"The repo's README file was short and crisp. Also, the files names were also suitable for the file and looked professional. The code was very clear and self explanatory.")</f>
        <v>The repo's README file was short and crisp. Also, the files names were also suitable for the file and looked professional. The code was very clear and self explanatory.</v>
      </c>
      <c r="F401" s="5" t="str">
        <f>IFERROR(__xludf.DUMMYFUNCTION("""COMPUTED_VALUE"""),"https://github.com/Aniruddha017/TDSproject1")</f>
        <v>https://github.com/Aniruddha017/TDSproject1</v>
      </c>
      <c r="G401" s="3">
        <f>IFERROR(__xludf.DUMMYFUNCTION("""COMPUTED_VALUE"""),9.0)</f>
        <v>9</v>
      </c>
      <c r="H401" s="3">
        <f>IFERROR(__xludf.DUMMYFUNCTION("""COMPUTED_VALUE"""),6.0)</f>
        <v>6</v>
      </c>
      <c r="I401" s="3" t="str">
        <f>IFERROR(__xludf.DUMMYFUNCTION("""COMPUTED_VALUE"""),"The repo had lots of information which was fascinating to learn. However, the way it was presented wasn't too professional including the sentence formation and the look of it. The code was very clear and self explanatory.")</f>
        <v>The repo had lots of information which was fascinating to learn. However, the way it was presented wasn't too professional including the sentence formation and the look of it. The code was very clear and self explanatory.</v>
      </c>
      <c r="J401" s="3" t="str">
        <f>IFERROR(__xludf.DUMMYFUNCTION("""COMPUTED_VALUE"""),"23f2001187@ds.study.iitm.ac.in")</f>
        <v>23f2001187@ds.study.iitm.ac.in</v>
      </c>
      <c r="K401" s="3" t="str">
        <f t="shared" si="1"/>
        <v>23f2001187@ds.study.iitm.ac.inhttps://github.com/23f1002051/TDS_Project_1</v>
      </c>
      <c r="L401" s="3" t="str">
        <f t="shared" si="2"/>
        <v>23f2001187@ds.study.iitm.ac.inhttps://github.com/Aniruddha017/TDSproject1</v>
      </c>
    </row>
    <row r="402">
      <c r="A402" s="3">
        <f>IFERROR(__xludf.DUMMYFUNCTION("""COMPUTED_VALUE"""),45603.55842295139)</f>
        <v>45603.55842</v>
      </c>
      <c r="B402" s="5" t="str">
        <f>IFERROR(__xludf.DUMMYFUNCTION("""COMPUTED_VALUE"""),"https://github.com/gittymadman/TDS_PROJECT_1")</f>
        <v>https://github.com/gittymadman/TDS_PROJECT_1</v>
      </c>
      <c r="C402" s="3">
        <f>IFERROR(__xludf.DUMMYFUNCTION("""COMPUTED_VALUE"""),3.0)</f>
        <v>3</v>
      </c>
      <c r="D402" s="3">
        <f>IFERROR(__xludf.DUMMYFUNCTION("""COMPUTED_VALUE"""),10.0)</f>
        <v>10</v>
      </c>
      <c r="E402" s="3" t="str">
        <f>IFERROR(__xludf.DUMMYFUNCTION("""COMPUTED_VALUE"""),"The README.md file does not include any findings, interesting facts, or recommendations.")</f>
        <v>The README.md file does not include any findings, interesting facts, or recommendations.</v>
      </c>
      <c r="F402" s="5" t="str">
        <f>IFERROR(__xludf.DUMMYFUNCTION("""COMPUTED_VALUE"""),"https://github.com/Hariomkr147/TDS_project1")</f>
        <v>https://github.com/Hariomkr147/TDS_project1</v>
      </c>
      <c r="G402" s="3">
        <f>IFERROR(__xludf.DUMMYFUNCTION("""COMPUTED_VALUE"""),0.0)</f>
        <v>0</v>
      </c>
      <c r="H402" s="3">
        <f>IFERROR(__xludf.DUMMYFUNCTION("""COMPUTED_VALUE"""),0.0)</f>
        <v>0</v>
      </c>
      <c r="I402" s="3" t="str">
        <f>IFERROR(__xludf.DUMMYFUNCTION("""COMPUTED_VALUE"""),"The README.md file is empty, and the repository doesn't contain any code.")</f>
        <v>The README.md file is empty, and the repository doesn't contain any code.</v>
      </c>
      <c r="J402" s="3" t="str">
        <f>IFERROR(__xludf.DUMMYFUNCTION("""COMPUTED_VALUE"""),"23f2004165@ds.study.iitm.ac.in")</f>
        <v>23f2004165@ds.study.iitm.ac.in</v>
      </c>
      <c r="K402" s="3" t="str">
        <f t="shared" si="1"/>
        <v>23f2004165@ds.study.iitm.ac.inhttps://github.com/gittymadman/TDS_PROJECT_1</v>
      </c>
      <c r="L402" s="3" t="str">
        <f t="shared" si="2"/>
        <v>23f2004165@ds.study.iitm.ac.inhttps://github.com/Hariomkr147/TDS_project1</v>
      </c>
    </row>
    <row r="403">
      <c r="A403" s="3">
        <f>IFERROR(__xludf.DUMMYFUNCTION("""COMPUTED_VALUE"""),45603.57581861111)</f>
        <v>45603.57582</v>
      </c>
      <c r="B403" s="5" t="str">
        <f>IFERROR(__xludf.DUMMYFUNCTION("""COMPUTED_VALUE"""),"https://github.com/ranashakti7/Sydney_users")</f>
        <v>https://github.com/ranashakti7/Sydney_users</v>
      </c>
      <c r="C403" s="3">
        <f>IFERROR(__xludf.DUMMYFUNCTION("""COMPUTED_VALUE"""),9.0)</f>
        <v>9</v>
      </c>
      <c r="D403" s="3">
        <f>IFERROR(__xludf.DUMMYFUNCTION("""COMPUTED_VALUE"""),9.0)</f>
        <v>9</v>
      </c>
      <c r="E403" s="3" t="str">
        <f>IFERROR(__xludf.DUMMYFUNCTION("""COMPUTED_VALUE"""),"code was easy to understand with the help of comments ")</f>
        <v>code was easy to understand with the help of comments </v>
      </c>
      <c r="F403" s="5" t="str">
        <f>IFERROR(__xludf.DUMMYFUNCTION("""COMPUTED_VALUE"""),"https://github.com/22f3002293/TDS-project1")</f>
        <v>https://github.com/22f3002293/TDS-project1</v>
      </c>
      <c r="G403" s="3">
        <f>IFERROR(__xludf.DUMMYFUNCTION("""COMPUTED_VALUE"""),10.0)</f>
        <v>10</v>
      </c>
      <c r="H403" s="3">
        <f>IFERROR(__xludf.DUMMYFUNCTION("""COMPUTED_VALUE"""),9.0)</f>
        <v>9</v>
      </c>
      <c r="I403" s="3" t="str">
        <f>IFERROR(__xludf.DUMMYFUNCTION("""COMPUTED_VALUE"""),"Lots of insights were provided")</f>
        <v>Lots of insights were provided</v>
      </c>
      <c r="J403" s="3" t="str">
        <f>IFERROR(__xludf.DUMMYFUNCTION("""COMPUTED_VALUE"""),"24f1002079@ds.study.iitm.ac.in")</f>
        <v>24f1002079@ds.study.iitm.ac.in</v>
      </c>
      <c r="K403" s="3" t="str">
        <f t="shared" si="1"/>
        <v>24f1002079@ds.study.iitm.ac.inhttps://github.com/ranashakti7/Sydney_users</v>
      </c>
      <c r="L403" s="3" t="str">
        <f t="shared" si="2"/>
        <v>24f1002079@ds.study.iitm.ac.inhttps://github.com/22f3002293/TDS-project1</v>
      </c>
    </row>
    <row r="404">
      <c r="A404" s="3">
        <f>IFERROR(__xludf.DUMMYFUNCTION("""COMPUTED_VALUE"""),45603.588489629634)</f>
        <v>45603.58849</v>
      </c>
      <c r="B404" s="5" t="str">
        <f>IFERROR(__xludf.DUMMYFUNCTION("""COMPUTED_VALUE"""),"https://github.com/UJJWALg-08/TDS-Project1")</f>
        <v>https://github.com/UJJWALg-08/TDS-Project1</v>
      </c>
      <c r="C404" s="3">
        <f>IFERROR(__xludf.DUMMYFUNCTION("""COMPUTED_VALUE"""),9.0)</f>
        <v>9</v>
      </c>
      <c r="D404" s="3">
        <f>IFERROR(__xludf.DUMMYFUNCTION("""COMPUTED_VALUE"""),9.0)</f>
        <v>9</v>
      </c>
      <c r="E404" s="3" t="str">
        <f>IFERROR(__xludf.DUMMYFUNCTION("""COMPUTED_VALUE"""),"All code is proper and good, i learnt it, All Code is in proper way , provide all three points , things are crear and professional manner, over all good work.")</f>
        <v>All code is proper and good, i learnt it, All Code is in proper way , provide all three points , things are crear and professional manner, over all good work.</v>
      </c>
      <c r="F404" s="5" t="str">
        <f>IFERROR(__xludf.DUMMYFUNCTION("""COMPUTED_VALUE"""),"https://github.com/Mahabodhi4652/tds_project1")</f>
        <v>https://github.com/Mahabodhi4652/tds_project1</v>
      </c>
      <c r="G404" s="3">
        <f>IFERROR(__xludf.DUMMYFUNCTION("""COMPUTED_VALUE"""),9.0)</f>
        <v>9</v>
      </c>
      <c r="H404" s="3">
        <f>IFERROR(__xludf.DUMMYFUNCTION("""COMPUTED_VALUE"""),9.0)</f>
        <v>9</v>
      </c>
      <c r="I404" s="3" t="str">
        <f>IFERROR(__xludf.DUMMYFUNCTION("""COMPUTED_VALUE"""),"All Code is in proper way , provide all three points , things are crear and professional manner, over all good work.")</f>
        <v>All Code is in proper way , provide all three points , things are crear and professional manner, over all good work.</v>
      </c>
      <c r="J404" s="3" t="str">
        <f>IFERROR(__xludf.DUMMYFUNCTION("""COMPUTED_VALUE"""),"23ds1000121@ds.study.iitm.ac.in")</f>
        <v>23ds1000121@ds.study.iitm.ac.in</v>
      </c>
      <c r="K404" s="3" t="str">
        <f t="shared" si="1"/>
        <v>23ds1000121@ds.study.iitm.ac.inhttps://github.com/UJJWALg-08/TDS-Project1</v>
      </c>
      <c r="L404" s="3" t="str">
        <f t="shared" si="2"/>
        <v>23ds1000121@ds.study.iitm.ac.inhttps://github.com/Mahabodhi4652/tds_project1</v>
      </c>
    </row>
    <row r="405">
      <c r="A405" s="3">
        <f>IFERROR(__xludf.DUMMYFUNCTION("""COMPUTED_VALUE"""),45603.58917824074)</f>
        <v>45603.58918</v>
      </c>
      <c r="B405" s="5" t="str">
        <f>IFERROR(__xludf.DUMMYFUNCTION("""COMPUTED_VALUE"""),"https://github.com/jagrutiitm/tdsproject1")</f>
        <v>https://github.com/jagrutiitm/tdsproject1</v>
      </c>
      <c r="C405" s="3">
        <f>IFERROR(__xludf.DUMMYFUNCTION("""COMPUTED_VALUE"""),0.0)</f>
        <v>0</v>
      </c>
      <c r="D405" s="3">
        <f>IFERROR(__xludf.DUMMYFUNCTION("""COMPUTED_VALUE"""),0.0)</f>
        <v>0</v>
      </c>
      <c r="E405" s="3" t="str">
        <f>IFERROR(__xludf.DUMMYFUNCTION("""COMPUTED_VALUE"""),"The README.md file is missing content that is the findings. It only includes the users.csv and repositories.csv files, with no code provided.")</f>
        <v>The README.md file is missing content that is the findings. It only includes the users.csv and repositories.csv files, with no code provided.</v>
      </c>
      <c r="F405" s="5" t="str">
        <f>IFERROR(__xludf.DUMMYFUNCTION("""COMPUTED_VALUE"""),"https://github.com/Harini-commits/stockholm-github-users")</f>
        <v>https://github.com/Harini-commits/stockholm-github-users</v>
      </c>
      <c r="G405" s="3">
        <f>IFERROR(__xludf.DUMMYFUNCTION("""COMPUTED_VALUE"""),10.0)</f>
        <v>10</v>
      </c>
      <c r="H405" s="3">
        <f>IFERROR(__xludf.DUMMYFUNCTION("""COMPUTED_VALUE"""),9.0)</f>
        <v>9</v>
      </c>
      <c r="I405" s="3" t="str">
        <f>IFERROR(__xludf.DUMMYFUNCTION("""COMPUTED_VALUE"""),"He/She has summarized their findings clearly and concisely in the README.md file, providing adequate details. The code is also brief and well-structured, with comments throughout to aid in understanding. Additionally, the users.csv and repositories.csv fi"&amp;"les are available in the GitHub repository. However, the code for the assignment questions is not provided.")</f>
        <v>He/She has summarized their findings clearly and concisely in the README.md file, providing adequate details. The code is also brief and well-structured, with comments throughout to aid in understanding. Additionally, the users.csv and repositories.csv files are available in the GitHub repository. However, the code for the assignment questions is not provided.</v>
      </c>
      <c r="J405" s="3" t="str">
        <f>IFERROR(__xludf.DUMMYFUNCTION("""COMPUTED_VALUE"""),"23f1001673@ds.study.iitm.ac.in")</f>
        <v>23f1001673@ds.study.iitm.ac.in</v>
      </c>
      <c r="K405" s="3" t="str">
        <f t="shared" si="1"/>
        <v>23f1001673@ds.study.iitm.ac.inhttps://github.com/jagrutiitm/tdsproject1</v>
      </c>
      <c r="L405" s="3" t="str">
        <f t="shared" si="2"/>
        <v>23f1001673@ds.study.iitm.ac.inhttps://github.com/Harini-commits/stockholm-github-users</v>
      </c>
    </row>
    <row r="406">
      <c r="A406" s="3">
        <f>IFERROR(__xludf.DUMMYFUNCTION("""COMPUTED_VALUE"""),45603.63879539352)</f>
        <v>45603.6388</v>
      </c>
      <c r="B406" s="5" t="str">
        <f>IFERROR(__xludf.DUMMYFUNCTION("""COMPUTED_VALUE"""),"https://github.com/AdityaGuptaVarshney/tds-project1-iitm")</f>
        <v>https://github.com/AdityaGuptaVarshney/tds-project1-iitm</v>
      </c>
      <c r="C406" s="3">
        <f>IFERROR(__xludf.DUMMYFUNCTION("""COMPUTED_VALUE"""),6.0)</f>
        <v>6</v>
      </c>
      <c r="D406" s="3">
        <f>IFERROR(__xludf.DUMMYFUNCTION("""COMPUTED_VALUE"""),10.0)</f>
        <v>10</v>
      </c>
      <c r="E406" s="3" t="str">
        <f>IFERROR(__xludf.DUMMYFUNCTION("""COMPUTED_VALUE"""),"The write-up in readme file is too lengthy. Seems the finding are more from the questions in the project. The code is very clear and professional. ")</f>
        <v>The write-up in readme file is too lengthy. Seems the finding are more from the questions in the project. The code is very clear and professional. </v>
      </c>
      <c r="F406" s="5" t="str">
        <f>IFERROR(__xludf.DUMMYFUNCTION("""COMPUTED_VALUE"""),"https://github.com/AnujKrishna-IIT/TDS-Project1")</f>
        <v>https://github.com/AnujKrishna-IIT/TDS-Project1</v>
      </c>
      <c r="G406" s="3">
        <f>IFERROR(__xludf.DUMMYFUNCTION("""COMPUTED_VALUE"""),4.0)</f>
        <v>4</v>
      </c>
      <c r="H406" s="3">
        <f>IFERROR(__xludf.DUMMYFUNCTION("""COMPUTED_VALUE"""),10.0)</f>
        <v>10</v>
      </c>
      <c r="I406" s="3" t="str">
        <f>IFERROR(__xludf.DUMMYFUNCTION("""COMPUTED_VALUE"""),"The write-up in readme file is too short. The code is very clear and professional. ")</f>
        <v>The write-up in readme file is too short. The code is very clear and professional. </v>
      </c>
      <c r="J406" s="3" t="str">
        <f>IFERROR(__xludf.DUMMYFUNCTION("""COMPUTED_VALUE"""),"22f3003121@ds.study.iitm.ac.in")</f>
        <v>22f3003121@ds.study.iitm.ac.in</v>
      </c>
      <c r="K406" s="3" t="str">
        <f t="shared" si="1"/>
        <v>22f3003121@ds.study.iitm.ac.inhttps://github.com/AdityaGuptaVarshney/tds-project1-iitm</v>
      </c>
      <c r="L406" s="3" t="str">
        <f t="shared" si="2"/>
        <v>22f3003121@ds.study.iitm.ac.inhttps://github.com/AnujKrishna-IIT/TDS-Project1</v>
      </c>
    </row>
    <row r="407">
      <c r="A407" s="3">
        <f>IFERROR(__xludf.DUMMYFUNCTION("""COMPUTED_VALUE"""),45603.71382967592)</f>
        <v>45603.71383</v>
      </c>
      <c r="B407" s="5" t="str">
        <f>IFERROR(__xludf.DUMMYFUNCTION("""COMPUTED_VALUE"""),"https://github.com/narendrabissu/TDS_21F1000753_P1")</f>
        <v>https://github.com/narendrabissu/TDS_21F1000753_P1</v>
      </c>
      <c r="C407" s="3">
        <f>IFERROR(__xludf.DUMMYFUNCTION("""COMPUTED_VALUE"""),10.0)</f>
        <v>10</v>
      </c>
      <c r="D407" s="3">
        <f>IFERROR(__xludf.DUMMYFUNCTION("""COMPUTED_VALUE"""),9.0)</f>
        <v>9</v>
      </c>
      <c r="E407" s="3" t="str">
        <f>IFERROR(__xludf.DUMMYFUNCTION("""COMPUTED_VALUE"""),"Interesting insights from readme file. 
Code not insightful")</f>
        <v>Interesting insights from readme file. 
Code not insightful</v>
      </c>
      <c r="F407" s="5" t="str">
        <f>IFERROR(__xludf.DUMMYFUNCTION("""COMPUTED_VALUE"""),"https://github.com/Me-dev-commits/project-1")</f>
        <v>https://github.com/Me-dev-commits/project-1</v>
      </c>
      <c r="G407" s="3">
        <f>IFERROR(__xludf.DUMMYFUNCTION("""COMPUTED_VALUE"""),10.0)</f>
        <v>10</v>
      </c>
      <c r="H407" s="3">
        <f>IFERROR(__xludf.DUMMYFUNCTION("""COMPUTED_VALUE"""),10.0)</f>
        <v>10</v>
      </c>
      <c r="I407" s="3" t="str">
        <f>IFERROR(__xludf.DUMMYFUNCTION("""COMPUTED_VALUE"""),"Code is correct.
Got new insights from the readme file")</f>
        <v>Code is correct.
Got new insights from the readme file</v>
      </c>
      <c r="J407" s="3" t="str">
        <f>IFERROR(__xludf.DUMMYFUNCTION("""COMPUTED_VALUE"""),"23f3003711@ds.study.iitm.ac.in")</f>
        <v>23f3003711@ds.study.iitm.ac.in</v>
      </c>
      <c r="K407" s="3" t="str">
        <f t="shared" si="1"/>
        <v>23f3003711@ds.study.iitm.ac.inhttps://github.com/narendrabissu/TDS_21F1000753_P1</v>
      </c>
      <c r="L407" s="3" t="str">
        <f t="shared" si="2"/>
        <v>23f3003711@ds.study.iitm.ac.inhttps://github.com/Me-dev-commits/project-1</v>
      </c>
    </row>
    <row r="408">
      <c r="A408" s="3">
        <f>IFERROR(__xludf.DUMMYFUNCTION("""COMPUTED_VALUE"""),45603.66085768519)</f>
        <v>45603.66086</v>
      </c>
      <c r="B408" s="5" t="str">
        <f>IFERROR(__xludf.DUMMYFUNCTION("""COMPUTED_VALUE"""),"https://github.com/Kushagra-IITM/TDS1_23f1001963")</f>
        <v>https://github.com/Kushagra-IITM/TDS1_23f1001963</v>
      </c>
      <c r="C408" s="3">
        <f>IFERROR(__xludf.DUMMYFUNCTION("""COMPUTED_VALUE"""),7.0)</f>
        <v>7</v>
      </c>
      <c r="D408" s="3">
        <f>IFERROR(__xludf.DUMMYFUNCTION("""COMPUTED_VALUE"""),9.0)</f>
        <v>9</v>
      </c>
      <c r="E408" s="3" t="str">
        <f>IFERROR(__xludf.DUMMYFUNCTION("""COMPUTED_VALUE"""),"The code was well-commented, and everything was well-documented and descriptive. I was easily able to figure out what was going on in the scripts. Their work might not be at an expert level, nor is mine, but the effort was evident. ")</f>
        <v>The code was well-commented, and everything was well-documented and descriptive. I was easily able to figure out what was going on in the scripts. Their work might not be at an expert level, nor is mine, but the effort was evident. </v>
      </c>
      <c r="F408" s="5" t="str">
        <f>IFERROR(__xludf.DUMMYFUNCTION("""COMPUTED_VALUE"""),"https://github.com/Anu-IITM/Tds_project1")</f>
        <v>https://github.com/Anu-IITM/Tds_project1</v>
      </c>
      <c r="G408" s="3">
        <f>IFERROR(__xludf.DUMMYFUNCTION("""COMPUTED_VALUE"""),5.0)</f>
        <v>5</v>
      </c>
      <c r="H408" s="3">
        <f>IFERROR(__xludf.DUMMYFUNCTION("""COMPUTED_VALUE"""),4.0)</f>
        <v>4</v>
      </c>
      <c r="I408" s="3" t="str">
        <f>IFERROR(__xludf.DUMMYFUNCTION("""COMPUTED_VALUE"""),"The only new thing I could gather from his scraping process was that he had the 'Delhi:100' project. The other points were too generic.
He also had his GitHub API token in his code, I don’t want to give a bad review 😭😭. Additionally, he used Colab to ge"&amp;"nerate a Python file instead of an .ipynb file, which added unnecessary code. The way it’s written also makes it more confusing.")</f>
        <v>The only new thing I could gather from his scraping process was that he had the 'Delhi:100' project. The other points were too generic.
He also had his GitHub API token in his code, I don’t want to give a bad review 😭😭. Additionally, he used Colab to generate a Python file instead of an .ipynb file, which added unnecessary code. The way it’s written also makes it more confusing.</v>
      </c>
      <c r="J408" s="3" t="str">
        <f>IFERROR(__xludf.DUMMYFUNCTION("""COMPUTED_VALUE"""),"22f3000823@ds.study.iitm.ac.in")</f>
        <v>22f3000823@ds.study.iitm.ac.in</v>
      </c>
      <c r="K408" s="3" t="str">
        <f t="shared" si="1"/>
        <v>22f3000823@ds.study.iitm.ac.inhttps://github.com/Kushagra-IITM/TDS1_23f1001963</v>
      </c>
      <c r="L408" s="3" t="str">
        <f t="shared" si="2"/>
        <v>22f3000823@ds.study.iitm.ac.inhttps://github.com/Anu-IITM/Tds_project1</v>
      </c>
    </row>
    <row r="409">
      <c r="A409" s="3">
        <f>IFERROR(__xludf.DUMMYFUNCTION("""COMPUTED_VALUE"""),45603.674278900464)</f>
        <v>45603.67428</v>
      </c>
      <c r="B409" s="5" t="str">
        <f>IFERROR(__xludf.DUMMYFUNCTION("""COMPUTED_VALUE"""),"https://github.com/22f1000952/basel-users-analysis")</f>
        <v>https://github.com/22f1000952/basel-users-analysis</v>
      </c>
      <c r="C409" s="3">
        <f>IFERROR(__xludf.DUMMYFUNCTION("""COMPUTED_VALUE"""),9.0)</f>
        <v>9</v>
      </c>
      <c r="D409" s="3">
        <f>IFERROR(__xludf.DUMMYFUNCTION("""COMPUTED_VALUE"""),10.0)</f>
        <v>10</v>
      </c>
      <c r="E409" s="3" t="str">
        <f>IFERROR(__xludf.DUMMYFUNCTION("""COMPUTED_VALUE"""),"The Code for the Repo is quite professional in terms of the code clarity and also they have different files that do different work like scrapping so abstraction in that terms is useful.
The finding was also interesting but could have been better.")</f>
        <v>The Code for the Repo is quite professional in terms of the code clarity and also they have different files that do different work like scrapping so abstraction in that terms is useful.
The finding was also interesting but could have been better.</v>
      </c>
      <c r="F409" s="5" t="str">
        <f>IFERROR(__xludf.DUMMYFUNCTION("""COMPUTED_VALUE"""),"https://github.com/Pragati2001589/my_repository")</f>
        <v>https://github.com/Pragati2001589/my_repository</v>
      </c>
      <c r="G409" s="3">
        <f>IFERROR(__xludf.DUMMYFUNCTION("""COMPUTED_VALUE"""),10.0)</f>
        <v>10</v>
      </c>
      <c r="H409" s="3">
        <f>IFERROR(__xludf.DUMMYFUNCTION("""COMPUTED_VALUE"""),9.0)</f>
        <v>9</v>
      </c>
      <c r="I409" s="3" t="str">
        <f>IFERROR(__xludf.DUMMYFUNCTION("""COMPUTED_VALUE"""),"these rating are based on too much code and different files makes it difficult to run the code  and get the answers, otherwise every other thing is fine.")</f>
        <v>these rating are based on too much code and different files makes it difficult to run the code  and get the answers, otherwise every other thing is fine.</v>
      </c>
      <c r="J409" s="3" t="str">
        <f>IFERROR(__xludf.DUMMYFUNCTION("""COMPUTED_VALUE"""),"22f1000894@ds.study.iitm.ac.in")</f>
        <v>22f1000894@ds.study.iitm.ac.in</v>
      </c>
      <c r="K409" s="3" t="str">
        <f t="shared" si="1"/>
        <v>22f1000894@ds.study.iitm.ac.inhttps://github.com/22f1000952/basel-users-analysis</v>
      </c>
      <c r="L409" s="3" t="str">
        <f t="shared" si="2"/>
        <v>22f1000894@ds.study.iitm.ac.inhttps://github.com/Pragati2001589/my_repository</v>
      </c>
    </row>
    <row r="410">
      <c r="A410" s="3">
        <f>IFERROR(__xludf.DUMMYFUNCTION("""COMPUTED_VALUE"""),45603.692862372685)</f>
        <v>45603.69286</v>
      </c>
      <c r="B410" s="5" t="str">
        <f>IFERROR(__xludf.DUMMYFUNCTION("""COMPUTED_VALUE"""),"https://github.com/shinadeveloper/TDS-Project-1")</f>
        <v>https://github.com/shinadeveloper/TDS-Project-1</v>
      </c>
      <c r="C410" s="3">
        <f>IFERROR(__xludf.DUMMYFUNCTION("""COMPUTED_VALUE"""),10.0)</f>
        <v>10</v>
      </c>
      <c r="D410" s="3">
        <f>IFERROR(__xludf.DUMMYFUNCTION("""COMPUTED_VALUE"""),10.0)</f>
        <v>10</v>
      </c>
      <c r="E410" s="3" t="str">
        <f>IFERROR(__xludf.DUMMYFUNCTION("""COMPUTED_VALUE"""),"the code was clear and had all the points covered")</f>
        <v>the code was clear and had all the points covered</v>
      </c>
      <c r="F410" s="5" t="str">
        <f>IFERROR(__xludf.DUMMYFUNCTION("""COMPUTED_VALUE"""),"https://github.com/Aadi0703/TDS-project1/blob/main/TDSP1.ipynb")</f>
        <v>https://github.com/Aadi0703/TDS-project1/blob/main/TDSP1.ipynb</v>
      </c>
      <c r="G410" s="3">
        <f>IFERROR(__xludf.DUMMYFUNCTION("""COMPUTED_VALUE"""),10.0)</f>
        <v>10</v>
      </c>
      <c r="H410" s="3">
        <f>IFERROR(__xludf.DUMMYFUNCTION("""COMPUTED_VALUE"""),10.0)</f>
        <v>10</v>
      </c>
      <c r="I410" s="3" t="str">
        <f>IFERROR(__xludf.DUMMYFUNCTION("""COMPUTED_VALUE"""),"The code was clear and had interesting facts")</f>
        <v>The code was clear and had interesting facts</v>
      </c>
      <c r="J410" s="3" t="str">
        <f>IFERROR(__xludf.DUMMYFUNCTION("""COMPUTED_VALUE"""),"23f1002304@ds.study.iitm.ac.in")</f>
        <v>23f1002304@ds.study.iitm.ac.in</v>
      </c>
      <c r="K410" s="3" t="str">
        <f t="shared" si="1"/>
        <v>23f1002304@ds.study.iitm.ac.inhttps://github.com/shinadeveloper/TDS-Project-1</v>
      </c>
      <c r="L410" s="3" t="str">
        <f t="shared" si="2"/>
        <v>23f1002304@ds.study.iitm.ac.inhttps://github.com/Aadi0703/TDS-project1/blob/main/TDSP1.ipynb</v>
      </c>
    </row>
    <row r="411">
      <c r="A411" s="3">
        <f>IFERROR(__xludf.DUMMYFUNCTION("""COMPUTED_VALUE"""),45603.69703130787)</f>
        <v>45603.69703</v>
      </c>
      <c r="B411" s="5" t="str">
        <f>IFERROR(__xludf.DUMMYFUNCTION("""COMPUTED_VALUE"""),"https://github.com/narendrabissu/TDS_21F1000753_P1")</f>
        <v>https://github.com/narendrabissu/TDS_21F1000753_P1</v>
      </c>
      <c r="C411" s="3">
        <f>IFERROR(__xludf.DUMMYFUNCTION("""COMPUTED_VALUE"""),10.0)</f>
        <v>10</v>
      </c>
      <c r="D411" s="3">
        <f>IFERROR(__xludf.DUMMYFUNCTION("""COMPUTED_VALUE"""),9.0)</f>
        <v>9</v>
      </c>
      <c r="E411" s="3" t="str">
        <f>IFERROR(__xludf.DUMMYFUNCTION("""COMPUTED_VALUE"""),"Got insights with readme file and code is clear ")</f>
        <v>Got insights with readme file and code is clear </v>
      </c>
      <c r="F411" s="5" t="str">
        <f>IFERROR(__xludf.DUMMYFUNCTION("""COMPUTED_VALUE"""),"https://github.com/Me-dev-commits/project-1")</f>
        <v>https://github.com/Me-dev-commits/project-1</v>
      </c>
      <c r="G411" s="3">
        <f>IFERROR(__xludf.DUMMYFUNCTION("""COMPUTED_VALUE"""),10.0)</f>
        <v>10</v>
      </c>
      <c r="H411" s="3">
        <f>IFERROR(__xludf.DUMMYFUNCTION("""COMPUTED_VALUE"""),10.0)</f>
        <v>10</v>
      </c>
      <c r="I411" s="3" t="str">
        <f>IFERROR(__xludf.DUMMYFUNCTION("""COMPUTED_VALUE"""),"go insights from readme file and code is good and clear ")</f>
        <v>go insights from readme file and code is good and clear </v>
      </c>
      <c r="J411" s="3" t="str">
        <f>IFERROR(__xludf.DUMMYFUNCTION("""COMPUTED_VALUE"""),"21f1002851@ds.study.iitm.ac.in")</f>
        <v>21f1002851@ds.study.iitm.ac.in</v>
      </c>
      <c r="K411" s="3" t="str">
        <f t="shared" si="1"/>
        <v>21f1002851@ds.study.iitm.ac.inhttps://github.com/narendrabissu/TDS_21F1000753_P1</v>
      </c>
      <c r="L411" s="3" t="str">
        <f t="shared" si="2"/>
        <v>21f1002851@ds.study.iitm.ac.inhttps://github.com/Me-dev-commits/project-1</v>
      </c>
    </row>
    <row r="412">
      <c r="A412" s="3">
        <f>IFERROR(__xludf.DUMMYFUNCTION("""COMPUTED_VALUE"""),45603.73698983796)</f>
        <v>45603.73699</v>
      </c>
      <c r="B412" s="5" t="str">
        <f>IFERROR(__xludf.DUMMYFUNCTION("""COMPUTED_VALUE"""),"https://github.com/24f1002112/Project1TDS")</f>
        <v>https://github.com/24f1002112/Project1TDS</v>
      </c>
      <c r="C412" s="3">
        <f>IFERROR(__xludf.DUMMYFUNCTION("""COMPUTED_VALUE"""),9.0)</f>
        <v>9</v>
      </c>
      <c r="D412" s="3">
        <f>IFERROR(__xludf.DUMMYFUNCTION("""COMPUTED_VALUE"""),9.0)</f>
        <v>9</v>
      </c>
      <c r="E412" s="3" t="str">
        <f>IFERROR(__xludf.DUMMYFUNCTION("""COMPUTED_VALUE"""),"Code was very systematic &amp; clear with all the necessary comment and overall I found the that project was done perfectly with all the efforts.")</f>
        <v>Code was very systematic &amp; clear with all the necessary comment and overall I found the that project was done perfectly with all the efforts.</v>
      </c>
      <c r="F412" s="5" t="str">
        <f>IFERROR(__xludf.DUMMYFUNCTION("""COMPUTED_VALUE"""),"https://github.com/adityaraj2308/projeft1/blob/main/README.md")</f>
        <v>https://github.com/adityaraj2308/projeft1/blob/main/README.md</v>
      </c>
      <c r="G412" s="3">
        <f>IFERROR(__xludf.DUMMYFUNCTION("""COMPUTED_VALUE"""),6.0)</f>
        <v>6</v>
      </c>
      <c r="H412" s="3">
        <f>IFERROR(__xludf.DUMMYFUNCTION("""COMPUTED_VALUE"""),9.0)</f>
        <v>9</v>
      </c>
      <c r="I412" s="3" t="str">
        <f>IFERROR(__xludf.DUMMYFUNCTION("""COMPUTED_VALUE"""),"Readme was a bit lengthy. Found a different approach to solve the questions in the project using python.")</f>
        <v>Readme was a bit lengthy. Found a different approach to solve the questions in the project using python.</v>
      </c>
      <c r="J412" s="3" t="str">
        <f>IFERROR(__xludf.DUMMYFUNCTION("""COMPUTED_VALUE"""),"21f1001804@ds.study.iitm.ac.in")</f>
        <v>21f1001804@ds.study.iitm.ac.in</v>
      </c>
      <c r="K412" s="3" t="str">
        <f t="shared" si="1"/>
        <v>21f1001804@ds.study.iitm.ac.inhttps://github.com/24f1002112/Project1TDS</v>
      </c>
      <c r="L412" s="3" t="str">
        <f t="shared" si="2"/>
        <v>21f1001804@ds.study.iitm.ac.inhttps://github.com/adityaraj2308/projeft1/blob/main/README.md</v>
      </c>
    </row>
    <row r="413">
      <c r="A413" s="3">
        <f>IFERROR(__xludf.DUMMYFUNCTION("""COMPUTED_VALUE"""),45603.744796377316)</f>
        <v>45603.7448</v>
      </c>
      <c r="B413" s="5" t="str">
        <f>IFERROR(__xludf.DUMMYFUNCTION("""COMPUTED_VALUE"""),"https://github.com/himanesh21/GithubUserDataAnalysis")</f>
        <v>https://github.com/himanesh21/GithubUserDataAnalysis</v>
      </c>
      <c r="C413" s="3">
        <f>IFERROR(__xludf.DUMMYFUNCTION("""COMPUTED_VALUE"""),10.0)</f>
        <v>10</v>
      </c>
      <c r="D413" s="3">
        <f>IFERROR(__xludf.DUMMYFUNCTION("""COMPUTED_VALUE"""),9.0)</f>
        <v>9</v>
      </c>
      <c r="E413" s="3" t="str">
        <f>IFERROR(__xludf.DUMMYFUNCTION("""COMPUTED_VALUE"""),"It was clear and stand on all parameters.")</f>
        <v>It was clear and stand on all parameters.</v>
      </c>
      <c r="F413" s="5" t="str">
        <f>IFERROR(__xludf.DUMMYFUNCTION("""COMPUTED_VALUE"""),"https://github.com/Varun-K34/github-users-toronto")</f>
        <v>https://github.com/Varun-K34/github-users-toronto</v>
      </c>
      <c r="G413" s="3">
        <f>IFERROR(__xludf.DUMMYFUNCTION("""COMPUTED_VALUE"""),10.0)</f>
        <v>10</v>
      </c>
      <c r="H413" s="3">
        <f>IFERROR(__xludf.DUMMYFUNCTION("""COMPUTED_VALUE"""),10.0)</f>
        <v>10</v>
      </c>
      <c r="I413" s="3" t="str">
        <f>IFERROR(__xludf.DUMMYFUNCTION("""COMPUTED_VALUE"""),"It was clear and stand on all parameters.")</f>
        <v>It was clear and stand on all parameters.</v>
      </c>
      <c r="J413" s="3" t="str">
        <f>IFERROR(__xludf.DUMMYFUNCTION("""COMPUTED_VALUE"""),"21f2000371@ds.study.iitm.ac.in")</f>
        <v>21f2000371@ds.study.iitm.ac.in</v>
      </c>
      <c r="K413" s="3" t="str">
        <f t="shared" si="1"/>
        <v>21f2000371@ds.study.iitm.ac.inhttps://github.com/himanesh21/GithubUserDataAnalysis</v>
      </c>
      <c r="L413" s="3" t="str">
        <f t="shared" si="2"/>
        <v>21f2000371@ds.study.iitm.ac.inhttps://github.com/Varun-K34/github-users-toronto</v>
      </c>
    </row>
    <row r="414">
      <c r="A414" s="3">
        <f>IFERROR(__xludf.DUMMYFUNCTION("""COMPUTED_VALUE"""),45603.75129332176)</f>
        <v>45603.75129</v>
      </c>
      <c r="B414" s="5" t="str">
        <f>IFERROR(__xludf.DUMMYFUNCTION("""COMPUTED_VALUE"""),"https://github.com/NandhaaKishore-10/TDS-PROJECT-1")</f>
        <v>https://github.com/NandhaaKishore-10/TDS-PROJECT-1</v>
      </c>
      <c r="C414" s="3">
        <f>IFERROR(__xludf.DUMMYFUNCTION("""COMPUTED_VALUE"""),10.0)</f>
        <v>10</v>
      </c>
      <c r="D414" s="3">
        <f>IFERROR(__xludf.DUMMYFUNCTION("""COMPUTED_VALUE"""),10.0)</f>
        <v>10</v>
      </c>
      <c r="E414" s="3" t="str">
        <f>IFERROR(__xludf.DUMMYFUNCTION("""COMPUTED_VALUE"""),"I had learned a new way to call requests. The code looks neat.")</f>
        <v>I had learned a new way to call requests. The code looks neat.</v>
      </c>
      <c r="F414" s="5" t="str">
        <f>IFERROR(__xludf.DUMMYFUNCTION("""COMPUTED_VALUE"""),"https://github.com/aniko1806/GitHub_API_Analysis_Boston")</f>
        <v>https://github.com/aniko1806/GitHub_API_Analysis_Boston</v>
      </c>
      <c r="G414" s="3">
        <f>IFERROR(__xludf.DUMMYFUNCTION("""COMPUTED_VALUE"""),10.0)</f>
        <v>10</v>
      </c>
      <c r="H414" s="3">
        <f>IFERROR(__xludf.DUMMYFUNCTION("""COMPUTED_VALUE"""),10.0)</f>
        <v>10</v>
      </c>
      <c r="I414" s="3" t="str">
        <f>IFERROR(__xludf.DUMMYFUNCTION("""COMPUTED_VALUE"""),"I had learned a new way to call requests. The code looks neat.")</f>
        <v>I had learned a new way to call requests. The code looks neat.</v>
      </c>
      <c r="J414" s="3" t="str">
        <f>IFERROR(__xludf.DUMMYFUNCTION("""COMPUTED_VALUE"""),"21f2000099@ds.study.iitm.ac.in")</f>
        <v>21f2000099@ds.study.iitm.ac.in</v>
      </c>
      <c r="K414" s="3" t="str">
        <f t="shared" si="1"/>
        <v>21f2000099@ds.study.iitm.ac.inhttps://github.com/NandhaaKishore-10/TDS-PROJECT-1</v>
      </c>
      <c r="L414" s="3" t="str">
        <f t="shared" si="2"/>
        <v>21f2000099@ds.study.iitm.ac.inhttps://github.com/aniko1806/GitHub_API_Analysis_Boston</v>
      </c>
    </row>
    <row r="415">
      <c r="A415" s="3">
        <f>IFERROR(__xludf.DUMMYFUNCTION("""COMPUTED_VALUE"""),45603.76421487269)</f>
        <v>45603.76421</v>
      </c>
      <c r="B415" s="5" t="str">
        <f>IFERROR(__xludf.DUMMYFUNCTION("""COMPUTED_VALUE"""),"https://github.com/harshx45/tdsproj1")</f>
        <v>https://github.com/harshx45/tdsproj1</v>
      </c>
      <c r="C415" s="3">
        <f>IFERROR(__xludf.DUMMYFUNCTION("""COMPUTED_VALUE"""),10.0)</f>
        <v>10</v>
      </c>
      <c r="D415" s="3">
        <f>IFERROR(__xludf.DUMMYFUNCTION("""COMPUTED_VALUE"""),10.0)</f>
        <v>10</v>
      </c>
      <c r="E415" s="3" t="str">
        <f>IFERROR(__xludf.DUMMYFUNCTION("""COMPUTED_VALUE"""),"The README file and the code was clear, easy to understand and interesting.")</f>
        <v>The README file and the code was clear, easy to understand and interesting.</v>
      </c>
      <c r="F415" s="5" t="str">
        <f>IFERROR(__xludf.DUMMYFUNCTION("""COMPUTED_VALUE"""),"https://github.com/ekxnsh22005/TDS-Project")</f>
        <v>https://github.com/ekxnsh22005/TDS-Project</v>
      </c>
      <c r="G415" s="3">
        <f>IFERROR(__xludf.DUMMYFUNCTION("""COMPUTED_VALUE"""),10.0)</f>
        <v>10</v>
      </c>
      <c r="H415" s="3">
        <f>IFERROR(__xludf.DUMMYFUNCTION("""COMPUTED_VALUE"""),10.0)</f>
        <v>10</v>
      </c>
      <c r="I415" s="3" t="str">
        <f>IFERROR(__xludf.DUMMYFUNCTION("""COMPUTED_VALUE"""),"The README file and the code was clear, easy to understand and interesting.")</f>
        <v>The README file and the code was clear, easy to understand and interesting.</v>
      </c>
      <c r="J415" s="3" t="str">
        <f>IFERROR(__xludf.DUMMYFUNCTION("""COMPUTED_VALUE"""),"23f3000169@ds.study.iitm.ac.in")</f>
        <v>23f3000169@ds.study.iitm.ac.in</v>
      </c>
      <c r="K415" s="3" t="str">
        <f t="shared" si="1"/>
        <v>23f3000169@ds.study.iitm.ac.inhttps://github.com/harshx45/tdsproj1</v>
      </c>
      <c r="L415" s="3" t="str">
        <f t="shared" si="2"/>
        <v>23f3000169@ds.study.iitm.ac.inhttps://github.com/ekxnsh22005/TDS-Project</v>
      </c>
    </row>
    <row r="416">
      <c r="A416" s="3">
        <f>IFERROR(__xludf.DUMMYFUNCTION("""COMPUTED_VALUE"""),45603.85638469907)</f>
        <v>45603.85638</v>
      </c>
      <c r="B416" s="5" t="str">
        <f>IFERROR(__xludf.DUMMYFUNCTION("""COMPUTED_VALUE"""),"https://github.com/AbdulHadiCreator/TDSproject1")</f>
        <v>https://github.com/AbdulHadiCreator/TDSproject1</v>
      </c>
      <c r="C416" s="3">
        <f>IFERROR(__xludf.DUMMYFUNCTION("""COMPUTED_VALUE"""),9.0)</f>
        <v>9</v>
      </c>
      <c r="D416" s="3">
        <f>IFERROR(__xludf.DUMMYFUNCTION("""COMPUTED_VALUE"""),4.0)</f>
        <v>4</v>
      </c>
      <c r="E416" s="3" t="str">
        <f>IFERROR(__xludf.DUMMYFUNCTION("""COMPUTED_VALUE"""),"The readme file was present with 3 bullet points that satisfy the requirement. However the code that was present is not clear.")</f>
        <v>The readme file was present with 3 bullet points that satisfy the requirement. However the code that was present is not clear.</v>
      </c>
      <c r="F416" s="5" t="str">
        <f>IFERROR(__xludf.DUMMYFUNCTION("""COMPUTED_VALUE"""),"https://github.com/sashank-e/TDS_P1")</f>
        <v>https://github.com/sashank-e/TDS_P1</v>
      </c>
      <c r="G416" s="3">
        <f>IFERROR(__xludf.DUMMYFUNCTION("""COMPUTED_VALUE"""),6.0)</f>
        <v>6</v>
      </c>
      <c r="H416" s="3">
        <f>IFERROR(__xludf.DUMMYFUNCTION("""COMPUTED_VALUE"""),5.0)</f>
        <v>5</v>
      </c>
      <c r="I416" s="3" t="str">
        <f>IFERROR(__xludf.DUMMYFUNCTION("""COMPUTED_VALUE"""),"Readme file present in the repo is not in the given for format ( 3 bullet points are not missing on the top). The code that is presented in the repo is in form of image files, which seems to be very unprofessional.  ")</f>
        <v>Readme file present in the repo is not in the given for format ( 3 bullet points are not missing on the top). The code that is presented in the repo is in form of image files, which seems to be very unprofessional.  </v>
      </c>
      <c r="J416" s="3" t="str">
        <f>IFERROR(__xludf.DUMMYFUNCTION("""COMPUTED_VALUE"""),"22f1001766@ds.study.iitm.ac.in")</f>
        <v>22f1001766@ds.study.iitm.ac.in</v>
      </c>
      <c r="K416" s="3" t="str">
        <f t="shared" si="1"/>
        <v>22f1001766@ds.study.iitm.ac.inhttps://github.com/AbdulHadiCreator/TDSproject1</v>
      </c>
      <c r="L416" s="3" t="str">
        <f t="shared" si="2"/>
        <v>22f1001766@ds.study.iitm.ac.inhttps://github.com/sashank-e/TDS_P1</v>
      </c>
    </row>
    <row r="417">
      <c r="A417" s="3">
        <f>IFERROR(__xludf.DUMMYFUNCTION("""COMPUTED_VALUE"""),45603.86357670139)</f>
        <v>45603.86358</v>
      </c>
      <c r="B417" s="5" t="str">
        <f>IFERROR(__xludf.DUMMYFUNCTION("""COMPUTED_VALUE"""),"https://github.com/Ankit972-dotcom/sydney-github-users")</f>
        <v>https://github.com/Ankit972-dotcom/sydney-github-users</v>
      </c>
      <c r="C417" s="3">
        <f>IFERROR(__xludf.DUMMYFUNCTION("""COMPUTED_VALUE"""),0.0)</f>
        <v>0</v>
      </c>
      <c r="D417" s="3">
        <f>IFERROR(__xludf.DUMMYFUNCTION("""COMPUTED_VALUE"""),0.0)</f>
        <v>0</v>
      </c>
      <c r="E417" s="3" t="str">
        <f>IFERROR(__xludf.DUMMYFUNCTION("""COMPUTED_VALUE"""),"There were no findings and no code")</f>
        <v>There were no findings and no code</v>
      </c>
      <c r="F417" s="5" t="str">
        <f>IFERROR(__xludf.DUMMYFUNCTION("""COMPUTED_VALUE"""),"https://github.com/Madhu1005/tds-project1")</f>
        <v>https://github.com/Madhu1005/tds-project1</v>
      </c>
      <c r="G417" s="3">
        <f>IFERROR(__xludf.DUMMYFUNCTION("""COMPUTED_VALUE"""),8.0)</f>
        <v>8</v>
      </c>
      <c r="H417" s="3">
        <f>IFERROR(__xludf.DUMMYFUNCTION("""COMPUTED_VALUE"""),8.0)</f>
        <v>8</v>
      </c>
      <c r="I417" s="3" t="str">
        <f>IFERROR(__xludf.DUMMYFUNCTION("""COMPUTED_VALUE"""),"The code was structured and the findings were presented in ReadMe")</f>
        <v>The code was structured and the findings were presented in ReadMe</v>
      </c>
      <c r="J417" s="3" t="str">
        <f>IFERROR(__xludf.DUMMYFUNCTION("""COMPUTED_VALUE"""),"23ds3000218@ds.study.iitm.ac.in")</f>
        <v>23ds3000218@ds.study.iitm.ac.in</v>
      </c>
      <c r="K417" s="3" t="str">
        <f t="shared" si="1"/>
        <v>23ds3000218@ds.study.iitm.ac.inhttps://github.com/Ankit972-dotcom/sydney-github-users</v>
      </c>
      <c r="L417" s="3" t="str">
        <f t="shared" si="2"/>
        <v>23ds3000218@ds.study.iitm.ac.inhttps://github.com/Madhu1005/tds-project1</v>
      </c>
    </row>
    <row r="418">
      <c r="A418" s="3">
        <f>IFERROR(__xludf.DUMMYFUNCTION("""COMPUTED_VALUE"""),45603.86478491898)</f>
        <v>45603.86478</v>
      </c>
      <c r="B418" s="5" t="str">
        <f>IFERROR(__xludf.DUMMYFUNCTION("""COMPUTED_VALUE"""),"https://github.com/Avisiingh/tdsproject1/tree/main")</f>
        <v>https://github.com/Avisiingh/tdsproject1/tree/main</v>
      </c>
      <c r="C418" s="3">
        <f>IFERROR(__xludf.DUMMYFUNCTION("""COMPUTED_VALUE"""),10.0)</f>
        <v>10</v>
      </c>
      <c r="D418" s="3">
        <f>IFERROR(__xludf.DUMMYFUNCTION("""COMPUTED_VALUE"""),0.0)</f>
        <v>0</v>
      </c>
      <c r="E418" s="3" t="str">
        <f>IFERROR(__xludf.DUMMYFUNCTION("""COMPUTED_VALUE"""),"Repo code was not available, so rated 0. 
I am new too git hub. I thought git hub was mostly about repositories. This student has pointed the fact that the number of followers are significantly more that the number of public repositories for many users. ")</f>
        <v>Repo code was not available, so rated 0. 
I am new too git hub. I thought git hub was mostly about repositories. This student has pointed the fact that the number of followers are significantly more that the number of public repositories for many users. </v>
      </c>
      <c r="F418" s="5" t="str">
        <f>IFERROR(__xludf.DUMMYFUNCTION("""COMPUTED_VALUE"""),"https://github.com/namish18/TDSP1")</f>
        <v>https://github.com/namish18/TDSP1</v>
      </c>
      <c r="G418" s="3">
        <f>IFERROR(__xludf.DUMMYFUNCTION("""COMPUTED_VALUE"""),10.0)</f>
        <v>10</v>
      </c>
      <c r="H418" s="3">
        <f>IFERROR(__xludf.DUMMYFUNCTION("""COMPUTED_VALUE"""),10.0)</f>
        <v>10</v>
      </c>
      <c r="I418" s="3" t="str">
        <f>IFERROR(__xludf.DUMMYFUNCTION("""COMPUTED_VALUE"""),"This student has attached the code for every question. The codes are neatly commented.
Quite a few interesting findings are mentioned
1) There is a slight increase in followers after each public repository is added.
2) People prefer to read the markdown "&amp;"of repositories
Few useful recommendations given by the student
1) Focus on few, yet quality projects
2) Most developers work in Target ThoughtWorks, Chennai. There is more chance of getting a job in that company.")</f>
        <v>This student has attached the code for every question. The codes are neatly commented.
Quite a few interesting findings are mentioned
1) There is a slight increase in followers after each public repository is added.
2) People prefer to read the markdown of repositories
Few useful recommendations given by the student
1) Focus on few, yet quality projects
2) Most developers work in Target ThoughtWorks, Chennai. There is more chance of getting a job in that company.</v>
      </c>
      <c r="J418" s="3" t="str">
        <f>IFERROR(__xludf.DUMMYFUNCTION("""COMPUTED_VALUE"""),"23f2000573@ds.study.iitm.ac.in")</f>
        <v>23f2000573@ds.study.iitm.ac.in</v>
      </c>
      <c r="K418" s="3" t="str">
        <f t="shared" si="1"/>
        <v>23f2000573@ds.study.iitm.ac.inhttps://github.com/Avisiingh/tdsproject1/tree/main</v>
      </c>
      <c r="L418" s="3" t="str">
        <f t="shared" si="2"/>
        <v>23f2000573@ds.study.iitm.ac.inhttps://github.com/namish18/TDSP1</v>
      </c>
    </row>
    <row r="419">
      <c r="A419" s="3">
        <f>IFERROR(__xludf.DUMMYFUNCTION("""COMPUTED_VALUE"""),45603.871201319445)</f>
        <v>45603.8712</v>
      </c>
      <c r="B419" s="5" t="str">
        <f>IFERROR(__xludf.DUMMYFUNCTION("""COMPUTED_VALUE"""),"https://github.com/Saravanan1508/IITM_TDS_Project_1")</f>
        <v>https://github.com/Saravanan1508/IITM_TDS_Project_1</v>
      </c>
      <c r="C419" s="3">
        <f>IFERROR(__xludf.DUMMYFUNCTION("""COMPUTED_VALUE"""),9.0)</f>
        <v>9</v>
      </c>
      <c r="D419" s="3">
        <f>IFERROR(__xludf.DUMMYFUNCTION("""COMPUTED_VALUE"""),8.0)</f>
        <v>8</v>
      </c>
      <c r="E419" s="3" t="str">
        <f>IFERROR(__xludf.DUMMYFUNCTION("""COMPUTED_VALUE"""),"readme was good and to the point and the code also seemed good but littlle unorganized")</f>
        <v>readme was good and to the point and the code also seemed good but littlle unorganized</v>
      </c>
      <c r="F419" s="5" t="str">
        <f>IFERROR(__xludf.DUMMYFUNCTION("""COMPUTED_VALUE"""),"https://github.com/23f2003488/dublin_users")</f>
        <v>https://github.com/23f2003488/dublin_users</v>
      </c>
      <c r="G419" s="3">
        <f>IFERROR(__xludf.DUMMYFUNCTION("""COMPUTED_VALUE"""),8.0)</f>
        <v>8</v>
      </c>
      <c r="H419" s="3">
        <f>IFERROR(__xludf.DUMMYFUNCTION("""COMPUTED_VALUE"""),10.0)</f>
        <v>10</v>
      </c>
      <c r="I419" s="3" t="str">
        <f>IFERROR(__xludf.DUMMYFUNCTION("""COMPUTED_VALUE"""),"the readme file was good and the code was also clear and elegant")</f>
        <v>the readme file was good and the code was also clear and elegant</v>
      </c>
      <c r="J419" s="3" t="str">
        <f>IFERROR(__xludf.DUMMYFUNCTION("""COMPUTED_VALUE"""),"23f2003124@ds.study.iitm.ac.in")</f>
        <v>23f2003124@ds.study.iitm.ac.in</v>
      </c>
      <c r="K419" s="3" t="str">
        <f t="shared" si="1"/>
        <v>23f2003124@ds.study.iitm.ac.inhttps://github.com/Saravanan1508/IITM_TDS_Project_1</v>
      </c>
      <c r="L419" s="3" t="str">
        <f t="shared" si="2"/>
        <v>23f2003124@ds.study.iitm.ac.inhttps://github.com/23f2003488/dublin_users</v>
      </c>
    </row>
    <row r="420">
      <c r="A420" s="3">
        <f>IFERROR(__xludf.DUMMYFUNCTION("""COMPUTED_VALUE"""),45603.87708506944)</f>
        <v>45603.87709</v>
      </c>
      <c r="B420" s="5" t="str">
        <f>IFERROR(__xludf.DUMMYFUNCTION("""COMPUTED_VALUE"""),"https://github.com/deepika4786/tools-for-data-science-project---1/blob/main/repositories.csv")</f>
        <v>https://github.com/deepika4786/tools-for-data-science-project---1/blob/main/repositories.csv</v>
      </c>
      <c r="C420" s="3">
        <f>IFERROR(__xludf.DUMMYFUNCTION("""COMPUTED_VALUE"""),10.0)</f>
        <v>10</v>
      </c>
      <c r="D420" s="3">
        <f>IFERROR(__xludf.DUMMYFUNCTION("""COMPUTED_VALUE"""),5.0)</f>
        <v>5</v>
      </c>
      <c r="E420" s="3" t="str">
        <f>IFERROR(__xludf.DUMMYFUNCTION("""COMPUTED_VALUE"""),"Because her readme is good and her repo code is not present")</f>
        <v>Because her readme is good and her repo code is not present</v>
      </c>
      <c r="F420" s="5" t="str">
        <f>IFERROR(__xludf.DUMMYFUNCTION("""COMPUTED_VALUE"""),"https://github.com/himanshu-IIT-M/project1/blob/main/repositories.csvlob/main/repositories.csv")</f>
        <v>https://github.com/himanshu-IIT-M/project1/blob/main/repositories.csvlob/main/repositories.csv</v>
      </c>
      <c r="G420" s="3">
        <f>IFERROR(__xludf.DUMMYFUNCTION("""COMPUTED_VALUE"""),5.0)</f>
        <v>5</v>
      </c>
      <c r="H420" s="3">
        <f>IFERROR(__xludf.DUMMYFUNCTION("""COMPUTED_VALUE"""),5.0)</f>
        <v>5</v>
      </c>
      <c r="I420" s="3" t="str">
        <f>IFERROR(__xludf.DUMMYFUNCTION("""COMPUTED_VALUE"""),"Because he dosen,t have repo code and readme")</f>
        <v>Because he dosen,t have repo code and readme</v>
      </c>
      <c r="J420" s="3" t="str">
        <f>IFERROR(__xludf.DUMMYFUNCTION("""COMPUTED_VALUE"""),"23f1001362@ds.study.iitm.ac.in")</f>
        <v>23f1001362@ds.study.iitm.ac.in</v>
      </c>
      <c r="K420" s="3" t="str">
        <f t="shared" si="1"/>
        <v>23f1001362@ds.study.iitm.ac.inhttps://github.com/deepika4786/tools-for-data-science-project---1/blob/main/repositories.csv</v>
      </c>
      <c r="L420" s="3" t="str">
        <f t="shared" si="2"/>
        <v>23f1001362@ds.study.iitm.ac.inhttps://github.com/himanshu-IIT-M/project1/blob/main/repositories.csvlob/main/repositories.csv</v>
      </c>
    </row>
    <row r="421">
      <c r="A421" s="3">
        <f>IFERROR(__xludf.DUMMYFUNCTION("""COMPUTED_VALUE"""),45603.885734675925)</f>
        <v>45603.88573</v>
      </c>
      <c r="B421" s="5" t="str">
        <f>IFERROR(__xludf.DUMMYFUNCTION("""COMPUTED_VALUE"""),"https://github.com/bl00m-byte/TDS-Project-1")</f>
        <v>https://github.com/bl00m-byte/TDS-Project-1</v>
      </c>
      <c r="C421" s="3">
        <f>IFERROR(__xludf.DUMMYFUNCTION("""COMPUTED_VALUE"""),8.0)</f>
        <v>8</v>
      </c>
      <c r="D421" s="3">
        <f>IFERROR(__xludf.DUMMYFUNCTION("""COMPUTED_VALUE"""),0.0)</f>
        <v>0</v>
      </c>
      <c r="E421" s="3" t="str">
        <f>IFERROR(__xludf.DUMMYFUNCTION("""COMPUTED_VALUE"""),"The findings in the README was things which couldn't be said directly, applying different findings would have lead to the findings. Following these suggested findings may help with achieving the required results. No code was present at all so 0 in other r"&amp;"arting. ")</f>
        <v>The findings in the README was things which couldn't be said directly, applying different findings would have lead to the findings. Following these suggested findings may help with achieving the required results. No code was present at all so 0 in other rarting. </v>
      </c>
      <c r="F421" s="5" t="str">
        <f>IFERROR(__xludf.DUMMYFUNCTION("""COMPUTED_VALUE"""),"https://github.com/shanky999/TDS_Project1")</f>
        <v>https://github.com/shanky999/TDS_Project1</v>
      </c>
      <c r="G421" s="3">
        <f>IFERROR(__xludf.DUMMYFUNCTION("""COMPUTED_VALUE"""),7.0)</f>
        <v>7</v>
      </c>
      <c r="H421" s="3">
        <f>IFERROR(__xludf.DUMMYFUNCTION("""COMPUTED_VALUE"""),9.0)</f>
        <v>9</v>
      </c>
      <c r="I421" s="3" t="str">
        <f>IFERROR(__xludf.DUMMYFUNCTION("""COMPUTED_VALUE"""),"Findings was not something which would impress someone at first, could've have done better with the findings which is more data centric. Readme created also is very professionally informative. But sadly I can't consider it for marks, but kudos for that.
C"&amp;"ode was very nicely created, even handled the possible exceptions very efficiently. The code is readable and thus can be understood easily. Not a 10 because (it might be a subjective opinion) single file must not contain large codes, it should be distribu"&amp;"ted among files and same can be named appropriately to increase the readability.")</f>
        <v>Findings was not something which would impress someone at first, could've have done better with the findings which is more data centric. Readme created also is very professionally informative. But sadly I can't consider it for marks, but kudos for that.
Code was very nicely created, even handled the possible exceptions very efficiently. The code is readable and thus can be understood easily. Not a 10 because (it might be a subjective opinion) single file must not contain large codes, it should be distributed among files and same can be named appropriately to increase the readability.</v>
      </c>
      <c r="J421" s="3" t="str">
        <f>IFERROR(__xludf.DUMMYFUNCTION("""COMPUTED_VALUE"""),"24ds1000043@ds.study.iitm.ac.in")</f>
        <v>24ds1000043@ds.study.iitm.ac.in</v>
      </c>
      <c r="K421" s="3" t="str">
        <f t="shared" si="1"/>
        <v>24ds1000043@ds.study.iitm.ac.inhttps://github.com/bl00m-byte/TDS-Project-1</v>
      </c>
      <c r="L421" s="3" t="str">
        <f t="shared" si="2"/>
        <v>24ds1000043@ds.study.iitm.ac.inhttps://github.com/shanky999/TDS_Project1</v>
      </c>
    </row>
    <row r="422">
      <c r="A422" s="3">
        <f>IFERROR(__xludf.DUMMYFUNCTION("""COMPUTED_VALUE"""),45603.88406859954)</f>
        <v>45603.88407</v>
      </c>
      <c r="B422" s="5" t="str">
        <f>IFERROR(__xludf.DUMMYFUNCTION("""COMPUTED_VALUE"""),"https://github.com/SaicharanRitwik39/TDSProject1_TermSepDec2024")</f>
        <v>https://github.com/SaicharanRitwik39/TDSProject1_TermSepDec2024</v>
      </c>
      <c r="C422" s="3">
        <f>IFERROR(__xludf.DUMMYFUNCTION("""COMPUTED_VALUE"""),10.0)</f>
        <v>10</v>
      </c>
      <c r="D422" s="3">
        <f>IFERROR(__xludf.DUMMYFUNCTION("""COMPUTED_VALUE"""),8.0)</f>
        <v>8</v>
      </c>
      <c r="E422" s="3" t="str">
        <f>IFERROR(__xludf.DUMMYFUNCTION("""COMPUTED_VALUE"""),"The code is well written, just that the jupyter notebook shows some errors in code, which can be fixed. Apart from that, the insights provided in the readme is good!")</f>
        <v>The code is well written, just that the jupyter notebook shows some errors in code, which can be fixed. Apart from that, the insights provided in the readme is good!</v>
      </c>
      <c r="F422" s="5" t="str">
        <f>IFERROR(__xludf.DUMMYFUNCTION("""COMPUTED_VALUE"""),"https://github.com/samikb07/tds-project-1")</f>
        <v>https://github.com/samikb07/tds-project-1</v>
      </c>
      <c r="G422" s="3">
        <f>IFERROR(__xludf.DUMMYFUNCTION("""COMPUTED_VALUE"""),10.0)</f>
        <v>10</v>
      </c>
      <c r="H422" s="3">
        <f>IFERROR(__xludf.DUMMYFUNCTION("""COMPUTED_VALUE"""),10.0)</f>
        <v>10</v>
      </c>
      <c r="I422" s="3" t="str">
        <f>IFERROR(__xludf.DUMMYFUNCTION("""COMPUTED_VALUE"""),"The code is well written and code for questions is there in the jupyter notebook, which is very clean. ""Developers in Bagalore should focus on collaboration in JavaScript-based and Python-based projects to leverage the local expertise and community."" th"&amp;"is point I found in the readme, which is really a good advice to keep up in the career.")</f>
        <v>The code is well written and code for questions is there in the jupyter notebook, which is very clean. "Developers in Bagalore should focus on collaboration in JavaScript-based and Python-based projects to leverage the local expertise and community." this point I found in the readme, which is really a good advice to keep up in the career.</v>
      </c>
      <c r="J422" s="3" t="str">
        <f>IFERROR(__xludf.DUMMYFUNCTION("""COMPUTED_VALUE"""),"22f3000797@ds.study.iitm.ac.in")</f>
        <v>22f3000797@ds.study.iitm.ac.in</v>
      </c>
      <c r="K422" s="3" t="str">
        <f t="shared" si="1"/>
        <v>22f3000797@ds.study.iitm.ac.inhttps://github.com/SaicharanRitwik39/TDSProject1_TermSepDec2024</v>
      </c>
      <c r="L422" s="3" t="str">
        <f t="shared" si="2"/>
        <v>22f3000797@ds.study.iitm.ac.inhttps://github.com/samikb07/tds-project-1</v>
      </c>
    </row>
    <row r="423">
      <c r="A423" s="3">
        <f>IFERROR(__xludf.DUMMYFUNCTION("""COMPUTED_VALUE"""),45603.890638425924)</f>
        <v>45603.89064</v>
      </c>
      <c r="B423" s="5" t="str">
        <f>IFERROR(__xludf.DUMMYFUNCTION("""COMPUTED_VALUE"""),"https://github.com/23f2004839/TDS-Project-1")</f>
        <v>https://github.com/23f2004839/TDS-Project-1</v>
      </c>
      <c r="C423" s="3">
        <f>IFERROR(__xludf.DUMMYFUNCTION("""COMPUTED_VALUE"""),9.0)</f>
        <v>9</v>
      </c>
      <c r="D423" s="3">
        <f>IFERROR(__xludf.DUMMYFUNCTION("""COMPUTED_VALUE"""),9.0)</f>
        <v>9</v>
      </c>
      <c r="E423" s="3" t="str">
        <f>IFERROR(__xludf.DUMMYFUNCTION("""COMPUTED_VALUE"""),"The code is very clear. I find the logic to be straightforward and easy to follow. There is a lack of detailed comments, but there are labels as to what the purpose of the code block is, which is nice. The README.md findings are also interesting, as it ve"&amp;"ry clear conveys the importance of quality v/s quantity. In that, quality interactions are more important than just having many repos. Also, it feels like a fun fact that coders on GitHub aren't really keen on sharing their emails openly.")</f>
        <v>The code is very clear. I find the logic to be straightforward and easy to follow. There is a lack of detailed comments, but there are labels as to what the purpose of the code block is, which is nice. The README.md findings are also interesting, as it very clear conveys the importance of quality v/s quantity. In that, quality interactions are more important than just having many repos. Also, it feels like a fun fact that coders on GitHub aren't really keen on sharing their emails openly.</v>
      </c>
      <c r="F423" s="5" t="str">
        <f>IFERROR(__xludf.DUMMYFUNCTION("""COMPUTED_VALUE"""),"https://github.com/MaharajaMoorthy/tds_project1")</f>
        <v>https://github.com/MaharajaMoorthy/tds_project1</v>
      </c>
      <c r="G423" s="3">
        <f>IFERROR(__xludf.DUMMYFUNCTION("""COMPUTED_VALUE"""),8.0)</f>
        <v>8</v>
      </c>
      <c r="H423" s="3">
        <f>IFERROR(__xludf.DUMMYFUNCTION("""COMPUTED_VALUE"""),10.0)</f>
        <v>10</v>
      </c>
      <c r="I423" s="3" t="str">
        <f>IFERROR(__xludf.DUMMYFUNCTION("""COMPUTED_VALUE"""),"The code exudes professionalism. It is detailed, commented, explaining clearly the purpose of the next line/s. Additionally, it is completing both the objectives (of creating users.csv and repositories.csv) with just one file. Rather than judging it and g"&amp;"rading it, I can only find things to learn.  As for the README, the detail is much appreciated, but it is overwhelming. I do not like it. This is a subjective rating. I also do not find the 'interesting findings' interesting. The recommendation though, fe"&amp;"els very apt. ")</f>
        <v>The code exudes professionalism. It is detailed, commented, explaining clearly the purpose of the next line/s. Additionally, it is completing both the objectives (of creating users.csv and repositories.csv) with just one file. Rather than judging it and grading it, I can only find things to learn.  As for the README, the detail is much appreciated, but it is overwhelming. I do not like it. This is a subjective rating. I also do not find the 'interesting findings' interesting. The recommendation though, feels very apt. </v>
      </c>
      <c r="J423" s="3" t="str">
        <f>IFERROR(__xludf.DUMMYFUNCTION("""COMPUTED_VALUE"""),"23f2005176@ds.study.iitm.ac.in")</f>
        <v>23f2005176@ds.study.iitm.ac.in</v>
      </c>
      <c r="K423" s="3" t="str">
        <f t="shared" si="1"/>
        <v>23f2005176@ds.study.iitm.ac.inhttps://github.com/23f2004839/TDS-Project-1</v>
      </c>
      <c r="L423" s="3" t="str">
        <f t="shared" si="2"/>
        <v>23f2005176@ds.study.iitm.ac.inhttps://github.com/MaharajaMoorthy/tds_project1</v>
      </c>
    </row>
    <row r="424">
      <c r="A424" s="3">
        <f>IFERROR(__xludf.DUMMYFUNCTION("""COMPUTED_VALUE"""),45603.9007150463)</f>
        <v>45603.90072</v>
      </c>
      <c r="B424" s="5" t="str">
        <f>IFERROR(__xludf.DUMMYFUNCTION("""COMPUTED_VALUE"""),"https://github.com/mailkharshvardhan/chicago-developers-data")</f>
        <v>https://github.com/mailkharshvardhan/chicago-developers-data</v>
      </c>
      <c r="C424" s="3">
        <f>IFERROR(__xludf.DUMMYFUNCTION("""COMPUTED_VALUE"""),5.0)</f>
        <v>5</v>
      </c>
      <c r="D424" s="3">
        <f>IFERROR(__xludf.DUMMYFUNCTION("""COMPUTED_VALUE"""),0.0)</f>
        <v>0</v>
      </c>
      <c r="E424" s="3" t="str">
        <f>IFERROR(__xludf.DUMMYFUNCTION("""COMPUTED_VALUE"""),"The readme file was the same as it was in the project README.md there was nothing new that was mentioned and there was no analysis or scarping code.
Expected a lot more analysis like what was the programing language used, was there any trend in followers,"&amp;" what factors affected followers, in the recommendation to programmers I expected what the programmers should code in to get more followers.  ")</f>
        <v>The readme file was the same as it was in the project README.md there was nothing new that was mentioned and there was no analysis or scarping code.
Expected a lot more analysis like what was the programing language used, was there any trend in followers, what factors affected followers, in the recommendation to programmers I expected what the programmers should code in to get more followers.  </v>
      </c>
      <c r="F424" s="5" t="str">
        <f>IFERROR(__xludf.DUMMYFUNCTION("""COMPUTED_VALUE"""),"https://github.com/Aadil-Iqbal1729/TDS_Project-1")</f>
        <v>https://github.com/Aadil-Iqbal1729/TDS_Project-1</v>
      </c>
      <c r="G424" s="3">
        <f>IFERROR(__xludf.DUMMYFUNCTION("""COMPUTED_VALUE"""),10.0)</f>
        <v>10</v>
      </c>
      <c r="H424" s="3">
        <f>IFERROR(__xludf.DUMMYFUNCTION("""COMPUTED_VALUE"""),9.0)</f>
        <v>9</v>
      </c>
      <c r="I424" s="3" t="str">
        <f>IFERROR(__xludf.DUMMYFUNCTION("""COMPUTED_VALUE"""),"Good and insightful README, good analysis and wording was stuck to the point, the analysis code was missing. ")</f>
        <v>Good and insightful README, good analysis and wording was stuck to the point, the analysis code was missing. </v>
      </c>
      <c r="J424" s="3" t="str">
        <f>IFERROR(__xludf.DUMMYFUNCTION("""COMPUTED_VALUE"""),"23f1001125@ds.study.iitm.ac.in")</f>
        <v>23f1001125@ds.study.iitm.ac.in</v>
      </c>
      <c r="K424" s="3" t="str">
        <f t="shared" si="1"/>
        <v>23f1001125@ds.study.iitm.ac.inhttps://github.com/mailkharshvardhan/chicago-developers-data</v>
      </c>
      <c r="L424" s="3" t="str">
        <f t="shared" si="2"/>
        <v>23f1001125@ds.study.iitm.ac.inhttps://github.com/Aadil-Iqbal1729/TDS_Project-1</v>
      </c>
    </row>
    <row r="425">
      <c r="A425" s="3">
        <f>IFERROR(__xludf.DUMMYFUNCTION("""COMPUTED_VALUE"""),45603.90226673611)</f>
        <v>45603.90227</v>
      </c>
      <c r="B425" s="5" t="str">
        <f>IFERROR(__xludf.DUMMYFUNCTION("""COMPUTED_VALUE"""),"https://github.com/21f1004430/TDS-Project_1")</f>
        <v>https://github.com/21f1004430/TDS-Project_1</v>
      </c>
      <c r="C425" s="3">
        <f>IFERROR(__xludf.DUMMYFUNCTION("""COMPUTED_VALUE"""),6.0)</f>
        <v>6</v>
      </c>
      <c r="D425" s="3">
        <f>IFERROR(__xludf.DUMMYFUNCTION("""COMPUTED_VALUE"""),0.0)</f>
        <v>0</v>
      </c>
      <c r="E425" s="3" t="str">
        <f>IFERROR(__xludf.DUMMYFUNCTION("""COMPUTED_VALUE"""),"README file is present but not much information present. ")</f>
        <v>README file is present but not much information present. </v>
      </c>
      <c r="F425" s="5" t="str">
        <f>IFERROR(__xludf.DUMMYFUNCTION("""COMPUTED_VALUE"""),"https://github.com/nightcoder358/TDS-Project-1")</f>
        <v>https://github.com/nightcoder358/TDS-Project-1</v>
      </c>
      <c r="G425" s="3">
        <f>IFERROR(__xludf.DUMMYFUNCTION("""COMPUTED_VALUE"""),10.0)</f>
        <v>10</v>
      </c>
      <c r="H425" s="3">
        <f>IFERROR(__xludf.DUMMYFUNCTION("""COMPUTED_VALUE"""),10.0)</f>
        <v>10</v>
      </c>
      <c r="I425" s="3" t="str">
        <f>IFERROR(__xludf.DUMMYFUNCTION("""COMPUTED_VALUE"""),"README &amp;  code file both are well structured, present details of file in the repo, code present with comment line that helps us to understand the work of the code ")</f>
        <v>README &amp;  code file both are well structured, present details of file in the repo, code present with comment line that helps us to understand the work of the code </v>
      </c>
      <c r="J425" s="3" t="str">
        <f>IFERROR(__xludf.DUMMYFUNCTION("""COMPUTED_VALUE"""),"23f3004146@ds.study.iitm.ac.in")</f>
        <v>23f3004146@ds.study.iitm.ac.in</v>
      </c>
      <c r="K425" s="3" t="str">
        <f t="shared" si="1"/>
        <v>23f3004146@ds.study.iitm.ac.inhttps://github.com/21f1004430/TDS-Project_1</v>
      </c>
      <c r="L425" s="3" t="str">
        <f t="shared" si="2"/>
        <v>23f3004146@ds.study.iitm.ac.inhttps://github.com/nightcoder358/TDS-Project-1</v>
      </c>
    </row>
    <row r="426">
      <c r="A426" s="3">
        <f>IFERROR(__xludf.DUMMYFUNCTION("""COMPUTED_VALUE"""),45603.903738078705)</f>
        <v>45603.90374</v>
      </c>
      <c r="B426" s="5" t="str">
        <f>IFERROR(__xludf.DUMMYFUNCTION("""COMPUTED_VALUE"""),"https://github.com/anjupbse91/TDS-Project1")</f>
        <v>https://github.com/anjupbse91/TDS-Project1</v>
      </c>
      <c r="C426" s="3">
        <f>IFERROR(__xludf.DUMMYFUNCTION("""COMPUTED_VALUE"""),10.0)</f>
        <v>10</v>
      </c>
      <c r="D426" s="3">
        <f>IFERROR(__xludf.DUMMYFUNCTION("""COMPUTED_VALUE"""),0.0)</f>
        <v>0</v>
      </c>
      <c r="E426" s="3" t="str">
        <f>IFERROR(__xludf.DUMMYFUNCTION("""COMPUTED_VALUE"""),"I found it interesting that even the corona period did not seem to have an impact on the repo creation. There was no code to analyze.")</f>
        <v>I found it interesting that even the corona period did not seem to have an impact on the repo creation. There was no code to analyze.</v>
      </c>
      <c r="F426" s="5" t="str">
        <f>IFERROR(__xludf.DUMMYFUNCTION("""COMPUTED_VALUE"""),"https://github.com/PRAVINKUMAR99/mywebsite")</f>
        <v>https://github.com/PRAVINKUMAR99/mywebsite</v>
      </c>
      <c r="G426" s="3">
        <f>IFERROR(__xludf.DUMMYFUNCTION("""COMPUTED_VALUE"""),10.0)</f>
        <v>10</v>
      </c>
      <c r="H426" s="3">
        <f>IFERROR(__xludf.DUMMYFUNCTION("""COMPUTED_VALUE"""),10.0)</f>
        <v>10</v>
      </c>
      <c r="I426" s="3" t="str">
        <f>IFERROR(__xludf.DUMMYFUNCTION("""COMPUTED_VALUE"""),"The given findings and recommendation were interesting and all the codes provided were clear and precise. ")</f>
        <v>The given findings and recommendation were interesting and all the codes provided were clear and precise. </v>
      </c>
      <c r="J426" s="3" t="str">
        <f>IFERROR(__xludf.DUMMYFUNCTION("""COMPUTED_VALUE"""),"23f2000391@ds.study.iitm.ac.in")</f>
        <v>23f2000391@ds.study.iitm.ac.in</v>
      </c>
      <c r="K426" s="3" t="str">
        <f t="shared" si="1"/>
        <v>23f2000391@ds.study.iitm.ac.inhttps://github.com/anjupbse91/TDS-Project1</v>
      </c>
      <c r="L426" s="3" t="str">
        <f t="shared" si="2"/>
        <v>23f2000391@ds.study.iitm.ac.inhttps://github.com/PRAVINKUMAR99/mywebsite</v>
      </c>
    </row>
    <row r="427">
      <c r="A427" s="3">
        <f>IFERROR(__xludf.DUMMYFUNCTION("""COMPUTED_VALUE"""),45603.90778247685)</f>
        <v>45603.90778</v>
      </c>
      <c r="B427" s="5" t="str">
        <f>IFERROR(__xludf.DUMMYFUNCTION("""COMPUTED_VALUE"""),"https://github.com/Yashi-code/dublin-developer-data/tree/main")</f>
        <v>https://github.com/Yashi-code/dublin-developer-data/tree/main</v>
      </c>
      <c r="C427" s="3">
        <f>IFERROR(__xludf.DUMMYFUNCTION("""COMPUTED_VALUE"""),7.0)</f>
        <v>7</v>
      </c>
      <c r="D427" s="3">
        <f>IFERROR(__xludf.DUMMYFUNCTION("""COMPUTED_VALUE"""),10.0)</f>
        <v>10</v>
      </c>
      <c r="E427" s="3" t="str">
        <f>IFERROR(__xludf.DUMMYFUNCTION("""COMPUTED_VALUE"""),"Findings were not explained clearly. But the Code was too Good!!")</f>
        <v>Findings were not explained clearly. But the Code was too Good!!</v>
      </c>
      <c r="F427" s="5" t="str">
        <f>IFERROR(__xludf.DUMMYFUNCTION("""COMPUTED_VALUE"""),"https://github.com/Karanshrivastav/tds_project_1")</f>
        <v>https://github.com/Karanshrivastav/tds_project_1</v>
      </c>
      <c r="G427" s="3">
        <f>IFERROR(__xludf.DUMMYFUNCTION("""COMPUTED_VALUE"""),0.0)</f>
        <v>0</v>
      </c>
      <c r="H427" s="3">
        <f>IFERROR(__xludf.DUMMYFUNCTION("""COMPUTED_VALUE"""),10.0)</f>
        <v>10</v>
      </c>
      <c r="I427" s="3" t="str">
        <f>IFERROR(__xludf.DUMMYFUNCTION("""COMPUTED_VALUE"""),"No findings were posted and Code was too good")</f>
        <v>No findings were posted and Code was too good</v>
      </c>
      <c r="J427" s="3" t="str">
        <f>IFERROR(__xludf.DUMMYFUNCTION("""COMPUTED_VALUE"""),"22f2001019@ds.study.iitm.ac.in")</f>
        <v>22f2001019@ds.study.iitm.ac.in</v>
      </c>
      <c r="K427" s="3" t="str">
        <f t="shared" si="1"/>
        <v>22f2001019@ds.study.iitm.ac.inhttps://github.com/Yashi-code/dublin-developer-data/tree/main</v>
      </c>
      <c r="L427" s="3" t="str">
        <f t="shared" si="2"/>
        <v>22f2001019@ds.study.iitm.ac.inhttps://github.com/Karanshrivastav/tds_project_1</v>
      </c>
    </row>
    <row r="428">
      <c r="A428" s="3">
        <f>IFERROR(__xludf.DUMMYFUNCTION("""COMPUTED_VALUE"""),45603.928145439815)</f>
        <v>45603.92815</v>
      </c>
      <c r="B428" s="5" t="str">
        <f>IFERROR(__xludf.DUMMYFUNCTION("""COMPUTED_VALUE"""),"https://github.com/SaarthakMaini/tds_project_1/")</f>
        <v>https://github.com/SaarthakMaini/tds_project_1/</v>
      </c>
      <c r="C428" s="3">
        <f>IFERROR(__xludf.DUMMYFUNCTION("""COMPUTED_VALUE"""),4.0)</f>
        <v>4</v>
      </c>
      <c r="D428" s="3">
        <f>IFERROR(__xludf.DUMMYFUNCTION("""COMPUTED_VALUE"""),7.0)</f>
        <v>7</v>
      </c>
      <c r="E428" s="3" t="str">
        <f>IFERROR(__xludf.DUMMYFUNCTION("""COMPUTED_VALUE"""),"The code is fairly clean, but not commented. It's quite modular, which is more than most people do. The code does not seem to follow PEP, and has too many empty lines. The asnwer for each question is in the seperate file, which is annoying to open and see"&amp;". At worst, an ipynb or a combined file should have been used. The interesting finding is unsurprising and of little import.")</f>
        <v>The code is fairly clean, but not commented. It's quite modular, which is more than most people do. The code does not seem to follow PEP, and has too many empty lines. The asnwer for each question is in the seperate file, which is annoying to open and see. At worst, an ipynb or a combined file should have been used. The interesting finding is unsurprising and of little import.</v>
      </c>
      <c r="F428" s="5" t="str">
        <f>IFERROR(__xludf.DUMMYFUNCTION("""COMPUTED_VALUE"""),"https://github.com/404aalu/tds-project1/tree/main")</f>
        <v>https://github.com/404aalu/tds-project1/tree/main</v>
      </c>
      <c r="G428" s="3">
        <f>IFERROR(__xludf.DUMMYFUNCTION("""COMPUTED_VALUE"""),0.0)</f>
        <v>0</v>
      </c>
      <c r="H428" s="3">
        <f>IFERROR(__xludf.DUMMYFUNCTION("""COMPUTED_VALUE"""),8.0)</f>
        <v>8</v>
      </c>
      <c r="I428" s="3" t="str">
        <f>IFERROR(__xludf.DUMMYFUNCTION("""COMPUTED_VALUE"""),"Readme exists but has no findings. Individual python files, so annoying to handle. Functions are written with docstrings, and code is pretty clean, so that's a plus. ")</f>
        <v>Readme exists but has no findings. Individual python files, so annoying to handle. Functions are written with docstrings, and code is pretty clean, so that's a plus. </v>
      </c>
      <c r="J428" s="3" t="str">
        <f>IFERROR(__xludf.DUMMYFUNCTION("""COMPUTED_VALUE"""),"21f3002715@ds.study.iitm.ac.in")</f>
        <v>21f3002715@ds.study.iitm.ac.in</v>
      </c>
      <c r="K428" s="3" t="str">
        <f t="shared" si="1"/>
        <v>21f3002715@ds.study.iitm.ac.inhttps://github.com/SaarthakMaini/tds_project_1/</v>
      </c>
      <c r="L428" s="3" t="str">
        <f t="shared" si="2"/>
        <v>21f3002715@ds.study.iitm.ac.inhttps://github.com/404aalu/tds-project1/tree/main</v>
      </c>
    </row>
    <row r="429">
      <c r="A429" s="3">
        <f>IFERROR(__xludf.DUMMYFUNCTION("""COMPUTED_VALUE"""),45603.93234813657)</f>
        <v>45603.93235</v>
      </c>
      <c r="B429" s="5" t="str">
        <f>IFERROR(__xludf.DUMMYFUNCTION("""COMPUTED_VALUE"""),"https://github.com/harrycode54/Stockholm100")</f>
        <v>https://github.com/harrycode54/Stockholm100</v>
      </c>
      <c r="C429" s="3">
        <f>IFERROR(__xludf.DUMMYFUNCTION("""COMPUTED_VALUE"""),10.0)</f>
        <v>10</v>
      </c>
      <c r="D429" s="3">
        <f>IFERROR(__xludf.DUMMYFUNCTION("""COMPUTED_VALUE"""),10.0)</f>
        <v>10</v>
      </c>
      <c r="E429" s="3" t="str">
        <f>IFERROR(__xludf.DUMMYFUNCTION("""COMPUTED_VALUE"""),"The presentation and each and every aspect was covered")</f>
        <v>The presentation and each and every aspect was covered</v>
      </c>
      <c r="F429" s="5" t="str">
        <f>IFERROR(__xludf.DUMMYFUNCTION("""COMPUTED_VALUE"""),"https://github.com/anshulbaliga7/iitm-tds-project1")</f>
        <v>https://github.com/anshulbaliga7/iitm-tds-project1</v>
      </c>
      <c r="G429" s="3">
        <f>IFERROR(__xludf.DUMMYFUNCTION("""COMPUTED_VALUE"""),10.0)</f>
        <v>10</v>
      </c>
      <c r="H429" s="3">
        <f>IFERROR(__xludf.DUMMYFUNCTION("""COMPUTED_VALUE"""),10.0)</f>
        <v>10</v>
      </c>
      <c r="I429" s="3" t="str">
        <f>IFERROR(__xludf.DUMMYFUNCTION("""COMPUTED_VALUE"""),"The presentation and each and every aspect was covered ")</f>
        <v>The presentation and each and every aspect was covered </v>
      </c>
      <c r="J429" s="3" t="str">
        <f>IFERROR(__xludf.DUMMYFUNCTION("""COMPUTED_VALUE"""),"22f3002593@ds.study.iitm.ac.in")</f>
        <v>22f3002593@ds.study.iitm.ac.in</v>
      </c>
      <c r="K429" s="3" t="str">
        <f t="shared" si="1"/>
        <v>22f3002593@ds.study.iitm.ac.inhttps://github.com/harrycode54/Stockholm100</v>
      </c>
      <c r="L429" s="3" t="str">
        <f t="shared" si="2"/>
        <v>22f3002593@ds.study.iitm.ac.inhttps://github.com/anshulbaliga7/iitm-tds-project1</v>
      </c>
    </row>
    <row r="430">
      <c r="A430" s="3">
        <f>IFERROR(__xludf.DUMMYFUNCTION("""COMPUTED_VALUE"""),45603.94572847222)</f>
        <v>45603.94573</v>
      </c>
      <c r="B430" s="5" t="str">
        <f>IFERROR(__xludf.DUMMYFUNCTION("""COMPUTED_VALUE"""),"https://github.com/so-what-ik/TDS_Project1")</f>
        <v>https://github.com/so-what-ik/TDS_Project1</v>
      </c>
      <c r="C430" s="3">
        <f>IFERROR(__xludf.DUMMYFUNCTION("""COMPUTED_VALUE"""),8.0)</f>
        <v>8</v>
      </c>
      <c r="D430" s="3">
        <f>IFERROR(__xludf.DUMMYFUNCTION("""COMPUTED_VALUE"""),9.0)</f>
        <v>9</v>
      </c>
      <c r="E430" s="3" t="str">
        <f>IFERROR(__xludf.DUMMYFUNCTION("""COMPUTED_VALUE"""),"I gave rating 8 for the README because I do not find any specific analysis in the description part.")</f>
        <v>I gave rating 8 for the README because I do not find any specific analysis in the description part.</v>
      </c>
      <c r="F430" s="5" t="str">
        <f>IFERROR(__xludf.DUMMYFUNCTION("""COMPUTED_VALUE"""),"https://github.com/harini-perumandla/TDS-P1")</f>
        <v>https://github.com/harini-perumandla/TDS-P1</v>
      </c>
      <c r="G430" s="3">
        <f>IFERROR(__xludf.DUMMYFUNCTION("""COMPUTED_VALUE"""),10.0)</f>
        <v>10</v>
      </c>
      <c r="H430" s="3">
        <f>IFERROR(__xludf.DUMMYFUNCTION("""COMPUTED_VALUE"""),9.0)</f>
        <v>9</v>
      </c>
      <c r="I430" s="3" t="str">
        <f>IFERROR(__xludf.DUMMYFUNCTION("""COMPUTED_VALUE"""),"I found  good given by him and the python code is also good. ")</f>
        <v>I found  good given by him and the python code is also good. </v>
      </c>
      <c r="J430" s="3" t="str">
        <f>IFERROR(__xludf.DUMMYFUNCTION("""COMPUTED_VALUE"""),"21f3001323@ds.study.iitm.ac.in")</f>
        <v>21f3001323@ds.study.iitm.ac.in</v>
      </c>
      <c r="K430" s="3" t="str">
        <f t="shared" si="1"/>
        <v>21f3001323@ds.study.iitm.ac.inhttps://github.com/so-what-ik/TDS_Project1</v>
      </c>
      <c r="L430" s="3" t="str">
        <f t="shared" si="2"/>
        <v>21f3001323@ds.study.iitm.ac.inhttps://github.com/harini-perumandla/TDS-P1</v>
      </c>
    </row>
    <row r="431">
      <c r="A431" s="3">
        <f>IFERROR(__xludf.DUMMYFUNCTION("""COMPUTED_VALUE"""),45604.07691297454)</f>
        <v>45604.07691</v>
      </c>
      <c r="B431" s="5" t="str">
        <f>IFERROR(__xludf.DUMMYFUNCTION("""COMPUTED_VALUE"""),"https://github.com/Keshav22f2001196/TDS-project1")</f>
        <v>https://github.com/Keshav22f2001196/TDS-project1</v>
      </c>
      <c r="C431" s="3">
        <f>IFERROR(__xludf.DUMMYFUNCTION("""COMPUTED_VALUE"""),4.0)</f>
        <v>4</v>
      </c>
      <c r="D431" s="3">
        <f>IFERROR(__xludf.DUMMYFUNCTION("""COMPUTED_VALUE"""),4.0)</f>
        <v>4</v>
      </c>
      <c r="E431" s="3" t="str">
        <f>IFERROR(__xludf.DUMMYFUNCTION("""COMPUTED_VALUE"""),"I provided this rating because the files are good.")</f>
        <v>I provided this rating because the files are good.</v>
      </c>
      <c r="F431" s="5" t="str">
        <f>IFERROR(__xludf.DUMMYFUNCTION("""COMPUTED_VALUE"""),"https://github.com/nitesh-Sharma-IITM/IITM_TDS")</f>
        <v>https://github.com/nitesh-Sharma-IITM/IITM_TDS</v>
      </c>
      <c r="G431" s="3">
        <f>IFERROR(__xludf.DUMMYFUNCTION("""COMPUTED_VALUE"""),6.0)</f>
        <v>6</v>
      </c>
      <c r="H431" s="3">
        <f>IFERROR(__xludf.DUMMYFUNCTION("""COMPUTED_VALUE"""),6.0)</f>
        <v>6</v>
      </c>
      <c r="I431" s="3" t="str">
        <f>IFERROR(__xludf.DUMMYFUNCTION("""COMPUTED_VALUE"""),"I rated this user because the files they uploaded are well-structured. The code is clean.")</f>
        <v>I rated this user because the files they uploaded are well-structured. The code is clean.</v>
      </c>
      <c r="J431" s="3" t="str">
        <f>IFERROR(__xludf.DUMMYFUNCTION("""COMPUTED_VALUE"""),"23f2003662@ds.study.iitm.ac.in")</f>
        <v>23f2003662@ds.study.iitm.ac.in</v>
      </c>
      <c r="K431" s="3" t="str">
        <f t="shared" si="1"/>
        <v>23f2003662@ds.study.iitm.ac.inhttps://github.com/Keshav22f2001196/TDS-project1</v>
      </c>
      <c r="L431" s="3" t="str">
        <f t="shared" si="2"/>
        <v>23f2003662@ds.study.iitm.ac.inhttps://github.com/nitesh-Sharma-IITM/IITM_TDS</v>
      </c>
    </row>
    <row r="432">
      <c r="A432" s="3">
        <f>IFERROR(__xludf.DUMMYFUNCTION("""COMPUTED_VALUE"""),45603.96060061343)</f>
        <v>45603.9606</v>
      </c>
      <c r="B432" s="5" t="str">
        <f>IFERROR(__xludf.DUMMYFUNCTION("""COMPUTED_VALUE"""),"https://github.com/22f2001730/TDS_P1")</f>
        <v>https://github.com/22f2001730/TDS_P1</v>
      </c>
      <c r="C432" s="3">
        <f>IFERROR(__xludf.DUMMYFUNCTION("""COMPUTED_VALUE"""),10.0)</f>
        <v>10</v>
      </c>
      <c r="D432" s="3">
        <f>IFERROR(__xludf.DUMMYFUNCTION("""COMPUTED_VALUE"""),10.0)</f>
        <v>10</v>
      </c>
      <c r="E432" s="3" t="str">
        <f>IFERROR(__xludf.DUMMYFUNCTION("""COMPUTED_VALUE"""),"It satisfied all criteria and it's up to mark")</f>
        <v>It satisfied all criteria and it's up to mark</v>
      </c>
      <c r="F432" s="5" t="str">
        <f>IFERROR(__xludf.DUMMYFUNCTION("""COMPUTED_VALUE"""),"https://github.com/VaishHa/Delhi100_TDS")</f>
        <v>https://github.com/VaishHa/Delhi100_TDS</v>
      </c>
      <c r="G432" s="3">
        <f>IFERROR(__xludf.DUMMYFUNCTION("""COMPUTED_VALUE"""),10.0)</f>
        <v>10</v>
      </c>
      <c r="H432" s="3">
        <f>IFERROR(__xludf.DUMMYFUNCTION("""COMPUTED_VALUE"""),10.0)</f>
        <v>10</v>
      </c>
      <c r="I432" s="3" t="str">
        <f>IFERROR(__xludf.DUMMYFUNCTION("""COMPUTED_VALUE"""),"It satisfied all criteria and it's up to mark")</f>
        <v>It satisfied all criteria and it's up to mark</v>
      </c>
      <c r="J432" s="3" t="str">
        <f>IFERROR(__xludf.DUMMYFUNCTION("""COMPUTED_VALUE"""),"23f1000017@ds.study.iitm.ac.in")</f>
        <v>23f1000017@ds.study.iitm.ac.in</v>
      </c>
      <c r="K432" s="3" t="str">
        <f t="shared" si="1"/>
        <v>23f1000017@ds.study.iitm.ac.inhttps://github.com/22f2001730/TDS_P1</v>
      </c>
      <c r="L432" s="3" t="str">
        <f t="shared" si="2"/>
        <v>23f1000017@ds.study.iitm.ac.inhttps://github.com/VaishHa/Delhi100_TDS</v>
      </c>
    </row>
    <row r="433">
      <c r="A433" s="3">
        <f>IFERROR(__xludf.DUMMYFUNCTION("""COMPUTED_VALUE"""),45603.96080903935)</f>
        <v>45603.96081</v>
      </c>
      <c r="B433" s="5" t="str">
        <f>IFERROR(__xludf.DUMMYFUNCTION("""COMPUTED_VALUE"""),"https://github.com/AnvithaVarre7/Project-1")</f>
        <v>https://github.com/AnvithaVarre7/Project-1</v>
      </c>
      <c r="C433" s="3">
        <f>IFERROR(__xludf.DUMMYFUNCTION("""COMPUTED_VALUE"""),10.0)</f>
        <v>10</v>
      </c>
      <c r="D433" s="3">
        <f>IFERROR(__xludf.DUMMYFUNCTION("""COMPUTED_VALUE"""),0.0)</f>
        <v>0</v>
      </c>
      <c r="E433" s="3" t="str">
        <f>IFERROR(__xludf.DUMMYFUNCTION("""COMPUTED_VALUE"""),"Doesn't include code but the readme was well written")</f>
        <v>Doesn't include code but the readme was well written</v>
      </c>
      <c r="F433" s="5" t="str">
        <f>IFERROR(__xludf.DUMMYFUNCTION("""COMPUTED_VALUE"""),"https://github.com/23f3001726/p1-tds")</f>
        <v>https://github.com/23f3001726/p1-tds</v>
      </c>
      <c r="G433" s="3">
        <f>IFERROR(__xludf.DUMMYFUNCTION("""COMPUTED_VALUE"""),10.0)</f>
        <v>10</v>
      </c>
      <c r="H433" s="3">
        <f>IFERROR(__xludf.DUMMYFUNCTION("""COMPUTED_VALUE"""),10.0)</f>
        <v>10</v>
      </c>
      <c r="I433" s="3" t="str">
        <f>IFERROR(__xludf.DUMMYFUNCTION("""COMPUTED_VALUE"""),"readme and code provided for efficient evaluation ")</f>
        <v>readme and code provided for efficient evaluation </v>
      </c>
      <c r="J433" s="3" t="str">
        <f>IFERROR(__xludf.DUMMYFUNCTION("""COMPUTED_VALUE"""),"23f1002374@ds.study.iitm.ac.in")</f>
        <v>23f1002374@ds.study.iitm.ac.in</v>
      </c>
      <c r="K433" s="3" t="str">
        <f t="shared" si="1"/>
        <v>23f1002374@ds.study.iitm.ac.inhttps://github.com/AnvithaVarre7/Project-1</v>
      </c>
      <c r="L433" s="3" t="str">
        <f t="shared" si="2"/>
        <v>23f1002374@ds.study.iitm.ac.inhttps://github.com/23f3001726/p1-tds</v>
      </c>
    </row>
    <row r="434">
      <c r="A434" s="3">
        <f>IFERROR(__xludf.DUMMYFUNCTION("""COMPUTED_VALUE"""),45603.962409155094)</f>
        <v>45603.96241</v>
      </c>
      <c r="B434" s="5" t="str">
        <f>IFERROR(__xludf.DUMMYFUNCTION("""COMPUTED_VALUE"""),"https://github.com/RaghavKapil24/tds-project")</f>
        <v>https://github.com/RaghavKapil24/tds-project</v>
      </c>
      <c r="C434" s="3">
        <f>IFERROR(__xludf.DUMMYFUNCTION("""COMPUTED_VALUE"""),10.0)</f>
        <v>10</v>
      </c>
      <c r="D434" s="3">
        <f>IFERROR(__xludf.DUMMYFUNCTION("""COMPUTED_VALUE"""),10.0)</f>
        <v>10</v>
      </c>
      <c r="E434" s="3" t="str">
        <f>IFERROR(__xludf.DUMMYFUNCTION("""COMPUTED_VALUE"""),"contains all the required files with clear code  and findings")</f>
        <v>contains all the required files with clear code  and findings</v>
      </c>
      <c r="F434" s="5" t="str">
        <f>IFERROR(__xludf.DUMMYFUNCTION("""COMPUTED_VALUE"""),"https://github.com/DurgaPriyaY/proj1")</f>
        <v>https://github.com/DurgaPriyaY/proj1</v>
      </c>
      <c r="G434" s="3">
        <f>IFERROR(__xludf.DUMMYFUNCTION("""COMPUTED_VALUE"""),10.0)</f>
        <v>10</v>
      </c>
      <c r="H434" s="3">
        <f>IFERROR(__xludf.DUMMYFUNCTION("""COMPUTED_VALUE"""),10.0)</f>
        <v>10</v>
      </c>
      <c r="I434" s="3" t="str">
        <f>IFERROR(__xludf.DUMMYFUNCTION("""COMPUTED_VALUE"""),"contains all the required files with clear code  and findings")</f>
        <v>contains all the required files with clear code  and findings</v>
      </c>
      <c r="J434" s="3" t="str">
        <f>IFERROR(__xludf.DUMMYFUNCTION("""COMPUTED_VALUE"""),"22f2001730@ds.study.iitm.ac.in")</f>
        <v>22f2001730@ds.study.iitm.ac.in</v>
      </c>
      <c r="K434" s="3" t="str">
        <f t="shared" si="1"/>
        <v>22f2001730@ds.study.iitm.ac.inhttps://github.com/RaghavKapil24/tds-project</v>
      </c>
      <c r="L434" s="3" t="str">
        <f t="shared" si="2"/>
        <v>22f2001730@ds.study.iitm.ac.inhttps://github.com/DurgaPriyaY/proj1</v>
      </c>
    </row>
    <row r="435">
      <c r="A435" s="3">
        <f>IFERROR(__xludf.DUMMYFUNCTION("""COMPUTED_VALUE"""),45603.96392820602)</f>
        <v>45603.96393</v>
      </c>
      <c r="B435" s="5" t="str">
        <f>IFERROR(__xludf.DUMMYFUNCTION("""COMPUTED_VALUE"""),"https://github.com/21f3000177/tds_project1")</f>
        <v>https://github.com/21f3000177/tds_project1</v>
      </c>
      <c r="C435" s="3">
        <f>IFERROR(__xludf.DUMMYFUNCTION("""COMPUTED_VALUE"""),7.0)</f>
        <v>7</v>
      </c>
      <c r="D435" s="3">
        <f>IFERROR(__xludf.DUMMYFUNCTION("""COMPUTED_VALUE"""),6.0)</f>
        <v>6</v>
      </c>
      <c r="E435" s="3" t="str">
        <f>IFERROR(__xludf.DUMMYFUNCTION("""COMPUTED_VALUE"""),"Code and md file is present in the repo link and mentioned all things related.")</f>
        <v>Code and md file is present in the repo link and mentioned all things related.</v>
      </c>
      <c r="F435" s="3" t="str">
        <f>IFERROR(__xludf.DUMMYFUNCTION("""COMPUTED_VALUE"""),"ttps://github.com/swalihaattar/IITM_TDS_P1")</f>
        <v>ttps://github.com/swalihaattar/IITM_TDS_P1</v>
      </c>
      <c r="G435" s="3">
        <f>IFERROR(__xludf.DUMMYFUNCTION("""COMPUTED_VALUE"""),6.0)</f>
        <v>6</v>
      </c>
      <c r="H435" s="3">
        <f>IFERROR(__xludf.DUMMYFUNCTION("""COMPUTED_VALUE"""),2.0)</f>
        <v>2</v>
      </c>
      <c r="I435" s="3" t="str">
        <f>IFERROR(__xludf.DUMMYFUNCTION("""COMPUTED_VALUE"""),"Read file is present and explained with three points.")</f>
        <v>Read file is present and explained with three points.</v>
      </c>
      <c r="J435" s="3" t="str">
        <f>IFERROR(__xludf.DUMMYFUNCTION("""COMPUTED_VALUE"""),"21f3000745@ds.study.iitm.ac.in")</f>
        <v>21f3000745@ds.study.iitm.ac.in</v>
      </c>
      <c r="K435" s="3" t="str">
        <f t="shared" si="1"/>
        <v>21f3000745@ds.study.iitm.ac.inhttps://github.com/21f3000177/tds_project1</v>
      </c>
      <c r="L435" s="3" t="str">
        <f t="shared" si="2"/>
        <v>21f3000745@ds.study.iitm.ac.inttps://github.com/swalihaattar/IITM_TDS_P1</v>
      </c>
    </row>
    <row r="436">
      <c r="A436" s="3">
        <f>IFERROR(__xludf.DUMMYFUNCTION("""COMPUTED_VALUE"""),45603.965143946756)</f>
        <v>45603.96514</v>
      </c>
      <c r="B436" s="5" t="str">
        <f>IFERROR(__xludf.DUMMYFUNCTION("""COMPUTED_VALUE"""),"https://github.com/stu2262/IITM_TDS_Proj1")</f>
        <v>https://github.com/stu2262/IITM_TDS_Proj1</v>
      </c>
      <c r="C436" s="3">
        <f>IFERROR(__xludf.DUMMYFUNCTION("""COMPUTED_VALUE"""),10.0)</f>
        <v>10</v>
      </c>
      <c r="D436" s="3">
        <f>IFERROR(__xludf.DUMMYFUNCTION("""COMPUTED_VALUE"""),0.0)</f>
        <v>0</v>
      </c>
      <c r="E436" s="3" t="str">
        <f>IFERROR(__xludf.DUMMYFUNCTION("""COMPUTED_VALUE"""),"Read me finding are good. But codes aren't present. ")</f>
        <v>Read me finding are good. But codes aren't present. </v>
      </c>
      <c r="F436" s="5" t="str">
        <f>IFERROR(__xludf.DUMMYFUNCTION("""COMPUTED_VALUE"""),"https://github.com/manojpaul9986/tds_project1")</f>
        <v>https://github.com/manojpaul9986/tds_project1</v>
      </c>
      <c r="G436" s="3">
        <f>IFERROR(__xludf.DUMMYFUNCTION("""COMPUTED_VALUE"""),10.0)</f>
        <v>10</v>
      </c>
      <c r="H436" s="3">
        <f>IFERROR(__xludf.DUMMYFUNCTION("""COMPUTED_VALUE"""),10.0)</f>
        <v>10</v>
      </c>
      <c r="I436" s="3" t="str">
        <f>IFERROR(__xludf.DUMMYFUNCTION("""COMPUTED_VALUE"""),"Both are present and described clearly. ")</f>
        <v>Both are present and described clearly. </v>
      </c>
      <c r="J436" s="3" t="str">
        <f>IFERROR(__xludf.DUMMYFUNCTION("""COMPUTED_VALUE"""),"23ds3000067@ds.study.iitm.ac.in")</f>
        <v>23ds3000067@ds.study.iitm.ac.in</v>
      </c>
      <c r="K436" s="3" t="str">
        <f t="shared" si="1"/>
        <v>23ds3000067@ds.study.iitm.ac.inhttps://github.com/stu2262/IITM_TDS_Proj1</v>
      </c>
      <c r="L436" s="3" t="str">
        <f t="shared" si="2"/>
        <v>23ds3000067@ds.study.iitm.ac.inhttps://github.com/manojpaul9986/tds_project1</v>
      </c>
    </row>
    <row r="437">
      <c r="A437" s="3">
        <f>IFERROR(__xludf.DUMMYFUNCTION("""COMPUTED_VALUE"""),45603.97044921297)</f>
        <v>45603.97045</v>
      </c>
      <c r="B437" s="5" t="str">
        <f>IFERROR(__xludf.DUMMYFUNCTION("""COMPUTED_VALUE"""),"https://github.com/shobhit8948/TDA-Project1")</f>
        <v>https://github.com/shobhit8948/TDA-Project1</v>
      </c>
      <c r="C437" s="3">
        <f>IFERROR(__xludf.DUMMYFUNCTION("""COMPUTED_VALUE"""),9.0)</f>
        <v>9</v>
      </c>
      <c r="D437" s="3">
        <f>IFERROR(__xludf.DUMMYFUNCTION("""COMPUTED_VALUE"""),10.0)</f>
        <v>10</v>
      </c>
      <c r="E437" s="3" t="str">
        <f>IFERROR(__xludf.DUMMYFUNCTION("""COMPUTED_VALUE"""),"The code written was very well structured and labeled. ReadMe file was precise and short.")</f>
        <v>The code written was very well structured and labeled. ReadMe file was precise and short.</v>
      </c>
      <c r="F437" s="5" t="str">
        <f>IFERROR(__xludf.DUMMYFUNCTION("""COMPUTED_VALUE"""),"https://github.com/tanmay8542/project1")</f>
        <v>https://github.com/tanmay8542/project1</v>
      </c>
      <c r="G437" s="3">
        <f>IFERROR(__xludf.DUMMYFUNCTION("""COMPUTED_VALUE"""),9.0)</f>
        <v>9</v>
      </c>
      <c r="H437" s="3">
        <f>IFERROR(__xludf.DUMMYFUNCTION("""COMPUTED_VALUE"""),10.0)</f>
        <v>10</v>
      </c>
      <c r="I437" s="3" t="str">
        <f>IFERROR(__xludf.DUMMYFUNCTION("""COMPUTED_VALUE"""),"The code written was very well structured and labeled. ReadMe file was precise and short.")</f>
        <v>The code written was very well structured and labeled. ReadMe file was precise and short.</v>
      </c>
      <c r="J437" s="3" t="str">
        <f>IFERROR(__xludf.DUMMYFUNCTION("""COMPUTED_VALUE"""),"21f2000584@ds.study.iitm.ac.in")</f>
        <v>21f2000584@ds.study.iitm.ac.in</v>
      </c>
      <c r="K437" s="3" t="str">
        <f t="shared" si="1"/>
        <v>21f2000584@ds.study.iitm.ac.inhttps://github.com/shobhit8948/TDA-Project1</v>
      </c>
      <c r="L437" s="3" t="str">
        <f t="shared" si="2"/>
        <v>21f2000584@ds.study.iitm.ac.inhttps://github.com/tanmay8542/project1</v>
      </c>
    </row>
    <row r="438">
      <c r="A438" s="3">
        <f>IFERROR(__xludf.DUMMYFUNCTION("""COMPUTED_VALUE"""),45603.972427291665)</f>
        <v>45603.97243</v>
      </c>
      <c r="B438" s="5" t="str">
        <f>IFERROR(__xludf.DUMMYFUNCTION("""COMPUTED_VALUE"""),"https://github.com/KanishkarIITM/Proj1")</f>
        <v>https://github.com/KanishkarIITM/Proj1</v>
      </c>
      <c r="C438" s="3">
        <f>IFERROR(__xludf.DUMMYFUNCTION("""COMPUTED_VALUE"""),9.0)</f>
        <v>9</v>
      </c>
      <c r="D438" s="3">
        <f>IFERROR(__xludf.DUMMYFUNCTION("""COMPUTED_VALUE"""),0.0)</f>
        <v>0</v>
      </c>
      <c r="E438" s="3" t="str">
        <f>IFERROR(__xludf.DUMMYFUNCTION("""COMPUTED_VALUE"""),"readme file is good but there is no code available.")</f>
        <v>readme file is good but there is no code available.</v>
      </c>
      <c r="F438" s="5" t="str">
        <f>IFERROR(__xludf.DUMMYFUNCTION("""COMPUTED_VALUE"""),"https://github.com/SohamGhosh2510/Project")</f>
        <v>https://github.com/SohamGhosh2510/Project</v>
      </c>
      <c r="G438" s="3">
        <f>IFERROR(__xludf.DUMMYFUNCTION("""COMPUTED_VALUE"""),10.0)</f>
        <v>10</v>
      </c>
      <c r="H438" s="3">
        <f>IFERROR(__xludf.DUMMYFUNCTION("""COMPUTED_VALUE"""),10.0)</f>
        <v>10</v>
      </c>
      <c r="I438" s="3" t="str">
        <f>IFERROR(__xludf.DUMMYFUNCTION("""COMPUTED_VALUE"""),"very good and proffesional work with great findings and code is present.")</f>
        <v>very good and proffesional work with great findings and code is present.</v>
      </c>
      <c r="J438" s="3" t="str">
        <f>IFERROR(__xludf.DUMMYFUNCTION("""COMPUTED_VALUE"""),"23f2003488@ds.study.iitm.ac.in")</f>
        <v>23f2003488@ds.study.iitm.ac.in</v>
      </c>
      <c r="K438" s="3" t="str">
        <f t="shared" si="1"/>
        <v>23f2003488@ds.study.iitm.ac.inhttps://github.com/KanishkarIITM/Proj1</v>
      </c>
      <c r="L438" s="3" t="str">
        <f t="shared" si="2"/>
        <v>23f2003488@ds.study.iitm.ac.inhttps://github.com/SohamGhosh2510/Project</v>
      </c>
    </row>
    <row r="439">
      <c r="A439" s="3">
        <f>IFERROR(__xludf.DUMMYFUNCTION("""COMPUTED_VALUE"""),45603.97776760417)</f>
        <v>45603.97777</v>
      </c>
      <c r="B439" s="5" t="str">
        <f>IFERROR(__xludf.DUMMYFUNCTION("""COMPUTED_VALUE"""),"https://github.com/Harshachowdary2012/Berlin-200-Analysis-TDS")</f>
        <v>https://github.com/Harshachowdary2012/Berlin-200-Analysis-TDS</v>
      </c>
      <c r="C439" s="3">
        <f>IFERROR(__xludf.DUMMYFUNCTION("""COMPUTED_VALUE"""),9.0)</f>
        <v>9</v>
      </c>
      <c r="D439" s="3">
        <f>IFERROR(__xludf.DUMMYFUNCTION("""COMPUTED_VALUE"""),8.0)</f>
        <v>8</v>
      </c>
      <c r="E439" s="3" t="str">
        <f>IFERROR(__xludf.DUMMYFUNCTION("""COMPUTED_VALUE"""),"The readme provided is good. The fact that is mentioned is interesting.")</f>
        <v>The readme provided is good. The fact that is mentioned is interesting.</v>
      </c>
      <c r="F439" s="5" t="str">
        <f>IFERROR(__xludf.DUMMYFUNCTION("""COMPUTED_VALUE"""),"https://github.com/23f3002916/TDSProject1")</f>
        <v>https://github.com/23f3002916/TDSProject1</v>
      </c>
      <c r="G439" s="3">
        <f>IFERROR(__xludf.DUMMYFUNCTION("""COMPUTED_VALUE"""),7.0)</f>
        <v>7</v>
      </c>
      <c r="H439" s="3">
        <f>IFERROR(__xludf.DUMMYFUNCTION("""COMPUTED_VALUE"""),8.0)</f>
        <v>8</v>
      </c>
      <c r="I439" s="3" t="str">
        <f>IFERROR(__xludf.DUMMYFUNCTION("""COMPUTED_VALUE"""),"All things are seems to be nice.")</f>
        <v>All things are seems to be nice.</v>
      </c>
      <c r="J439" s="3" t="str">
        <f>IFERROR(__xludf.DUMMYFUNCTION("""COMPUTED_VALUE"""),"23f2001844@ds.study.iitm.ac.in")</f>
        <v>23f2001844@ds.study.iitm.ac.in</v>
      </c>
      <c r="K439" s="3" t="str">
        <f t="shared" si="1"/>
        <v>23f2001844@ds.study.iitm.ac.inhttps://github.com/Harshachowdary2012/Berlin-200-Analysis-TDS</v>
      </c>
      <c r="L439" s="3" t="str">
        <f t="shared" si="2"/>
        <v>23f2001844@ds.study.iitm.ac.inhttps://github.com/23f3002916/TDSProject1</v>
      </c>
    </row>
    <row r="440">
      <c r="A440" s="3">
        <f>IFERROR(__xludf.DUMMYFUNCTION("""COMPUTED_VALUE"""),45603.985367245376)</f>
        <v>45603.98537</v>
      </c>
      <c r="B440" s="5" t="str">
        <f>IFERROR(__xludf.DUMMYFUNCTION("""COMPUTED_VALUE"""),"https://github.com/anshuraj007/22f3000757_TDS_Proj1")</f>
        <v>https://github.com/anshuraj007/22f3000757_TDS_Proj1</v>
      </c>
      <c r="C440" s="3">
        <f>IFERROR(__xludf.DUMMYFUNCTION("""COMPUTED_VALUE"""),10.0)</f>
        <v>10</v>
      </c>
      <c r="D440" s="3">
        <f>IFERROR(__xludf.DUMMYFUNCTION("""COMPUTED_VALUE"""),7.0)</f>
        <v>7</v>
      </c>
      <c r="E440" s="3" t="str">
        <f>IFERROR(__xludf.DUMMYFUNCTION("""COMPUTED_VALUE"""),"I found the finding very interesting and unique, and the code is also descent.")</f>
        <v>I found the finding very interesting and unique, and the code is also descent.</v>
      </c>
      <c r="F440" s="5" t="str">
        <f>IFERROR(__xludf.DUMMYFUNCTION("""COMPUTED_VALUE"""),"https://github.com/azh-py/london-github-users")</f>
        <v>https://github.com/azh-py/london-github-users</v>
      </c>
      <c r="G440" s="3">
        <f>IFERROR(__xludf.DUMMYFUNCTION("""COMPUTED_VALUE"""),0.0)</f>
        <v>0</v>
      </c>
      <c r="H440" s="3">
        <f>IFERROR(__xludf.DUMMYFUNCTION("""COMPUTED_VALUE"""),8.0)</f>
        <v>8</v>
      </c>
      <c r="I440" s="3" t="str">
        <f>IFERROR(__xludf.DUMMYFUNCTION("""COMPUTED_VALUE"""),"There is no response of the findings related to the project in the README.md file . ")</f>
        <v>There is no response of the findings related to the project in the README.md file . </v>
      </c>
      <c r="J440" s="3" t="str">
        <f>IFERROR(__xludf.DUMMYFUNCTION("""COMPUTED_VALUE"""),"22f3000849@ds.study.iitm.ac.in")</f>
        <v>22f3000849@ds.study.iitm.ac.in</v>
      </c>
      <c r="K440" s="3" t="str">
        <f t="shared" si="1"/>
        <v>22f3000849@ds.study.iitm.ac.inhttps://github.com/anshuraj007/22f3000757_TDS_Proj1</v>
      </c>
      <c r="L440" s="3" t="str">
        <f t="shared" si="2"/>
        <v>22f3000849@ds.study.iitm.ac.inhttps://github.com/azh-py/london-github-users</v>
      </c>
    </row>
    <row r="441">
      <c r="A441" s="3">
        <f>IFERROR(__xludf.DUMMYFUNCTION("""COMPUTED_VALUE"""),45603.99604759259)</f>
        <v>45603.99605</v>
      </c>
      <c r="B441" s="5" t="str">
        <f>IFERROR(__xludf.DUMMYFUNCTION("""COMPUTED_VALUE"""),"https://github.com/AllyNav/tds_project_1")</f>
        <v>https://github.com/AllyNav/tds_project_1</v>
      </c>
      <c r="C441" s="3">
        <f>IFERROR(__xludf.DUMMYFUNCTION("""COMPUTED_VALUE"""),7.0)</f>
        <v>7</v>
      </c>
      <c r="D441" s="3">
        <f>IFERROR(__xludf.DUMMYFUNCTION("""COMPUTED_VALUE"""),7.0)</f>
        <v>7</v>
      </c>
      <c r="E441" s="3" t="str">
        <f>IFERROR(__xludf.DUMMYFUNCTION("""COMPUTED_VALUE"""),"Detailed explaination and good understanding of concept")</f>
        <v>Detailed explaination and good understanding of concept</v>
      </c>
      <c r="F441" s="5" t="str">
        <f>IFERROR(__xludf.DUMMYFUNCTION("""COMPUTED_VALUE"""),"https://github.com/drashtish/TDS-Project1")</f>
        <v>https://github.com/drashtish/TDS-Project1</v>
      </c>
      <c r="G441" s="3">
        <f>IFERROR(__xludf.DUMMYFUNCTION("""COMPUTED_VALUE"""),7.0)</f>
        <v>7</v>
      </c>
      <c r="H441" s="3">
        <f>IFERROR(__xludf.DUMMYFUNCTION("""COMPUTED_VALUE"""),8.0)</f>
        <v>8</v>
      </c>
      <c r="I441" s="3" t="str">
        <f>IFERROR(__xludf.DUMMYFUNCTION("""COMPUTED_VALUE"""),"Nice use of python code to analyse the data and answering questions")</f>
        <v>Nice use of python code to analyse the data and answering questions</v>
      </c>
      <c r="J441" s="3" t="str">
        <f>IFERROR(__xludf.DUMMYFUNCTION("""COMPUTED_VALUE"""),"22f3001834@ds.study.iitm.ac.in")</f>
        <v>22f3001834@ds.study.iitm.ac.in</v>
      </c>
      <c r="K441" s="3" t="str">
        <f t="shared" si="1"/>
        <v>22f3001834@ds.study.iitm.ac.inhttps://github.com/AllyNav/tds_project_1</v>
      </c>
      <c r="L441" s="3" t="str">
        <f t="shared" si="2"/>
        <v>22f3001834@ds.study.iitm.ac.inhttps://github.com/drashtish/TDS-Project1</v>
      </c>
    </row>
    <row r="442">
      <c r="A442" s="3">
        <f>IFERROR(__xludf.DUMMYFUNCTION("""COMPUTED_VALUE"""),45604.00781549768)</f>
        <v>45604.00782</v>
      </c>
      <c r="B442" s="5" t="str">
        <f>IFERROR(__xludf.DUMMYFUNCTION("""COMPUTED_VALUE"""),"https://github.com/Bhaargavi29/Moscow-50-repo")</f>
        <v>https://github.com/Bhaargavi29/Moscow-50-repo</v>
      </c>
      <c r="C442" s="3">
        <f>IFERROR(__xludf.DUMMYFUNCTION("""COMPUTED_VALUE"""),3.0)</f>
        <v>3</v>
      </c>
      <c r="D442" s="3">
        <f>IFERROR(__xludf.DUMMYFUNCTION("""COMPUTED_VALUE"""),8.0)</f>
        <v>8</v>
      </c>
      <c r="E442" s="3" t="str">
        <f>IFERROR(__xludf.DUMMYFUNCTION("""COMPUTED_VALUE"""),"The Findings are pretty basic so i gave it low score and the Code is really clean and elegant.")</f>
        <v>The Findings are pretty basic so i gave it low score and the Code is really clean and elegant.</v>
      </c>
      <c r="F442" s="5" t="str">
        <f>IFERROR(__xludf.DUMMYFUNCTION("""COMPUTED_VALUE"""),"https://github.com/aksarwar/tds-project/blob/main/project1.ipynb")</f>
        <v>https://github.com/aksarwar/tds-project/blob/main/project1.ipynb</v>
      </c>
      <c r="G442" s="3">
        <f>IFERROR(__xludf.DUMMYFUNCTION("""COMPUTED_VALUE"""),9.0)</f>
        <v>9</v>
      </c>
      <c r="H442" s="3">
        <f>IFERROR(__xludf.DUMMYFUNCTION("""COMPUTED_VALUE"""),9.0)</f>
        <v>9</v>
      </c>
      <c r="I442" s="3" t="str">
        <f>IFERROR(__xludf.DUMMYFUNCTION("""COMPUTED_VALUE"""),"Both the findings and the code is pretty clear, consise and interesting.")</f>
        <v>Both the findings and the code is pretty clear, consise and interesting.</v>
      </c>
      <c r="J442" s="3" t="str">
        <f>IFERROR(__xludf.DUMMYFUNCTION("""COMPUTED_VALUE"""),"21f3002030@ds.study.iitm.ac.in")</f>
        <v>21f3002030@ds.study.iitm.ac.in</v>
      </c>
      <c r="K442" s="3" t="str">
        <f t="shared" si="1"/>
        <v>21f3002030@ds.study.iitm.ac.inhttps://github.com/Bhaargavi29/Moscow-50-repo</v>
      </c>
      <c r="L442" s="3" t="str">
        <f t="shared" si="2"/>
        <v>21f3002030@ds.study.iitm.ac.inhttps://github.com/aksarwar/tds-project/blob/main/project1.ipynb</v>
      </c>
    </row>
    <row r="443">
      <c r="A443" s="3">
        <f>IFERROR(__xludf.DUMMYFUNCTION("""COMPUTED_VALUE"""),45604.01232248843)</f>
        <v>45604.01232</v>
      </c>
      <c r="B443" s="5" t="str">
        <f>IFERROR(__xludf.DUMMYFUNCTION("""COMPUTED_VALUE"""),"https://github.com/Avisiingh/tdsproject1/tree/main")</f>
        <v>https://github.com/Avisiingh/tdsproject1/tree/main</v>
      </c>
      <c r="C443" s="3">
        <f>IFERROR(__xludf.DUMMYFUNCTION("""COMPUTED_VALUE"""),10.0)</f>
        <v>10</v>
      </c>
      <c r="D443" s="3">
        <f>IFERROR(__xludf.DUMMYFUNCTION("""COMPUTED_VALUE"""),10.0)</f>
        <v>10</v>
      </c>
      <c r="E443" s="3" t="str">
        <f>IFERROR(__xludf.DUMMYFUNCTION("""COMPUTED_VALUE"""),"The findings appear well-supported, and the code is presented clearly and effectively. The analysis flows logically, providing a thorough understanding of the results and instilling confidence in the conclusions drawn. ")</f>
        <v>The findings appear well-supported, and the code is presented clearly and effectively. The analysis flows logically, providing a thorough understanding of the results and instilling confidence in the conclusions drawn. </v>
      </c>
      <c r="F443" s="5" t="str">
        <f>IFERROR(__xludf.DUMMYFUNCTION("""COMPUTED_VALUE"""),"https://github.com/namish18/TDSP1")</f>
        <v>https://github.com/namish18/TDSP1</v>
      </c>
      <c r="G443" s="3">
        <f>IFERROR(__xludf.DUMMYFUNCTION("""COMPUTED_VALUE"""),10.0)</f>
        <v>10</v>
      </c>
      <c r="H443" s="3">
        <f>IFERROR(__xludf.DUMMYFUNCTION("""COMPUTED_VALUE"""),10.0)</f>
        <v>10</v>
      </c>
      <c r="I443" s="3" t="str">
        <f>IFERROR(__xludf.DUMMYFUNCTION("""COMPUTED_VALUE"""),"The findings are well-founded, and the code is both clear and thoughtfully structured, enhancing its accessibility and effectiveness. The analysis is comprehensive, offering a professional, in-depth look at the results that leaves little room for ambiguit"&amp;"y. The inclusion of actionable recommendations for developers adds a practical dimension, giving this repo an added edge in usability and real-world application.")</f>
        <v>The findings are well-founded, and the code is both clear and thoughtfully structured, enhancing its accessibility and effectiveness. The analysis is comprehensive, offering a professional, in-depth look at the results that leaves little room for ambiguity. The inclusion of actionable recommendations for developers adds a practical dimension, giving this repo an added edge in usability and real-world application.</v>
      </c>
      <c r="J443" s="3" t="str">
        <f>IFERROR(__xludf.DUMMYFUNCTION("""COMPUTED_VALUE"""),"22f3003086@ds.study.iitm.ac.in")</f>
        <v>22f3003086@ds.study.iitm.ac.in</v>
      </c>
      <c r="K443" s="3" t="str">
        <f t="shared" si="1"/>
        <v>22f3003086@ds.study.iitm.ac.inhttps://github.com/Avisiingh/tdsproject1/tree/main</v>
      </c>
      <c r="L443" s="3" t="str">
        <f t="shared" si="2"/>
        <v>22f3003086@ds.study.iitm.ac.inhttps://github.com/namish18/TDSP1</v>
      </c>
    </row>
    <row r="444">
      <c r="A444" s="3">
        <f>IFERROR(__xludf.DUMMYFUNCTION("""COMPUTED_VALUE"""),45604.01524469907)</f>
        <v>45604.01524</v>
      </c>
      <c r="B444" s="5" t="str">
        <f>IFERROR(__xludf.DUMMYFUNCTION("""COMPUTED_VALUE"""),"https://github.com/Alizalily/TDS_Project1")</f>
        <v>https://github.com/Alizalily/TDS_Project1</v>
      </c>
      <c r="C444" s="3">
        <f>IFERROR(__xludf.DUMMYFUNCTION("""COMPUTED_VALUE"""),8.0)</f>
        <v>8</v>
      </c>
      <c r="D444" s="3">
        <f>IFERROR(__xludf.DUMMYFUNCTION("""COMPUTED_VALUE"""),8.0)</f>
        <v>8</v>
      </c>
      <c r="E444" s="3" t="str">
        <f>IFERROR(__xludf.DUMMYFUNCTION("""COMPUTED_VALUE"""),"The code is near and precise with a clear readme")</f>
        <v>The code is near and precise with a clear readme</v>
      </c>
      <c r="F444" s="5" t="str">
        <f>IFERROR(__xludf.DUMMYFUNCTION("""COMPUTED_VALUE"""),"https://github.com/Prajchin/TDS_P1")</f>
        <v>https://github.com/Prajchin/TDS_P1</v>
      </c>
      <c r="G444" s="3">
        <f>IFERROR(__xludf.DUMMYFUNCTION("""COMPUTED_VALUE"""),9.0)</f>
        <v>9</v>
      </c>
      <c r="H444" s="3">
        <f>IFERROR(__xludf.DUMMYFUNCTION("""COMPUTED_VALUE"""),7.0)</f>
        <v>7</v>
      </c>
      <c r="I444" s="3" t="str">
        <f>IFERROR(__xludf.DUMMYFUNCTION("""COMPUTED_VALUE"""),"The readme was detailed and satisfactory but the coding was a bit complicated ")</f>
        <v>The readme was detailed and satisfactory but the coding was a bit complicated </v>
      </c>
      <c r="J444" s="3" t="str">
        <f>IFERROR(__xludf.DUMMYFUNCTION("""COMPUTED_VALUE"""),"23f3001831@ds.study.iitm.ac.in")</f>
        <v>23f3001831@ds.study.iitm.ac.in</v>
      </c>
      <c r="K444" s="3" t="str">
        <f t="shared" si="1"/>
        <v>23f3001831@ds.study.iitm.ac.inhttps://github.com/Alizalily/TDS_Project1</v>
      </c>
      <c r="L444" s="3" t="str">
        <f t="shared" si="2"/>
        <v>23f3001831@ds.study.iitm.ac.inhttps://github.com/Prajchin/TDS_P1</v>
      </c>
    </row>
    <row r="445">
      <c r="A445" s="3">
        <f>IFERROR(__xludf.DUMMYFUNCTION("""COMPUTED_VALUE"""),45604.01769162037)</f>
        <v>45604.01769</v>
      </c>
      <c r="B445" s="5" t="str">
        <f>IFERROR(__xludf.DUMMYFUNCTION("""COMPUTED_VALUE"""),"https://github.com/febixcf/tds-project1")</f>
        <v>https://github.com/febixcf/tds-project1</v>
      </c>
      <c r="C445" s="3">
        <f>IFERROR(__xludf.DUMMYFUNCTION("""COMPUTED_VALUE"""),10.0)</f>
        <v>10</v>
      </c>
      <c r="D445" s="3">
        <f>IFERROR(__xludf.DUMMYFUNCTION("""COMPUTED_VALUE"""),10.0)</f>
        <v>10</v>
      </c>
      <c r="E445" s="3" t="str">
        <f>IFERROR(__xludf.DUMMYFUNCTION("""COMPUTED_VALUE"""),"Everything is there and clear.")</f>
        <v>Everything is there and clear.</v>
      </c>
      <c r="F445" s="5" t="str">
        <f>IFERROR(__xludf.DUMMYFUNCTION("""COMPUTED_VALUE"""),"https://github.com/Logikos1/iitm-tds-project1-berlin200")</f>
        <v>https://github.com/Logikos1/iitm-tds-project1-berlin200</v>
      </c>
      <c r="G445" s="3">
        <f>IFERROR(__xludf.DUMMYFUNCTION("""COMPUTED_VALUE"""),10.0)</f>
        <v>10</v>
      </c>
      <c r="H445" s="3">
        <f>IFERROR(__xludf.DUMMYFUNCTION("""COMPUTED_VALUE"""),10.0)</f>
        <v>10</v>
      </c>
      <c r="I445" s="3" t="str">
        <f>IFERROR(__xludf.DUMMYFUNCTION("""COMPUTED_VALUE"""),"Everything is there and clear.")</f>
        <v>Everything is there and clear.</v>
      </c>
      <c r="J445" s="3" t="str">
        <f>IFERROR(__xludf.DUMMYFUNCTION("""COMPUTED_VALUE"""),"21f1006953@ds.study.iitm.ac.in")</f>
        <v>21f1006953@ds.study.iitm.ac.in</v>
      </c>
      <c r="K445" s="3" t="str">
        <f t="shared" si="1"/>
        <v>21f1006953@ds.study.iitm.ac.inhttps://github.com/febixcf/tds-project1</v>
      </c>
      <c r="L445" s="3" t="str">
        <f t="shared" si="2"/>
        <v>21f1006953@ds.study.iitm.ac.inhttps://github.com/Logikos1/iitm-tds-project1-berlin200</v>
      </c>
    </row>
    <row r="446">
      <c r="A446" s="3">
        <f>IFERROR(__xludf.DUMMYFUNCTION("""COMPUTED_VALUE"""),45604.026864942134)</f>
        <v>45604.02686</v>
      </c>
      <c r="B446" s="5" t="str">
        <f>IFERROR(__xludf.DUMMYFUNCTION("""COMPUTED_VALUE"""),"https://github.com/SharmilSrivathsa/TDS-Project-1")</f>
        <v>https://github.com/SharmilSrivathsa/TDS-Project-1</v>
      </c>
      <c r="C446" s="3">
        <f>IFERROR(__xludf.DUMMYFUNCTION("""COMPUTED_VALUE"""),10.0)</f>
        <v>10</v>
      </c>
      <c r="D446" s="3">
        <f>IFERROR(__xludf.DUMMYFUNCTION("""COMPUTED_VALUE"""),10.0)</f>
        <v>10</v>
      </c>
      <c r="E446" s="3" t="str">
        <f>IFERROR(__xludf.DUMMYFUNCTION("""COMPUTED_VALUE"""),"The findings are interesting and the code was clear.")</f>
        <v>The findings are interesting and the code was clear.</v>
      </c>
      <c r="F446" s="5" t="str">
        <f>IFERROR(__xludf.DUMMYFUNCTION("""COMPUTED_VALUE"""),"https://github.com/22f2001300/TDS-P1")</f>
        <v>https://github.com/22f2001300/TDS-P1</v>
      </c>
      <c r="G446" s="3">
        <f>IFERROR(__xludf.DUMMYFUNCTION("""COMPUTED_VALUE"""),10.0)</f>
        <v>10</v>
      </c>
      <c r="H446" s="3">
        <f>IFERROR(__xludf.DUMMYFUNCTION("""COMPUTED_VALUE"""),10.0)</f>
        <v>10</v>
      </c>
      <c r="I446" s="3" t="str">
        <f>IFERROR(__xludf.DUMMYFUNCTION("""COMPUTED_VALUE"""),"The findings are interesting and the code was clear.")</f>
        <v>The findings are interesting and the code was clear.</v>
      </c>
      <c r="J446" s="3" t="str">
        <f>IFERROR(__xludf.DUMMYFUNCTION("""COMPUTED_VALUE"""),"22f2001248@ds.study.iitm.ac.in")</f>
        <v>22f2001248@ds.study.iitm.ac.in</v>
      </c>
      <c r="K446" s="3" t="str">
        <f t="shared" si="1"/>
        <v>22f2001248@ds.study.iitm.ac.inhttps://github.com/SharmilSrivathsa/TDS-Project-1</v>
      </c>
      <c r="L446" s="3" t="str">
        <f t="shared" si="2"/>
        <v>22f2001248@ds.study.iitm.ac.inhttps://github.com/22f2001300/TDS-P1</v>
      </c>
    </row>
    <row r="447">
      <c r="A447" s="3">
        <f>IFERROR(__xludf.DUMMYFUNCTION("""COMPUTED_VALUE"""),45604.03917166666)</f>
        <v>45604.03917</v>
      </c>
      <c r="B447" s="5" t="str">
        <f>IFERROR(__xludf.DUMMYFUNCTION("""COMPUTED_VALUE"""),"https://github.com/Harini-RAJ/tdsproj")</f>
        <v>https://github.com/Harini-RAJ/tdsproj</v>
      </c>
      <c r="C447" s="3">
        <f>IFERROR(__xludf.DUMMYFUNCTION("""COMPUTED_VALUE"""),9.0)</f>
        <v>9</v>
      </c>
      <c r="D447" s="3">
        <f>IFERROR(__xludf.DUMMYFUNCTION("""COMPUTED_VALUE"""),3.0)</f>
        <v>3</v>
      </c>
      <c r="E447" s="3" t="str">
        <f>IFERROR(__xludf.DUMMYFUNCTION("""COMPUTED_VALUE"""),"The README provided some interesting information, was clear and well-structured, and followed the rules of being within 50 words. However, I was not able to find any code in the provided link, but the data looked accurate, so I gave a 9 and 3 for both.")</f>
        <v>The README provided some interesting information, was clear and well-structured, and followed the rules of being within 50 words. However, I was not able to find any code in the provided link, but the data looked accurate, so I gave a 9 and 3 for both.</v>
      </c>
      <c r="F447" s="5" t="str">
        <f>IFERROR(__xludf.DUMMYFUNCTION("""COMPUTED_VALUE"""),"https://github.com/23f1000647/tds-project-1")</f>
        <v>https://github.com/23f1000647/tds-project-1</v>
      </c>
      <c r="G447" s="3">
        <f>IFERROR(__xludf.DUMMYFUNCTION("""COMPUTED_VALUE"""),8.0)</f>
        <v>8</v>
      </c>
      <c r="H447" s="3">
        <f>IFERROR(__xludf.DUMMYFUNCTION("""COMPUTED_VALUE"""),10.0)</f>
        <v>10</v>
      </c>
      <c r="I447" s="3" t="str">
        <f>IFERROR(__xludf.DUMMYFUNCTION("""COMPUTED_VALUE"""),"The README was highly informative and provided several detailed and data-driven insights. The explanation of the data collection methods and URLs used was also clear and professional. However, the basic rule of starting with 3 bullet points was more than "&amp;"3 with few points being more than 50 words. So that got an 8. In the case of the code, it was very well explained with each code being given a title of what it does. So, it got a 10.")</f>
        <v>The README was highly informative and provided several detailed and data-driven insights. The explanation of the data collection methods and URLs used was also clear and professional. However, the basic rule of starting with 3 bullet points was more than 3 with few points being more than 50 words. So that got an 8. In the case of the code, it was very well explained with each code being given a title of what it does. So, it got a 10.</v>
      </c>
      <c r="J447" s="3" t="str">
        <f>IFERROR(__xludf.DUMMYFUNCTION("""COMPUTED_VALUE"""),"22f3001252@ds.study.iitm.ac.in")</f>
        <v>22f3001252@ds.study.iitm.ac.in</v>
      </c>
      <c r="K447" s="3" t="str">
        <f t="shared" si="1"/>
        <v>22f3001252@ds.study.iitm.ac.inhttps://github.com/Harini-RAJ/tdsproj</v>
      </c>
      <c r="L447" s="3" t="str">
        <f t="shared" si="2"/>
        <v>22f3001252@ds.study.iitm.ac.inhttps://github.com/23f1000647/tds-project-1</v>
      </c>
    </row>
    <row r="448">
      <c r="A448" s="3">
        <f>IFERROR(__xludf.DUMMYFUNCTION("""COMPUTED_VALUE"""),45604.04422609953)</f>
        <v>45604.04423</v>
      </c>
      <c r="B448" s="5" t="str">
        <f>IFERROR(__xludf.DUMMYFUNCTION("""COMPUTED_VALUE"""),"https://github.com/GeekAnanya21/TDS_project1")</f>
        <v>https://github.com/GeekAnanya21/TDS_project1</v>
      </c>
      <c r="C448" s="3">
        <f>IFERROR(__xludf.DUMMYFUNCTION("""COMPUTED_VALUE"""),10.0)</f>
        <v>10</v>
      </c>
      <c r="D448" s="3">
        <f>IFERROR(__xludf.DUMMYFUNCTION("""COMPUTED_VALUE"""),10.0)</f>
        <v>10</v>
      </c>
      <c r="E448" s="3" t="str">
        <f>IFERROR(__xludf.DUMMYFUNCTION("""COMPUTED_VALUE"""),"Provided ratings are based on their repo I like the way it presents and satisfies all the conditions as mentioned.")</f>
        <v>Provided ratings are based on their repo I like the way it presents and satisfies all the conditions as mentioned.</v>
      </c>
      <c r="F448" s="5" t="str">
        <f>IFERROR(__xludf.DUMMYFUNCTION("""COMPUTED_VALUE"""),"https://github.com/arya-v-iitm/TDS-Project1")</f>
        <v>https://github.com/arya-v-iitm/TDS-Project1</v>
      </c>
      <c r="G448" s="3">
        <f>IFERROR(__xludf.DUMMYFUNCTION("""COMPUTED_VALUE"""),10.0)</f>
        <v>10</v>
      </c>
      <c r="H448" s="3">
        <f>IFERROR(__xludf.DUMMYFUNCTION("""COMPUTED_VALUE"""),10.0)</f>
        <v>10</v>
      </c>
      <c r="I448" s="3" t="str">
        <f>IFERROR(__xludf.DUMMYFUNCTION("""COMPUTED_VALUE"""),"I like the insights and and the recommendations of the repo.")</f>
        <v>I like the insights and and the recommendations of the repo.</v>
      </c>
      <c r="J448" s="3" t="str">
        <f>IFERROR(__xludf.DUMMYFUNCTION("""COMPUTED_VALUE"""),"21f3000168@ds.study.iitm.ac.in")</f>
        <v>21f3000168@ds.study.iitm.ac.in</v>
      </c>
      <c r="K448" s="3" t="str">
        <f t="shared" si="1"/>
        <v>21f3000168@ds.study.iitm.ac.inhttps://github.com/GeekAnanya21/TDS_project1</v>
      </c>
      <c r="L448" s="3" t="str">
        <f t="shared" si="2"/>
        <v>21f3000168@ds.study.iitm.ac.inhttps://github.com/arya-v-iitm/TDS-Project1</v>
      </c>
    </row>
    <row r="449">
      <c r="A449" s="3">
        <f>IFERROR(__xludf.DUMMYFUNCTION("""COMPUTED_VALUE"""),45604.06344184028)</f>
        <v>45604.06344</v>
      </c>
      <c r="B449" s="5" t="str">
        <f>IFERROR(__xludf.DUMMYFUNCTION("""COMPUTED_VALUE"""),"https://github.com/pkala7968/TDS-PROJECT-1-IITM")</f>
        <v>https://github.com/pkala7968/TDS-PROJECT-1-IITM</v>
      </c>
      <c r="C449" s="3">
        <f>IFERROR(__xludf.DUMMYFUNCTION("""COMPUTED_VALUE"""),10.0)</f>
        <v>10</v>
      </c>
      <c r="D449" s="3">
        <f>IFERROR(__xludf.DUMMYFUNCTION("""COMPUTED_VALUE"""),10.0)</f>
        <v>10</v>
      </c>
      <c r="E449" s="3" t="str">
        <f>IFERROR(__xludf.DUMMYFUNCTION("""COMPUTED_VALUE"""),"There were two finding , that were inferred from questions asked in the assignment part of project. Those were some clear foundings, so a 10. And code was clean as well.")</f>
        <v>There were two finding , that were inferred from questions asked in the assignment part of project. Those were some clear foundings, so a 10. And code was clean as well.</v>
      </c>
      <c r="F449" s="5" t="str">
        <f>IFERROR(__xludf.DUMMYFUNCTION("""COMPUTED_VALUE"""),"https://github.com/LakshayB05/tds_project1")</f>
        <v>https://github.com/LakshayB05/tds_project1</v>
      </c>
      <c r="G449" s="3">
        <f>IFERROR(__xludf.DUMMYFUNCTION("""COMPUTED_VALUE"""),10.0)</f>
        <v>10</v>
      </c>
      <c r="H449" s="3">
        <f>IFERROR(__xludf.DUMMYFUNCTION("""COMPUTED_VALUE"""),10.0)</f>
        <v>10</v>
      </c>
      <c r="I449" s="3" t="str">
        <f>IFERROR(__xludf.DUMMYFUNCTION("""COMPUTED_VALUE"""),"Findings were clear and elaborate , but inferred from questions in assignment. So a 10. Also code was neatly written.")</f>
        <v>Findings were clear and elaborate , but inferred from questions in assignment. So a 10. Also code was neatly written.</v>
      </c>
      <c r="J449" s="3" t="str">
        <f>IFERROR(__xludf.DUMMYFUNCTION("""COMPUTED_VALUE"""),"23f3001726@ds.study.iitm.ac.in")</f>
        <v>23f3001726@ds.study.iitm.ac.in</v>
      </c>
      <c r="K449" s="3" t="str">
        <f t="shared" si="1"/>
        <v>23f3001726@ds.study.iitm.ac.inhttps://github.com/pkala7968/TDS-PROJECT-1-IITM</v>
      </c>
      <c r="L449" s="3" t="str">
        <f t="shared" si="2"/>
        <v>23f3001726@ds.study.iitm.ac.inhttps://github.com/LakshayB05/tds_project1</v>
      </c>
    </row>
    <row r="450">
      <c r="A450" s="3">
        <f>IFERROR(__xludf.DUMMYFUNCTION("""COMPUTED_VALUE"""),45604.06702604167)</f>
        <v>45604.06703</v>
      </c>
      <c r="B450" s="5" t="str">
        <f>IFERROR(__xludf.DUMMYFUNCTION("""COMPUTED_VALUE"""),"https://github.com/Reena-Ydv/TDS")</f>
        <v>https://github.com/Reena-Ydv/TDS</v>
      </c>
      <c r="C450" s="3">
        <f>IFERROR(__xludf.DUMMYFUNCTION("""COMPUTED_VALUE"""),10.0)</f>
        <v>10</v>
      </c>
      <c r="D450" s="3">
        <f>IFERROR(__xludf.DUMMYFUNCTION("""COMPUTED_VALUE"""),10.0)</f>
        <v>10</v>
      </c>
      <c r="E450" s="3" t="str">
        <f>IFERROR(__xludf.DUMMYFUNCTION("""COMPUTED_VALUE"""),"Student did a decent activity. Explained the project through readme and all necessary pointers for the evaluation was available.")</f>
        <v>Student did a decent activity. Explained the project through readme and all necessary pointers for the evaluation was available.</v>
      </c>
      <c r="F450" s="5" t="str">
        <f>IFERROR(__xludf.DUMMYFUNCTION("""COMPUTED_VALUE"""),"https://github.com/palavallichaitanya/TDS-Project-1")</f>
        <v>https://github.com/palavallichaitanya/TDS-Project-1</v>
      </c>
      <c r="G450" s="3">
        <f>IFERROR(__xludf.DUMMYFUNCTION("""COMPUTED_VALUE"""),9.0)</f>
        <v>9</v>
      </c>
      <c r="H450" s="3">
        <f>IFERROR(__xludf.DUMMYFUNCTION("""COMPUTED_VALUE"""),10.0)</f>
        <v>10</v>
      </c>
      <c r="I450" s="3" t="str">
        <f>IFERROR(__xludf.DUMMYFUNCTION("""COMPUTED_VALUE"""),"README could have been done better.  Repo code is very clear and good.  Results are available, explanation should be much more in detail.")</f>
        <v>README could have been done better.  Repo code is very clear and good.  Results are available, explanation should be much more in detail.</v>
      </c>
      <c r="J450" s="3" t="str">
        <f>IFERROR(__xludf.DUMMYFUNCTION("""COMPUTED_VALUE"""),"22ds1000131@ds.study.iitm.ac.in")</f>
        <v>22ds1000131@ds.study.iitm.ac.in</v>
      </c>
      <c r="K450" s="3" t="str">
        <f t="shared" si="1"/>
        <v>22ds1000131@ds.study.iitm.ac.inhttps://github.com/Reena-Ydv/TDS</v>
      </c>
      <c r="L450" s="3" t="str">
        <f t="shared" si="2"/>
        <v>22ds1000131@ds.study.iitm.ac.inhttps://github.com/palavallichaitanya/TDS-Project-1</v>
      </c>
    </row>
    <row r="451">
      <c r="A451" s="3">
        <f>IFERROR(__xludf.DUMMYFUNCTION("""COMPUTED_VALUE"""),45604.064690740735)</f>
        <v>45604.06469</v>
      </c>
      <c r="B451" s="5" t="str">
        <f>IFERROR(__xludf.DUMMYFUNCTION("""COMPUTED_VALUE"""),"https://github.com/ankit-ksh/tds_mini_project_i")</f>
        <v>https://github.com/ankit-ksh/tds_mini_project_i</v>
      </c>
      <c r="C451" s="3">
        <f>IFERROR(__xludf.DUMMYFUNCTION("""COMPUTED_VALUE"""),2.0)</f>
        <v>2</v>
      </c>
      <c r="D451" s="3">
        <f>IFERROR(__xludf.DUMMYFUNCTION("""COMPUTED_VALUE"""),0.0)</f>
        <v>0</v>
      </c>
      <c r="E451" s="3" t="str">
        <f>IFERROR(__xludf.DUMMYFUNCTION("""COMPUTED_VALUE"""),"README.md does not have any fascinating findings and there are no code files in the repository")</f>
        <v>README.md does not have any fascinating findings and there are no code files in the repository</v>
      </c>
      <c r="F451" s="5" t="str">
        <f>IFERROR(__xludf.DUMMYFUNCTION("""COMPUTED_VALUE"""),"https://github.com/Swag2002/TDS_Main_Project")</f>
        <v>https://github.com/Swag2002/TDS_Main_Project</v>
      </c>
      <c r="G451" s="3">
        <f>IFERROR(__xludf.DUMMYFUNCTION("""COMPUTED_VALUE"""),5.0)</f>
        <v>5</v>
      </c>
      <c r="H451" s="3">
        <f>IFERROR(__xludf.DUMMYFUNCTION("""COMPUTED_VALUE"""),0.0)</f>
        <v>0</v>
      </c>
      <c r="I451" s="3" t="str">
        <f>IFERROR(__xludf.DUMMYFUNCTION("""COMPUTED_VALUE"""),"README.md has Analysis Overview section with a single finding but not clearly explained.
There are no code files in the repository")</f>
        <v>README.md has Analysis Overview section with a single finding but not clearly explained.
There are no code files in the repository</v>
      </c>
      <c r="J451" s="3" t="str">
        <f>IFERROR(__xludf.DUMMYFUNCTION("""COMPUTED_VALUE"""),"22f1000824@ds.study.iitm.ac.in")</f>
        <v>22f1000824@ds.study.iitm.ac.in</v>
      </c>
      <c r="K451" s="3" t="str">
        <f t="shared" si="1"/>
        <v>22f1000824@ds.study.iitm.ac.inhttps://github.com/ankit-ksh/tds_mini_project_i</v>
      </c>
      <c r="L451" s="3" t="str">
        <f t="shared" si="2"/>
        <v>22f1000824@ds.study.iitm.ac.inhttps://github.com/Swag2002/TDS_Main_Project</v>
      </c>
    </row>
    <row r="452">
      <c r="A452" s="3">
        <f>IFERROR(__xludf.DUMMYFUNCTION("""COMPUTED_VALUE"""),45604.06993607639)</f>
        <v>45604.06994</v>
      </c>
      <c r="B452" s="5" t="str">
        <f>IFERROR(__xludf.DUMMYFUNCTION("""COMPUTED_VALUE"""),"https://github.com/hardikshub01/TDS-Project-1")</f>
        <v>https://github.com/hardikshub01/TDS-Project-1</v>
      </c>
      <c r="C452" s="3">
        <f>IFERROR(__xludf.DUMMYFUNCTION("""COMPUTED_VALUE"""),6.0)</f>
        <v>6</v>
      </c>
      <c r="D452" s="3">
        <f>IFERROR(__xludf.DUMMYFUNCTION("""COMPUTED_VALUE"""),0.0)</f>
        <v>0</v>
      </c>
      <c r="E452" s="3" t="str">
        <f>IFERROR(__xludf.DUMMYFUNCTION("""COMPUTED_VALUE"""),"I think their finding that the JavaScript was the top language in Tokyo was interesting though they didn't provide the code or any other meaningful insights.")</f>
        <v>I think their finding that the JavaScript was the top language in Tokyo was interesting though they didn't provide the code or any other meaningful insights.</v>
      </c>
      <c r="F452" s="5" t="str">
        <f>IFERROR(__xludf.DUMMYFUNCTION("""COMPUTED_VALUE"""),"https://github.com/Vishu-Ahlawat/tds_p1")</f>
        <v>https://github.com/Vishu-Ahlawat/tds_p1</v>
      </c>
      <c r="G452" s="3">
        <f>IFERROR(__xludf.DUMMYFUNCTION("""COMPUTED_VALUE"""),9.0)</f>
        <v>9</v>
      </c>
      <c r="H452" s="3">
        <f>IFERROR(__xludf.DUMMYFUNCTION("""COMPUTED_VALUE"""),8.0)</f>
        <v>8</v>
      </c>
      <c r="I452" s="3" t="str">
        <f>IFERROR(__xludf.DUMMYFUNCTION("""COMPUTED_VALUE"""),"I learned about the JavaScript based diagramming and charting tool, that is Mermaid.
I also found their code to be well structured and readable.")</f>
        <v>I learned about the JavaScript based diagramming and charting tool, that is Mermaid.
I also found their code to be well structured and readable.</v>
      </c>
      <c r="J452" s="3" t="str">
        <f>IFERROR(__xludf.DUMMYFUNCTION("""COMPUTED_VALUE"""),"23f1001360@ds.study.iitm.ac.in")</f>
        <v>23f1001360@ds.study.iitm.ac.in</v>
      </c>
      <c r="K452" s="3" t="str">
        <f t="shared" si="1"/>
        <v>23f1001360@ds.study.iitm.ac.inhttps://github.com/hardikshub01/TDS-Project-1</v>
      </c>
      <c r="L452" s="3" t="str">
        <f t="shared" si="2"/>
        <v>23f1001360@ds.study.iitm.ac.inhttps://github.com/Vishu-Ahlawat/tds_p1</v>
      </c>
    </row>
    <row r="453">
      <c r="A453" s="3">
        <f>IFERROR(__xludf.DUMMYFUNCTION("""COMPUTED_VALUE"""),45604.07580366898)</f>
        <v>45604.0758</v>
      </c>
      <c r="B453" s="5" t="str">
        <f>IFERROR(__xludf.DUMMYFUNCTION("""COMPUTED_VALUE"""),"https://github.com/sanskar-gupta206/TDS_P1")</f>
        <v>https://github.com/sanskar-gupta206/TDS_P1</v>
      </c>
      <c r="C453" s="3">
        <f>IFERROR(__xludf.DUMMYFUNCTION("""COMPUTED_VALUE"""),10.0)</f>
        <v>10</v>
      </c>
      <c r="D453" s="3">
        <f>IFERROR(__xludf.DUMMYFUNCTION("""COMPUTED_VALUE"""),10.0)</f>
        <v>10</v>
      </c>
      <c r="E453" s="3" t="str">
        <f>IFERROR(__xludf.DUMMYFUNCTION("""COMPUTED_VALUE"""),"the code was very clear the readme files contain all the details")</f>
        <v>the code was very clear the readme files contain all the details</v>
      </c>
      <c r="F453" s="5" t="str">
        <f>IFERROR(__xludf.DUMMYFUNCTION("""COMPUTED_VALUE"""),"https://github.com/NewDaci/tds-project1")</f>
        <v>https://github.com/NewDaci/tds-project1</v>
      </c>
      <c r="G453" s="3">
        <f>IFERROR(__xludf.DUMMYFUNCTION("""COMPUTED_VALUE"""),10.0)</f>
        <v>10</v>
      </c>
      <c r="H453" s="3">
        <f>IFERROR(__xludf.DUMMYFUNCTION("""COMPUTED_VALUE"""),10.0)</f>
        <v>10</v>
      </c>
      <c r="I453" s="3" t="str">
        <f>IFERROR(__xludf.DUMMYFUNCTION("""COMPUTED_VALUE"""),"the code was very clear the readme files contain all the details")</f>
        <v>the code was very clear the readme files contain all the details</v>
      </c>
      <c r="J453" s="3" t="str">
        <f>IFERROR(__xludf.DUMMYFUNCTION("""COMPUTED_VALUE"""),"23ds2000054@ds.study.iitm.ac.in")</f>
        <v>23ds2000054@ds.study.iitm.ac.in</v>
      </c>
      <c r="K453" s="3" t="str">
        <f t="shared" si="1"/>
        <v>23ds2000054@ds.study.iitm.ac.inhttps://github.com/sanskar-gupta206/TDS_P1</v>
      </c>
      <c r="L453" s="3" t="str">
        <f t="shared" si="2"/>
        <v>23ds2000054@ds.study.iitm.ac.inhttps://github.com/NewDaci/tds-project1</v>
      </c>
    </row>
    <row r="454">
      <c r="A454" s="3">
        <f>IFERROR(__xludf.DUMMYFUNCTION("""COMPUTED_VALUE"""),45604.081737581015)</f>
        <v>45604.08174</v>
      </c>
      <c r="B454" s="5" t="str">
        <f>IFERROR(__xludf.DUMMYFUNCTION("""COMPUTED_VALUE"""),"https://github.com/m55d/P1_md")</f>
        <v>https://github.com/m55d/P1_md</v>
      </c>
      <c r="C454" s="3">
        <f>IFERROR(__xludf.DUMMYFUNCTION("""COMPUTED_VALUE"""),7.0)</f>
        <v>7</v>
      </c>
      <c r="D454" s="3">
        <f>IFERROR(__xludf.DUMMYFUNCTION("""COMPUTED_VALUE"""),8.0)</f>
        <v>8</v>
      </c>
      <c r="E454" s="3" t="str">
        <f>IFERROR(__xludf.DUMMYFUNCTION("""COMPUTED_VALUE"""),"The code was well arranged, and the readme file was up to the mark.")</f>
        <v>The code was well arranged, and the readme file was up to the mark.</v>
      </c>
      <c r="F454" s="5" t="str">
        <f>IFERROR(__xludf.DUMMYFUNCTION("""COMPUTED_VALUE"""),"https://github.com/Chinni1904/TDS_Proj1")</f>
        <v>https://github.com/Chinni1904/TDS_Proj1</v>
      </c>
      <c r="G454" s="3">
        <f>IFERROR(__xludf.DUMMYFUNCTION("""COMPUTED_VALUE"""),6.0)</f>
        <v>6</v>
      </c>
      <c r="H454" s="3">
        <f>IFERROR(__xludf.DUMMYFUNCTION("""COMPUTED_VALUE"""),4.0)</f>
        <v>4</v>
      </c>
      <c r="I454" s="3" t="str">
        <f>IFERROR(__xludf.DUMMYFUNCTION("""COMPUTED_VALUE"""),"There was no code available in the repository.
The readme file was up to the mark.")</f>
        <v>There was no code available in the repository.
The readme file was up to the mark.</v>
      </c>
      <c r="J454" s="3" t="str">
        <f>IFERROR(__xludf.DUMMYFUNCTION("""COMPUTED_VALUE"""),"22f3000082@ds.study.iitm.ac.in")</f>
        <v>22f3000082@ds.study.iitm.ac.in</v>
      </c>
      <c r="K454" s="3" t="str">
        <f t="shared" si="1"/>
        <v>22f3000082@ds.study.iitm.ac.inhttps://github.com/m55d/P1_md</v>
      </c>
      <c r="L454" s="3" t="str">
        <f t="shared" si="2"/>
        <v>22f3000082@ds.study.iitm.ac.inhttps://github.com/Chinni1904/TDS_Proj1</v>
      </c>
    </row>
    <row r="455">
      <c r="A455" s="3">
        <f>IFERROR(__xludf.DUMMYFUNCTION("""COMPUTED_VALUE"""),45604.082512395835)</f>
        <v>45604.08251</v>
      </c>
      <c r="B455" s="5" t="str">
        <f>IFERROR(__xludf.DUMMYFUNCTION("""COMPUTED_VALUE"""),"https://github.com/AbayNandhiga-iitm/tokyo-github-users")</f>
        <v>https://github.com/AbayNandhiga-iitm/tokyo-github-users</v>
      </c>
      <c r="C455" s="3">
        <f>IFERROR(__xludf.DUMMYFUNCTION("""COMPUTED_VALUE"""),10.0)</f>
        <v>10</v>
      </c>
      <c r="D455" s="3">
        <f>IFERROR(__xludf.DUMMYFUNCTION("""COMPUTED_VALUE"""),8.0)</f>
        <v>8</v>
      </c>
      <c r="E455" s="3" t="str">
        <f>IFERROR(__xludf.DUMMYFUNCTION("""COMPUTED_VALUE"""),"good analysis, code provided only for data scraping. ")</f>
        <v>good analysis, code provided only for data scraping. </v>
      </c>
      <c r="F455" s="5" t="str">
        <f>IFERROR(__xludf.DUMMYFUNCTION("""COMPUTED_VALUE"""),"https://github.com/kashishbansal920/Project-TDS")</f>
        <v>https://github.com/kashishbansal920/Project-TDS</v>
      </c>
      <c r="G455" s="3">
        <f>IFERROR(__xludf.DUMMYFUNCTION("""COMPUTED_VALUE"""),9.0)</f>
        <v>9</v>
      </c>
      <c r="H455" s="3">
        <f>IFERROR(__xludf.DUMMYFUNCTION("""COMPUTED_VALUE"""),10.0)</f>
        <v>10</v>
      </c>
      <c r="I455" s="3" t="str">
        <f>IFERROR(__xludf.DUMMYFUNCTION("""COMPUTED_VALUE"""),"Code was clear and README file was present with good analysis")</f>
        <v>Code was clear and README file was present with good analysis</v>
      </c>
      <c r="J455" s="3" t="str">
        <f>IFERROR(__xludf.DUMMYFUNCTION("""COMPUTED_VALUE"""),"22f3001318@ds.study.iitm.ac.in")</f>
        <v>22f3001318@ds.study.iitm.ac.in</v>
      </c>
      <c r="K455" s="3" t="str">
        <f t="shared" si="1"/>
        <v>22f3001318@ds.study.iitm.ac.inhttps://github.com/AbayNandhiga-iitm/tokyo-github-users</v>
      </c>
      <c r="L455" s="3" t="str">
        <f t="shared" si="2"/>
        <v>22f3001318@ds.study.iitm.ac.inhttps://github.com/kashishbansal920/Project-TDS</v>
      </c>
    </row>
    <row r="456">
      <c r="A456" s="3">
        <f>IFERROR(__xludf.DUMMYFUNCTION("""COMPUTED_VALUE"""),45604.08608453703)</f>
        <v>45604.08608</v>
      </c>
      <c r="B456" s="5" t="str">
        <f>IFERROR(__xludf.DUMMYFUNCTION("""COMPUTED_VALUE"""),"https://github.com/22f2000894/tds-project-1")</f>
        <v>https://github.com/22f2000894/tds-project-1</v>
      </c>
      <c r="C456" s="3">
        <f>IFERROR(__xludf.DUMMYFUNCTION("""COMPUTED_VALUE"""),6.0)</f>
        <v>6</v>
      </c>
      <c r="D456" s="3">
        <f>IFERROR(__xludf.DUMMYFUNCTION("""COMPUTED_VALUE"""),7.0)</f>
        <v>7</v>
      </c>
      <c r="E456" s="3" t="str">
        <f>IFERROR(__xludf.DUMMYFUNCTION("""COMPUTED_VALUE"""),"For the first question, the findings say, 'feature a has weak positive correlation' with other but it does not tells the reader what it means, which makes it very boring to read and understand. 
For the second, the code for the scraping the data done usin"&amp;"g GraphQL which looks very clean for both the user and the repository datasets. 
Post that, the code for data analysis also looks neat and concise as per the questions that were present for the project analysis.  ")</f>
        <v>For the first question, the findings say, 'feature a has weak positive correlation' with other but it does not tells the reader what it means, which makes it very boring to read and understand. 
For the second, the code for the scraping the data done using GraphQL which looks very clean for both the user and the repository datasets. 
Post that, the code for data analysis also looks neat and concise as per the questions that were present for the project analysis.  </v>
      </c>
      <c r="F456" s="5" t="str">
        <f>IFERROR(__xludf.DUMMYFUNCTION("""COMPUTED_VALUE"""),"https://github.com/phanthomx/TDS_PROJECT")</f>
        <v>https://github.com/phanthomx/TDS_PROJECT</v>
      </c>
      <c r="G456" s="3">
        <f>IFERROR(__xludf.DUMMYFUNCTION("""COMPUTED_VALUE"""),8.0)</f>
        <v>8</v>
      </c>
      <c r="H456" s="3">
        <f>IFERROR(__xludf.DUMMYFUNCTION("""COMPUTED_VALUE"""),8.0)</f>
        <v>8</v>
      </c>
      <c r="I456" s="3" t="str">
        <f>IFERROR(__xludf.DUMMYFUNCTION("""COMPUTED_VALUE"""),"For the first part, there were additional user insights that were shared which made reading the made reading the repository fun and interesting. 
The code also looks clean and was segregated which makes it easy to follow along and understand what is happe"&amp;"ning. ")</f>
        <v>For the first part, there were additional user insights that were shared which made reading the made reading the repository fun and interesting. 
The code also looks clean and was segregated which makes it easy to follow along and understand what is happening. </v>
      </c>
      <c r="J456" s="3" t="str">
        <f>IFERROR(__xludf.DUMMYFUNCTION("""COMPUTED_VALUE"""),"22f2000902@ds.study.iitm.ac.in")</f>
        <v>22f2000902@ds.study.iitm.ac.in</v>
      </c>
      <c r="K456" s="3" t="str">
        <f t="shared" si="1"/>
        <v>22f2000902@ds.study.iitm.ac.inhttps://github.com/22f2000894/tds-project-1</v>
      </c>
      <c r="L456" s="3" t="str">
        <f t="shared" si="2"/>
        <v>22f2000902@ds.study.iitm.ac.inhttps://github.com/phanthomx/TDS_PROJECT</v>
      </c>
    </row>
    <row r="457">
      <c r="A457" s="3">
        <f>IFERROR(__xludf.DUMMYFUNCTION("""COMPUTED_VALUE"""),45604.08642681713)</f>
        <v>45604.08643</v>
      </c>
      <c r="B457" s="5" t="str">
        <f>IFERROR(__xludf.DUMMYFUNCTION("""COMPUTED_VALUE"""),"https://github.com/jeelan-ds786/ToolsForDataScience")</f>
        <v>https://github.com/jeelan-ds786/ToolsForDataScience</v>
      </c>
      <c r="C457" s="3">
        <f>IFERROR(__xludf.DUMMYFUNCTION("""COMPUTED_VALUE"""),7.0)</f>
        <v>7</v>
      </c>
      <c r="D457" s="3">
        <f>IFERROR(__xludf.DUMMYFUNCTION("""COMPUTED_VALUE"""),9.0)</f>
        <v>9</v>
      </c>
      <c r="E457" s="3" t="str">
        <f>IFERROR(__xludf.DUMMYFUNCTION("""COMPUTED_VALUE"""),"Got to know some things and different way to approach the question. ")</f>
        <v>Got to know some things and different way to approach the question. </v>
      </c>
      <c r="F457" s="5" t="str">
        <f>IFERROR(__xludf.DUMMYFUNCTION("""COMPUTED_VALUE"""),"https://github.com/abhinavsaxena277/Hyderabad-GitHub-Users")</f>
        <v>https://github.com/abhinavsaxena277/Hyderabad-GitHub-Users</v>
      </c>
      <c r="G457" s="3">
        <f>IFERROR(__xludf.DUMMYFUNCTION("""COMPUTED_VALUE"""),10.0)</f>
        <v>10</v>
      </c>
      <c r="H457" s="3">
        <f>IFERROR(__xludf.DUMMYFUNCTION("""COMPUTED_VALUE"""),10.0)</f>
        <v>10</v>
      </c>
      <c r="I457" s="3" t="str">
        <f>IFERROR(__xludf.DUMMYFUNCTION("""COMPUTED_VALUE"""),"code was crisp, easy to understand, recommendation is nice.")</f>
        <v>code was crisp, easy to understand, recommendation is nice.</v>
      </c>
      <c r="J457" s="3" t="str">
        <f>IFERROR(__xludf.DUMMYFUNCTION("""COMPUTED_VALUE"""),"21f1004163@ds.study.iitm.ac.in")</f>
        <v>21f1004163@ds.study.iitm.ac.in</v>
      </c>
      <c r="K457" s="3" t="str">
        <f t="shared" si="1"/>
        <v>21f1004163@ds.study.iitm.ac.inhttps://github.com/jeelan-ds786/ToolsForDataScience</v>
      </c>
      <c r="L457" s="3" t="str">
        <f t="shared" si="2"/>
        <v>21f1004163@ds.study.iitm.ac.inhttps://github.com/abhinavsaxena277/Hyderabad-GitHub-Users</v>
      </c>
    </row>
    <row r="458">
      <c r="A458" s="3">
        <f>IFERROR(__xludf.DUMMYFUNCTION("""COMPUTED_VALUE"""),45604.09128234954)</f>
        <v>45604.09128</v>
      </c>
      <c r="B458" s="5" t="str">
        <f>IFERROR(__xludf.DUMMYFUNCTION("""COMPUTED_VALUE"""),"https://github.com/anand-ballabh/TDS-Project-1")</f>
        <v>https://github.com/anand-ballabh/TDS-Project-1</v>
      </c>
      <c r="C458" s="3">
        <f>IFERROR(__xludf.DUMMYFUNCTION("""COMPUTED_VALUE"""),10.0)</f>
        <v>10</v>
      </c>
      <c r="D458" s="3">
        <f>IFERROR(__xludf.DUMMYFUNCTION("""COMPUTED_VALUE"""),10.0)</f>
        <v>10</v>
      </c>
      <c r="E458" s="3" t="str">
        <f>IFERROR(__xludf.DUMMYFUNCTION("""COMPUTED_VALUE"""),"Have given clear and elegant code for problems with suitable details in Readme module.")</f>
        <v>Have given clear and elegant code for problems with suitable details in Readme module.</v>
      </c>
      <c r="F458" s="5" t="str">
        <f>IFERROR(__xludf.DUMMYFUNCTION("""COMPUTED_VALUE"""),"https://github.com/adityach123/main")</f>
        <v>https://github.com/adityach123/main</v>
      </c>
      <c r="G458" s="3">
        <f>IFERROR(__xludf.DUMMYFUNCTION("""COMPUTED_VALUE"""),10.0)</f>
        <v>10</v>
      </c>
      <c r="H458" s="3">
        <f>IFERROR(__xludf.DUMMYFUNCTION("""COMPUTED_VALUE"""),10.0)</f>
        <v>10</v>
      </c>
      <c r="I458" s="3" t="str">
        <f>IFERROR(__xludf.DUMMYFUNCTION("""COMPUTED_VALUE"""),"Have given clear and elegant code for problems with suitable details in Readme module.")</f>
        <v>Have given clear and elegant code for problems with suitable details in Readme module.</v>
      </c>
      <c r="J458" s="3" t="str">
        <f>IFERROR(__xludf.DUMMYFUNCTION("""COMPUTED_VALUE"""),"21f2000047@ds.study.iitm.ac.in")</f>
        <v>21f2000047@ds.study.iitm.ac.in</v>
      </c>
      <c r="K458" s="3" t="str">
        <f t="shared" si="1"/>
        <v>21f2000047@ds.study.iitm.ac.inhttps://github.com/anand-ballabh/TDS-Project-1</v>
      </c>
      <c r="L458" s="3" t="str">
        <f t="shared" si="2"/>
        <v>21f2000047@ds.study.iitm.ac.inhttps://github.com/adityach123/main</v>
      </c>
    </row>
    <row r="459">
      <c r="A459" s="3">
        <f>IFERROR(__xludf.DUMMYFUNCTION("""COMPUTED_VALUE"""),45604.10070540509)</f>
        <v>45604.10071</v>
      </c>
      <c r="B459" s="5" t="str">
        <f>IFERROR(__xludf.DUMMYFUNCTION("""COMPUTED_VALUE"""),"https://github.com/Mimansa5227/project1")</f>
        <v>https://github.com/Mimansa5227/project1</v>
      </c>
      <c r="C459" s="3">
        <f>IFERROR(__xludf.DUMMYFUNCTION("""COMPUTED_VALUE"""),9.0)</f>
        <v>9</v>
      </c>
      <c r="D459" s="3">
        <f>IFERROR(__xludf.DUMMYFUNCTION("""COMPUTED_VALUE"""),8.0)</f>
        <v>8</v>
      </c>
      <c r="E459" s="3" t="str">
        <f>IFERROR(__xludf.DUMMYFUNCTION("""COMPUTED_VALUE"""),"As far as code is concerned, it was very clear and concise. But it doesn't consider the rate limiting of the API which could cause some problem if the threshold value of followers is reduced to say 10 which would give huge dataset and cause problem while "&amp;"retrieving repositories. So I've rated it 8.
Coming to the ""Surprising fact"", it was surprising that high follower count doesn't mean more public repositories. So I rated it 9.")</f>
        <v>As far as code is concerned, it was very clear and concise. But it doesn't consider the rate limiting of the API which could cause some problem if the threshold value of followers is reduced to say 10 which would give huge dataset and cause problem while retrieving repositories. So I've rated it 8.
Coming to the "Surprising fact", it was surprising that high follower count doesn't mean more public repositories. So I rated it 9.</v>
      </c>
      <c r="F459" s="5" t="str">
        <f>IFERROR(__xludf.DUMMYFUNCTION("""COMPUTED_VALUE"""),"https://github.com/Amrutkar-Kavya/TDS-Project1")</f>
        <v>https://github.com/Amrutkar-Kavya/TDS-Project1</v>
      </c>
      <c r="G459" s="3">
        <f>IFERROR(__xludf.DUMMYFUNCTION("""COMPUTED_VALUE"""),8.0)</f>
        <v>8</v>
      </c>
      <c r="H459" s="3">
        <f>IFERROR(__xludf.DUMMYFUNCTION("""COMPUTED_VALUE"""),10.0)</f>
        <v>10</v>
      </c>
      <c r="I459" s="3" t="str">
        <f>IFERROR(__xludf.DUMMYFUNCTION("""COMPUTED_VALUE"""),"Code was very elegant in every aspect so I rated it 10. 
The surprising fact was fairly surprising. So I rated it 8.")</f>
        <v>Code was very elegant in every aspect so I rated it 10. 
The surprising fact was fairly surprising. So I rated it 8.</v>
      </c>
      <c r="J459" s="3" t="str">
        <f>IFERROR(__xludf.DUMMYFUNCTION("""COMPUTED_VALUE"""),"23f3003567@ds.study.iitm.ac.in")</f>
        <v>23f3003567@ds.study.iitm.ac.in</v>
      </c>
      <c r="K459" s="3" t="str">
        <f t="shared" si="1"/>
        <v>23f3003567@ds.study.iitm.ac.inhttps://github.com/Mimansa5227/project1</v>
      </c>
      <c r="L459" s="3" t="str">
        <f t="shared" si="2"/>
        <v>23f3003567@ds.study.iitm.ac.inhttps://github.com/Amrutkar-Kavya/TDS-Project1</v>
      </c>
    </row>
    <row r="460">
      <c r="A460" s="3">
        <f>IFERROR(__xludf.DUMMYFUNCTION("""COMPUTED_VALUE"""),45604.14199883102)</f>
        <v>45604.142</v>
      </c>
      <c r="B460" s="5" t="str">
        <f>IFERROR(__xludf.DUMMYFUNCTION("""COMPUTED_VALUE"""),"https://github.com/21f1006103/tds-1")</f>
        <v>https://github.com/21f1006103/tds-1</v>
      </c>
      <c r="C460" s="3">
        <f>IFERROR(__xludf.DUMMYFUNCTION("""COMPUTED_VALUE"""),1.0)</f>
        <v>1</v>
      </c>
      <c r="D460" s="3">
        <f>IFERROR(__xludf.DUMMYFUNCTION("""COMPUTED_VALUE"""),0.0)</f>
        <v>0</v>
      </c>
      <c r="E460" s="3" t="str">
        <f>IFERROR(__xludf.DUMMYFUNCTION("""COMPUTED_VALUE"""),"There was a readme present but it didn't have any proper explanation about the repo, hence 1 mark is awarded.
There was no code file in the repo.")</f>
        <v>There was a readme present but it didn't have any proper explanation about the repo, hence 1 mark is awarded.
There was no code file in the repo.</v>
      </c>
      <c r="F460" s="5" t="str">
        <f>IFERROR(__xludf.DUMMYFUNCTION("""COMPUTED_VALUE"""),"https://github.com/akshat-shethia/TDS-Project-1-Akshat-Shethia")</f>
        <v>https://github.com/akshat-shethia/TDS-Project-1-Akshat-Shethia</v>
      </c>
      <c r="G460" s="3">
        <f>IFERROR(__xludf.DUMMYFUNCTION("""COMPUTED_VALUE"""),10.0)</f>
        <v>10</v>
      </c>
      <c r="H460" s="3">
        <f>IFERROR(__xludf.DUMMYFUNCTION("""COMPUTED_VALUE"""),10.0)</f>
        <v>10</v>
      </c>
      <c r="I460" s="3" t="str">
        <f>IFERROR(__xludf.DUMMYFUNCTION("""COMPUTED_VALUE"""),"The readme had 3 concise points with relevant information that was asked, the candidate also elaborated those points.
The code was quite clean and there were comments too for the code of each question explaining the steps.")</f>
        <v>The readme had 3 concise points with relevant information that was asked, the candidate also elaborated those points.
The code was quite clean and there were comments too for the code of each question explaining the steps.</v>
      </c>
      <c r="J460" s="3" t="str">
        <f>IFERROR(__xludf.DUMMYFUNCTION("""COMPUTED_VALUE"""),"23f2000887@ds.study.iitm.ac.in")</f>
        <v>23f2000887@ds.study.iitm.ac.in</v>
      </c>
      <c r="K460" s="3" t="str">
        <f t="shared" si="1"/>
        <v>23f2000887@ds.study.iitm.ac.inhttps://github.com/21f1006103/tds-1</v>
      </c>
      <c r="L460" s="3" t="str">
        <f t="shared" si="2"/>
        <v>23f2000887@ds.study.iitm.ac.inhttps://github.com/akshat-shethia/TDS-Project-1-Akshat-Shethia</v>
      </c>
    </row>
    <row r="461">
      <c r="A461" s="3">
        <f>IFERROR(__xludf.DUMMYFUNCTION("""COMPUTED_VALUE"""),45604.152411840274)</f>
        <v>45604.15241</v>
      </c>
      <c r="B461" s="5" t="str">
        <f>IFERROR(__xludf.DUMMYFUNCTION("""COMPUTED_VALUE"""),"https://github.com/rrawatt/Melbourne-100")</f>
        <v>https://github.com/rrawatt/Melbourne-100</v>
      </c>
      <c r="C461" s="3">
        <f>IFERROR(__xludf.DUMMYFUNCTION("""COMPUTED_VALUE"""),9.0)</f>
        <v>9</v>
      </c>
      <c r="D461" s="3">
        <f>IFERROR(__xludf.DUMMYFUNCTION("""COMPUTED_VALUE"""),9.0)</f>
        <v>9</v>
      </c>
      <c r="E461" s="3" t="str">
        <f>IFERROR(__xludf.DUMMYFUNCTION("""COMPUTED_VALUE"""),"Crisp and answered the questions directly")</f>
        <v>Crisp and answered the questions directly</v>
      </c>
      <c r="F461" s="5" t="str">
        <f>IFERROR(__xludf.DUMMYFUNCTION("""COMPUTED_VALUE"""),"https://github.com/yaqoob56/TDS_Project_1")</f>
        <v>https://github.com/yaqoob56/TDS_Project_1</v>
      </c>
      <c r="G461" s="3">
        <f>IFERROR(__xludf.DUMMYFUNCTION("""COMPUTED_VALUE"""),7.0)</f>
        <v>7</v>
      </c>
      <c r="H461" s="3">
        <f>IFERROR(__xludf.DUMMYFUNCTION("""COMPUTED_VALUE"""),7.0)</f>
        <v>7</v>
      </c>
      <c r="I461" s="3" t="str">
        <f>IFERROR(__xludf.DUMMYFUNCTION("""COMPUTED_VALUE"""),"Doesn't seem to have answered the right questions")</f>
        <v>Doesn't seem to have answered the right questions</v>
      </c>
      <c r="J461" s="3" t="str">
        <f>IFERROR(__xludf.DUMMYFUNCTION("""COMPUTED_VALUE"""),"21f2001512@ds.study.iitm.ac.in")</f>
        <v>21f2001512@ds.study.iitm.ac.in</v>
      </c>
      <c r="K461" s="3" t="str">
        <f t="shared" si="1"/>
        <v>21f2001512@ds.study.iitm.ac.inhttps://github.com/rrawatt/Melbourne-100</v>
      </c>
      <c r="L461" s="3" t="str">
        <f t="shared" si="2"/>
        <v>21f2001512@ds.study.iitm.ac.inhttps://github.com/yaqoob56/TDS_Project_1</v>
      </c>
    </row>
    <row r="462">
      <c r="A462" s="3">
        <f>IFERROR(__xludf.DUMMYFUNCTION("""COMPUTED_VALUE"""),45604.167746747684)</f>
        <v>45604.16775</v>
      </c>
      <c r="B462" s="5" t="str">
        <f>IFERROR(__xludf.DUMMYFUNCTION("""COMPUTED_VALUE"""),"https://github.com/Aravindh-18/Project1")</f>
        <v>https://github.com/Aravindh-18/Project1</v>
      </c>
      <c r="C462" s="3">
        <f>IFERROR(__xludf.DUMMYFUNCTION("""COMPUTED_VALUE"""),6.0)</f>
        <v>6</v>
      </c>
      <c r="D462" s="3">
        <f>IFERROR(__xludf.DUMMYFUNCTION("""COMPUTED_VALUE"""),9.0)</f>
        <v>9</v>
      </c>
      <c r="E462" s="3" t="str">
        <f>IFERROR(__xludf.DUMMYFUNCTION("""COMPUTED_VALUE"""),"The findings of this analysis on Hyderabad GitHub users were fairly basic and lacked particularly interesting insights.")</f>
        <v>The findings of this analysis on Hyderabad GitHub users were fairly basic and lacked particularly interesting insights.</v>
      </c>
      <c r="F462" s="5" t="str">
        <f>IFERROR(__xludf.DUMMYFUNCTION("""COMPUTED_VALUE"""),"https://github.com/Vanshika-tiwari98/Beijing-GitHub-Users")</f>
        <v>https://github.com/Vanshika-tiwari98/Beijing-GitHub-Users</v>
      </c>
      <c r="G462" s="3">
        <f>IFERROR(__xludf.DUMMYFUNCTION("""COMPUTED_VALUE"""),5.0)</f>
        <v>5</v>
      </c>
      <c r="H462" s="3">
        <f>IFERROR(__xludf.DUMMYFUNCTION("""COMPUTED_VALUE"""),7.0)</f>
        <v>7</v>
      </c>
      <c r="I462" s="3" t="str">
        <f>IFERROR(__xludf.DUMMYFUNCTION("""COMPUTED_VALUE"""),"The README for this analysis is somewhat unclear, and the findings were not particularly interesting or insightful, lacking basic explanations. 
The code provided lacked the analysis part, the necessary Pandas code to properly analyze the data.")</f>
        <v>The README for this analysis is somewhat unclear, and the findings were not particularly interesting or insightful, lacking basic explanations. 
The code provided lacked the analysis part, the necessary Pandas code to properly analyze the data.</v>
      </c>
      <c r="J462" s="3" t="str">
        <f>IFERROR(__xludf.DUMMYFUNCTION("""COMPUTED_VALUE"""),"23f1003030@ds.study.iitm.ac.in")</f>
        <v>23f1003030@ds.study.iitm.ac.in</v>
      </c>
      <c r="K462" s="3" t="str">
        <f t="shared" si="1"/>
        <v>23f1003030@ds.study.iitm.ac.inhttps://github.com/Aravindh-18/Project1</v>
      </c>
      <c r="L462" s="3" t="str">
        <f t="shared" si="2"/>
        <v>23f1003030@ds.study.iitm.ac.inhttps://github.com/Vanshika-tiwari98/Beijing-GitHub-Users</v>
      </c>
    </row>
    <row r="463">
      <c r="A463" s="3">
        <f>IFERROR(__xludf.DUMMYFUNCTION("""COMPUTED_VALUE"""),45604.17330738426)</f>
        <v>45604.17331</v>
      </c>
      <c r="B463" s="5" t="str">
        <f>IFERROR(__xludf.DUMMYFUNCTION("""COMPUTED_VALUE"""),"https://github.com/RachitGupta4102/TDS-project")</f>
        <v>https://github.com/RachitGupta4102/TDS-project</v>
      </c>
      <c r="C463" s="3">
        <f>IFERROR(__xludf.DUMMYFUNCTION("""COMPUTED_VALUE"""),0.0)</f>
        <v>0</v>
      </c>
      <c r="D463" s="3">
        <f>IFERROR(__xludf.DUMMYFUNCTION("""COMPUTED_VALUE"""),0.0)</f>
        <v>0</v>
      </c>
      <c r="E463" s="3" t="str">
        <f>IFERROR(__xludf.DUMMYFUNCTION("""COMPUTED_VALUE"""),"There is no code or findings(or any content) in Readme")</f>
        <v>There is no code or findings(or any content) in Readme</v>
      </c>
      <c r="F463" s="5" t="str">
        <f>IFERROR(__xludf.DUMMYFUNCTION("""COMPUTED_VALUE"""),"https://github.com/Lokith-sharan/GitHub-Scraper-Singapore")</f>
        <v>https://github.com/Lokith-sharan/GitHub-Scraper-Singapore</v>
      </c>
      <c r="G463" s="3">
        <f>IFERROR(__xludf.DUMMYFUNCTION("""COMPUTED_VALUE"""),10.0)</f>
        <v>10</v>
      </c>
      <c r="H463" s="3">
        <f>IFERROR(__xludf.DUMMYFUNCTION("""COMPUTED_VALUE"""),9.0)</f>
        <v>9</v>
      </c>
      <c r="I463" s="3" t="str">
        <f>IFERROR(__xludf.DUMMYFUNCTION("""COMPUTED_VALUE"""),"Proper well written code and also proper well explained findings in Readme")</f>
        <v>Proper well written code and also proper well explained findings in Readme</v>
      </c>
      <c r="J463" s="3" t="str">
        <f>IFERROR(__xludf.DUMMYFUNCTION("""COMPUTED_VALUE"""),"23f2001876@ds.study.iitm.ac.in")</f>
        <v>23f2001876@ds.study.iitm.ac.in</v>
      </c>
      <c r="K463" s="3" t="str">
        <f t="shared" si="1"/>
        <v>23f2001876@ds.study.iitm.ac.inhttps://github.com/RachitGupta4102/TDS-project</v>
      </c>
      <c r="L463" s="3" t="str">
        <f t="shared" si="2"/>
        <v>23f2001876@ds.study.iitm.ac.inhttps://github.com/Lokith-sharan/GitHub-Scraper-Singapore</v>
      </c>
    </row>
    <row r="464">
      <c r="A464" s="3">
        <f>IFERROR(__xludf.DUMMYFUNCTION("""COMPUTED_VALUE"""),45604.19037098379)</f>
        <v>45604.19037</v>
      </c>
      <c r="B464" s="5" t="str">
        <f>IFERROR(__xludf.DUMMYFUNCTION("""COMPUTED_VALUE"""),"https://github.com/Gaurangi2712/TDS_proj1")</f>
        <v>https://github.com/Gaurangi2712/TDS_proj1</v>
      </c>
      <c r="C464" s="3">
        <f>IFERROR(__xludf.DUMMYFUNCTION("""COMPUTED_VALUE"""),7.0)</f>
        <v>7</v>
      </c>
      <c r="D464" s="3">
        <f>IFERROR(__xludf.DUMMYFUNCTION("""COMPUTED_VALUE"""),8.0)</f>
        <v>8</v>
      </c>
      <c r="E464" s="3" t="str">
        <f>IFERROR(__xludf.DUMMYFUNCTION("""COMPUTED_VALUE"""),"Insights provided are general data analysis, he is missing the main important insight. Code is average looks almost same as most of the repos")</f>
        <v>Insights provided are general data analysis, he is missing the main important insight. Code is average looks almost same as most of the repos</v>
      </c>
      <c r="F464" s="5" t="str">
        <f>IFERROR(__xludf.DUMMYFUNCTION("""COMPUTED_VALUE"""),"https://github.com/Ankurnathsingh/TDS_P1_MELBOURNE100")</f>
        <v>https://github.com/Ankurnathsingh/TDS_P1_MELBOURNE100</v>
      </c>
      <c r="G464" s="3">
        <f>IFERROR(__xludf.DUMMYFUNCTION("""COMPUTED_VALUE"""),9.0)</f>
        <v>9</v>
      </c>
      <c r="H464" s="3">
        <f>IFERROR(__xludf.DUMMYFUNCTION("""COMPUTED_VALUE"""),8.0)</f>
        <v>8</v>
      </c>
      <c r="I464" s="3" t="str">
        <f>IFERROR(__xludf.DUMMYFUNCTION("""COMPUTED_VALUE"""),"Main insights are covered, scope of improvements are there in code , looks very generalized  ")</f>
        <v>Main insights are covered, scope of improvements are there in code , looks very generalized  </v>
      </c>
      <c r="J464" s="3" t="str">
        <f>IFERROR(__xludf.DUMMYFUNCTION("""COMPUTED_VALUE"""),"21f2000522@ds.study.iitm.ac.in")</f>
        <v>21f2000522@ds.study.iitm.ac.in</v>
      </c>
      <c r="K464" s="3" t="str">
        <f t="shared" si="1"/>
        <v>21f2000522@ds.study.iitm.ac.inhttps://github.com/Gaurangi2712/TDS_proj1</v>
      </c>
      <c r="L464" s="3" t="str">
        <f t="shared" si="2"/>
        <v>21f2000522@ds.study.iitm.ac.inhttps://github.com/Ankurnathsingh/TDS_P1_MELBOURNE100</v>
      </c>
    </row>
    <row r="465">
      <c r="A465" s="3">
        <f>IFERROR(__xludf.DUMMYFUNCTION("""COMPUTED_VALUE"""),45604.21096658565)</f>
        <v>45604.21097</v>
      </c>
      <c r="B465" s="5" t="str">
        <f>IFERROR(__xludf.DUMMYFUNCTION("""COMPUTED_VALUE"""),"https://github.com/23f2004839/TDS-Project-1")</f>
        <v>https://github.com/23f2004839/TDS-Project-1</v>
      </c>
      <c r="C465" s="3">
        <f>IFERROR(__xludf.DUMMYFUNCTION("""COMPUTED_VALUE"""),10.0)</f>
        <v>10</v>
      </c>
      <c r="D465" s="3">
        <f>IFERROR(__xludf.DUMMYFUNCTION("""COMPUTED_VALUE"""),7.0)</f>
        <v>7</v>
      </c>
      <c r="E465" s="3" t="str">
        <f>IFERROR(__xludf.DUMMYFUNCTION("""COMPUTED_VALUE"""),"The READFACT is cool but the pynb file only has scraping data and no analysing data")</f>
        <v>The READFACT is cool but the pynb file only has scraping data and no analysing data</v>
      </c>
      <c r="F465" s="5" t="str">
        <f>IFERROR(__xludf.DUMMYFUNCTION("""COMPUTED_VALUE"""),"https://github.com/MaharajaMoorthy/tds_project1")</f>
        <v>https://github.com/MaharajaMoorthy/tds_project1</v>
      </c>
      <c r="G465" s="3">
        <f>IFERROR(__xludf.DUMMYFUNCTION("""COMPUTED_VALUE"""),10.0)</f>
        <v>10</v>
      </c>
      <c r="H465" s="3">
        <f>IFERROR(__xludf.DUMMYFUNCTION("""COMPUTED_VALUE"""),10.0)</f>
        <v>10</v>
      </c>
      <c r="I465" s="3" t="str">
        <f>IFERROR(__xludf.DUMMYFUNCTION("""COMPUTED_VALUE"""),"The fact is awesome and the code is great as well")</f>
        <v>The fact is awesome and the code is great as well</v>
      </c>
      <c r="J465" s="3" t="str">
        <f>IFERROR(__xludf.DUMMYFUNCTION("""COMPUTED_VALUE"""),"21f1000601@ds.study.iitm.ac.in")</f>
        <v>21f1000601@ds.study.iitm.ac.in</v>
      </c>
      <c r="K465" s="3" t="str">
        <f t="shared" si="1"/>
        <v>21f1000601@ds.study.iitm.ac.inhttps://github.com/23f2004839/TDS-Project-1</v>
      </c>
      <c r="L465" s="3" t="str">
        <f t="shared" si="2"/>
        <v>21f1000601@ds.study.iitm.ac.inhttps://github.com/MaharajaMoorthy/tds_project1</v>
      </c>
    </row>
    <row r="466">
      <c r="A466" s="3">
        <f>IFERROR(__xludf.DUMMYFUNCTION("""COMPUTED_VALUE"""),45604.414150324075)</f>
        <v>45604.41415</v>
      </c>
      <c r="B466" s="5" t="str">
        <f>IFERROR(__xludf.DUMMYFUNCTION("""COMPUTED_VALUE"""),"https://github.com/22f3000803/tds-project-1")</f>
        <v>https://github.com/22f3000803/tds-project-1</v>
      </c>
      <c r="C466" s="3">
        <f>IFERROR(__xludf.DUMMYFUNCTION("""COMPUTED_VALUE"""),2.0)</f>
        <v>2</v>
      </c>
      <c r="D466" s="3">
        <f>IFERROR(__xludf.DUMMYFUNCTION("""COMPUTED_VALUE"""),2.0)</f>
        <v>2</v>
      </c>
      <c r="E466" s="3" t="str">
        <f>IFERROR(__xludf.DUMMYFUNCTION("""COMPUTED_VALUE"""),"Because it does not contain code")</f>
        <v>Because it does not contain code</v>
      </c>
      <c r="F466" s="5" t="str">
        <f>IFERROR(__xludf.DUMMYFUNCTION("""COMPUTED_VALUE"""),"https://github.com/jayandral/TDS_Project1")</f>
        <v>https://github.com/jayandral/TDS_Project1</v>
      </c>
      <c r="G466" s="3">
        <f>IFERROR(__xludf.DUMMYFUNCTION("""COMPUTED_VALUE"""),10.0)</f>
        <v>10</v>
      </c>
      <c r="H466" s="3">
        <f>IFERROR(__xludf.DUMMYFUNCTION("""COMPUTED_VALUE"""),10.0)</f>
        <v>10</v>
      </c>
      <c r="I466" s="3" t="str">
        <f>IFERROR(__xludf.DUMMYFUNCTION("""COMPUTED_VALUE"""),"It is clear and upto the point also the code is up to the mark")</f>
        <v>It is clear and upto the point also the code is up to the mark</v>
      </c>
      <c r="J466" s="3" t="str">
        <f>IFERROR(__xludf.DUMMYFUNCTION("""COMPUTED_VALUE"""),"22f3000966@ds.study.iitm.ac.in")</f>
        <v>22f3000966@ds.study.iitm.ac.in</v>
      </c>
      <c r="K466" s="3" t="str">
        <f t="shared" si="1"/>
        <v>22f3000966@ds.study.iitm.ac.inhttps://github.com/22f3000803/tds-project-1</v>
      </c>
      <c r="L466" s="3" t="str">
        <f t="shared" si="2"/>
        <v>22f3000966@ds.study.iitm.ac.inhttps://github.com/jayandral/TDS_Project1</v>
      </c>
    </row>
    <row r="467">
      <c r="A467" s="3">
        <f>IFERROR(__xludf.DUMMYFUNCTION("""COMPUTED_VALUE"""),45604.42702290509)</f>
        <v>45604.42702</v>
      </c>
      <c r="B467" s="5" t="str">
        <f>IFERROR(__xludf.DUMMYFUNCTION("""COMPUTED_VALUE"""),"https://github.com/SV-03/TDS-P1")</f>
        <v>https://github.com/SV-03/TDS-P1</v>
      </c>
      <c r="C467" s="3">
        <f>IFERROR(__xludf.DUMMYFUNCTION("""COMPUTED_VALUE"""),9.0)</f>
        <v>9</v>
      </c>
      <c r="D467" s="3">
        <f>IFERROR(__xludf.DUMMYFUNCTION("""COMPUTED_VALUE"""),7.0)</f>
        <v>7</v>
      </c>
      <c r="E467" s="3" t="str">
        <f>IFERROR(__xludf.DUMMYFUNCTION("""COMPUTED_VALUE"""),"With respect to the findings, people working for top tech companies have a good follower count as their work gets more popular with the brand they're using. Also, with respect to the recommendation, people should focus on repositories that could be used a"&amp;"s an open source with constant improvements from the developer community.
With respect to the code, pagination and sleep was used to fetch the data by avoiding rate limiting. Although the snippets for all the questions were present, they were not uploade"&amp;"d as one single python notebook. Individual .py files were uploaded for each question.")</f>
        <v>With respect to the findings, people working for top tech companies have a good follower count as their work gets more popular with the brand they're using. Also, with respect to the recommendation, people should focus on repositories that could be used as an open source with constant improvements from the developer community.
With respect to the code, pagination and sleep was used to fetch the data by avoiding rate limiting. Although the snippets for all the questions were present, they were not uploaded as one single python notebook. Individual .py files were uploaded for each question.</v>
      </c>
      <c r="F467" s="5" t="str">
        <f>IFERROR(__xludf.DUMMYFUNCTION("""COMPUTED_VALUE"""),"https://github.com/vath-21/tdsproject1")</f>
        <v>https://github.com/vath-21/tdsproject1</v>
      </c>
      <c r="G467" s="3">
        <f>IFERROR(__xludf.DUMMYFUNCTION("""COMPUTED_VALUE"""),5.0)</f>
        <v>5</v>
      </c>
      <c r="H467" s="3">
        <f>IFERROR(__xludf.DUMMYFUNCTION("""COMPUTED_VALUE"""),7.0)</f>
        <v>7</v>
      </c>
      <c r="I467" s="3" t="str">
        <f>IFERROR(__xludf.DUMMYFUNCTION("""COMPUTED_VALUE"""),"With respect to the findings, it was mentioned that HTML/CSS is not used in Stockholm despite it being the 2nd most popular language in the world, but I felt people have already drifted away from them long them all over the world. Also, on the 3rd point, "&amp;"its been said the developers should be working on JavaScript, Python, Go … to effectively use their strengths, but the developers out there are already using them based on the top ranking. Also, the readme did not mention how the data was fetched within t"&amp;"he token limit.
With respect to the code, it was very well properly organized and written, although it did not have a snippet for how the data was retrieved (Maybe there'd be an alternate way).")</f>
        <v>With respect to the findings, it was mentioned that HTML/CSS is not used in Stockholm despite it being the 2nd most popular language in the world, but I felt people have already drifted away from them long them all over the world. Also, on the 3rd point, its been said the developers should be working on JavaScript, Python, Go … to effectively use their strengths, but the developers out there are already using them based on the top ranking. Also, the readme did not mention how the data was fetched within the token limit.
With respect to the code, it was very well properly organized and written, although it did not have a snippet for how the data was retrieved (Maybe there'd be an alternate way).</v>
      </c>
      <c r="J467" s="3" t="str">
        <f>IFERROR(__xludf.DUMMYFUNCTION("""COMPUTED_VALUE"""),"21f1004349@ds.study.iitm.ac.in")</f>
        <v>21f1004349@ds.study.iitm.ac.in</v>
      </c>
      <c r="K467" s="3" t="str">
        <f t="shared" si="1"/>
        <v>21f1004349@ds.study.iitm.ac.inhttps://github.com/SV-03/TDS-P1</v>
      </c>
      <c r="L467" s="3" t="str">
        <f t="shared" si="2"/>
        <v>21f1004349@ds.study.iitm.ac.inhttps://github.com/vath-21/tdsproject1</v>
      </c>
    </row>
    <row r="468">
      <c r="A468" s="3">
        <f>IFERROR(__xludf.DUMMYFUNCTION("""COMPUTED_VALUE"""),45604.44657503472)</f>
        <v>45604.44658</v>
      </c>
      <c r="B468" s="5" t="str">
        <f>IFERROR(__xludf.DUMMYFUNCTION("""COMPUTED_VALUE"""),"https://github.com/Kirthictrl/TDS-Project-1")</f>
        <v>https://github.com/Kirthictrl/TDS-Project-1</v>
      </c>
      <c r="C468" s="3">
        <f>IFERROR(__xludf.DUMMYFUNCTION("""COMPUTED_VALUE"""),6.0)</f>
        <v>6</v>
      </c>
      <c r="D468" s="3">
        <f>IFERROR(__xludf.DUMMYFUNCTION("""COMPUTED_VALUE"""),0.0)</f>
        <v>0</v>
      </c>
      <c r="E468" s="3" t="str">
        <f>IFERROR(__xludf.DUMMYFUNCTION("""COMPUTED_VALUE"""),"Read me contains interesting facts and actionable for developer
Readme have very high level content. Does not specify steps taken to fetch and process the data.
I could not find any code")</f>
        <v>Read me contains interesting facts and actionable for developer
Readme have very high level content. Does not specify steps taken to fetch and process the data.
I could not find any code</v>
      </c>
      <c r="F468" s="5" t="str">
        <f>IFERROR(__xludf.DUMMYFUNCTION("""COMPUTED_VALUE"""),"https://github.com/pushpa761/TDS-project-1")</f>
        <v>https://github.com/pushpa761/TDS-project-1</v>
      </c>
      <c r="G468" s="3">
        <f>IFERROR(__xludf.DUMMYFUNCTION("""COMPUTED_VALUE"""),8.0)</f>
        <v>8</v>
      </c>
      <c r="H468" s="3">
        <f>IFERROR(__xludf.DUMMYFUNCTION("""COMPUTED_VALUE"""),8.0)</f>
        <v>8</v>
      </c>
      <c r="I468" s="3" t="str">
        <f>IFERROR(__xludf.DUMMYFUNCTION("""COMPUTED_VALUE"""),"Read me contains interesting facts and actionable for developer
Readme have very high level content. Does not specify steps taken to fetch and process the data.
Code is quite clear and descriptive")</f>
        <v>Read me contains interesting facts and actionable for developer
Readme have very high level content. Does not specify steps taken to fetch and process the data.
Code is quite clear and descriptive</v>
      </c>
      <c r="J468" s="3" t="str">
        <f>IFERROR(__xludf.DUMMYFUNCTION("""COMPUTED_VALUE"""),"22f1001203@ds.study.iitm.ac.in")</f>
        <v>22f1001203@ds.study.iitm.ac.in</v>
      </c>
      <c r="K468" s="3" t="str">
        <f t="shared" si="1"/>
        <v>22f1001203@ds.study.iitm.ac.inhttps://github.com/Kirthictrl/TDS-Project-1</v>
      </c>
      <c r="L468" s="3" t="str">
        <f t="shared" si="2"/>
        <v>22f1001203@ds.study.iitm.ac.inhttps://github.com/pushpa761/TDS-project-1</v>
      </c>
    </row>
    <row r="469">
      <c r="A469" s="3">
        <f>IFERROR(__xludf.DUMMYFUNCTION("""COMPUTED_VALUE"""),45604.44949038194)</f>
        <v>45604.44949</v>
      </c>
      <c r="B469" s="5" t="str">
        <f>IFERROR(__xludf.DUMMYFUNCTION("""COMPUTED_VALUE"""),"https://github.com/Shiya-23/Project_-Stockholm")</f>
        <v>https://github.com/Shiya-23/Project_-Stockholm</v>
      </c>
      <c r="C469" s="3">
        <f>IFERROR(__xludf.DUMMYFUNCTION("""COMPUTED_VALUE"""),10.0)</f>
        <v>10</v>
      </c>
      <c r="D469" s="3">
        <f>IFERROR(__xludf.DUMMYFUNCTION("""COMPUTED_VALUE"""),10.0)</f>
        <v>10</v>
      </c>
      <c r="E469" s="3" t="str">
        <f>IFERROR(__xludf.DUMMYFUNCTION("""COMPUTED_VALUE"""),"Finding is clear and code is simple and understandable too")</f>
        <v>Finding is clear and code is simple and understandable too</v>
      </c>
      <c r="F469" s="5" t="str">
        <f>IFERROR(__xludf.DUMMYFUNCTION("""COMPUTED_VALUE"""),"https://github.com/RK-Codes-IITMBS/TDS-Project-1")</f>
        <v>https://github.com/RK-Codes-IITMBS/TDS-Project-1</v>
      </c>
      <c r="G469" s="3">
        <f>IFERROR(__xludf.DUMMYFUNCTION("""COMPUTED_VALUE"""),10.0)</f>
        <v>10</v>
      </c>
      <c r="H469" s="3">
        <f>IFERROR(__xludf.DUMMYFUNCTION("""COMPUTED_VALUE"""),10.0)</f>
        <v>10</v>
      </c>
      <c r="I469" s="3" t="str">
        <f>IFERROR(__xludf.DUMMYFUNCTION("""COMPUTED_VALUE"""),"Peer have understood question quite well and implemented in code very efficiently too")</f>
        <v>Peer have understood question quite well and implemented in code very efficiently too</v>
      </c>
      <c r="J469" s="3" t="str">
        <f>IFERROR(__xludf.DUMMYFUNCTION("""COMPUTED_VALUE"""),"21f3001496@ds.study.iitm.ac.in")</f>
        <v>21f3001496@ds.study.iitm.ac.in</v>
      </c>
      <c r="K469" s="3" t="str">
        <f t="shared" si="1"/>
        <v>21f3001496@ds.study.iitm.ac.inhttps://github.com/Shiya-23/Project_-Stockholm</v>
      </c>
      <c r="L469" s="3" t="str">
        <f t="shared" si="2"/>
        <v>21f3001496@ds.study.iitm.ac.inhttps://github.com/RK-Codes-IITMBS/TDS-Project-1</v>
      </c>
    </row>
    <row r="470">
      <c r="A470" s="3">
        <f>IFERROR(__xludf.DUMMYFUNCTION("""COMPUTED_VALUE"""),45604.459239131946)</f>
        <v>45604.45924</v>
      </c>
      <c r="B470" s="5" t="str">
        <f>IFERROR(__xludf.DUMMYFUNCTION("""COMPUTED_VALUE"""),"https://github.com/22f3000350/22f3000350-TDS-Project-1")</f>
        <v>https://github.com/22f3000350/22f3000350-TDS-Project-1</v>
      </c>
      <c r="C470" s="3">
        <f>IFERROR(__xludf.DUMMYFUNCTION("""COMPUTED_VALUE"""),10.0)</f>
        <v>10</v>
      </c>
      <c r="D470" s="3">
        <f>IFERROR(__xludf.DUMMYFUNCTION("""COMPUTED_VALUE"""),10.0)</f>
        <v>10</v>
      </c>
      <c r="E470" s="3" t="str">
        <f>IFERROR(__xludf.DUMMYFUNCTION("""COMPUTED_VALUE"""),"Great job with clear process details and insights.")</f>
        <v>Great job with clear process details and insights.</v>
      </c>
      <c r="F470" s="5" t="str">
        <f>IFERROR(__xludf.DUMMYFUNCTION("""COMPUTED_VALUE"""),"https://github.com/anupam-21f2000522/Mumbai-50")</f>
        <v>https://github.com/anupam-21f2000522/Mumbai-50</v>
      </c>
      <c r="G470" s="3">
        <f>IFERROR(__xludf.DUMMYFUNCTION("""COMPUTED_VALUE"""),8.0)</f>
        <v>8</v>
      </c>
      <c r="H470" s="3">
        <f>IFERROR(__xludf.DUMMYFUNCTION("""COMPUTED_VALUE"""),0.0)</f>
        <v>0</v>
      </c>
      <c r="I470" s="3" t="str">
        <f>IFERROR(__xludf.DUMMYFUNCTION("""COMPUTED_VALUE"""),"Clear data collection and insights, , but needs code samples for depth..
")</f>
        <v>Clear data collection and insights, , but needs code samples for depth..
</v>
      </c>
      <c r="J470" s="3" t="str">
        <f>IFERROR(__xludf.DUMMYFUNCTION("""COMPUTED_VALUE"""),"21f2000414@ds.study.iitm.ac.in")</f>
        <v>21f2000414@ds.study.iitm.ac.in</v>
      </c>
      <c r="K470" s="3" t="str">
        <f t="shared" si="1"/>
        <v>21f2000414@ds.study.iitm.ac.inhttps://github.com/22f3000350/22f3000350-TDS-Project-1</v>
      </c>
      <c r="L470" s="3" t="str">
        <f t="shared" si="2"/>
        <v>21f2000414@ds.study.iitm.ac.inhttps://github.com/anupam-21f2000522/Mumbai-50</v>
      </c>
    </row>
    <row r="471">
      <c r="A471" s="3">
        <f>IFERROR(__xludf.DUMMYFUNCTION("""COMPUTED_VALUE"""),45604.45870693287)</f>
        <v>45604.45871</v>
      </c>
      <c r="B471" s="5" t="str">
        <f>IFERROR(__xludf.DUMMYFUNCTION("""COMPUTED_VALUE"""),"https://github.com/23f1001535/Melbourne_100")</f>
        <v>https://github.com/23f1001535/Melbourne_100</v>
      </c>
      <c r="C471" s="3">
        <f>IFERROR(__xludf.DUMMYFUNCTION("""COMPUTED_VALUE"""),9.0)</f>
        <v>9</v>
      </c>
      <c r="D471" s="3">
        <f>IFERROR(__xludf.DUMMYFUNCTION("""COMPUTED_VALUE"""),0.0)</f>
        <v>0</v>
      </c>
      <c r="E471" s="3" t="str">
        <f>IFERROR(__xludf.DUMMYFUNCTION("""COMPUTED_VALUE"""),"no code file is uploaded so i gave him 0 ")</f>
        <v>no code file is uploaded so i gave him 0 </v>
      </c>
      <c r="F471" s="5" t="str">
        <f>IFERROR(__xludf.DUMMYFUNCTION("""COMPUTED_VALUE"""),"https://github.com/2utkarsh2/TDS_Project1")</f>
        <v>https://github.com/2utkarsh2/TDS_Project1</v>
      </c>
      <c r="G471" s="3">
        <f>IFERROR(__xludf.DUMMYFUNCTION("""COMPUTED_VALUE"""),10.0)</f>
        <v>10</v>
      </c>
      <c r="H471" s="3">
        <f>IFERROR(__xludf.DUMMYFUNCTION("""COMPUTED_VALUE"""),9.0)</f>
        <v>9</v>
      </c>
      <c r="I471" s="3" t="str">
        <f>IFERROR(__xludf.DUMMYFUNCTION("""COMPUTED_VALUE"""),"codes for the questions can be presented better in jupyter notebook where we can see output and we can reuse some parts of code.")</f>
        <v>codes for the questions can be presented better in jupyter notebook where we can see output and we can reuse some parts of code.</v>
      </c>
      <c r="J471" s="3" t="str">
        <f>IFERROR(__xludf.DUMMYFUNCTION("""COMPUTED_VALUE"""),"22f3000626@ds.study.iitm.ac.in")</f>
        <v>22f3000626@ds.study.iitm.ac.in</v>
      </c>
      <c r="K471" s="3" t="str">
        <f t="shared" si="1"/>
        <v>22f3000626@ds.study.iitm.ac.inhttps://github.com/23f1001535/Melbourne_100</v>
      </c>
      <c r="L471" s="3" t="str">
        <f t="shared" si="2"/>
        <v>22f3000626@ds.study.iitm.ac.inhttps://github.com/2utkarsh2/TDS_Project1</v>
      </c>
    </row>
    <row r="472">
      <c r="A472" s="3">
        <f>IFERROR(__xludf.DUMMYFUNCTION("""COMPUTED_VALUE"""),45604.45989081018)</f>
        <v>45604.45989</v>
      </c>
      <c r="B472" s="5" t="str">
        <f>IFERROR(__xludf.DUMMYFUNCTION("""COMPUTED_VALUE"""),"https://github.com/devansh-dotcom/tdsproject1-")</f>
        <v>https://github.com/devansh-dotcom/tdsproject1-</v>
      </c>
      <c r="C472" s="3">
        <f>IFERROR(__xludf.DUMMYFUNCTION("""COMPUTED_VALUE"""),10.0)</f>
        <v>10</v>
      </c>
      <c r="D472" s="3">
        <f>IFERROR(__xludf.DUMMYFUNCTION("""COMPUTED_VALUE"""),10.0)</f>
        <v>10</v>
      </c>
      <c r="E472" s="3" t="str">
        <f>IFERROR(__xludf.DUMMYFUNCTION("""COMPUTED_VALUE"""),"The readme file findings were quite intersting. You can also add other details about your project. 
Code was understandable due to presence of comments before each step.")</f>
        <v>The readme file findings were quite intersting. You can also add other details about your project. 
Code was understandable due to presence of comments before each step.</v>
      </c>
      <c r="F472" s="5" t="str">
        <f>IFERROR(__xludf.DUMMYFUNCTION("""COMPUTED_VALUE"""),"https://github.com/IITM-AnandK/AK-Project-Shanghai-200-Followers")</f>
        <v>https://github.com/IITM-AnandK/AK-Project-Shanghai-200-Followers</v>
      </c>
      <c r="G472" s="3">
        <f>IFERROR(__xludf.DUMMYFUNCTION("""COMPUTED_VALUE"""),10.0)</f>
        <v>10</v>
      </c>
      <c r="H472" s="3">
        <f>IFERROR(__xludf.DUMMYFUNCTION("""COMPUTED_VALUE"""),10.0)</f>
        <v>10</v>
      </c>
      <c r="I472" s="3" t="str">
        <f>IFERROR(__xludf.DUMMYFUNCTION("""COMPUTED_VALUE"""),"Insights were amazing.Just be conscious about the format of answer, you have to condense the entire findings within 50 words. 
Code was understandable  due to presence of comments before each step.")</f>
        <v>Insights were amazing.Just be conscious about the format of answer, you have to condense the entire findings within 50 words. 
Code was understandable  due to presence of comments before each step.</v>
      </c>
      <c r="J472" s="3" t="str">
        <f>IFERROR(__xludf.DUMMYFUNCTION("""COMPUTED_VALUE"""),"22f1001981@ds.study.iitm.ac.in")</f>
        <v>22f1001981@ds.study.iitm.ac.in</v>
      </c>
      <c r="K472" s="3" t="str">
        <f t="shared" si="1"/>
        <v>22f1001981@ds.study.iitm.ac.inhttps://github.com/devansh-dotcom/tdsproject1-</v>
      </c>
      <c r="L472" s="3" t="str">
        <f t="shared" si="2"/>
        <v>22f1001981@ds.study.iitm.ac.inhttps://github.com/IITM-AnandK/AK-Project-Shanghai-200-Followers</v>
      </c>
    </row>
    <row r="473">
      <c r="A473" s="3">
        <f>IFERROR(__xludf.DUMMYFUNCTION("""COMPUTED_VALUE"""),45604.478831099535)</f>
        <v>45604.47883</v>
      </c>
      <c r="B473" s="5" t="str">
        <f>IFERROR(__xludf.DUMMYFUNCTION("""COMPUTED_VALUE"""),"https://github.com/kuldeepchavda/tds_project_1")</f>
        <v>https://github.com/kuldeepchavda/tds_project_1</v>
      </c>
      <c r="C473" s="3">
        <f>IFERROR(__xludf.DUMMYFUNCTION("""COMPUTED_VALUE"""),6.0)</f>
        <v>6</v>
      </c>
      <c r="D473" s="3">
        <f>IFERROR(__xludf.DUMMYFUNCTION("""COMPUTED_VALUE"""),8.0)</f>
        <v>8</v>
      </c>
      <c r="E473" s="3" t="str">
        <f>IFERROR(__xludf.DUMMYFUNCTION("""COMPUTED_VALUE"""),"Code was good but the read me was generic ")</f>
        <v>Code was good but the read me was generic </v>
      </c>
      <c r="F473" s="5" t="str">
        <f>IFERROR(__xludf.DUMMYFUNCTION("""COMPUTED_VALUE"""),"https://github.com/shramadeepd/TDS_1")</f>
        <v>https://github.com/shramadeepd/TDS_1</v>
      </c>
      <c r="G473" s="3">
        <f>IFERROR(__xludf.DUMMYFUNCTION("""COMPUTED_VALUE"""),9.0)</f>
        <v>9</v>
      </c>
      <c r="H473" s="3">
        <f>IFERROR(__xludf.DUMMYFUNCTION("""COMPUTED_VALUE"""),9.0)</f>
        <v>9</v>
      </c>
      <c r="I473" s="3" t="str">
        <f>IFERROR(__xludf.DUMMYFUNCTION("""COMPUTED_VALUE"""),"Both read me and code are good")</f>
        <v>Both read me and code are good</v>
      </c>
      <c r="J473" s="3" t="str">
        <f>IFERROR(__xludf.DUMMYFUNCTION("""COMPUTED_VALUE"""),"23f3002624@ds.study.iitm.ac.in")</f>
        <v>23f3002624@ds.study.iitm.ac.in</v>
      </c>
      <c r="K473" s="3" t="str">
        <f t="shared" si="1"/>
        <v>23f3002624@ds.study.iitm.ac.inhttps://github.com/kuldeepchavda/tds_project_1</v>
      </c>
      <c r="L473" s="3" t="str">
        <f t="shared" si="2"/>
        <v>23f3002624@ds.study.iitm.ac.inhttps://github.com/shramadeepd/TDS_1</v>
      </c>
    </row>
    <row r="474">
      <c r="A474" s="3">
        <f>IFERROR(__xludf.DUMMYFUNCTION("""COMPUTED_VALUE"""),45604.4913565625)</f>
        <v>45604.49136</v>
      </c>
      <c r="B474" s="5" t="str">
        <f>IFERROR(__xludf.DUMMYFUNCTION("""COMPUTED_VALUE"""),"https://github.com/techshad/TDS-Project")</f>
        <v>https://github.com/techshad/TDS-Project</v>
      </c>
      <c r="C474" s="3">
        <f>IFERROR(__xludf.DUMMYFUNCTION("""COMPUTED_VALUE"""),10.0)</f>
        <v>10</v>
      </c>
      <c r="D474" s="3">
        <f>IFERROR(__xludf.DUMMYFUNCTION("""COMPUTED_VALUE"""),10.0)</f>
        <v>10</v>
      </c>
      <c r="E474" s="3" t="str">
        <f>IFERROR(__xludf.DUMMYFUNCTION("""COMPUTED_VALUE"""),"The readme file is crisp but has good findings. All three bullet points related to the readme file mentioned in the guidelines docs are present in this GitHub Repo. The code files are also very clean, and functions are structured in order, with comments m"&amp;"aking them readable.")</f>
        <v>The readme file is crisp but has good findings. All three bullet points related to the readme file mentioned in the guidelines docs are present in this GitHub Repo. The code files are also very clean, and functions are structured in order, with comments making them readable.</v>
      </c>
      <c r="F474" s="5" t="str">
        <f>IFERROR(__xludf.DUMMYFUNCTION("""COMPUTED_VALUE"""),"https://github.com/24f1002325-Jagan/Project-1")</f>
        <v>https://github.com/24f1002325-Jagan/Project-1</v>
      </c>
      <c r="G474" s="3">
        <f>IFERROR(__xludf.DUMMYFUNCTION("""COMPUTED_VALUE"""),9.0)</f>
        <v>9</v>
      </c>
      <c r="H474" s="3">
        <f>IFERROR(__xludf.DUMMYFUNCTION("""COMPUTED_VALUE"""),0.0)</f>
        <v>0</v>
      </c>
      <c r="I474" s="3" t="str">
        <f>IFERROR(__xludf.DUMMYFUNCTION("""COMPUTED_VALUE"""),"The readme file is crisp and has descent findings. All three bullet points related to readme file which were mentioned in the guidelines docs, are present in this GitHub Repo. The code files are missing.")</f>
        <v>The readme file is crisp and has descent findings. All three bullet points related to readme file which were mentioned in the guidelines docs, are present in this GitHub Repo. The code files are missing.</v>
      </c>
      <c r="J474" s="3" t="str">
        <f>IFERROR(__xludf.DUMMYFUNCTION("""COMPUTED_VALUE"""),"21f3000700@ds.study.iitm.ac.in")</f>
        <v>21f3000700@ds.study.iitm.ac.in</v>
      </c>
      <c r="K474" s="3" t="str">
        <f t="shared" si="1"/>
        <v>21f3000700@ds.study.iitm.ac.inhttps://github.com/techshad/TDS-Project</v>
      </c>
      <c r="L474" s="3" t="str">
        <f t="shared" si="2"/>
        <v>21f3000700@ds.study.iitm.ac.inhttps://github.com/24f1002325-Jagan/Project-1</v>
      </c>
    </row>
    <row r="475">
      <c r="A475" s="3">
        <f>IFERROR(__xludf.DUMMYFUNCTION("""COMPUTED_VALUE"""),45604.5053312963)</f>
        <v>45604.50533</v>
      </c>
      <c r="B475" s="5" t="str">
        <f>IFERROR(__xludf.DUMMYFUNCTION("""COMPUTED_VALUE"""),"https://github.com/IITMSAPNA/Sapna_tds_proj_1")</f>
        <v>https://github.com/IITMSAPNA/Sapna_tds_proj_1</v>
      </c>
      <c r="C475" s="3">
        <f>IFERROR(__xludf.DUMMYFUNCTION("""COMPUTED_VALUE"""),9.0)</f>
        <v>9</v>
      </c>
      <c r="D475" s="3">
        <f>IFERROR(__xludf.DUMMYFUNCTION("""COMPUTED_VALUE"""),9.0)</f>
        <v>9</v>
      </c>
      <c r="E475" s="3" t="str">
        <f>IFERROR(__xludf.DUMMYFUNCTION("""COMPUTED_VALUE"""),"The readme.md file had precise points and code was neat and well written with procedural approach.")</f>
        <v>The readme.md file had precise points and code was neat and well written with procedural approach.</v>
      </c>
      <c r="F475" s="5" t="str">
        <f>IFERROR(__xludf.DUMMYFUNCTION("""COMPUTED_VALUE"""),"https://github.com/vazemon/TDS_Project1")</f>
        <v>https://github.com/vazemon/TDS_Project1</v>
      </c>
      <c r="G475" s="3">
        <f>IFERROR(__xludf.DUMMYFUNCTION("""COMPUTED_VALUE"""),8.0)</f>
        <v>8</v>
      </c>
      <c r="H475" s="3">
        <f>IFERROR(__xludf.DUMMYFUNCTION("""COMPUTED_VALUE"""),9.0)</f>
        <v>9</v>
      </c>
      <c r="I475" s="3" t="str">
        <f>IFERROR(__xludf.DUMMYFUNCTION("""COMPUTED_VALUE"""),"Readme.md was precise, although could have added more. Code was clean and functional approach had bee  employed making it easy to understand.")</f>
        <v>Readme.md was precise, although could have added more. Code was clean and functional approach had bee  employed making it easy to understand.</v>
      </c>
      <c r="J475" s="3" t="str">
        <f>IFERROR(__xludf.DUMMYFUNCTION("""COMPUTED_VALUE"""),"22f1001807@ds.study.iitm.ac.in")</f>
        <v>22f1001807@ds.study.iitm.ac.in</v>
      </c>
      <c r="K475" s="3" t="str">
        <f t="shared" si="1"/>
        <v>22f1001807@ds.study.iitm.ac.inhttps://github.com/IITMSAPNA/Sapna_tds_proj_1</v>
      </c>
      <c r="L475" s="3" t="str">
        <f t="shared" si="2"/>
        <v>22f1001807@ds.study.iitm.ac.inhttps://github.com/vazemon/TDS_Project1</v>
      </c>
    </row>
    <row r="476">
      <c r="A476" s="3">
        <f>IFERROR(__xludf.DUMMYFUNCTION("""COMPUTED_VALUE"""),45604.50558373843)</f>
        <v>45604.50558</v>
      </c>
      <c r="B476" s="5" t="str">
        <f>IFERROR(__xludf.DUMMYFUNCTION("""COMPUTED_VALUE"""),"https://github.com/Akashkunwar/TDS-Project-1")</f>
        <v>https://github.com/Akashkunwar/TDS-Project-1</v>
      </c>
      <c r="C476" s="3">
        <f>IFERROR(__xludf.DUMMYFUNCTION("""COMPUTED_VALUE"""),0.0)</f>
        <v>0</v>
      </c>
      <c r="D476" s="3">
        <f>IFERROR(__xludf.DUMMYFUNCTION("""COMPUTED_VALUE"""),5.0)</f>
        <v>5</v>
      </c>
      <c r="E476" s="3" t="str">
        <f>IFERROR(__xludf.DUMMYFUNCTION("""COMPUTED_VALUE"""),"No README.md, .csv files are properly organized as per the requirements.")</f>
        <v>No README.md, .csv files are properly organized as per the requirements.</v>
      </c>
      <c r="F476" s="5" t="str">
        <f>IFERROR(__xludf.DUMMYFUNCTION("""COMPUTED_VALUE"""),"https://github.com/kthirumlaesh17/tdsproject-1")</f>
        <v>https://github.com/kthirumlaesh17/tdsproject-1</v>
      </c>
      <c r="G476" s="3">
        <f>IFERROR(__xludf.DUMMYFUNCTION("""COMPUTED_VALUE"""),10.0)</f>
        <v>10</v>
      </c>
      <c r="H476" s="3">
        <f>IFERROR(__xludf.DUMMYFUNCTION("""COMPUTED_VALUE"""),10.0)</f>
        <v>10</v>
      </c>
      <c r="I476" s="3" t="str">
        <f>IFERROR(__xludf.DUMMYFUNCTION("""COMPUTED_VALUE"""),"Great explanation of entire process in README.md, notebook codes are also perfect")</f>
        <v>Great explanation of entire process in README.md, notebook codes are also perfect</v>
      </c>
      <c r="J476" s="3" t="str">
        <f>IFERROR(__xludf.DUMMYFUNCTION("""COMPUTED_VALUE"""),"22f3002885@ds.study.iitm.ac.in")</f>
        <v>22f3002885@ds.study.iitm.ac.in</v>
      </c>
      <c r="K476" s="3" t="str">
        <f t="shared" si="1"/>
        <v>22f3002885@ds.study.iitm.ac.inhttps://github.com/Akashkunwar/TDS-Project-1</v>
      </c>
      <c r="L476" s="3" t="str">
        <f t="shared" si="2"/>
        <v>22f3002885@ds.study.iitm.ac.inhttps://github.com/kthirumlaesh17/tdsproject-1</v>
      </c>
    </row>
    <row r="477">
      <c r="A477" s="3">
        <f>IFERROR(__xludf.DUMMYFUNCTION("""COMPUTED_VALUE"""),45604.53101417824)</f>
        <v>45604.53101</v>
      </c>
      <c r="B477" s="5" t="str">
        <f>IFERROR(__xludf.DUMMYFUNCTION("""COMPUTED_VALUE"""),"https://github.com/Chitraksha-Sharma/Project_1_TDS")</f>
        <v>https://github.com/Chitraksha-Sharma/Project_1_TDS</v>
      </c>
      <c r="C477" s="3">
        <f>IFERROR(__xludf.DUMMYFUNCTION("""COMPUTED_VALUE"""),9.0)</f>
        <v>9</v>
      </c>
      <c r="D477" s="3">
        <f>IFERROR(__xludf.DUMMYFUNCTION("""COMPUTED_VALUE"""),0.0)</f>
        <v>0</v>
      </c>
      <c r="E477" s="3" t="str">
        <f>IFERROR(__xludf.DUMMYFUNCTION("""COMPUTED_VALUE"""),"Section 1; Data analysis - User has provided appropriate response to all the 3 questions on approach, interesting stats and developer recommendation. Section 2; Repo Code is unfortunately missing, and thus 0 for 2nd section :-(")</f>
        <v>Section 1; Data analysis - User has provided appropriate response to all the 3 questions on approach, interesting stats and developer recommendation. Section 2; Repo Code is unfortunately missing, and thus 0 for 2nd section :-(</v>
      </c>
      <c r="F477" s="5" t="str">
        <f>IFERROR(__xludf.DUMMYFUNCTION("""COMPUTED_VALUE"""),"https://github.com/AmanManiTiwari/Tools-In-Data-Science-Project-1")</f>
        <v>https://github.com/AmanManiTiwari/Tools-In-Data-Science-Project-1</v>
      </c>
      <c r="G477" s="3">
        <f>IFERROR(__xludf.DUMMYFUNCTION("""COMPUTED_VALUE"""),8.0)</f>
        <v>8</v>
      </c>
      <c r="H477" s="3">
        <f>IFERROR(__xludf.DUMMYFUNCTION("""COMPUTED_VALUE"""),10.0)</f>
        <v>10</v>
      </c>
      <c r="I477" s="3" t="str">
        <f>IFERROR(__xludf.DUMMYFUNCTION("""COMPUTED_VALUE"""),"All questions were answered. It would have helped to see more details though in section 1, beyond the obvious like ""Data collected using GitHub API"". For section 2, all code units available and elaborated well")</f>
        <v>All questions were answered. It would have helped to see more details though in section 1, beyond the obvious like "Data collected using GitHub API". For section 2, all code units available and elaborated well</v>
      </c>
      <c r="J477" s="3" t="str">
        <f>IFERROR(__xludf.DUMMYFUNCTION("""COMPUTED_VALUE"""),"22f3003031@ds.study.iitm.ac.in")</f>
        <v>22f3003031@ds.study.iitm.ac.in</v>
      </c>
      <c r="K477" s="3" t="str">
        <f t="shared" si="1"/>
        <v>22f3003031@ds.study.iitm.ac.inhttps://github.com/Chitraksha-Sharma/Project_1_TDS</v>
      </c>
      <c r="L477" s="3" t="str">
        <f t="shared" si="2"/>
        <v>22f3003031@ds.study.iitm.ac.inhttps://github.com/AmanManiTiwari/Tools-In-Data-Science-Project-1</v>
      </c>
    </row>
    <row r="478">
      <c r="A478" s="3">
        <f>IFERROR(__xludf.DUMMYFUNCTION("""COMPUTED_VALUE"""),45604.560507476854)</f>
        <v>45604.56051</v>
      </c>
      <c r="B478" s="5" t="str">
        <f>IFERROR(__xludf.DUMMYFUNCTION("""COMPUTED_VALUE"""),"https://github.com/adityalearnsdata/Project-1")</f>
        <v>https://github.com/adityalearnsdata/Project-1</v>
      </c>
      <c r="C478" s="3">
        <f>IFERROR(__xludf.DUMMYFUNCTION("""COMPUTED_VALUE"""),7.0)</f>
        <v>7</v>
      </c>
      <c r="D478" s="3">
        <f>IFERROR(__xludf.DUMMYFUNCTION("""COMPUTED_VALUE"""),10.0)</f>
        <v>10</v>
      </c>
      <c r="E478" s="3" t="str">
        <f>IFERROR(__xludf.DUMMYFUNCTION("""COMPUTED_VALUE"""),"The second point in Readme file did not seem to a fact which we get after analysing the data. Its a suggestion to developer based on coding experience, which is similar to point 3 requirement. The code is very clear and elegant")</f>
        <v>The second point in Readme file did not seem to a fact which we get after analysing the data. Its a suggestion to developer based on coding experience, which is similar to point 3 requirement. The code is very clear and elegant</v>
      </c>
      <c r="F478" s="5" t="str">
        <f>IFERROR(__xludf.DUMMYFUNCTION("""COMPUTED_VALUE"""),"https://github.com/UnfairFinish/TDS-Project-1")</f>
        <v>https://github.com/UnfairFinish/TDS-Project-1</v>
      </c>
      <c r="G478" s="3">
        <f>IFERROR(__xludf.DUMMYFUNCTION("""COMPUTED_VALUE"""),8.0)</f>
        <v>8</v>
      </c>
      <c r="H478" s="3">
        <f>IFERROR(__xludf.DUMMYFUNCTION("""COMPUTED_VALUE"""),10.0)</f>
        <v>10</v>
      </c>
      <c r="I478" s="3" t="str">
        <f>IFERROR(__xludf.DUMMYFUNCTION("""COMPUTED_VALUE"""),"The second point was an interesting fact, but the third one is what we already learned while doing the assignment as it was part of the question. If a new suggestion to developers were provided it would have been good.")</f>
        <v>The second point was an interesting fact, but the third one is what we already learned while doing the assignment as it was part of the question. If a new suggestion to developers were provided it would have been good.</v>
      </c>
      <c r="J478" s="3" t="str">
        <f>IFERROR(__xludf.DUMMYFUNCTION("""COMPUTED_VALUE"""),"21f1001182@ds.study.iitm.ac.in")</f>
        <v>21f1001182@ds.study.iitm.ac.in</v>
      </c>
      <c r="K478" s="3" t="str">
        <f t="shared" si="1"/>
        <v>21f1001182@ds.study.iitm.ac.inhttps://github.com/adityalearnsdata/Project-1</v>
      </c>
      <c r="L478" s="3" t="str">
        <f t="shared" si="2"/>
        <v>21f1001182@ds.study.iitm.ac.inhttps://github.com/UnfairFinish/TDS-Project-1</v>
      </c>
    </row>
    <row r="479">
      <c r="A479" s="3">
        <f>IFERROR(__xludf.DUMMYFUNCTION("""COMPUTED_VALUE"""),45604.56052997685)</f>
        <v>45604.56053</v>
      </c>
      <c r="B479" s="5" t="str">
        <f>IFERROR(__xludf.DUMMYFUNCTION("""COMPUTED_VALUE"""),"https://github.com/Amarks14/TDS_P1")</f>
        <v>https://github.com/Amarks14/TDS_P1</v>
      </c>
      <c r="C479" s="3">
        <f>IFERROR(__xludf.DUMMYFUNCTION("""COMPUTED_VALUE"""),10.0)</f>
        <v>10</v>
      </c>
      <c r="D479" s="3">
        <f>IFERROR(__xludf.DUMMYFUNCTION("""COMPUTED_VALUE"""),8.0)</f>
        <v>8</v>
      </c>
      <c r="E479" s="3" t="str">
        <f>IFERROR(__xludf.DUMMYFUNCTION("""COMPUTED_VALUE"""),"The Readme file stated interesting findings, and 8 for code as their were no answers for few questions mentioned.")</f>
        <v>The Readme file stated interesting findings, and 8 for code as their were no answers for few questions mentioned.</v>
      </c>
      <c r="F479" s="5" t="str">
        <f>IFERROR(__xludf.DUMMYFUNCTION("""COMPUTED_VALUE"""),"https://github.com/irabi111/TDSPROJ1")</f>
        <v>https://github.com/irabi111/TDSPROJ1</v>
      </c>
      <c r="G479" s="3">
        <f>IFERROR(__xludf.DUMMYFUNCTION("""COMPUTED_VALUE"""),10.0)</f>
        <v>10</v>
      </c>
      <c r="H479" s="3">
        <f>IFERROR(__xludf.DUMMYFUNCTION("""COMPUTED_VALUE"""),10.0)</f>
        <v>10</v>
      </c>
      <c r="I479" s="3" t="str">
        <f>IFERROR(__xludf.DUMMYFUNCTION("""COMPUTED_VALUE"""),"Readme file stated important findings, code also looked quite professional.")</f>
        <v>Readme file stated important findings, code also looked quite professional.</v>
      </c>
      <c r="J479" s="3" t="str">
        <f>IFERROR(__xludf.DUMMYFUNCTION("""COMPUTED_VALUE"""),"21f2000639@ds.study.iitm.ac.in")</f>
        <v>21f2000639@ds.study.iitm.ac.in</v>
      </c>
      <c r="K479" s="3" t="str">
        <f t="shared" si="1"/>
        <v>21f2000639@ds.study.iitm.ac.inhttps://github.com/Amarks14/TDS_P1</v>
      </c>
      <c r="L479" s="3" t="str">
        <f t="shared" si="2"/>
        <v>21f2000639@ds.study.iitm.ac.inhttps://github.com/irabi111/TDSPROJ1</v>
      </c>
    </row>
    <row r="480">
      <c r="A480" s="3">
        <f>IFERROR(__xludf.DUMMYFUNCTION("""COMPUTED_VALUE"""),45604.56293678241)</f>
        <v>45604.56294</v>
      </c>
      <c r="B480" s="5" t="str">
        <f>IFERROR(__xludf.DUMMYFUNCTION("""COMPUTED_VALUE"""),"https://github.com/tuxdna/tds-project1")</f>
        <v>https://github.com/tuxdna/tds-project1</v>
      </c>
      <c r="C480" s="3">
        <f>IFERROR(__xludf.DUMMYFUNCTION("""COMPUTED_VALUE"""),8.0)</f>
        <v>8</v>
      </c>
      <c r="D480" s="3">
        <f>IFERROR(__xludf.DUMMYFUNCTION("""COMPUTED_VALUE"""),7.0)</f>
        <v>7</v>
      </c>
      <c r="E480" s="3" t="str">
        <f>IFERROR(__xludf.DUMMYFUNCTION("""COMPUTED_VALUE"""),"README.md is well structured. Slightly thin in terms of details.
Code isn't formatted. It isn't written in a way that one can understand by just taking a glance. There are random commented out code blocks which should have been removed.")</f>
        <v>README.md is well structured. Slightly thin in terms of details.
Code isn't formatted. It isn't written in a way that one can understand by just taking a glance. There are random commented out code blocks which should have been removed.</v>
      </c>
      <c r="F480" s="5" t="str">
        <f>IFERROR(__xludf.DUMMYFUNCTION("""COMPUTED_VALUE"""),"https://github.com/regisprabha/TDS-Project1")</f>
        <v>https://github.com/regisprabha/TDS-Project1</v>
      </c>
      <c r="G480" s="3">
        <f>IFERROR(__xludf.DUMMYFUNCTION("""COMPUTED_VALUE"""),5.0)</f>
        <v>5</v>
      </c>
      <c r="H480" s="3">
        <f>IFERROR(__xludf.DUMMYFUNCTION("""COMPUTED_VALUE"""),8.0)</f>
        <v>8</v>
      </c>
      <c r="I480" s="3" t="str">
        <f>IFERROR(__xludf.DUMMYFUNCTION("""COMPUTED_VALUE"""),"README.md is ill formatted. No description of the project. Only does the bare minimum. The fact and recommendation points are duplicated and has lack of detailed insights.
Code is well structured, clear and elegant but leaves room for improvement. The stu"&amp;"dent needs to understand that AI generated code requires a slight post-processing. The API token is exposed.")</f>
        <v>README.md is ill formatted. No description of the project. Only does the bare minimum. The fact and recommendation points are duplicated and has lack of detailed insights.
Code is well structured, clear and elegant but leaves room for improvement. The student needs to understand that AI generated code requires a slight post-processing. The API token is exposed.</v>
      </c>
      <c r="J480" s="3" t="str">
        <f>IFERROR(__xludf.DUMMYFUNCTION("""COMPUTED_VALUE"""),"22f3002354@ds.study.iitm.ac.in")</f>
        <v>22f3002354@ds.study.iitm.ac.in</v>
      </c>
      <c r="K480" s="3" t="str">
        <f t="shared" si="1"/>
        <v>22f3002354@ds.study.iitm.ac.inhttps://github.com/tuxdna/tds-project1</v>
      </c>
      <c r="L480" s="3" t="str">
        <f t="shared" si="2"/>
        <v>22f3002354@ds.study.iitm.ac.inhttps://github.com/regisprabha/TDS-Project1</v>
      </c>
    </row>
    <row r="481">
      <c r="A481" s="3">
        <f>IFERROR(__xludf.DUMMYFUNCTION("""COMPUTED_VALUE"""),45604.56508833333)</f>
        <v>45604.56509</v>
      </c>
      <c r="B481" s="5" t="str">
        <f>IFERROR(__xludf.DUMMYFUNCTION("""COMPUTED_VALUE"""),"https://github.com/AswinBala007/IITM_TDS_PROJECT1")</f>
        <v>https://github.com/AswinBala007/IITM_TDS_PROJECT1</v>
      </c>
      <c r="C481" s="3">
        <f>IFERROR(__xludf.DUMMYFUNCTION("""COMPUTED_VALUE"""),7.0)</f>
        <v>7</v>
      </c>
      <c r="D481" s="3">
        <f>IFERROR(__xludf.DUMMYFUNCTION("""COMPUTED_VALUE"""),8.0)</f>
        <v>8</v>
      </c>
      <c r="E481" s="3" t="str">
        <f>IFERROR(__xludf.DUMMYFUNCTION("""COMPUTED_VALUE"""),"Based on the above instructions given.")</f>
        <v>Based on the above instructions given.</v>
      </c>
      <c r="F481" s="5" t="str">
        <f>IFERROR(__xludf.DUMMYFUNCTION("""COMPUTED_VALUE"""),"https://github.com/Imranrasheedpm/tds_proj_1")</f>
        <v>https://github.com/Imranrasheedpm/tds_proj_1</v>
      </c>
      <c r="G481" s="3">
        <f>IFERROR(__xludf.DUMMYFUNCTION("""COMPUTED_VALUE"""),6.0)</f>
        <v>6</v>
      </c>
      <c r="H481" s="3">
        <f>IFERROR(__xludf.DUMMYFUNCTION("""COMPUTED_VALUE"""),0.0)</f>
        <v>0</v>
      </c>
      <c r="I481" s="3" t="str">
        <f>IFERROR(__xludf.DUMMYFUNCTION("""COMPUTED_VALUE"""),"Based on the above instructions given.")</f>
        <v>Based on the above instructions given.</v>
      </c>
      <c r="J481" s="3" t="str">
        <f>IFERROR(__xludf.DUMMYFUNCTION("""COMPUTED_VALUE"""),"22f1001834@ds.study.iitm.ac.in")</f>
        <v>22f1001834@ds.study.iitm.ac.in</v>
      </c>
      <c r="K481" s="3" t="str">
        <f t="shared" si="1"/>
        <v>22f1001834@ds.study.iitm.ac.inhttps://github.com/AswinBala007/IITM_TDS_PROJECT1</v>
      </c>
      <c r="L481" s="3" t="str">
        <f t="shared" si="2"/>
        <v>22f1001834@ds.study.iitm.ac.inhttps://github.com/Imranrasheedpm/tds_proj_1</v>
      </c>
    </row>
    <row r="482">
      <c r="A482" s="3">
        <f>IFERROR(__xludf.DUMMYFUNCTION("""COMPUTED_VALUE"""),45604.574228784724)</f>
        <v>45604.57423</v>
      </c>
      <c r="B482" s="5" t="str">
        <f>IFERROR(__xludf.DUMMYFUNCTION("""COMPUTED_VALUE"""),"https://github.com/Saravanan1508/IITM_TDS_Project_1")</f>
        <v>https://github.com/Saravanan1508/IITM_TDS_Project_1</v>
      </c>
      <c r="C482" s="3">
        <f>IFERROR(__xludf.DUMMYFUNCTION("""COMPUTED_VALUE"""),8.0)</f>
        <v>8</v>
      </c>
      <c r="D482" s="3">
        <f>IFERROR(__xludf.DUMMYFUNCTION("""COMPUTED_VALUE"""),9.0)</f>
        <v>9</v>
      </c>
      <c r="E482" s="3" t="str">
        <f>IFERROR(__xludf.DUMMYFUNCTION("""COMPUTED_VALUE"""),"It was good, and i liked it so i gave this rating")</f>
        <v>It was good, and i liked it so i gave this rating</v>
      </c>
      <c r="F482" s="5" t="str">
        <f>IFERROR(__xludf.DUMMYFUNCTION("""COMPUTED_VALUE"""),"https://github.com/23f2003488/dublin_users")</f>
        <v>https://github.com/23f2003488/dublin_users</v>
      </c>
      <c r="G482" s="3">
        <f>IFERROR(__xludf.DUMMYFUNCTION("""COMPUTED_VALUE"""),7.0)</f>
        <v>7</v>
      </c>
      <c r="H482" s="3">
        <f>IFERROR(__xludf.DUMMYFUNCTION("""COMPUTED_VALUE"""),8.0)</f>
        <v>8</v>
      </c>
      <c r="I482" s="3" t="str">
        <f>IFERROR(__xludf.DUMMYFUNCTION("""COMPUTED_VALUE"""),"well, what can i say. i liked it and im giving it.")</f>
        <v>well, what can i say. i liked it and im giving it.</v>
      </c>
      <c r="J482" s="3" t="str">
        <f>IFERROR(__xludf.DUMMYFUNCTION("""COMPUTED_VALUE"""),"21f3001666@ds.study.iitm.ac.in")</f>
        <v>21f3001666@ds.study.iitm.ac.in</v>
      </c>
      <c r="K482" s="3" t="str">
        <f t="shared" si="1"/>
        <v>21f3001666@ds.study.iitm.ac.inhttps://github.com/Saravanan1508/IITM_TDS_Project_1</v>
      </c>
      <c r="L482" s="3" t="str">
        <f t="shared" si="2"/>
        <v>21f3001666@ds.study.iitm.ac.inhttps://github.com/23f2003488/dublin_users</v>
      </c>
    </row>
    <row r="483">
      <c r="A483" s="3">
        <f>IFERROR(__xludf.DUMMYFUNCTION("""COMPUTED_VALUE"""),45604.5750959838)</f>
        <v>45604.5751</v>
      </c>
      <c r="B483" s="5" t="str">
        <f>IFERROR(__xludf.DUMMYFUNCTION("""COMPUTED_VALUE"""),"https://github.com/iitm-student/Project1")</f>
        <v>https://github.com/iitm-student/Project1</v>
      </c>
      <c r="C483" s="3">
        <f>IFERROR(__xludf.DUMMYFUNCTION("""COMPUTED_VALUE"""),5.0)</f>
        <v>5</v>
      </c>
      <c r="D483" s="3">
        <f>IFERROR(__xludf.DUMMYFUNCTION("""COMPUTED_VALUE"""),0.0)</f>
        <v>0</v>
      </c>
      <c r="E483" s="3" t="str">
        <f>IFERROR(__xludf.DUMMYFUNCTION("""COMPUTED_VALUE"""),"the code is not currently in the repository, and the README file only includes the project description without any detailed insights or bullet points.")</f>
        <v>the code is not currently in the repository, and the README file only includes the project description without any detailed insights or bullet points.</v>
      </c>
      <c r="F483" s="5" t="str">
        <f>IFERROR(__xludf.DUMMYFUNCTION("""COMPUTED_VALUE"""),"https://github.com/hamees-sayed/tds-project")</f>
        <v>https://github.com/hamees-sayed/tds-project</v>
      </c>
      <c r="G483" s="3">
        <f>IFERROR(__xludf.DUMMYFUNCTION("""COMPUTED_VALUE"""),10.0)</f>
        <v>10</v>
      </c>
      <c r="H483" s="3">
        <f>IFERROR(__xludf.DUMMYFUNCTION("""COMPUTED_VALUE"""),10.0)</f>
        <v>10</v>
      </c>
      <c r="I483" s="3" t="str">
        <f>IFERROR(__xludf.DUMMYFUNCTION("""COMPUTED_VALUE""")," You've clearly put in the effort to master every detail, and it shows. Keep up this excellent performance, it's inspiring and shows that you're on the right track.")</f>
        <v> You've clearly put in the effort to master every detail, and it shows. Keep up this excellent performance, it's inspiring and shows that you're on the right track.</v>
      </c>
      <c r="J483" s="3" t="str">
        <f>IFERROR(__xludf.DUMMYFUNCTION("""COMPUTED_VALUE"""),"23f1001130@ds.study.iitm.ac.in")</f>
        <v>23f1001130@ds.study.iitm.ac.in</v>
      </c>
      <c r="K483" s="3" t="str">
        <f t="shared" si="1"/>
        <v>23f1001130@ds.study.iitm.ac.inhttps://github.com/iitm-student/Project1</v>
      </c>
      <c r="L483" s="3" t="str">
        <f t="shared" si="2"/>
        <v>23f1001130@ds.study.iitm.ac.inhttps://github.com/hamees-sayed/tds-project</v>
      </c>
    </row>
    <row r="484">
      <c r="A484" s="3">
        <f>IFERROR(__xludf.DUMMYFUNCTION("""COMPUTED_VALUE"""),45604.58530475694)</f>
        <v>45604.5853</v>
      </c>
      <c r="B484" s="5" t="str">
        <f>IFERROR(__xludf.DUMMYFUNCTION("""COMPUTED_VALUE"""),"https://github.com/PavanKumar-KN/TDS_Project_1")</f>
        <v>https://github.com/PavanKumar-KN/TDS_Project_1</v>
      </c>
      <c r="C484" s="3">
        <f>IFERROR(__xludf.DUMMYFUNCTION("""COMPUTED_VALUE"""),9.0)</f>
        <v>9</v>
      </c>
      <c r="D484" s="3">
        <f>IFERROR(__xludf.DUMMYFUNCTION("""COMPUTED_VALUE"""),9.0)</f>
        <v>9</v>
      </c>
      <c r="E484" s="3" t="str">
        <f>IFERROR(__xludf.DUMMYFUNCTION("""COMPUTED_VALUE"""),"I provided these ratings as the student has clearly mentioned about the interesting fact about the data in the README file and the webscraping code of the student is clear and concise to understand. I think the student did a fairly good job in the project"&amp;".")</f>
        <v>I provided these ratings as the student has clearly mentioned about the interesting fact about the data in the README file and the webscraping code of the student is clear and concise to understand. I think the student did a fairly good job in the project.</v>
      </c>
      <c r="F484" s="5" t="str">
        <f>IFERROR(__xludf.DUMMYFUNCTION("""COMPUTED_VALUE"""),"https://github.com/Praviniitm/Project_Moscow")</f>
        <v>https://github.com/Praviniitm/Project_Moscow</v>
      </c>
      <c r="G484" s="3">
        <f>IFERROR(__xludf.DUMMYFUNCTION("""COMPUTED_VALUE"""),10.0)</f>
        <v>10</v>
      </c>
      <c r="H484" s="3">
        <f>IFERROR(__xludf.DUMMYFUNCTION("""COMPUTED_VALUE"""),10.0)</f>
        <v>10</v>
      </c>
      <c r="I484" s="3" t="str">
        <f>IFERROR(__xludf.DUMMYFUNCTION("""COMPUTED_VALUE"""),"I provided these ratings as the student has found a great and fascinating insight on the data and the git scraping code is clear, concise and elegant to understand.")</f>
        <v>I provided these ratings as the student has found a great and fascinating insight on the data and the git scraping code is clear, concise and elegant to understand.</v>
      </c>
      <c r="J484" s="3" t="str">
        <f>IFERROR(__xludf.DUMMYFUNCTION("""COMPUTED_VALUE"""),"21f3002925@ds.study.iitm.ac.in")</f>
        <v>21f3002925@ds.study.iitm.ac.in</v>
      </c>
      <c r="K484" s="3" t="str">
        <f t="shared" si="1"/>
        <v>21f3002925@ds.study.iitm.ac.inhttps://github.com/PavanKumar-KN/TDS_Project_1</v>
      </c>
      <c r="L484" s="3" t="str">
        <f t="shared" si="2"/>
        <v>21f3002925@ds.study.iitm.ac.inhttps://github.com/Praviniitm/Project_Moscow</v>
      </c>
    </row>
    <row r="485">
      <c r="A485" s="3">
        <f>IFERROR(__xludf.DUMMYFUNCTION("""COMPUTED_VALUE"""),45604.59813025463)</f>
        <v>45604.59813</v>
      </c>
      <c r="B485" s="5" t="str">
        <f>IFERROR(__xludf.DUMMYFUNCTION("""COMPUTED_VALUE"""),"https://github.com/subhajit2001/TDSProject1")</f>
        <v>https://github.com/subhajit2001/TDSProject1</v>
      </c>
      <c r="C485" s="3">
        <f>IFERROR(__xludf.DUMMYFUNCTION("""COMPUTED_VALUE"""),9.0)</f>
        <v>9</v>
      </c>
      <c r="D485" s="3">
        <f>IFERROR(__xludf.DUMMYFUNCTION("""COMPUTED_VALUE"""),10.0)</f>
        <v>10</v>
      </c>
      <c r="E485" s="3" t="str">
        <f>IFERROR(__xludf.DUMMYFUNCTION("""COMPUTED_VALUE"""),"The code is great and well-structured, but when it comes to the README, it's good, though not very interesting")</f>
        <v>The code is great and well-structured, but when it comes to the README, it's good, though not very interesting</v>
      </c>
      <c r="F485" s="5" t="str">
        <f>IFERROR(__xludf.DUMMYFUNCTION("""COMPUTED_VALUE"""),"https://github.com/sunnykumardangi/TDS_project-1")</f>
        <v>https://github.com/sunnykumardangi/TDS_project-1</v>
      </c>
      <c r="G485" s="3">
        <f>IFERROR(__xludf.DUMMYFUNCTION("""COMPUTED_VALUE"""),0.0)</f>
        <v>0</v>
      </c>
      <c r="H485" s="3">
        <f>IFERROR(__xludf.DUMMYFUNCTION("""COMPUTED_VALUE"""),0.0)</f>
        <v>0</v>
      </c>
      <c r="I485" s="3" t="str">
        <f>IFERROR(__xludf.DUMMYFUNCTION("""COMPUTED_VALUE"""),"There is no code and readme also")</f>
        <v>There is no code and readme also</v>
      </c>
      <c r="J485" s="3" t="str">
        <f>IFERROR(__xludf.DUMMYFUNCTION("""COMPUTED_VALUE"""),"22f3002393@ds.study.iitm.ac.in")</f>
        <v>22f3002393@ds.study.iitm.ac.in</v>
      </c>
      <c r="K485" s="3" t="str">
        <f t="shared" si="1"/>
        <v>22f3002393@ds.study.iitm.ac.inhttps://github.com/subhajit2001/TDSProject1</v>
      </c>
      <c r="L485" s="3" t="str">
        <f t="shared" si="2"/>
        <v>22f3002393@ds.study.iitm.ac.inhttps://github.com/sunnykumardangi/TDS_project-1</v>
      </c>
    </row>
    <row r="486">
      <c r="A486" s="3">
        <f>IFERROR(__xludf.DUMMYFUNCTION("""COMPUTED_VALUE"""),45604.59945790509)</f>
        <v>45604.59946</v>
      </c>
      <c r="B486" s="5" t="str">
        <f>IFERROR(__xludf.DUMMYFUNCTION("""COMPUTED_VALUE"""),"https://github.com/0rajnishk/tds-p1")</f>
        <v>https://github.com/0rajnishk/tds-p1</v>
      </c>
      <c r="C486" s="3">
        <f>IFERROR(__xludf.DUMMYFUNCTION("""COMPUTED_VALUE"""),10.0)</f>
        <v>10</v>
      </c>
      <c r="D486" s="3">
        <f>IFERROR(__xludf.DUMMYFUNCTION("""COMPUTED_VALUE"""),10.0)</f>
        <v>10</v>
      </c>
      <c r="E486" s="3" t="str">
        <f>IFERROR(__xludf.DUMMYFUNCTION("""COMPUTED_VALUE"""),"Everything that is required is present .")</f>
        <v>Everything that is required is present .</v>
      </c>
      <c r="F486" s="5" t="str">
        <f>IFERROR(__xludf.DUMMYFUNCTION("""COMPUTED_VALUE"""),"https://github.com/Priyam4437/barcelona-github-scrape")</f>
        <v>https://github.com/Priyam4437/barcelona-github-scrape</v>
      </c>
      <c r="G486" s="3">
        <f>IFERROR(__xludf.DUMMYFUNCTION("""COMPUTED_VALUE"""),7.0)</f>
        <v>7</v>
      </c>
      <c r="H486" s="3">
        <f>IFERROR(__xludf.DUMMYFUNCTION("""COMPUTED_VALUE"""),10.0)</f>
        <v>10</v>
      </c>
      <c r="I486" s="3" t="str">
        <f>IFERROR(__xludf.DUMMYFUNCTION("""COMPUTED_VALUE"""),"Incomplete Readme file no finding  present  and Code is clear and present")</f>
        <v>Incomplete Readme file no finding  present  and Code is clear and present</v>
      </c>
      <c r="J486" s="3" t="str">
        <f>IFERROR(__xludf.DUMMYFUNCTION("""COMPUTED_VALUE"""),"23f2003080@ds.study.iitm.ac.in")</f>
        <v>23f2003080@ds.study.iitm.ac.in</v>
      </c>
      <c r="K486" s="3" t="str">
        <f t="shared" si="1"/>
        <v>23f2003080@ds.study.iitm.ac.inhttps://github.com/0rajnishk/tds-p1</v>
      </c>
      <c r="L486" s="3" t="str">
        <f t="shared" si="2"/>
        <v>23f2003080@ds.study.iitm.ac.inhttps://github.com/Priyam4437/barcelona-github-scrape</v>
      </c>
    </row>
    <row r="487">
      <c r="A487" s="3">
        <f>IFERROR(__xludf.DUMMYFUNCTION("""COMPUTED_VALUE"""),45604.60813388889)</f>
        <v>45604.60813</v>
      </c>
      <c r="B487" s="5" t="str">
        <f>IFERROR(__xludf.DUMMYFUNCTION("""COMPUTED_VALUE"""),"https://github.com/Hritik-Shyam-Gupta/TDS-Project1")</f>
        <v>https://github.com/Hritik-Shyam-Gupta/TDS-Project1</v>
      </c>
      <c r="C487" s="3">
        <f>IFERROR(__xludf.DUMMYFUNCTION("""COMPUTED_VALUE"""),9.0)</f>
        <v>9</v>
      </c>
      <c r="D487" s="3">
        <f>IFERROR(__xludf.DUMMYFUNCTION("""COMPUTED_VALUE"""),9.0)</f>
        <v>9</v>
      </c>
      <c r="E487" s="3" t="str">
        <f>IFERROR(__xludf.DUMMYFUNCTION("""COMPUTED_VALUE"""),"I have learned few interesting things from this github repo about the github users from Paris &amp; their programming habits")</f>
        <v>I have learned few interesting things from this github repo about the github users from Paris &amp; their programming habits</v>
      </c>
      <c r="F487" s="5" t="str">
        <f>IFERROR(__xludf.DUMMYFUNCTION("""COMPUTED_VALUE"""),"https://github.com/Nandhini-Ammaiappan/Project1")</f>
        <v>https://github.com/Nandhini-Ammaiappan/Project1</v>
      </c>
      <c r="G487" s="3">
        <f>IFERROR(__xludf.DUMMYFUNCTION("""COMPUTED_VALUE"""),6.0)</f>
        <v>6</v>
      </c>
      <c r="H487" s="3">
        <f>IFERROR(__xludf.DUMMYFUNCTION("""COMPUTED_VALUE"""),7.0)</f>
        <v>7</v>
      </c>
      <c r="I487" s="3" t="str">
        <f>IFERROR(__xludf.DUMMYFUNCTION("""COMPUTED_VALUE"""),"This repo list down clearly on how to find solutions to many interesting question about the github users from Zurich &amp; their programming patterns. ")</f>
        <v>This repo list down clearly on how to find solutions to many interesting question about the github users from Zurich &amp; their programming patterns. </v>
      </c>
      <c r="J487" s="3" t="str">
        <f>IFERROR(__xludf.DUMMYFUNCTION("""COMPUTED_VALUE"""),"21f3000753@ds.study.iitm.ac.in")</f>
        <v>21f3000753@ds.study.iitm.ac.in</v>
      </c>
      <c r="K487" s="3" t="str">
        <f t="shared" si="1"/>
        <v>21f3000753@ds.study.iitm.ac.inhttps://github.com/Hritik-Shyam-Gupta/TDS-Project1</v>
      </c>
      <c r="L487" s="3" t="str">
        <f t="shared" si="2"/>
        <v>21f3000753@ds.study.iitm.ac.inhttps://github.com/Nandhini-Ammaiappan/Project1</v>
      </c>
    </row>
    <row r="488">
      <c r="A488" s="3">
        <f>IFERROR(__xludf.DUMMYFUNCTION("""COMPUTED_VALUE"""),45604.61299042824)</f>
        <v>45604.61299</v>
      </c>
      <c r="B488" s="5" t="str">
        <f>IFERROR(__xludf.DUMMYFUNCTION("""COMPUTED_VALUE"""),"https://github.com/querulous-virgo/GitHubAPI/blob/main/users.csv")</f>
        <v>https://github.com/querulous-virgo/GitHubAPI/blob/main/users.csv</v>
      </c>
      <c r="C488" s="3">
        <f>IFERROR(__xludf.DUMMYFUNCTION("""COMPUTED_VALUE"""),10.0)</f>
        <v>10</v>
      </c>
      <c r="D488" s="3">
        <f>IFERROR(__xludf.DUMMYFUNCTION("""COMPUTED_VALUE"""),10.0)</f>
        <v>10</v>
      </c>
      <c r="E488" s="3" t="str">
        <f>IFERROR(__xludf.DUMMYFUNCTION("""COMPUTED_VALUE"""),"Good presentation in Readme. Also all necessary files are available. So it is quite good.")</f>
        <v>Good presentation in Readme. Also all necessary files are available. So it is quite good.</v>
      </c>
      <c r="F488" s="5" t="str">
        <f>IFERROR(__xludf.DUMMYFUNCTION("""COMPUTED_VALUE"""),"https://github.com/Ganesh002005/data_analysis_boostan")</f>
        <v>https://github.com/Ganesh002005/data_analysis_boostan</v>
      </c>
      <c r="G488" s="3">
        <f>IFERROR(__xludf.DUMMYFUNCTION("""COMPUTED_VALUE"""),10.0)</f>
        <v>10</v>
      </c>
      <c r="H488" s="3">
        <f>IFERROR(__xludf.DUMMYFUNCTION("""COMPUTED_VALUE"""),10.0)</f>
        <v>10</v>
      </c>
      <c r="I488" s="3" t="str">
        <f>IFERROR(__xludf.DUMMYFUNCTION("""COMPUTED_VALUE"""),"Good presentation in Readme. Also all necessary files are available. So it is quite good.")</f>
        <v>Good presentation in Readme. Also all necessary files are available. So it is quite good.</v>
      </c>
      <c r="J488" s="3" t="str">
        <f>IFERROR(__xludf.DUMMYFUNCTION("""COMPUTED_VALUE"""),"23f1000542@ds.study.iitm.ac.in")</f>
        <v>23f1000542@ds.study.iitm.ac.in</v>
      </c>
      <c r="K488" s="3" t="str">
        <f t="shared" si="1"/>
        <v>23f1000542@ds.study.iitm.ac.inhttps://github.com/querulous-virgo/GitHubAPI/blob/main/users.csv</v>
      </c>
      <c r="L488" s="3" t="str">
        <f t="shared" si="2"/>
        <v>23f1000542@ds.study.iitm.ac.inhttps://github.com/Ganesh002005/data_analysis_boostan</v>
      </c>
    </row>
    <row r="489">
      <c r="A489" s="3">
        <f>IFERROR(__xludf.DUMMYFUNCTION("""COMPUTED_VALUE"""),45604.6210537963)</f>
        <v>45604.62105</v>
      </c>
      <c r="B489" s="5" t="str">
        <f>IFERROR(__xludf.DUMMYFUNCTION("""COMPUTED_VALUE"""),"https://github.com/Keshav22f2001196/TDS-project1")</f>
        <v>https://github.com/Keshav22f2001196/TDS-project1</v>
      </c>
      <c r="C489" s="3">
        <f>IFERROR(__xludf.DUMMYFUNCTION("""COMPUTED_VALUE"""),8.0)</f>
        <v>8</v>
      </c>
      <c r="D489" s="3">
        <f>IFERROR(__xludf.DUMMYFUNCTION("""COMPUTED_VALUE"""),9.0)</f>
        <v>9</v>
      </c>
      <c r="E489" s="3" t="str">
        <f>IFERROR(__xludf.DUMMYFUNCTION("""COMPUTED_VALUE"""),"Good content in the read me and good code but readme not structured well.")</f>
        <v>Good content in the read me and good code but readme not structured well.</v>
      </c>
      <c r="F489" s="5" t="str">
        <f>IFERROR(__xludf.DUMMYFUNCTION("""COMPUTED_VALUE"""),"https://github.com/nitesh-Sharma-IITM/IITM_TDS")</f>
        <v>https://github.com/nitesh-Sharma-IITM/IITM_TDS</v>
      </c>
      <c r="G489" s="3">
        <f>IFERROR(__xludf.DUMMYFUNCTION("""COMPUTED_VALUE"""),10.0)</f>
        <v>10</v>
      </c>
      <c r="H489" s="3">
        <f>IFERROR(__xludf.DUMMYFUNCTION("""COMPUTED_VALUE"""),10.0)</f>
        <v>10</v>
      </c>
      <c r="I489" s="3" t="str">
        <f>IFERROR(__xludf.DUMMYFUNCTION("""COMPUTED_VALUE"""),"Very good and structured read me and let clear code ")</f>
        <v>Very good and structured read me and let clear code </v>
      </c>
      <c r="J489" s="3" t="str">
        <f>IFERROR(__xludf.DUMMYFUNCTION("""COMPUTED_VALUE"""),"22f2001264@ds.study.iitm.ac.in")</f>
        <v>22f2001264@ds.study.iitm.ac.in</v>
      </c>
      <c r="K489" s="3" t="str">
        <f t="shared" si="1"/>
        <v>22f2001264@ds.study.iitm.ac.inhttps://github.com/Keshav22f2001196/TDS-project1</v>
      </c>
      <c r="L489" s="3" t="str">
        <f t="shared" si="2"/>
        <v>22f2001264@ds.study.iitm.ac.inhttps://github.com/nitesh-Sharma-IITM/IITM_TDS</v>
      </c>
    </row>
    <row r="490">
      <c r="A490" s="3">
        <f>IFERROR(__xludf.DUMMYFUNCTION("""COMPUTED_VALUE"""),45604.64344818287)</f>
        <v>45604.64345</v>
      </c>
      <c r="B490" s="5" t="str">
        <f>IFERROR(__xludf.DUMMYFUNCTION("""COMPUTED_VALUE"""),"https://github.com/VishwasSaini2006/pro")</f>
        <v>https://github.com/VishwasSaini2006/pro</v>
      </c>
      <c r="C490" s="3">
        <f>IFERROR(__xludf.DUMMYFUNCTION("""COMPUTED_VALUE"""),10.0)</f>
        <v>10</v>
      </c>
      <c r="D490" s="3">
        <f>IFERROR(__xludf.DUMMYFUNCTION("""COMPUTED_VALUE"""),10.0)</f>
        <v>10</v>
      </c>
      <c r="E490" s="3" t="str">
        <f>IFERROR(__xludf.DUMMYFUNCTION("""COMPUTED_VALUE"""),"The readme and the code in both the document and code is pretty clear and well written.")</f>
        <v>The readme and the code in both the document and code is pretty clear and well written.</v>
      </c>
      <c r="F490" s="5" t="str">
        <f>IFERROR(__xludf.DUMMYFUNCTION("""COMPUTED_VALUE"""),"https://github.com/Amankumar0017/TDS-Project-1")</f>
        <v>https://github.com/Amankumar0017/TDS-Project-1</v>
      </c>
      <c r="G490" s="3">
        <f>IFERROR(__xludf.DUMMYFUNCTION("""COMPUTED_VALUE"""),10.0)</f>
        <v>10</v>
      </c>
      <c r="H490" s="3">
        <f>IFERROR(__xludf.DUMMYFUNCTION("""COMPUTED_VALUE"""),10.0)</f>
        <v>10</v>
      </c>
      <c r="I490" s="3" t="str">
        <f>IFERROR(__xludf.DUMMYFUNCTION("""COMPUTED_VALUE"""),"The readme and the code in both the document and code is pretty clear and well written.")</f>
        <v>The readme and the code in both the document and code is pretty clear and well written.</v>
      </c>
      <c r="J490" s="3" t="str">
        <f>IFERROR(__xludf.DUMMYFUNCTION("""COMPUTED_VALUE"""),"21f3000850@ds.study.iitm.ac.in")</f>
        <v>21f3000850@ds.study.iitm.ac.in</v>
      </c>
      <c r="K490" s="3" t="str">
        <f t="shared" si="1"/>
        <v>21f3000850@ds.study.iitm.ac.inhttps://github.com/VishwasSaini2006/pro</v>
      </c>
      <c r="L490" s="3" t="str">
        <f t="shared" si="2"/>
        <v>21f3000850@ds.study.iitm.ac.inhttps://github.com/Amankumar0017/TDS-Project-1</v>
      </c>
    </row>
    <row r="491">
      <c r="A491" s="3">
        <f>IFERROR(__xludf.DUMMYFUNCTION("""COMPUTED_VALUE"""),45604.6455353125)</f>
        <v>45604.64554</v>
      </c>
      <c r="B491" s="5" t="str">
        <f>IFERROR(__xludf.DUMMYFUNCTION("""COMPUTED_VALUE"""),"https://github.com/Akash7190/TDS-Project-1")</f>
        <v>https://github.com/Akash7190/TDS-Project-1</v>
      </c>
      <c r="C491" s="3">
        <f>IFERROR(__xludf.DUMMYFUNCTION("""COMPUTED_VALUE"""),9.0)</f>
        <v>9</v>
      </c>
      <c r="D491" s="3">
        <f>IFERROR(__xludf.DUMMYFUNCTION("""COMPUTED_VALUE"""),10.0)</f>
        <v>10</v>
      </c>
      <c r="E491" s="3" t="str">
        <f>IFERROR(__xludf.DUMMYFUNCTION("""COMPUTED_VALUE"""),"The code is very clear. I like it very much.")</f>
        <v>The code is very clear. I like it very much.</v>
      </c>
      <c r="F491" s="5" t="str">
        <f>IFERROR(__xludf.DUMMYFUNCTION("""COMPUTED_VALUE"""),"https://github.com/importAmmar/TDS-Project-1")</f>
        <v>https://github.com/importAmmar/TDS-Project-1</v>
      </c>
      <c r="G491" s="3">
        <f>IFERROR(__xludf.DUMMYFUNCTION("""COMPUTED_VALUE"""),10.0)</f>
        <v>10</v>
      </c>
      <c r="H491" s="3">
        <f>IFERROR(__xludf.DUMMYFUNCTION("""COMPUTED_VALUE"""),10.0)</f>
        <v>10</v>
      </c>
      <c r="I491" s="3" t="str">
        <f>IFERROR(__xludf.DUMMYFUNCTION("""COMPUTED_VALUE"""),"The code is very clear. I like it very much.")</f>
        <v>The code is very clear. I like it very much.</v>
      </c>
      <c r="J491" s="3" t="str">
        <f>IFERROR(__xludf.DUMMYFUNCTION("""COMPUTED_VALUE"""),"22f2000545@ds.study.iitm.ac.in")</f>
        <v>22f2000545@ds.study.iitm.ac.in</v>
      </c>
      <c r="K491" s="3" t="str">
        <f t="shared" si="1"/>
        <v>22f2000545@ds.study.iitm.ac.inhttps://github.com/Akash7190/TDS-Project-1</v>
      </c>
      <c r="L491" s="3" t="str">
        <f t="shared" si="2"/>
        <v>22f2000545@ds.study.iitm.ac.inhttps://github.com/importAmmar/TDS-Project-1</v>
      </c>
    </row>
    <row r="492">
      <c r="A492" s="3">
        <f>IFERROR(__xludf.DUMMYFUNCTION("""COMPUTED_VALUE"""),45604.665210983796)</f>
        <v>45604.66521</v>
      </c>
      <c r="B492" s="5" t="str">
        <f>IFERROR(__xludf.DUMMYFUNCTION("""COMPUTED_VALUE"""),"https://github.com/1yadavsid/tds-project-1")</f>
        <v>https://github.com/1yadavsid/tds-project-1</v>
      </c>
      <c r="C492" s="3">
        <f>IFERROR(__xludf.DUMMYFUNCTION("""COMPUTED_VALUE"""),7.0)</f>
        <v>7</v>
      </c>
      <c r="D492" s="3">
        <f>IFERROR(__xludf.DUMMYFUNCTION("""COMPUTED_VALUE"""),5.0)</f>
        <v>5</v>
      </c>
      <c r="E492" s="3" t="str">
        <f>IFERROR(__xludf.DUMMYFUNCTION("""COMPUTED_VALUE"""),"The README file provides a comprehensive high-level overview of key findings, and presents a well-structured and clear code organization, making it easy for users to navigate and understand the codebase.")</f>
        <v>The README file provides a comprehensive high-level overview of key findings, and presents a well-structured and clear code organization, making it easy for users to navigate and understand the codebase.</v>
      </c>
      <c r="F492" s="5" t="str">
        <f>IFERROR(__xludf.DUMMYFUNCTION("""COMPUTED_VALUE"""),"https://github.com/nemo0002/Tds_proj_1")</f>
        <v>https://github.com/nemo0002/Tds_proj_1</v>
      </c>
      <c r="G492" s="3">
        <f>IFERROR(__xludf.DUMMYFUNCTION("""COMPUTED_VALUE"""),9.0)</f>
        <v>9</v>
      </c>
      <c r="H492" s="3">
        <f>IFERROR(__xludf.DUMMYFUNCTION("""COMPUTED_VALUE"""),8.0)</f>
        <v>8</v>
      </c>
      <c r="I492" s="3" t="str">
        <f>IFERROR(__xludf.DUMMYFUNCTION("""COMPUTED_VALUE"""),"The README file includes a detailed overview of the findings and the file structure, providing clear insights into the project. The code structure is well-organized, with each Python file specifically dedicated to addressing the respective questions, maki"&amp;"ng navigation intuitive and efficient.")</f>
        <v>The README file includes a detailed overview of the findings and the file structure, providing clear insights into the project. The code structure is well-organized, with each Python file specifically dedicated to addressing the respective questions, making navigation intuitive and efficient.</v>
      </c>
      <c r="J492" s="3" t="str">
        <f>IFERROR(__xludf.DUMMYFUNCTION("""COMPUTED_VALUE"""),"21f3000051@ds.study.iitm.ac.in")</f>
        <v>21f3000051@ds.study.iitm.ac.in</v>
      </c>
      <c r="K492" s="3" t="str">
        <f t="shared" si="1"/>
        <v>21f3000051@ds.study.iitm.ac.inhttps://github.com/1yadavsid/tds-project-1</v>
      </c>
      <c r="L492" s="3" t="str">
        <f t="shared" si="2"/>
        <v>21f3000051@ds.study.iitm.ac.inhttps://github.com/nemo0002/Tds_proj_1</v>
      </c>
    </row>
    <row r="493">
      <c r="A493" s="3">
        <f>IFERROR(__xludf.DUMMYFUNCTION("""COMPUTED_VALUE"""),45604.68844280092)</f>
        <v>45604.68844</v>
      </c>
      <c r="B493" s="5" t="str">
        <f>IFERROR(__xludf.DUMMYFUNCTION("""COMPUTED_VALUE"""),"https://github.com/Kanishk90/Project1")</f>
        <v>https://github.com/Kanishk90/Project1</v>
      </c>
      <c r="C493" s="3">
        <f>IFERROR(__xludf.DUMMYFUNCTION("""COMPUTED_VALUE"""),10.0)</f>
        <v>10</v>
      </c>
      <c r="D493" s="3">
        <f>IFERROR(__xludf.DUMMYFUNCTION("""COMPUTED_VALUE"""),8.0)</f>
        <v>8</v>
      </c>
      <c r="E493" s="3" t="str">
        <f>IFERROR(__xludf.DUMMYFUNCTION("""COMPUTED_VALUE"""),"I learnt something fascinating")</f>
        <v>I learnt something fascinating</v>
      </c>
      <c r="F493" s="5" t="str">
        <f>IFERROR(__xludf.DUMMYFUNCTION("""COMPUTED_VALUE"""),"https://github.com/sanchit-in/sydney-github-users")</f>
        <v>https://github.com/sanchit-in/sydney-github-users</v>
      </c>
      <c r="G493" s="3">
        <f>IFERROR(__xludf.DUMMYFUNCTION("""COMPUTED_VALUE"""),10.0)</f>
        <v>10</v>
      </c>
      <c r="H493" s="3">
        <f>IFERROR(__xludf.DUMMYFUNCTION("""COMPUTED_VALUE"""),9.0)</f>
        <v>9</v>
      </c>
      <c r="I493" s="3" t="str">
        <f>IFERROR(__xludf.DUMMYFUNCTION("""COMPUTED_VALUE"""),"I learnt something fascinating")</f>
        <v>I learnt something fascinating</v>
      </c>
      <c r="J493" s="3" t="str">
        <f>IFERROR(__xludf.DUMMYFUNCTION("""COMPUTED_VALUE"""),"22f1001144@ds.study.iitm.ac.in")</f>
        <v>22f1001144@ds.study.iitm.ac.in</v>
      </c>
      <c r="K493" s="3" t="str">
        <f t="shared" si="1"/>
        <v>22f1001144@ds.study.iitm.ac.inhttps://github.com/Kanishk90/Project1</v>
      </c>
      <c r="L493" s="3" t="str">
        <f t="shared" si="2"/>
        <v>22f1001144@ds.study.iitm.ac.inhttps://github.com/sanchit-in/sydney-github-users</v>
      </c>
    </row>
    <row r="494">
      <c r="A494" s="3">
        <f>IFERROR(__xludf.DUMMYFUNCTION("""COMPUTED_VALUE"""),45604.69640498843)</f>
        <v>45604.6964</v>
      </c>
      <c r="B494" s="5" t="str">
        <f>IFERROR(__xludf.DUMMYFUNCTION("""COMPUTED_VALUE"""),"https://github.com/23f1001663/TDS-QUIZ-1")</f>
        <v>https://github.com/23f1001663/TDS-QUIZ-1</v>
      </c>
      <c r="C494" s="3">
        <f>IFERROR(__xludf.DUMMYFUNCTION("""COMPUTED_VALUE"""),10.0)</f>
        <v>10</v>
      </c>
      <c r="D494" s="3">
        <f>IFERROR(__xludf.DUMMYFUNCTION("""COMPUTED_VALUE"""),10.0)</f>
        <v>10</v>
      </c>
      <c r="E494" s="3" t="str">
        <f>IFERROR(__xludf.DUMMYFUNCTION("""COMPUTED_VALUE"""),"I provided these ratings to offer a structured evaluation of the GitHub repository, helping to determine its suitability for the project’s needs. By rating specific aspects—such as code quality, documentation.I aimed to give a clear, objective picture of "&amp;"the repository's strengths and any potential limitations. ")</f>
        <v>I provided these ratings to offer a structured evaluation of the GitHub repository, helping to determine its suitability for the project’s needs. By rating specific aspects—such as code quality, documentation.I aimed to give a clear, objective picture of the repository's strengths and any potential limitations. </v>
      </c>
      <c r="F494" s="5" t="str">
        <f>IFERROR(__xludf.DUMMYFUNCTION("""COMPUTED_VALUE"""),"https://github.com/basubinayak/tds-project-1")</f>
        <v>https://github.com/basubinayak/tds-project-1</v>
      </c>
      <c r="G494" s="3">
        <f>IFERROR(__xludf.DUMMYFUNCTION("""COMPUTED_VALUE"""),10.0)</f>
        <v>10</v>
      </c>
      <c r="H494" s="3">
        <f>IFERROR(__xludf.DUMMYFUNCTION("""COMPUTED_VALUE"""),10.0)</f>
        <v>10</v>
      </c>
      <c r="I494" s="3" t="str">
        <f>IFERROR(__xludf.DUMMYFUNCTION("""COMPUTED_VALUE"""),"I provided these ratings to objectively assess the repository's overall quality and usability. By evaluating key areas like code quality, documentation, feature set, and community support, these ratings help identify both the strengths and any potential i"&amp;"ssues with the repository. This ensures that it aligns well with the project's requirements and standards, and provides clarity on whether it’s a reliable and well-maintained choice for integration or further development.")</f>
        <v>I provided these ratings to objectively assess the repository's overall quality and usability. By evaluating key areas like code quality, documentation, feature set, and community support, these ratings help identify both the strengths and any potential issues with the repository. This ensures that it aligns well with the project's requirements and standards, and provides clarity on whether it’s a reliable and well-maintained choice for integration or further development.</v>
      </c>
      <c r="J494" s="3" t="str">
        <f>IFERROR(__xludf.DUMMYFUNCTION("""COMPUTED_VALUE"""),"21f3000243@ds.study.iitm.ac.in")</f>
        <v>21f3000243@ds.study.iitm.ac.in</v>
      </c>
      <c r="K494" s="3" t="str">
        <f t="shared" si="1"/>
        <v>21f3000243@ds.study.iitm.ac.inhttps://github.com/23f1001663/TDS-QUIZ-1</v>
      </c>
      <c r="L494" s="3" t="str">
        <f t="shared" si="2"/>
        <v>21f3000243@ds.study.iitm.ac.inhttps://github.com/basubinayak/tds-project-1</v>
      </c>
    </row>
    <row r="495">
      <c r="A495" s="3">
        <f>IFERROR(__xludf.DUMMYFUNCTION("""COMPUTED_VALUE"""),45604.70000152777)</f>
        <v>45604.7</v>
      </c>
      <c r="B495" s="5" t="str">
        <f>IFERROR(__xludf.DUMMYFUNCTION("""COMPUTED_VALUE"""),"https://github.com/ranashakti7/Sydney_users")</f>
        <v>https://github.com/ranashakti7/Sydney_users</v>
      </c>
      <c r="C495" s="3">
        <f>IFERROR(__xludf.DUMMYFUNCTION("""COMPUTED_VALUE"""),10.0)</f>
        <v>10</v>
      </c>
      <c r="D495" s="3">
        <f>IFERROR(__xludf.DUMMYFUNCTION("""COMPUTED_VALUE"""),10.0)</f>
        <v>10</v>
      </c>
      <c r="E495" s="3" t="str">
        <f>IFERROR(__xludf.DUMMYFUNCTION("""COMPUTED_VALUE"""),"Impressive and met expectations")</f>
        <v>Impressive and met expectations</v>
      </c>
      <c r="F495" s="5" t="str">
        <f>IFERROR(__xludf.DUMMYFUNCTION("""COMPUTED_VALUE"""),"https://github.com/22f3002293/TDS-project1")</f>
        <v>https://github.com/22f3002293/TDS-project1</v>
      </c>
      <c r="G495" s="3">
        <f>IFERROR(__xludf.DUMMYFUNCTION("""COMPUTED_VALUE"""),9.0)</f>
        <v>9</v>
      </c>
      <c r="H495" s="3">
        <f>IFERROR(__xludf.DUMMYFUNCTION("""COMPUTED_VALUE"""),10.0)</f>
        <v>10</v>
      </c>
      <c r="I495" s="3" t="str">
        <f>IFERROR(__xludf.DUMMYFUNCTION("""COMPUTED_VALUE"""),"Peer's README file is informative, impressive and has a lot of insights")</f>
        <v>Peer's README file is informative, impressive and has a lot of insights</v>
      </c>
      <c r="J495" s="3" t="str">
        <f>IFERROR(__xludf.DUMMYFUNCTION("""COMPUTED_VALUE"""),"22f3002275@ds.study.iitm.ac.in")</f>
        <v>22f3002275@ds.study.iitm.ac.in</v>
      </c>
      <c r="K495" s="3" t="str">
        <f t="shared" si="1"/>
        <v>22f3002275@ds.study.iitm.ac.inhttps://github.com/ranashakti7/Sydney_users</v>
      </c>
      <c r="L495" s="3" t="str">
        <f t="shared" si="2"/>
        <v>22f3002275@ds.study.iitm.ac.inhttps://github.com/22f3002293/TDS-project1</v>
      </c>
    </row>
    <row r="496">
      <c r="A496" s="3">
        <f>IFERROR(__xludf.DUMMYFUNCTION("""COMPUTED_VALUE"""),45604.70260642361)</f>
        <v>45604.70261</v>
      </c>
      <c r="B496" s="5" t="str">
        <f>IFERROR(__xludf.DUMMYFUNCTION("""COMPUTED_VALUE"""),"https://github.com/anshikaatiwari/tdsp1")</f>
        <v>https://github.com/anshikaatiwari/tdsp1</v>
      </c>
      <c r="C496" s="3">
        <f>IFERROR(__xludf.DUMMYFUNCTION("""COMPUTED_VALUE"""),10.0)</f>
        <v>10</v>
      </c>
      <c r="D496" s="3">
        <f>IFERROR(__xludf.DUMMYFUNCTION("""COMPUTED_VALUE"""),10.0)</f>
        <v>10</v>
      </c>
      <c r="E496" s="3" t="str">
        <f>IFERROR(__xludf.DUMMYFUNCTION("""COMPUTED_VALUE"""),"repo code has been provided and there are three bullet point is well  written in repo readme ")</f>
        <v>repo code has been provided and there are three bullet point is well  written in repo readme </v>
      </c>
      <c r="F496" s="5" t="str">
        <f>IFERROR(__xludf.DUMMYFUNCTION("""COMPUTED_VALUE"""),"https://github.com/Mv98dell/Mv/tree/33999fa40510af74122c53f73c6b8df2b53129c9")</f>
        <v>https://github.com/Mv98dell/Mv/tree/33999fa40510af74122c53f73c6b8df2b53129c9</v>
      </c>
      <c r="G496" s="3">
        <f>IFERROR(__xludf.DUMMYFUNCTION("""COMPUTED_VALUE"""),0.0)</f>
        <v>0</v>
      </c>
      <c r="H496" s="3">
        <f>IFERROR(__xludf.DUMMYFUNCTION("""COMPUTED_VALUE"""),0.0)</f>
        <v>0</v>
      </c>
      <c r="I496" s="3" t="str">
        <f>IFERROR(__xludf.DUMMYFUNCTION("""COMPUTED_VALUE"""),"repo code is not provided and there is no bullet point in repo readme")</f>
        <v>repo code is not provided and there is no bullet point in repo readme</v>
      </c>
      <c r="J496" s="3" t="str">
        <f>IFERROR(__xludf.DUMMYFUNCTION("""COMPUTED_VALUE"""),"22f1000472@ds.study.iitm.ac.in")</f>
        <v>22f1000472@ds.study.iitm.ac.in</v>
      </c>
      <c r="K496" s="3" t="str">
        <f t="shared" si="1"/>
        <v>22f1000472@ds.study.iitm.ac.inhttps://github.com/anshikaatiwari/tdsp1</v>
      </c>
      <c r="L496" s="3" t="str">
        <f t="shared" si="2"/>
        <v>22f1000472@ds.study.iitm.ac.inhttps://github.com/Mv98dell/Mv/tree/33999fa40510af74122c53f73c6b8df2b53129c9</v>
      </c>
    </row>
    <row r="497">
      <c r="A497" s="3">
        <f>IFERROR(__xludf.DUMMYFUNCTION("""COMPUTED_VALUE"""),45604.71237075231)</f>
        <v>45604.71237</v>
      </c>
      <c r="B497" s="5" t="str">
        <f>IFERROR(__xludf.DUMMYFUNCTION("""COMPUTED_VALUE"""),"https://github.com/Amrendra-kumar7/API_Melburne")</f>
        <v>https://github.com/Amrendra-kumar7/API_Melburne</v>
      </c>
      <c r="C497" s="3">
        <f>IFERROR(__xludf.DUMMYFUNCTION("""COMPUTED_VALUE"""),8.0)</f>
        <v>8</v>
      </c>
      <c r="D497" s="3">
        <f>IFERROR(__xludf.DUMMYFUNCTION("""COMPUTED_VALUE"""),0.0)</f>
        <v>0</v>
      </c>
      <c r="E497" s="3" t="str">
        <f>IFERROR(__xludf.DUMMYFUNCTION("""COMPUTED_VALUE"""),"Rated 8 because the procedure/ methodology to extract the csv files, although satisfactory in content, could have been elaborated a little more, and added more depth.
The insights from the data were presented very well in clear language, and approrpriate"&amp;" reasoning and backing was provided for the findings. The actionable recommendations seemed feasible and in line with the insights from the data that was extracted and analyzed
No code found, hence rated 0.")</f>
        <v>Rated 8 because the procedure/ methodology to extract the csv files, although satisfactory in content, could have been elaborated a little more, and added more depth.
The insights from the data were presented very well in clear language, and approrpriate reasoning and backing was provided for the findings. The actionable recommendations seemed feasible and in line with the insights from the data that was extracted and analyzed
No code found, hence rated 0.</v>
      </c>
      <c r="F497" s="5" t="str">
        <f>IFERROR(__xludf.DUMMYFUNCTION("""COMPUTED_VALUE"""),"https://github.com/Anas007-lab/Toronto_Scraper")</f>
        <v>https://github.com/Anas007-lab/Toronto_Scraper</v>
      </c>
      <c r="G497" s="3">
        <f>IFERROR(__xludf.DUMMYFUNCTION("""COMPUTED_VALUE"""),7.0)</f>
        <v>7</v>
      </c>
      <c r="H497" s="3">
        <f>IFERROR(__xludf.DUMMYFUNCTION("""COMPUTED_VALUE"""),7.0)</f>
        <v>7</v>
      </c>
      <c r="I497" s="3" t="str">
        <f>IFERROR(__xludf.DUMMYFUNCTION("""COMPUTED_VALUE"""),"Rated 7 for readme, as the insights/surprising findings were very much in sync with what is provided as an actionable recommendation for developers, and have been articulated well. Although, some more detail could have been added on the extraction process"&amp;", and some more insights could have been provided, based on the data analysis.
Rated 7 for code, because of the decent structuring and annotated/commented codes.")</f>
        <v>Rated 7 for readme, as the insights/surprising findings were very much in sync with what is provided as an actionable recommendation for developers, and have been articulated well. Although, some more detail could have been added on the extraction process, and some more insights could have been provided, based on the data analysis.
Rated 7 for code, because of the decent structuring and annotated/commented codes.</v>
      </c>
      <c r="J497" s="3" t="str">
        <f>IFERROR(__xludf.DUMMYFUNCTION("""COMPUTED_VALUE"""),"23ds2000095@ds.study.iitm.ac.in")</f>
        <v>23ds2000095@ds.study.iitm.ac.in</v>
      </c>
      <c r="K497" s="3" t="str">
        <f t="shared" si="1"/>
        <v>23ds2000095@ds.study.iitm.ac.inhttps://github.com/Amrendra-kumar7/API_Melburne</v>
      </c>
      <c r="L497" s="3" t="str">
        <f t="shared" si="2"/>
        <v>23ds2000095@ds.study.iitm.ac.inhttps://github.com/Anas007-lab/Toronto_Scraper</v>
      </c>
    </row>
    <row r="498">
      <c r="A498" s="3">
        <f>IFERROR(__xludf.DUMMYFUNCTION("""COMPUTED_VALUE"""),45604.739721527774)</f>
        <v>45604.73972</v>
      </c>
      <c r="B498" s="5" t="str">
        <f>IFERROR(__xludf.DUMMYFUNCTION("""COMPUTED_VALUE"""),"https://github.com/subhajit2001/TDSProject1")</f>
        <v>https://github.com/subhajit2001/TDSProject1</v>
      </c>
      <c r="C498" s="3">
        <f>IFERROR(__xludf.DUMMYFUNCTION("""COMPUTED_VALUE"""),9.0)</f>
        <v>9</v>
      </c>
      <c r="D498" s="3">
        <f>IFERROR(__xludf.DUMMYFUNCTION("""COMPUTED_VALUE"""),9.0)</f>
        <v>9</v>
      </c>
      <c r="E498" s="3" t="str">
        <f>IFERROR(__xludf.DUMMYFUNCTION("""COMPUTED_VALUE"""),"The Analysis was short and to the point. Also the results were clearly shared in the python file.")</f>
        <v>The Analysis was short and to the point. Also the results were clearly shared in the python file.</v>
      </c>
      <c r="F498" s="5" t="str">
        <f>IFERROR(__xludf.DUMMYFUNCTION("""COMPUTED_VALUE"""),"https://github.com/sunnykumardangi/TDS_project-1")</f>
        <v>https://github.com/sunnykumardangi/TDS_project-1</v>
      </c>
      <c r="G498" s="3">
        <f>IFERROR(__xludf.DUMMYFUNCTION("""COMPUTED_VALUE"""),0.0)</f>
        <v>0</v>
      </c>
      <c r="H498" s="3">
        <f>IFERROR(__xludf.DUMMYFUNCTION("""COMPUTED_VALUE"""),6.0)</f>
        <v>6</v>
      </c>
      <c r="I498" s="3" t="str">
        <f>IFERROR(__xludf.DUMMYFUNCTION("""COMPUTED_VALUE"""),"The readme file was not provided.")</f>
        <v>The readme file was not provided.</v>
      </c>
      <c r="J498" s="3" t="str">
        <f>IFERROR(__xludf.DUMMYFUNCTION("""COMPUTED_VALUE"""),"21f1006302@ds.study.iitm.ac.in")</f>
        <v>21f1006302@ds.study.iitm.ac.in</v>
      </c>
      <c r="K498" s="3" t="str">
        <f t="shared" si="1"/>
        <v>21f1006302@ds.study.iitm.ac.inhttps://github.com/subhajit2001/TDSProject1</v>
      </c>
      <c r="L498" s="3" t="str">
        <f t="shared" si="2"/>
        <v>21f1006302@ds.study.iitm.ac.inhttps://github.com/sunnykumardangi/TDS_project-1</v>
      </c>
    </row>
    <row r="499">
      <c r="A499" s="3">
        <f>IFERROR(__xludf.DUMMYFUNCTION("""COMPUTED_VALUE"""),45604.74956694445)</f>
        <v>45604.74957</v>
      </c>
      <c r="B499" s="5" t="str">
        <f>IFERROR(__xludf.DUMMYFUNCTION("""COMPUTED_VALUE"""),"https://github.com/Allen-Josu/TDS_Project")</f>
        <v>https://github.com/Allen-Josu/TDS_Project</v>
      </c>
      <c r="C499" s="3">
        <f>IFERROR(__xludf.DUMMYFUNCTION("""COMPUTED_VALUE"""),5.0)</f>
        <v>5</v>
      </c>
      <c r="D499" s="3">
        <f>IFERROR(__xludf.DUMMYFUNCTION("""COMPUTED_VALUE"""),9.0)</f>
        <v>9</v>
      </c>
      <c r="E499" s="3" t="str">
        <f>IFERROR(__xludf.DUMMYFUNCTION("""COMPUTED_VALUE"""),"A README typically has sections like ""Project Setup"", ""Dependencies"", ""Usage"", and ""Results"". Including these would improve its usability and appeal. It doesn’t go into detail about the purpose, methodology, or technical aspects of the project (e."&amp;"g., how data was collected, processed, or analyzed).")</f>
        <v>A README typically has sections like "Project Setup", "Dependencies", "Usage", and "Results". Including these would improve its usability and appeal. It doesn’t go into detail about the purpose, methodology, or technical aspects of the project (e.g., how data was collected, processed, or analyzed).</v>
      </c>
      <c r="F499" s="5" t="str">
        <f>IFERROR(__xludf.DUMMYFUNCTION("""COMPUTED_VALUE"""),"https://github.com/pranavdarak/TDS_P1")</f>
        <v>https://github.com/pranavdarak/TDS_P1</v>
      </c>
      <c r="G499" s="3">
        <f>IFERROR(__xludf.DUMMYFUNCTION("""COMPUTED_VALUE"""),9.0)</f>
        <v>9</v>
      </c>
      <c r="H499" s="3">
        <f>IFERROR(__xludf.DUMMYFUNCTION("""COMPUTED_VALUE"""),9.0)</f>
        <v>9</v>
      </c>
      <c r="I499" s="3" t="str">
        <f>IFERROR(__xludf.DUMMYFUNCTION("""COMPUTED_VALUE"""),"provided a thorough overview of the project, including data collection methods, key findings, analysis insights, and actionable advice for developers. It gives users a comprehensive understanding of the project’s purpose, results, and potential next steps"&amp;".")</f>
        <v>provided a thorough overview of the project, including data collection methods, key findings, analysis insights, and actionable advice for developers. It gives users a comprehensive understanding of the project’s purpose, results, and potential next steps.</v>
      </c>
      <c r="J499" s="3" t="str">
        <f>IFERROR(__xludf.DUMMYFUNCTION("""COMPUTED_VALUE"""),"21f2000608@ds.study.iitm.ac.in")</f>
        <v>21f2000608@ds.study.iitm.ac.in</v>
      </c>
      <c r="K499" s="3" t="str">
        <f t="shared" si="1"/>
        <v>21f2000608@ds.study.iitm.ac.inhttps://github.com/Allen-Josu/TDS_Project</v>
      </c>
      <c r="L499" s="3" t="str">
        <f t="shared" si="2"/>
        <v>21f2000608@ds.study.iitm.ac.inhttps://github.com/pranavdarak/TDS_P1</v>
      </c>
    </row>
    <row r="500">
      <c r="A500" s="3">
        <f>IFERROR(__xludf.DUMMYFUNCTION("""COMPUTED_VALUE"""),45604.750798506946)</f>
        <v>45604.7508</v>
      </c>
      <c r="B500" s="5" t="str">
        <f>IFERROR(__xludf.DUMMYFUNCTION("""COMPUTED_VALUE"""),"https://github.com/rajakumari-sp/TDS_project1")</f>
        <v>https://github.com/rajakumari-sp/TDS_project1</v>
      </c>
      <c r="C500" s="3">
        <f>IFERROR(__xludf.DUMMYFUNCTION("""COMPUTED_VALUE"""),8.0)</f>
        <v>8</v>
      </c>
      <c r="D500" s="3">
        <f>IFERROR(__xludf.DUMMYFUNCTION("""COMPUTED_VALUE"""),8.0)</f>
        <v>8</v>
      </c>
      <c r="E500" s="3" t="str">
        <f>IFERROR(__xludf.DUMMYFUNCTION("""COMPUTED_VALUE"""),"The notebook had all the data scraped displayed which made it very hard to see the code. Couldve done that separately.No other complains")</f>
        <v>The notebook had all the data scraped displayed which made it very hard to see the code. Couldve done that separately.No other complains</v>
      </c>
      <c r="F500" s="5" t="str">
        <f>IFERROR(__xludf.DUMMYFUNCTION("""COMPUTED_VALUE"""),"https://github.com/swaraj753/Project-1")</f>
        <v>https://github.com/swaraj753/Project-1</v>
      </c>
      <c r="G500" s="3">
        <f>IFERROR(__xludf.DUMMYFUNCTION("""COMPUTED_VALUE"""),10.0)</f>
        <v>10</v>
      </c>
      <c r="H500" s="3">
        <f>IFERROR(__xludf.DUMMYFUNCTION("""COMPUTED_VALUE"""),10.0)</f>
        <v>10</v>
      </c>
      <c r="I500" s="3" t="str">
        <f>IFERROR(__xludf.DUMMYFUNCTION("""COMPUTED_VALUE"""),"Clean Code easy to read and readme updated properly.")</f>
        <v>Clean Code easy to read and readme updated properly.</v>
      </c>
      <c r="J500" s="3" t="str">
        <f>IFERROR(__xludf.DUMMYFUNCTION("""COMPUTED_VALUE"""),"23f1001173@ds.study.iitm.ac.in")</f>
        <v>23f1001173@ds.study.iitm.ac.in</v>
      </c>
      <c r="K500" s="3" t="str">
        <f t="shared" si="1"/>
        <v>23f1001173@ds.study.iitm.ac.inhttps://github.com/rajakumari-sp/TDS_project1</v>
      </c>
      <c r="L500" s="3" t="str">
        <f t="shared" si="2"/>
        <v>23f1001173@ds.study.iitm.ac.inhttps://github.com/swaraj753/Project-1</v>
      </c>
    </row>
    <row r="501">
      <c r="A501" s="3">
        <f>IFERROR(__xludf.DUMMYFUNCTION("""COMPUTED_VALUE"""),45604.77564640046)</f>
        <v>45604.77565</v>
      </c>
      <c r="B501" s="5" t="str">
        <f>IFERROR(__xludf.DUMMYFUNCTION("""COMPUTED_VALUE"""),"https://github.com/KarthikKalashLGS/TDSProject1")</f>
        <v>https://github.com/KarthikKalashLGS/TDSProject1</v>
      </c>
      <c r="C501" s="3">
        <f>IFERROR(__xludf.DUMMYFUNCTION("""COMPUTED_VALUE"""),8.0)</f>
        <v>8</v>
      </c>
      <c r="D501" s="3">
        <f>IFERROR(__xludf.DUMMYFUNCTION("""COMPUTED_VALUE"""),0.0)</f>
        <v>0</v>
      </c>
      <c r="E501" s="3" t="str">
        <f>IFERROR(__xludf.DUMMYFUNCTION("""COMPUTED_VALUE"""),"The README findings are rated highly because they offer practical insights for developers and recruiters, such as the link between profile completeness and follower count and the popularity of languages like JavaScript, Python, and Java. The project is th"&amp;"orough, with robust data collection, error handling, and data backup strategies, making it both credible and informative.")</f>
        <v>The README findings are rated highly because they offer practical insights for developers and recruiters, such as the link between profile completeness and follower count and the popularity of languages like JavaScript, Python, and Java. The project is thorough, with robust data collection, error handling, and data backup strategies, making it both credible and informative.</v>
      </c>
      <c r="F501" s="5" t="str">
        <f>IFERROR(__xludf.DUMMYFUNCTION("""COMPUTED_VALUE"""),"https://github.com/Saba-Usman/TDS-Project-1")</f>
        <v>https://github.com/Saba-Usman/TDS-Project-1</v>
      </c>
      <c r="G501" s="3">
        <f>IFERROR(__xludf.DUMMYFUNCTION("""COMPUTED_VALUE"""),7.0)</f>
        <v>7</v>
      </c>
      <c r="H501" s="3">
        <f>IFERROR(__xludf.DUMMYFUNCTION("""COMPUTED_VALUE"""),8.0)</f>
        <v>8</v>
      </c>
      <c r="I501" s="3" t="str">
        <f>IFERROR(__xludf.DUMMYFUNCTION("""COMPUTED_VALUE"""),"
The README provides a clear overview of the project using the GitHub REST API to collect user and repository data. While the findings on developer activity and open-source contributions are interesting, they lack depth and surprising insights. The techni"&amp;"cal details are informative but would benefit from more elaboration on data analysis and its broader implications.
The code is clear and well-structured but loses points for hard-coded tokens, lack of API rate limit handling, and minimal error handling. I"&amp;"mproved security and logging would enhance its professionalism.")</f>
        <v>
The README provides a clear overview of the project using the GitHub REST API to collect user and repository data. While the findings on developer activity and open-source contributions are interesting, they lack depth and surprising insights. The technical details are informative but would benefit from more elaboration on data analysis and its broader implications.
The code is clear and well-structured but loses points for hard-coded tokens, lack of API rate limit handling, and minimal error handling. Improved security and logging would enhance its professionalism.</v>
      </c>
      <c r="J501" s="3" t="str">
        <f>IFERROR(__xludf.DUMMYFUNCTION("""COMPUTED_VALUE"""),"23ds3000177@ds.study.iitm.ac.in")</f>
        <v>23ds3000177@ds.study.iitm.ac.in</v>
      </c>
      <c r="K501" s="3" t="str">
        <f t="shared" si="1"/>
        <v>23ds3000177@ds.study.iitm.ac.inhttps://github.com/KarthikKalashLGS/TDSProject1</v>
      </c>
      <c r="L501" s="3" t="str">
        <f t="shared" si="2"/>
        <v>23ds3000177@ds.study.iitm.ac.inhttps://github.com/Saba-Usman/TDS-Project-1</v>
      </c>
    </row>
    <row r="502">
      <c r="A502" s="3">
        <f>IFERROR(__xludf.DUMMYFUNCTION("""COMPUTED_VALUE"""),45604.80231951389)</f>
        <v>45604.80232</v>
      </c>
      <c r="B502" s="5" t="str">
        <f>IFERROR(__xludf.DUMMYFUNCTION("""COMPUTED_VALUE"""),"https://github.com/Wamikmk/My-tds-Project-1")</f>
        <v>https://github.com/Wamikmk/My-tds-Project-1</v>
      </c>
      <c r="C502" s="3">
        <f>IFERROR(__xludf.DUMMYFUNCTION("""COMPUTED_VALUE"""),6.0)</f>
        <v>6</v>
      </c>
      <c r="D502" s="3">
        <f>IFERROR(__xludf.DUMMYFUNCTION("""COMPUTED_VALUE"""),10.0)</f>
        <v>10</v>
      </c>
      <c r="E502" s="3" t="str">
        <f>IFERROR(__xludf.DUMMYFUNCTION("""COMPUTED_VALUE"""),"Findings could have been better")</f>
        <v>Findings could have been better</v>
      </c>
      <c r="F502" s="5" t="str">
        <f>IFERROR(__xludf.DUMMYFUNCTION("""COMPUTED_VALUE"""),"https://github.com/virajjdm1/TDS-Project-1")</f>
        <v>https://github.com/virajjdm1/TDS-Project-1</v>
      </c>
      <c r="G502" s="3">
        <f>IFERROR(__xludf.DUMMYFUNCTION("""COMPUTED_VALUE"""),9.0)</f>
        <v>9</v>
      </c>
      <c r="H502" s="3">
        <f>IFERROR(__xludf.DUMMYFUNCTION("""COMPUTED_VALUE"""),10.0)</f>
        <v>10</v>
      </c>
      <c r="I502" s="3" t="str">
        <f>IFERROR(__xludf.DUMMYFUNCTION("""COMPUTED_VALUE"""),"Findings as well as recommendations were given")</f>
        <v>Findings as well as recommendations were given</v>
      </c>
      <c r="J502" s="3" t="str">
        <f>IFERROR(__xludf.DUMMYFUNCTION("""COMPUTED_VALUE"""),"22f2000078@ds.study.iitm.ac.in")</f>
        <v>22f2000078@ds.study.iitm.ac.in</v>
      </c>
      <c r="K502" s="3" t="str">
        <f t="shared" si="1"/>
        <v>22f2000078@ds.study.iitm.ac.inhttps://github.com/Wamikmk/My-tds-Project-1</v>
      </c>
      <c r="L502" s="3" t="str">
        <f t="shared" si="2"/>
        <v>22f2000078@ds.study.iitm.ac.inhttps://github.com/virajjdm1/TDS-Project-1</v>
      </c>
    </row>
    <row r="503">
      <c r="A503" s="3">
        <f>IFERROR(__xludf.DUMMYFUNCTION("""COMPUTED_VALUE"""),45604.81894751157)</f>
        <v>45604.81895</v>
      </c>
      <c r="B503" s="5" t="str">
        <f>IFERROR(__xludf.DUMMYFUNCTION("""COMPUTED_VALUE"""),"https://github.com/raghu5427/TDS_Proj_1")</f>
        <v>https://github.com/raghu5427/TDS_Proj_1</v>
      </c>
      <c r="C503" s="3">
        <f>IFERROR(__xludf.DUMMYFUNCTION("""COMPUTED_VALUE"""),10.0)</f>
        <v>10</v>
      </c>
      <c r="D503" s="3">
        <f>IFERROR(__xludf.DUMMYFUNCTION("""COMPUTED_VALUE"""),10.0)</f>
        <v>10</v>
      </c>
      <c r="E503" s="3" t="str">
        <f>IFERROR(__xludf.DUMMYFUNCTION("""COMPUTED_VALUE"""),"It was perfectly explained and very well interesting points were given")</f>
        <v>It was perfectly explained and very well interesting points were given</v>
      </c>
      <c r="F503" s="5" t="str">
        <f>IFERROR(__xludf.DUMMYFUNCTION("""COMPUTED_VALUE"""),"https://github.com/ThePenguin12345/TDS_Project1")</f>
        <v>https://github.com/ThePenguin12345/TDS_Project1</v>
      </c>
      <c r="G503" s="3">
        <f>IFERROR(__xludf.DUMMYFUNCTION("""COMPUTED_VALUE"""),10.0)</f>
        <v>10</v>
      </c>
      <c r="H503" s="3">
        <f>IFERROR(__xludf.DUMMYFUNCTION("""COMPUTED_VALUE"""),10.0)</f>
        <v>10</v>
      </c>
      <c r="I503" s="3" t="str">
        <f>IFERROR(__xludf.DUMMYFUNCTION("""COMPUTED_VALUE"""),"It was perfectly explained and very well interesting points were given")</f>
        <v>It was perfectly explained and very well interesting points were given</v>
      </c>
      <c r="J503" s="3" t="str">
        <f>IFERROR(__xludf.DUMMYFUNCTION("""COMPUTED_VALUE"""),"23f1000043@ds.study.iitm.ac.in")</f>
        <v>23f1000043@ds.study.iitm.ac.in</v>
      </c>
      <c r="K503" s="3" t="str">
        <f t="shared" si="1"/>
        <v>23f1000043@ds.study.iitm.ac.inhttps://github.com/raghu5427/TDS_Proj_1</v>
      </c>
      <c r="L503" s="3" t="str">
        <f t="shared" si="2"/>
        <v>23f1000043@ds.study.iitm.ac.inhttps://github.com/ThePenguin12345/TDS_Project1</v>
      </c>
    </row>
    <row r="504">
      <c r="A504" s="3">
        <f>IFERROR(__xludf.DUMMYFUNCTION("""COMPUTED_VALUE"""),45604.82473743055)</f>
        <v>45604.82474</v>
      </c>
      <c r="B504" s="5" t="str">
        <f>IFERROR(__xludf.DUMMYFUNCTION("""COMPUTED_VALUE"""),"https://github.com/hdsawscloud/project1")</f>
        <v>https://github.com/hdsawscloud/project1</v>
      </c>
      <c r="C504" s="3">
        <f>IFERROR(__xludf.DUMMYFUNCTION("""COMPUTED_VALUE"""),2.0)</f>
        <v>2</v>
      </c>
      <c r="D504" s="3">
        <f>IFERROR(__xludf.DUMMYFUNCTION("""COMPUTED_VALUE"""),7.0)</f>
        <v>7</v>
      </c>
      <c r="E504" s="3" t="str">
        <f>IFERROR(__xludf.DUMMYFUNCTION("""COMPUTED_VALUE"""),"README.md haven't any useful info. There is another file README.md.rtf which contains some info.")</f>
        <v>README.md haven't any useful info. There is another file README.md.rtf which contains some info.</v>
      </c>
      <c r="F504" s="5" t="str">
        <f>IFERROR(__xludf.DUMMYFUNCTION("""COMPUTED_VALUE"""),"https://github.com/vijayabhaskar78/TDS-PROJECT-1")</f>
        <v>https://github.com/vijayabhaskar78/TDS-PROJECT-1</v>
      </c>
      <c r="G504" s="3">
        <f>IFERROR(__xludf.DUMMYFUNCTION("""COMPUTED_VALUE"""),9.0)</f>
        <v>9</v>
      </c>
      <c r="H504" s="3">
        <f>IFERROR(__xludf.DUMMYFUNCTION("""COMPUTED_VALUE"""),10.0)</f>
        <v>10</v>
      </c>
      <c r="I504" s="3" t="str">
        <f>IFERROR(__xludf.DUMMYFUNCTION("""COMPUTED_VALUE"""),"Readme file is informative and a well structured and elegant code.")</f>
        <v>Readme file is informative and a well structured and elegant code.</v>
      </c>
      <c r="J504" s="3" t="str">
        <f>IFERROR(__xludf.DUMMYFUNCTION("""COMPUTED_VALUE"""),"22f3002119@ds.study.iitm.ac.in")</f>
        <v>22f3002119@ds.study.iitm.ac.in</v>
      </c>
      <c r="K504" s="3" t="str">
        <f t="shared" si="1"/>
        <v>22f3002119@ds.study.iitm.ac.inhttps://github.com/hdsawscloud/project1</v>
      </c>
      <c r="L504" s="3" t="str">
        <f t="shared" si="2"/>
        <v>22f3002119@ds.study.iitm.ac.inhttps://github.com/vijayabhaskar78/TDS-PROJECT-1</v>
      </c>
    </row>
    <row r="505">
      <c r="A505" s="3">
        <f>IFERROR(__xludf.DUMMYFUNCTION("""COMPUTED_VALUE"""),45604.85675461806)</f>
        <v>45604.85675</v>
      </c>
      <c r="B505" s="5" t="str">
        <f>IFERROR(__xludf.DUMMYFUNCTION("""COMPUTED_VALUE"""),"https://github.com/Sgytuy/Tools-in-Data-Science---Project-1/tree/main")</f>
        <v>https://github.com/Sgytuy/Tools-in-Data-Science---Project-1/tree/main</v>
      </c>
      <c r="C505" s="3">
        <f>IFERROR(__xludf.DUMMYFUNCTION("""COMPUTED_VALUE"""),5.0)</f>
        <v>5</v>
      </c>
      <c r="D505" s="3">
        <f>IFERROR(__xludf.DUMMYFUNCTION("""COMPUTED_VALUE"""),0.0)</f>
        <v>0</v>
      </c>
      <c r="E505" s="3" t="str">
        <f>IFERROR(__xludf.DUMMYFUNCTION("""COMPUTED_VALUE"""),"The readme file does not contain an explanation on how the data was scraped, the most interesting fact after analyzing the data and an actionable recommendation for developers based on the analysis. there is no code file to give any ratings.")</f>
        <v>The readme file does not contain an explanation on how the data was scraped, the most interesting fact after analyzing the data and an actionable recommendation for developers based on the analysis. there is no code file to give any ratings.</v>
      </c>
      <c r="F505" s="5" t="str">
        <f>IFERROR(__xludf.DUMMYFUNCTION("""COMPUTED_VALUE"""),"https://github.com/mfzlur/tds-iitm-project1")</f>
        <v>https://github.com/mfzlur/tds-iitm-project1</v>
      </c>
      <c r="G505" s="3">
        <f>IFERROR(__xludf.DUMMYFUNCTION("""COMPUTED_VALUE"""),10.0)</f>
        <v>10</v>
      </c>
      <c r="H505" s="3">
        <f>IFERROR(__xludf.DUMMYFUNCTION("""COMPUTED_VALUE"""),10.0)</f>
        <v>10</v>
      </c>
      <c r="I505" s="3" t="str">
        <f>IFERROR(__xludf.DUMMYFUNCTION("""COMPUTED_VALUE"""),"The readme file explains sufficient details and the code looks clean. ")</f>
        <v>The readme file explains sufficient details and the code looks clean. </v>
      </c>
      <c r="J505" s="3" t="str">
        <f>IFERROR(__xludf.DUMMYFUNCTION("""COMPUTED_VALUE"""),"23f1002829@ds.study.iitm.ac.in")</f>
        <v>23f1002829@ds.study.iitm.ac.in</v>
      </c>
      <c r="K505" s="3" t="str">
        <f t="shared" si="1"/>
        <v>23f1002829@ds.study.iitm.ac.inhttps://github.com/Sgytuy/Tools-in-Data-Science---Project-1/tree/main</v>
      </c>
      <c r="L505" s="3" t="str">
        <f t="shared" si="2"/>
        <v>23f1002829@ds.study.iitm.ac.inhttps://github.com/mfzlur/tds-iitm-project1</v>
      </c>
    </row>
    <row r="506">
      <c r="A506" s="3">
        <f>IFERROR(__xludf.DUMMYFUNCTION("""COMPUTED_VALUE"""),45604.86309265046)</f>
        <v>45604.86309</v>
      </c>
      <c r="B506" s="5" t="str">
        <f>IFERROR(__xludf.DUMMYFUNCTION("""COMPUTED_VALUE"""),"https://github.com/23f1000698/proj1")</f>
        <v>https://github.com/23f1000698/proj1</v>
      </c>
      <c r="C506" s="3">
        <f>IFERROR(__xludf.DUMMYFUNCTION("""COMPUTED_VALUE"""),3.0)</f>
        <v>3</v>
      </c>
      <c r="D506" s="3">
        <f>IFERROR(__xludf.DUMMYFUNCTION("""COMPUTED_VALUE"""),3.0)</f>
        <v>3</v>
      </c>
      <c r="E506" s="3" t="str">
        <f>IFERROR(__xludf.DUMMYFUNCTION("""COMPUTED_VALUE"""),"The repo only have the title in the Readme file and no code. ")</f>
        <v>The repo only have the title in the Readme file and no code. </v>
      </c>
      <c r="F506" s="5" t="str">
        <f>IFERROR(__xludf.DUMMYFUNCTION("""COMPUTED_VALUE"""),"https://github.com/imstrk04/TDSProject_1")</f>
        <v>https://github.com/imstrk04/TDSProject_1</v>
      </c>
      <c r="G506" s="3">
        <f>IFERROR(__xludf.DUMMYFUNCTION("""COMPUTED_VALUE"""),9.0)</f>
        <v>9</v>
      </c>
      <c r="H506" s="3">
        <f>IFERROR(__xludf.DUMMYFUNCTION("""COMPUTED_VALUE"""),9.0)</f>
        <v>9</v>
      </c>
      <c r="I506" s="3" t="str">
        <f>IFERROR(__xludf.DUMMYFUNCTION("""COMPUTED_VALUE"""),"The repo has mentioned everything in detail from data collection to code in a good presentable manner.")</f>
        <v>The repo has mentioned everything in detail from data collection to code in a good presentable manner.</v>
      </c>
      <c r="J506" s="3" t="str">
        <f>IFERROR(__xludf.DUMMYFUNCTION("""COMPUTED_VALUE"""),"23f1000776@ds.study.iitm.ac.in")</f>
        <v>23f1000776@ds.study.iitm.ac.in</v>
      </c>
      <c r="K506" s="3" t="str">
        <f t="shared" si="1"/>
        <v>23f1000776@ds.study.iitm.ac.inhttps://github.com/23f1000698/proj1</v>
      </c>
      <c r="L506" s="3" t="str">
        <f t="shared" si="2"/>
        <v>23f1000776@ds.study.iitm.ac.inhttps://github.com/imstrk04/TDSProject_1</v>
      </c>
    </row>
    <row r="507">
      <c r="A507" s="3">
        <f>IFERROR(__xludf.DUMMYFUNCTION("""COMPUTED_VALUE"""),45604.869549525465)</f>
        <v>45604.86955</v>
      </c>
      <c r="B507" s="5" t="str">
        <f>IFERROR(__xludf.DUMMYFUNCTION("""COMPUTED_VALUE"""),"https://github.com/yuviiitm26/TDS_PRO_1")</f>
        <v>https://github.com/yuviiitm26/TDS_PRO_1</v>
      </c>
      <c r="C507" s="3">
        <f>IFERROR(__xludf.DUMMYFUNCTION("""COMPUTED_VALUE"""),7.0)</f>
        <v>7</v>
      </c>
      <c r="D507" s="3">
        <f>IFERROR(__xludf.DUMMYFUNCTION("""COMPUTED_VALUE"""),8.0)</f>
        <v>8</v>
      </c>
      <c r="E507" s="3" t="str">
        <f>IFERROR(__xludf.DUMMYFUNCTION("""COMPUTED_VALUE"""),"Interesting Findings (7/10): The insights are valuable, especially about JavaScript’s regional popularity among newer Moscow developers, but could be more compelling with added data or comparisons.
Code Clarity and Professionalism (8/10): The code is wel"&amp;"l-organized and modular, with thoughtful handling of API rate limits and clear CSV outputs, though more function-level documentation could enhance readability.")</f>
        <v>Interesting Findings (7/10): The insights are valuable, especially about JavaScript’s regional popularity among newer Moscow developers, but could be more compelling with added data or comparisons.
Code Clarity and Professionalism (8/10): The code is well-organized and modular, with thoughtful handling of API rate limits and clear CSV outputs, though more function-level documentation could enhance readability.</v>
      </c>
      <c r="F507" s="5" t="str">
        <f>IFERROR(__xludf.DUMMYFUNCTION("""COMPUTED_VALUE"""),"https://github.com/Irshadanwar/berlin-200-users-repositories")</f>
        <v>https://github.com/Irshadanwar/berlin-200-users-repositories</v>
      </c>
      <c r="G507" s="3">
        <f>IFERROR(__xludf.DUMMYFUNCTION("""COMPUTED_VALUE"""),8.0)</f>
        <v>8</v>
      </c>
      <c r="H507" s="3">
        <f>IFERROR(__xludf.DUMMYFUNCTION("""COMPUTED_VALUE"""),8.0)</f>
        <v>8</v>
      </c>
      <c r="I507" s="3" t="str">
        <f>IFERROR(__xludf.DUMMYFUNCTION("""COMPUTED_VALUE"""),"Interesting Findings (README Content): 8/10
The README shares fascinating trends, especially the shift in Berlin toward systems programming languages like JavaScript and Python. It provides a well-rounded view, offering valuable recommendations and showi"&amp;"ng engagement patterns, which is informative for developers looking to optimize their GitHub profiles. However, some findings, like language popularity, could delve a bit deeper or provide more analysis on why these trends are emerging.
Code Clarity and P"&amp;"rofessionalism: 8/10
The code appears organized, with a clear approach to cleaning and filtering data (such as handling company names and ensuring data consistency). Including regression analysis and correlations (like followers versus repos and bio word"&amp;" count) reflects a sophisticated approach, which is excellent for clarity and professionalism. Adding more detailed documentation for each analysis step could further enhance understanding.")</f>
        <v>Interesting Findings (README Content): 8/10
The README shares fascinating trends, especially the shift in Berlin toward systems programming languages like JavaScript and Python. It provides a well-rounded view, offering valuable recommendations and showing engagement patterns, which is informative for developers looking to optimize their GitHub profiles. However, some findings, like language popularity, could delve a bit deeper or provide more analysis on why these trends are emerging.
Code Clarity and Professionalism: 8/10
The code appears organized, with a clear approach to cleaning and filtering data (such as handling company names and ensuring data consistency). Including regression analysis and correlations (like followers versus repos and bio word count) reflects a sophisticated approach, which is excellent for clarity and professionalism. Adding more detailed documentation for each analysis step could further enhance understanding.</v>
      </c>
      <c r="J507" s="3" t="str">
        <f>IFERROR(__xludf.DUMMYFUNCTION("""COMPUTED_VALUE"""),"22f3001914@ds.study.iitm.ac.in")</f>
        <v>22f3001914@ds.study.iitm.ac.in</v>
      </c>
      <c r="K507" s="3" t="str">
        <f t="shared" si="1"/>
        <v>22f3001914@ds.study.iitm.ac.inhttps://github.com/yuviiitm26/TDS_PRO_1</v>
      </c>
      <c r="L507" s="3" t="str">
        <f t="shared" si="2"/>
        <v>22f3001914@ds.study.iitm.ac.inhttps://github.com/Irshadanwar/berlin-200-users-repositories</v>
      </c>
    </row>
    <row r="508">
      <c r="A508" s="3">
        <f>IFERROR(__xludf.DUMMYFUNCTION("""COMPUTED_VALUE"""),45604.87531319444)</f>
        <v>45604.87531</v>
      </c>
      <c r="B508" s="5" t="str">
        <f>IFERROR(__xludf.DUMMYFUNCTION("""COMPUTED_VALUE"""),"https://github.com/AjithSaiCh/tds_project1")</f>
        <v>https://github.com/AjithSaiCh/tds_project1</v>
      </c>
      <c r="C508" s="3">
        <f>IFERROR(__xludf.DUMMYFUNCTION("""COMPUTED_VALUE"""),10.0)</f>
        <v>10</v>
      </c>
      <c r="D508" s="3">
        <f>IFERROR(__xludf.DUMMYFUNCTION("""COMPUTED_VALUE"""),10.0)</f>
        <v>10</v>
      </c>
      <c r="E508" s="3" t="str">
        <f>IFERROR(__xludf.DUMMYFUNCTION("""COMPUTED_VALUE"""),"README.md contained all the details of the GitHub users in Boston with over 100 followers and their repositories and it also included details about files and data collected. Moreover, the repo contained the code which is very clear and elegant.")</f>
        <v>README.md contained all the details of the GitHub users in Boston with over 100 followers and their repositories and it also included details about files and data collected. Moreover, the repo contained the code which is very clear and elegant.</v>
      </c>
      <c r="F508" s="5" t="str">
        <f>IFERROR(__xludf.DUMMYFUNCTION("""COMPUTED_VALUE"""),"https://github.com/Navreet5002/tds_proj1")</f>
        <v>https://github.com/Navreet5002/tds_proj1</v>
      </c>
      <c r="G508" s="3">
        <f>IFERROR(__xludf.DUMMYFUNCTION("""COMPUTED_VALUE"""),10.0)</f>
        <v>10</v>
      </c>
      <c r="H508" s="3">
        <f>IFERROR(__xludf.DUMMYFUNCTION("""COMPUTED_VALUE"""),10.0)</f>
        <v>10</v>
      </c>
      <c r="I508" s="3" t="str">
        <f>IFERROR(__xludf.DUMMYFUNCTION("""COMPUTED_VALUE"""),"The repo contained a very good README.md in which a detailed explanation is given. Moreover the repo contained very clear and elegant code also.")</f>
        <v>The repo contained a very good README.md in which a detailed explanation is given. Moreover the repo contained very clear and elegant code also.</v>
      </c>
      <c r="J508" s="3" t="str">
        <f>IFERROR(__xludf.DUMMYFUNCTION("""COMPUTED_VALUE"""),"23f1002099@ds.study.iitm.ac.in")</f>
        <v>23f1002099@ds.study.iitm.ac.in</v>
      </c>
      <c r="K508" s="3" t="str">
        <f t="shared" si="1"/>
        <v>23f1002099@ds.study.iitm.ac.inhttps://github.com/AjithSaiCh/tds_project1</v>
      </c>
      <c r="L508" s="3" t="str">
        <f t="shared" si="2"/>
        <v>23f1002099@ds.study.iitm.ac.inhttps://github.com/Navreet5002/tds_proj1</v>
      </c>
    </row>
    <row r="509">
      <c r="A509" s="3">
        <f>IFERROR(__xludf.DUMMYFUNCTION("""COMPUTED_VALUE"""),45604.886924328704)</f>
        <v>45604.88692</v>
      </c>
      <c r="B509" s="5" t="str">
        <f>IFERROR(__xludf.DUMMYFUNCTION("""COMPUTED_VALUE"""),"https://github.com/anjupbse91/TDS-Project1")</f>
        <v>https://github.com/anjupbse91/TDS-Project1</v>
      </c>
      <c r="C509" s="3">
        <f>IFERROR(__xludf.DUMMYFUNCTION("""COMPUTED_VALUE"""),10.0)</f>
        <v>10</v>
      </c>
      <c r="D509" s="3">
        <f>IFERROR(__xludf.DUMMYFUNCTION("""COMPUTED_VALUE"""),9.0)</f>
        <v>9</v>
      </c>
      <c r="E509" s="3" t="str">
        <f>IFERROR(__xludf.DUMMYFUNCTION("""COMPUTED_VALUE"""),"It carries all the essential files. ")</f>
        <v>It carries all the essential files. </v>
      </c>
      <c r="F509" s="5" t="str">
        <f>IFERROR(__xludf.DUMMYFUNCTION("""COMPUTED_VALUE"""),"https://github.com/PRAVINKUMAR99/mywebsite")</f>
        <v>https://github.com/PRAVINKUMAR99/mywebsite</v>
      </c>
      <c r="G509" s="3">
        <f>IFERROR(__xludf.DUMMYFUNCTION("""COMPUTED_VALUE"""),10.0)</f>
        <v>10</v>
      </c>
      <c r="H509" s="3">
        <f>IFERROR(__xludf.DUMMYFUNCTION("""COMPUTED_VALUE"""),10.0)</f>
        <v>10</v>
      </c>
      <c r="I509" s="3" t="str">
        <f>IFERROR(__xludf.DUMMYFUNCTION("""COMPUTED_VALUE"""),"It carries all the essential files and it is written in very good manner. ")</f>
        <v>It carries all the essential files and it is written in very good manner. </v>
      </c>
      <c r="J509" s="3" t="str">
        <f>IFERROR(__xludf.DUMMYFUNCTION("""COMPUTED_VALUE"""),"21f1001805@ds.study.iitm.ac.in")</f>
        <v>21f1001805@ds.study.iitm.ac.in</v>
      </c>
      <c r="K509" s="3" t="str">
        <f t="shared" si="1"/>
        <v>21f1001805@ds.study.iitm.ac.inhttps://github.com/anjupbse91/TDS-Project1</v>
      </c>
      <c r="L509" s="3" t="str">
        <f t="shared" si="2"/>
        <v>21f1001805@ds.study.iitm.ac.inhttps://github.com/PRAVINKUMAR99/mywebsite</v>
      </c>
    </row>
    <row r="510">
      <c r="A510" s="3">
        <f>IFERROR(__xludf.DUMMYFUNCTION("""COMPUTED_VALUE"""),45604.88796086806)</f>
        <v>45604.88796</v>
      </c>
      <c r="B510" s="5" t="str">
        <f>IFERROR(__xludf.DUMMYFUNCTION("""COMPUTED_VALUE"""),"https://github.com/ayushiprajapti/TDS-PROJECT")</f>
        <v>https://github.com/ayushiprajapti/TDS-PROJECT</v>
      </c>
      <c r="C510" s="3">
        <f>IFERROR(__xludf.DUMMYFUNCTION("""COMPUTED_VALUE"""),10.0)</f>
        <v>10</v>
      </c>
      <c r="D510" s="3">
        <f>IFERROR(__xludf.DUMMYFUNCTION("""COMPUTED_VALUE"""),10.0)</f>
        <v>10</v>
      </c>
      <c r="E510" s="3" t="str">
        <f>IFERROR(__xludf.DUMMYFUNCTION("""COMPUTED_VALUE"""),"The repo’s code and readme files are clearly visible and provide a very insightful overview.")</f>
        <v>The repo’s code and readme files are clearly visible and provide a very insightful overview.</v>
      </c>
      <c r="F510" s="5" t="str">
        <f>IFERROR(__xludf.DUMMYFUNCTION("""COMPUTED_VALUE"""),"https://github.com/raunak-kumar800/tds-project")</f>
        <v>https://github.com/raunak-kumar800/tds-project</v>
      </c>
      <c r="G510" s="3">
        <f>IFERROR(__xludf.DUMMYFUNCTION("""COMPUTED_VALUE"""),10.0)</f>
        <v>10</v>
      </c>
      <c r="H510" s="3">
        <f>IFERROR(__xludf.DUMMYFUNCTION("""COMPUTED_VALUE"""),10.0)</f>
        <v>10</v>
      </c>
      <c r="I510" s="3" t="str">
        <f>IFERROR(__xludf.DUMMYFUNCTION("""COMPUTED_VALUE"""),"The repo follows all the guidelines and the readme files as well as the code is clearly visible. It also has clear findings and recommendations.")</f>
        <v>The repo follows all the guidelines and the readme files as well as the code is clearly visible. It also has clear findings and recommendations.</v>
      </c>
      <c r="J510" s="3" t="str">
        <f>IFERROR(__xludf.DUMMYFUNCTION("""COMPUTED_VALUE"""),"22f3000703@ds.study.iitm.ac.in")</f>
        <v>22f3000703@ds.study.iitm.ac.in</v>
      </c>
      <c r="K510" s="3" t="str">
        <f t="shared" si="1"/>
        <v>22f3000703@ds.study.iitm.ac.inhttps://github.com/ayushiprajapti/TDS-PROJECT</v>
      </c>
      <c r="L510" s="3" t="str">
        <f t="shared" si="2"/>
        <v>22f3000703@ds.study.iitm.ac.inhttps://github.com/raunak-kumar800/tds-project</v>
      </c>
    </row>
    <row r="511">
      <c r="A511" s="3">
        <f>IFERROR(__xludf.DUMMYFUNCTION("""COMPUTED_VALUE"""),45604.90996421296)</f>
        <v>45604.90996</v>
      </c>
      <c r="B511" s="5" t="str">
        <f>IFERROR(__xludf.DUMMYFUNCTION("""COMPUTED_VALUE"""),"https://github.com/ManuIITM-Coder/MOSCOW-50")</f>
        <v>https://github.com/ManuIITM-Coder/MOSCOW-50</v>
      </c>
      <c r="C511" s="3">
        <f>IFERROR(__xludf.DUMMYFUNCTION("""COMPUTED_VALUE"""),3.0)</f>
        <v>3</v>
      </c>
      <c r="D511" s="3">
        <f>IFERROR(__xludf.DUMMYFUNCTION("""COMPUTED_VALUE"""),0.0)</f>
        <v>0</v>
      </c>
      <c r="E511" s="3" t="str">
        <f>IFERROR(__xludf.DUMMYFUNCTION("""COMPUTED_VALUE"""),"There is no code but there is a README file")</f>
        <v>There is no code but there is a README file</v>
      </c>
      <c r="F511" s="5" t="str">
        <f>IFERROR(__xludf.DUMMYFUNCTION("""COMPUTED_VALUE"""),"https://github.com/ishitabhalla16/TDS-Project-1")</f>
        <v>https://github.com/ishitabhalla16/TDS-Project-1</v>
      </c>
      <c r="G511" s="3">
        <f>IFERROR(__xludf.DUMMYFUNCTION("""COMPUTED_VALUE"""),7.0)</f>
        <v>7</v>
      </c>
      <c r="H511" s="3">
        <f>IFERROR(__xludf.DUMMYFUNCTION("""COMPUTED_VALUE"""),0.0)</f>
        <v>0</v>
      </c>
      <c r="I511" s="3" t="str">
        <f>IFERROR(__xludf.DUMMYFUNCTION("""COMPUTED_VALUE"""),"There is no code but some amount of explanation is there in the README file.")</f>
        <v>There is no code but some amount of explanation is there in the README file.</v>
      </c>
      <c r="J511" s="3" t="str">
        <f>IFERROR(__xludf.DUMMYFUNCTION("""COMPUTED_VALUE"""),"22f1001210@ds.study.iitm.ac.in")</f>
        <v>22f1001210@ds.study.iitm.ac.in</v>
      </c>
      <c r="K511" s="3" t="str">
        <f t="shared" si="1"/>
        <v>22f1001210@ds.study.iitm.ac.inhttps://github.com/ManuIITM-Coder/MOSCOW-50</v>
      </c>
      <c r="L511" s="3" t="str">
        <f t="shared" si="2"/>
        <v>22f1001210@ds.study.iitm.ac.inhttps://github.com/ishitabhalla16/TDS-Project-1</v>
      </c>
    </row>
    <row r="512">
      <c r="A512" s="3">
        <f>IFERROR(__xludf.DUMMYFUNCTION("""COMPUTED_VALUE"""),45604.91280327547)</f>
        <v>45604.9128</v>
      </c>
      <c r="B512" s="5" t="str">
        <f>IFERROR(__xludf.DUMMYFUNCTION("""COMPUTED_VALUE"""),"https://github.com/Lakshay777s/TDS-project")</f>
        <v>https://github.com/Lakshay777s/TDS-project</v>
      </c>
      <c r="C512" s="3">
        <f>IFERROR(__xludf.DUMMYFUNCTION("""COMPUTED_VALUE"""),8.0)</f>
        <v>8</v>
      </c>
      <c r="D512" s="3">
        <f>IFERROR(__xludf.DUMMYFUNCTION("""COMPUTED_VALUE"""),9.0)</f>
        <v>9</v>
      </c>
      <c r="E512" s="3" t="str">
        <f>IFERROR(__xludf.DUMMYFUNCTION("""COMPUTED_VALUE"""),"It's good !! .. everything is clear &amp; precise;")</f>
        <v>It's good !! .. everything is clear &amp; precise;</v>
      </c>
      <c r="F512" s="5" t="str">
        <f>IFERROR(__xludf.DUMMYFUNCTION("""COMPUTED_VALUE"""),"https://github.com/rahulyadav46691499/TDS_project")</f>
        <v>https://github.com/rahulyadav46691499/TDS_project</v>
      </c>
      <c r="G512" s="3">
        <f>IFERROR(__xludf.DUMMYFUNCTION("""COMPUTED_VALUE"""),0.0)</f>
        <v>0</v>
      </c>
      <c r="H512" s="3">
        <f>IFERROR(__xludf.DUMMYFUNCTION("""COMPUTED_VALUE"""),0.0)</f>
        <v>0</v>
      </c>
      <c r="I512" s="3" t="str">
        <f>IFERROR(__xludf.DUMMYFUNCTION("""COMPUTED_VALUE"""),"Analysis and observations not present in Readme and there is no code.")</f>
        <v>Analysis and observations not present in Readme and there is no code.</v>
      </c>
      <c r="J512" s="3" t="str">
        <f>IFERROR(__xludf.DUMMYFUNCTION("""COMPUTED_VALUE"""),"22f1001645@ds.study.iitm.ac.in")</f>
        <v>22f1001645@ds.study.iitm.ac.in</v>
      </c>
      <c r="K512" s="3" t="str">
        <f t="shared" si="1"/>
        <v>22f1001645@ds.study.iitm.ac.inhttps://github.com/Lakshay777s/TDS-project</v>
      </c>
      <c r="L512" s="3" t="str">
        <f t="shared" si="2"/>
        <v>22f1001645@ds.study.iitm.ac.inhttps://github.com/rahulyadav46691499/TDS_project</v>
      </c>
    </row>
    <row r="513">
      <c r="A513" s="3">
        <f>IFERROR(__xludf.DUMMYFUNCTION("""COMPUTED_VALUE"""),45604.91753846065)</f>
        <v>45604.91754</v>
      </c>
      <c r="B513" s="5" t="str">
        <f>IFERROR(__xludf.DUMMYFUNCTION("""COMPUTED_VALUE"""),"https://github.com/raghu5427/TDS_Proj_1")</f>
        <v>https://github.com/raghu5427/TDS_Proj_1</v>
      </c>
      <c r="C513" s="3">
        <f>IFERROR(__xludf.DUMMYFUNCTION("""COMPUTED_VALUE"""),10.0)</f>
        <v>10</v>
      </c>
      <c r="D513" s="3">
        <f>IFERROR(__xludf.DUMMYFUNCTION("""COMPUTED_VALUE"""),2.0)</f>
        <v>2</v>
      </c>
      <c r="E513" s="3" t="str">
        <f>IFERROR(__xludf.DUMMYFUNCTION("""COMPUTED_VALUE"""),"There was neither code for scraping the github data nor any code for how analysis was carried out in the repo. ")</f>
        <v>There was neither code for scraping the github data nor any code for how analysis was carried out in the repo. </v>
      </c>
      <c r="F513" s="5" t="str">
        <f>IFERROR(__xludf.DUMMYFUNCTION("""COMPUTED_VALUE"""),"https://github.com/ThePenguin12345/TDS_Project1")</f>
        <v>https://github.com/ThePenguin12345/TDS_Project1</v>
      </c>
      <c r="G513" s="3">
        <f>IFERROR(__xludf.DUMMYFUNCTION("""COMPUTED_VALUE"""),10.0)</f>
        <v>10</v>
      </c>
      <c r="H513" s="3">
        <f>IFERROR(__xludf.DUMMYFUNCTION("""COMPUTED_VALUE"""),10.0)</f>
        <v>10</v>
      </c>
      <c r="I513" s="3" t="str">
        <f>IFERROR(__xludf.DUMMYFUNCTION("""COMPUTED_VALUE"""),"Good observations and clear, professional code.")</f>
        <v>Good observations and clear, professional code.</v>
      </c>
      <c r="J513" s="3" t="str">
        <f>IFERROR(__xludf.DUMMYFUNCTION("""COMPUTED_VALUE"""),"22f3000448@ds.study.iitm.ac.in")</f>
        <v>22f3000448@ds.study.iitm.ac.in</v>
      </c>
      <c r="K513" s="3" t="str">
        <f t="shared" si="1"/>
        <v>22f3000448@ds.study.iitm.ac.inhttps://github.com/raghu5427/TDS_Proj_1</v>
      </c>
      <c r="L513" s="3" t="str">
        <f t="shared" si="2"/>
        <v>22f3000448@ds.study.iitm.ac.inhttps://github.com/ThePenguin12345/TDS_Project1</v>
      </c>
    </row>
    <row r="514">
      <c r="A514" s="3">
        <f>IFERROR(__xludf.DUMMYFUNCTION("""COMPUTED_VALUE"""),45604.92356553241)</f>
        <v>45604.92357</v>
      </c>
      <c r="B514" s="5" t="str">
        <f>IFERROR(__xludf.DUMMYFUNCTION("""COMPUTED_VALUE"""),"https://github.com/S-Prasad-M/tds_proj1/")</f>
        <v>https://github.com/S-Prasad-M/tds_proj1/</v>
      </c>
      <c r="C514" s="3">
        <f>IFERROR(__xludf.DUMMYFUNCTION("""COMPUTED_VALUE"""),9.0)</f>
        <v>9</v>
      </c>
      <c r="D514" s="3">
        <f>IFERROR(__xludf.DUMMYFUNCTION("""COMPUTED_VALUE"""),9.0)</f>
        <v>9</v>
      </c>
      <c r="E514" s="3" t="str">
        <f>IFERROR(__xludf.DUMMYFUNCTION("""COMPUTED_VALUE"""),"the readme has 2 insights but they are very general nothing fascinating and the code quality is good")</f>
        <v>the readme has 2 insights but they are very general nothing fascinating and the code quality is good</v>
      </c>
      <c r="F514" s="5" t="str">
        <f>IFERROR(__xludf.DUMMYFUNCTION("""COMPUTED_VALUE"""),"https://github.com/sneha-singh-12345578998/TDSProj-1")</f>
        <v>https://github.com/sneha-singh-12345578998/TDSProj-1</v>
      </c>
      <c r="G514" s="3">
        <f>IFERROR(__xludf.DUMMYFUNCTION("""COMPUTED_VALUE"""),10.0)</f>
        <v>10</v>
      </c>
      <c r="H514" s="3">
        <f>IFERROR(__xludf.DUMMYFUNCTION("""COMPUTED_VALUE"""),9.0)</f>
        <v>9</v>
      </c>
      <c r="I514" s="3" t="str">
        <f>IFERROR(__xludf.DUMMYFUNCTION("""COMPUTED_VALUE"""),"the readme provided clear insight about programing languages, compared it with past trend too and the code quality is good")</f>
        <v>the readme provided clear insight about programing languages, compared it with past trend too and the code quality is good</v>
      </c>
      <c r="J514" s="3" t="str">
        <f>IFERROR(__xludf.DUMMYFUNCTION("""COMPUTED_VALUE"""),"23f1000113@ds.study.iitm.ac.in")</f>
        <v>23f1000113@ds.study.iitm.ac.in</v>
      </c>
      <c r="K514" s="3" t="str">
        <f t="shared" si="1"/>
        <v>23f1000113@ds.study.iitm.ac.inhttps://github.com/S-Prasad-M/tds_proj1/</v>
      </c>
      <c r="L514" s="3" t="str">
        <f t="shared" si="2"/>
        <v>23f1000113@ds.study.iitm.ac.inhttps://github.com/sneha-singh-12345578998/TDSProj-1</v>
      </c>
    </row>
    <row r="515">
      <c r="A515" s="3">
        <f>IFERROR(__xludf.DUMMYFUNCTION("""COMPUTED_VALUE"""),45604.92692211806)</f>
        <v>45604.92692</v>
      </c>
      <c r="B515" s="5" t="str">
        <f>IFERROR(__xludf.DUMMYFUNCTION("""COMPUTED_VALUE"""),"https://github.com/sanskar-gupta206/TDS_P1")</f>
        <v>https://github.com/sanskar-gupta206/TDS_P1</v>
      </c>
      <c r="C515" s="3">
        <f>IFERROR(__xludf.DUMMYFUNCTION("""COMPUTED_VALUE"""),9.0)</f>
        <v>9</v>
      </c>
      <c r="D515" s="3">
        <f>IFERROR(__xludf.DUMMYFUNCTION("""COMPUTED_VALUE"""),10.0)</f>
        <v>10</v>
      </c>
      <c r="E515" s="3" t="str">
        <f>IFERROR(__xludf.DUMMYFUNCTION("""COMPUTED_VALUE"""),"The code is clear and well-written, and the readme file is well-structured. However, it could've provided more detail on its key findings. The dataset on Bangalore city (where I live), piqued my curiosity about which languages developers use besides JavaS"&amp;"cript and Python. Unfortunately, I was left hanging curious on that topic.")</f>
        <v>The code is clear and well-written, and the readme file is well-structured. However, it could've provided more detail on its key findings. The dataset on Bangalore city (where I live), piqued my curiosity about which languages developers use besides JavaScript and Python. Unfortunately, I was left hanging curious on that topic.</v>
      </c>
      <c r="F515" s="5" t="str">
        <f>IFERROR(__xludf.DUMMYFUNCTION("""COMPUTED_VALUE"""),"https://github.com/NewDaci/tds-project1")</f>
        <v>https://github.com/NewDaci/tds-project1</v>
      </c>
      <c r="G515" s="3">
        <f>IFERROR(__xludf.DUMMYFUNCTION("""COMPUTED_VALUE"""),10.0)</f>
        <v>10</v>
      </c>
      <c r="H515" s="3">
        <f>IFERROR(__xludf.DUMMYFUNCTION("""COMPUTED_VALUE"""),8.0)</f>
        <v>8</v>
      </c>
      <c r="I515" s="3" t="str">
        <f>IFERROR(__xludf.DUMMYFUNCTION("""COMPUTED_VALUE"""),"The insights presented in the readme file is fascinating and up to the mark. While the code is split across multiple files instead of a single script, it's clear and well-commented.")</f>
        <v>The insights presented in the readme file is fascinating and up to the mark. While the code is split across multiple files instead of a single script, it's clear and well-commented.</v>
      </c>
      <c r="J515" s="3" t="str">
        <f>IFERROR(__xludf.DUMMYFUNCTION("""COMPUTED_VALUE"""),"21f2001015@ds.study.iitm.ac.in")</f>
        <v>21f2001015@ds.study.iitm.ac.in</v>
      </c>
      <c r="K515" s="3" t="str">
        <f t="shared" si="1"/>
        <v>21f2001015@ds.study.iitm.ac.inhttps://github.com/sanskar-gupta206/TDS_P1</v>
      </c>
      <c r="L515" s="3" t="str">
        <f t="shared" si="2"/>
        <v>21f2001015@ds.study.iitm.ac.inhttps://github.com/NewDaci/tds-project1</v>
      </c>
    </row>
    <row r="516">
      <c r="A516" s="3">
        <f>IFERROR(__xludf.DUMMYFUNCTION("""COMPUTED_VALUE"""),45604.93258309028)</f>
        <v>45604.93258</v>
      </c>
      <c r="B516" s="5" t="str">
        <f>IFERROR(__xludf.DUMMYFUNCTION("""COMPUTED_VALUE"""),"https://github.com/22f3000350/22f3000350-TDS-Project-1")</f>
        <v>https://github.com/22f3000350/22f3000350-TDS-Project-1</v>
      </c>
      <c r="C516" s="3">
        <f>IFERROR(__xludf.DUMMYFUNCTION("""COMPUTED_VALUE"""),7.0)</f>
        <v>7</v>
      </c>
      <c r="D516" s="3">
        <f>IFERROR(__xludf.DUMMYFUNCTION("""COMPUTED_VALUE"""),8.0)</f>
        <v>8</v>
      </c>
      <c r="E516" s="3" t="str">
        <f>IFERROR(__xludf.DUMMYFUNCTION("""COMPUTED_VALUE"""),"In the README, it was noted that Python and JavaScript are the most popular languages, which is expected. The writer mentions discovering a language called D but doesn't specify the context. The code quality seems good, and I believe using environment var"&amp;"iables for keys is preferable to including keys directly. These are the reasons for my ratings.")</f>
        <v>In the README, it was noted that Python and JavaScript are the most popular languages, which is expected. The writer mentions discovering a language called D but doesn't specify the context. The code quality seems good, and I believe using environment variables for keys is preferable to including keys directly. These are the reasons for my ratings.</v>
      </c>
      <c r="F516" s="5" t="str">
        <f>IFERROR(__xludf.DUMMYFUNCTION("""COMPUTED_VALUE"""),"https://github.com/anupam-21f2000522/Mumbai-50")</f>
        <v>https://github.com/anupam-21f2000522/Mumbai-50</v>
      </c>
      <c r="G516" s="3">
        <f>IFERROR(__xludf.DUMMYFUNCTION("""COMPUTED_VALUE"""),8.0)</f>
        <v>8</v>
      </c>
      <c r="H516" s="3">
        <f>IFERROR(__xludf.DUMMYFUNCTION("""COMPUTED_VALUE"""),0.0)</f>
        <v>0</v>
      </c>
      <c r="I516" s="3" t="str">
        <f>IFERROR(__xludf.DUMMYFUNCTION("""COMPUTED_VALUE"""),"The insights are strong, and there's no code file, which is why I gave the above rating.")</f>
        <v>The insights are strong, and there's no code file, which is why I gave the above rating.</v>
      </c>
      <c r="J516" s="3" t="str">
        <f>IFERROR(__xludf.DUMMYFUNCTION("""COMPUTED_VALUE"""),"22f3001489@ds.study.iitm.ac.in")</f>
        <v>22f3001489@ds.study.iitm.ac.in</v>
      </c>
      <c r="K516" s="3" t="str">
        <f t="shared" si="1"/>
        <v>22f3001489@ds.study.iitm.ac.inhttps://github.com/22f3000350/22f3000350-TDS-Project-1</v>
      </c>
      <c r="L516" s="3" t="str">
        <f t="shared" si="2"/>
        <v>22f3001489@ds.study.iitm.ac.inhttps://github.com/anupam-21f2000522/Mumbai-50</v>
      </c>
    </row>
    <row r="517">
      <c r="A517" s="3">
        <f>IFERROR(__xludf.DUMMYFUNCTION("""COMPUTED_VALUE"""),45604.936004641204)</f>
        <v>45604.936</v>
      </c>
      <c r="B517" s="5" t="str">
        <f>IFERROR(__xludf.DUMMYFUNCTION("""COMPUTED_VALUE"""),"https://github.com/jagrutiitm/tdsproject1")</f>
        <v>https://github.com/jagrutiitm/tdsproject1</v>
      </c>
      <c r="C517" s="3">
        <f>IFERROR(__xludf.DUMMYFUNCTION("""COMPUTED_VALUE"""),0.0)</f>
        <v>0</v>
      </c>
      <c r="D517" s="3">
        <f>IFERROR(__xludf.DUMMYFUNCTION("""COMPUTED_VALUE"""),0.0)</f>
        <v>0</v>
      </c>
      <c r="E517" s="3" t="str">
        <f>IFERROR(__xludf.DUMMYFUNCTION("""COMPUTED_VALUE"""),"No readme and code was present in the repository")</f>
        <v>No readme and code was present in the repository</v>
      </c>
      <c r="F517" s="5" t="str">
        <f>IFERROR(__xludf.DUMMYFUNCTION("""COMPUTED_VALUE"""),"https://github.com/Harini-commits/stockholm-github-users")</f>
        <v>https://github.com/Harini-commits/stockholm-github-users</v>
      </c>
      <c r="G517" s="3">
        <f>IFERROR(__xludf.DUMMYFUNCTION("""COMPUTED_VALUE"""),10.0)</f>
        <v>10</v>
      </c>
      <c r="H517" s="3">
        <f>IFERROR(__xludf.DUMMYFUNCTION("""COMPUTED_VALUE"""),10.0)</f>
        <v>10</v>
      </c>
      <c r="I517" s="3" t="str">
        <f>IFERROR(__xludf.DUMMYFUNCTION("""COMPUTED_VALUE"""),"The readme file was very well presented. There were enough fascinating thins especially related to longer bios. Code was elegant and clear")</f>
        <v>The readme file was very well presented. There were enough fascinating thins especially related to longer bios. Code was elegant and clear</v>
      </c>
      <c r="J517" s="3" t="str">
        <f>IFERROR(__xludf.DUMMYFUNCTION("""COMPUTED_VALUE"""),"23f3001320@ds.study.iitm.ac.in")</f>
        <v>23f3001320@ds.study.iitm.ac.in</v>
      </c>
      <c r="K517" s="3" t="str">
        <f t="shared" si="1"/>
        <v>23f3001320@ds.study.iitm.ac.inhttps://github.com/jagrutiitm/tdsproject1</v>
      </c>
      <c r="L517" s="3" t="str">
        <f t="shared" si="2"/>
        <v>23f3001320@ds.study.iitm.ac.inhttps://github.com/Harini-commits/stockholm-github-users</v>
      </c>
    </row>
    <row r="518">
      <c r="A518" s="3">
        <f>IFERROR(__xludf.DUMMYFUNCTION("""COMPUTED_VALUE"""),45604.939917615746)</f>
        <v>45604.93992</v>
      </c>
      <c r="B518" s="5" t="str">
        <f>IFERROR(__xludf.DUMMYFUNCTION("""COMPUTED_VALUE"""),"https://github.com/Ankurnathsingh/TDS_P1_MELBOURNE100")</f>
        <v>https://github.com/Ankurnathsingh/TDS_P1_MELBOURNE100</v>
      </c>
      <c r="C518" s="3">
        <f>IFERROR(__xludf.DUMMYFUNCTION("""COMPUTED_VALUE"""),7.0)</f>
        <v>7</v>
      </c>
      <c r="D518" s="3">
        <f>IFERROR(__xludf.DUMMYFUNCTION("""COMPUTED_VALUE"""),9.0)</f>
        <v>9</v>
      </c>
      <c r="E518" s="3" t="str">
        <f>IFERROR(__xludf.DUMMYFUNCTION("""COMPUTED_VALUE"""),"The insights are as expected, nothing particularly fascinating, and the code quality seems very good.")</f>
        <v>The insights are as expected, nothing particularly fascinating, and the code quality seems very good.</v>
      </c>
      <c r="F518" s="5" t="str">
        <f>IFERROR(__xludf.DUMMYFUNCTION("""COMPUTED_VALUE"""),"https://github.com/Gaurangi2712/TDS_proj1")</f>
        <v>https://github.com/Gaurangi2712/TDS_proj1</v>
      </c>
      <c r="G518" s="3">
        <f>IFERROR(__xludf.DUMMYFUNCTION("""COMPUTED_VALUE"""),8.0)</f>
        <v>8</v>
      </c>
      <c r="H518" s="3">
        <f>IFERROR(__xludf.DUMMYFUNCTION("""COMPUTED_VALUE"""),8.0)</f>
        <v>8</v>
      </c>
      <c r="I518" s="3" t="str">
        <f>IFERROR(__xludf.DUMMYFUNCTION("""COMPUTED_VALUE"""),"The insights and code seem good.")</f>
        <v>The insights and code seem good.</v>
      </c>
      <c r="J518" s="3" t="str">
        <f>IFERROR(__xludf.DUMMYFUNCTION("""COMPUTED_VALUE"""),"22f3002525@ds.study.iitm.ac.in")</f>
        <v>22f3002525@ds.study.iitm.ac.in</v>
      </c>
      <c r="K518" s="3" t="str">
        <f t="shared" si="1"/>
        <v>22f3002525@ds.study.iitm.ac.inhttps://github.com/Ankurnathsingh/TDS_P1_MELBOURNE100</v>
      </c>
      <c r="L518" s="3" t="str">
        <f t="shared" si="2"/>
        <v>22f3002525@ds.study.iitm.ac.inhttps://github.com/Gaurangi2712/TDS_proj1</v>
      </c>
    </row>
    <row r="519">
      <c r="A519" s="3">
        <f>IFERROR(__xludf.DUMMYFUNCTION("""COMPUTED_VALUE"""),45604.94125263889)</f>
        <v>45604.94125</v>
      </c>
      <c r="B519" s="5" t="str">
        <f>IFERROR(__xludf.DUMMYFUNCTION("""COMPUTED_VALUE"""),"https://github.com/SonaliDuvesh/project1")</f>
        <v>https://github.com/SonaliDuvesh/project1</v>
      </c>
      <c r="C519" s="3">
        <f>IFERROR(__xludf.DUMMYFUNCTION("""COMPUTED_VALUE"""),10.0)</f>
        <v>10</v>
      </c>
      <c r="D519" s="3">
        <f>IFERROR(__xludf.DUMMYFUNCTION("""COMPUTED_VALUE"""),10.0)</f>
        <v>10</v>
      </c>
      <c r="E519" s="3" t="str">
        <f>IFERROR(__xludf.DUMMYFUNCTION("""COMPUTED_VALUE"""),"The code is very clear and precise with questions number and serial mentioned, very easy to understand. README has a very clear findings and description of the project with proper headings and subheadings, key analysis findings pointers are added and thor"&amp;"ough recommendations given ")</f>
        <v>The code is very clear and precise with questions number and serial mentioned, very easy to understand. README has a very clear findings and description of the project with proper headings and subheadings, key analysis findings pointers are added and thorough recommendations given </v>
      </c>
      <c r="F519" s="5" t="str">
        <f>IFERROR(__xludf.DUMMYFUNCTION("""COMPUTED_VALUE"""),"https://github.com/CaptPeroxide7/TDS-Proj1")</f>
        <v>https://github.com/CaptPeroxide7/TDS-Proj1</v>
      </c>
      <c r="G519" s="3">
        <f>IFERROR(__xludf.DUMMYFUNCTION("""COMPUTED_VALUE"""),7.0)</f>
        <v>7</v>
      </c>
      <c r="H519" s="3">
        <f>IFERROR(__xludf.DUMMYFUNCTION("""COMPUTED_VALUE"""),5.0)</f>
        <v>5</v>
      </c>
      <c r="I519" s="3" t="str">
        <f>IFERROR(__xludf.DUMMYFUNCTION("""COMPUTED_VALUE"""),"The code is clear with question number mentioned. Easy to navigate and understand. README has very limited content with an overview of project and a brief conclusion. ")</f>
        <v>The code is clear with question number mentioned. Easy to navigate and understand. README has very limited content with an overview of project and a brief conclusion. </v>
      </c>
      <c r="J519" s="3" t="str">
        <f>IFERROR(__xludf.DUMMYFUNCTION("""COMPUTED_VALUE"""),"24ds3000064@ds.study.iitm.ac.in")</f>
        <v>24ds3000064@ds.study.iitm.ac.in</v>
      </c>
      <c r="K519" s="3" t="str">
        <f t="shared" si="1"/>
        <v>24ds3000064@ds.study.iitm.ac.inhttps://github.com/SonaliDuvesh/project1</v>
      </c>
      <c r="L519" s="3" t="str">
        <f t="shared" si="2"/>
        <v>24ds3000064@ds.study.iitm.ac.inhttps://github.com/CaptPeroxide7/TDS-Proj1</v>
      </c>
    </row>
    <row r="520">
      <c r="A520" s="3">
        <f>IFERROR(__xludf.DUMMYFUNCTION("""COMPUTED_VALUE"""),45604.95396572917)</f>
        <v>45604.95397</v>
      </c>
      <c r="B520" s="5" t="str">
        <f>IFERROR(__xludf.DUMMYFUNCTION("""COMPUTED_VALUE"""),"https://github.com/21f2001136/tds_1")</f>
        <v>https://github.com/21f2001136/tds_1</v>
      </c>
      <c r="C520" s="3">
        <f>IFERROR(__xludf.DUMMYFUNCTION("""COMPUTED_VALUE"""),8.0)</f>
        <v>8</v>
      </c>
      <c r="D520" s="3">
        <f>IFERROR(__xludf.DUMMYFUNCTION("""COMPUTED_VALUE"""),10.0)</f>
        <v>10</v>
      </c>
      <c r="E520" s="3" t="str">
        <f>IFERROR(__xludf.DUMMYFUNCTION("""COMPUTED_VALUE"""),"The README.md is not that interesting. That's why a reduced score. But the code provided is clear and correct.")</f>
        <v>The README.md is not that interesting. That's why a reduced score. But the code provided is clear and correct.</v>
      </c>
      <c r="F520" s="5" t="str">
        <f>IFERROR(__xludf.DUMMYFUNCTION("""COMPUTED_VALUE"""),"https://github.com/22f3002758/TDS-Project1")</f>
        <v>https://github.com/22f3002758/TDS-Project1</v>
      </c>
      <c r="G520" s="3">
        <f>IFERROR(__xludf.DUMMYFUNCTION("""COMPUTED_VALUE"""),10.0)</f>
        <v>10</v>
      </c>
      <c r="H520" s="3">
        <f>IFERROR(__xludf.DUMMYFUNCTION("""COMPUTED_VALUE"""),10.0)</f>
        <v>10</v>
      </c>
      <c r="I520" s="3" t="str">
        <f>IFERROR(__xludf.DUMMYFUNCTION("""COMPUTED_VALUE"""),"The readme file is present it's giving interesting findings. Also, the code provided is clear and correct.")</f>
        <v>The readme file is present it's giving interesting findings. Also, the code provided is clear and correct.</v>
      </c>
      <c r="J520" s="3" t="str">
        <f>IFERROR(__xludf.DUMMYFUNCTION("""COMPUTED_VALUE"""),"21f3000517@ds.study.iitm.ac.in")</f>
        <v>21f3000517@ds.study.iitm.ac.in</v>
      </c>
      <c r="K520" s="3" t="str">
        <f t="shared" si="1"/>
        <v>21f3000517@ds.study.iitm.ac.inhttps://github.com/21f2001136/tds_1</v>
      </c>
      <c r="L520" s="3" t="str">
        <f t="shared" si="2"/>
        <v>21f3000517@ds.study.iitm.ac.inhttps://github.com/22f3002758/TDS-Project1</v>
      </c>
    </row>
    <row r="521">
      <c r="A521" s="3">
        <f>IFERROR(__xludf.DUMMYFUNCTION("""COMPUTED_VALUE"""),45604.95496324074)</f>
        <v>45604.95496</v>
      </c>
      <c r="B521" s="5" t="str">
        <f>IFERROR(__xludf.DUMMYFUNCTION("""COMPUTED_VALUE"""),"https://github.com/ratantiwaridev/tds_project1")</f>
        <v>https://github.com/ratantiwaridev/tds_project1</v>
      </c>
      <c r="C521" s="3">
        <f>IFERROR(__xludf.DUMMYFUNCTION("""COMPUTED_VALUE"""),10.0)</f>
        <v>10</v>
      </c>
      <c r="D521" s="3">
        <f>IFERROR(__xludf.DUMMYFUNCTION("""COMPUTED_VALUE"""),10.0)</f>
        <v>10</v>
      </c>
      <c r="E521" s="3" t="str">
        <f>IFERROR(__xludf.DUMMYFUNCTION("""COMPUTED_VALUE"""),"It pretty much clean and easy to understand ")</f>
        <v>It pretty much clean and easy to understand </v>
      </c>
      <c r="F521" s="5" t="str">
        <f>IFERROR(__xludf.DUMMYFUNCTION("""COMPUTED_VALUE"""),"https://github.com/samreen-fathima-s/tds")</f>
        <v>https://github.com/samreen-fathima-s/tds</v>
      </c>
      <c r="G521" s="3">
        <f>IFERROR(__xludf.DUMMYFUNCTION("""COMPUTED_VALUE"""),10.0)</f>
        <v>10</v>
      </c>
      <c r="H521" s="3">
        <f>IFERROR(__xludf.DUMMYFUNCTION("""COMPUTED_VALUE"""),10.0)</f>
        <v>10</v>
      </c>
      <c r="I521" s="3" t="str">
        <f>IFERROR(__xludf.DUMMYFUNCTION("""COMPUTED_VALUE"""),"Nicely done and pretty much clear")</f>
        <v>Nicely done and pretty much clear</v>
      </c>
      <c r="J521" s="3" t="str">
        <f>IFERROR(__xludf.DUMMYFUNCTION("""COMPUTED_VALUE"""),"22f3002614@ds.study.iitm.ac.in")</f>
        <v>22f3002614@ds.study.iitm.ac.in</v>
      </c>
      <c r="K521" s="3" t="str">
        <f t="shared" si="1"/>
        <v>22f3002614@ds.study.iitm.ac.inhttps://github.com/ratantiwaridev/tds_project1</v>
      </c>
      <c r="L521" s="3" t="str">
        <f t="shared" si="2"/>
        <v>22f3002614@ds.study.iitm.ac.inhttps://github.com/samreen-fathima-s/tds</v>
      </c>
    </row>
    <row r="522">
      <c r="A522" s="3">
        <f>IFERROR(__xludf.DUMMYFUNCTION("""COMPUTED_VALUE"""),45604.97044013889)</f>
        <v>45604.97044</v>
      </c>
      <c r="B522" s="5" t="str">
        <f>IFERROR(__xludf.DUMMYFUNCTION("""COMPUTED_VALUE"""),"https://github.com/BOBandNODDY/SquashDaw")</f>
        <v>https://github.com/BOBandNODDY/SquashDaw</v>
      </c>
      <c r="C522" s="3">
        <f>IFERROR(__xludf.DUMMYFUNCTION("""COMPUTED_VALUE"""),8.0)</f>
        <v>8</v>
      </c>
      <c r="D522" s="3">
        <f>IFERROR(__xludf.DUMMYFUNCTION("""COMPUTED_VALUE"""),0.0)</f>
        <v>0</v>
      </c>
      <c r="E522" s="3" t="str">
        <f>IFERROR(__xludf.DUMMYFUNCTION("""COMPUTED_VALUE"""),"The student has stated facts about the popularity of HTML and Javascript in the README file, and a generic recommendation of people to improve their presence by being active and engaging. The repo has no code which puts the people who reads the repo cluel"&amp;"ess on how was it done.")</f>
        <v>The student has stated facts about the popularity of HTML and Javascript in the README file, and a generic recommendation of people to improve their presence by being active and engaging. The repo has no code which puts the people who reads the repo clueless on how was it done.</v>
      </c>
      <c r="F522" s="5" t="str">
        <f>IFERROR(__xludf.DUMMYFUNCTION("""COMPUTED_VALUE"""),"https://github.com/divyanshdixit09/tds_project1")</f>
        <v>https://github.com/divyanshdixit09/tds_project1</v>
      </c>
      <c r="G522" s="3">
        <f>IFERROR(__xludf.DUMMYFUNCTION("""COMPUTED_VALUE"""),10.0)</f>
        <v>10</v>
      </c>
      <c r="H522" s="3">
        <f>IFERROR(__xludf.DUMMYFUNCTION("""COMPUTED_VALUE"""),10.0)</f>
        <v>10</v>
      </c>
      <c r="I522" s="3" t="str">
        <f>IFERROR(__xludf.DUMMYFUNCTION("""COMPUTED_VALUE"""),"The README is written well, explaining what the repo is about and the fact about the power of GitHub API is good as well.
The code is also written cleanly in python, simple to understand for a person with a basic technical background.")</f>
        <v>The README is written well, explaining what the repo is about and the fact about the power of GitHub API is good as well.
The code is also written cleanly in python, simple to understand for a person with a basic technical background.</v>
      </c>
      <c r="J522" s="3" t="str">
        <f>IFERROR(__xludf.DUMMYFUNCTION("""COMPUTED_VALUE"""),"23f1001585@ds.study.iitm.ac.in")</f>
        <v>23f1001585@ds.study.iitm.ac.in</v>
      </c>
      <c r="K522" s="3" t="str">
        <f t="shared" si="1"/>
        <v>23f1001585@ds.study.iitm.ac.inhttps://github.com/BOBandNODDY/SquashDaw</v>
      </c>
      <c r="L522" s="3" t="str">
        <f t="shared" si="2"/>
        <v>23f1001585@ds.study.iitm.ac.inhttps://github.com/divyanshdixit09/tds_project1</v>
      </c>
    </row>
    <row r="523">
      <c r="A523" s="3">
        <f>IFERROR(__xludf.DUMMYFUNCTION("""COMPUTED_VALUE"""),45604.971072939814)</f>
        <v>45604.97107</v>
      </c>
      <c r="B523" s="5" t="str">
        <f>IFERROR(__xludf.DUMMYFUNCTION("""COMPUTED_VALUE"""),"https://github.com/22f2000809/project_1")</f>
        <v>https://github.com/22f2000809/project_1</v>
      </c>
      <c r="C523" s="3">
        <f>IFERROR(__xludf.DUMMYFUNCTION("""COMPUTED_VALUE"""),6.0)</f>
        <v>6</v>
      </c>
      <c r="D523" s="3">
        <f>IFERROR(__xludf.DUMMYFUNCTION("""COMPUTED_VALUE"""),0.0)</f>
        <v>0</v>
      </c>
      <c r="E523" s="3" t="str">
        <f>IFERROR(__xludf.DUMMYFUNCTION("""COMPUTED_VALUE"""),"There is no code in repo and his finding are not so fascinating")</f>
        <v>There is no code in repo and his finding are not so fascinating</v>
      </c>
      <c r="F523" s="5" t="str">
        <f>IFERROR(__xludf.DUMMYFUNCTION("""COMPUTED_VALUE"""),"https://github.com/23ds3000139/my_TDS_P1_submission")</f>
        <v>https://github.com/23ds3000139/my_TDS_P1_submission</v>
      </c>
      <c r="G523" s="3">
        <f>IFERROR(__xludf.DUMMYFUNCTION("""COMPUTED_VALUE"""),9.0)</f>
        <v>9</v>
      </c>
      <c r="H523" s="3">
        <f>IFERROR(__xludf.DUMMYFUNCTION("""COMPUTED_VALUE"""),0.0)</f>
        <v>0</v>
      </c>
      <c r="I523" s="3" t="str">
        <f>IFERROR(__xludf.DUMMYFUNCTION("""COMPUTED_VALUE"""),"There is no code in his repo and his finding is fascinating and looks like he has done some statistical analysis to learn this information.")</f>
        <v>There is no code in his repo and his finding is fascinating and looks like he has done some statistical analysis to learn this information.</v>
      </c>
      <c r="J523" s="3" t="str">
        <f>IFERROR(__xludf.DUMMYFUNCTION("""COMPUTED_VALUE"""),"23ds3000081@ds.study.iitm.ac.in")</f>
        <v>23ds3000081@ds.study.iitm.ac.in</v>
      </c>
      <c r="K523" s="3" t="str">
        <f t="shared" si="1"/>
        <v>23ds3000081@ds.study.iitm.ac.inhttps://github.com/22f2000809/project_1</v>
      </c>
      <c r="L523" s="3" t="str">
        <f t="shared" si="2"/>
        <v>23ds3000081@ds.study.iitm.ac.inhttps://github.com/23ds3000139/my_TDS_P1_submission</v>
      </c>
    </row>
    <row r="524">
      <c r="A524" s="3">
        <f>IFERROR(__xludf.DUMMYFUNCTION("""COMPUTED_VALUE"""),45604.99736863426)</f>
        <v>45604.99737</v>
      </c>
      <c r="B524" s="5" t="str">
        <f>IFERROR(__xludf.DUMMYFUNCTION("""COMPUTED_VALUE"""),"https://github.com/Shivam-IITM-DS/banglore-users")</f>
        <v>https://github.com/Shivam-IITM-DS/banglore-users</v>
      </c>
      <c r="C524" s="3">
        <f>IFERROR(__xludf.DUMMYFUNCTION("""COMPUTED_VALUE"""),6.0)</f>
        <v>6</v>
      </c>
      <c r="D524" s="3">
        <f>IFERROR(__xludf.DUMMYFUNCTION("""COMPUTED_VALUE"""),8.0)</f>
        <v>8</v>
      </c>
      <c r="E524" s="3" t="str">
        <f>IFERROR(__xludf.DUMMYFUNCTION("""COMPUTED_VALUE"""),"The readme can structured in a better way. The code for scraping can be commented.")</f>
        <v>The readme can structured in a better way. The code for scraping can be commented.</v>
      </c>
      <c r="F524" s="5" t="str">
        <f>IFERROR(__xludf.DUMMYFUNCTION("""COMPUTED_VALUE"""),"https://github.com/ajay-iit/TDS-Project-1")</f>
        <v>https://github.com/ajay-iit/TDS-Project-1</v>
      </c>
      <c r="G524" s="3">
        <f>IFERROR(__xludf.DUMMYFUNCTION("""COMPUTED_VALUE"""),10.0)</f>
        <v>10</v>
      </c>
      <c r="H524" s="3">
        <f>IFERROR(__xludf.DUMMYFUNCTION("""COMPUTED_VALUE"""),9.0)</f>
        <v>9</v>
      </c>
      <c r="I524" s="3" t="str">
        <f>IFERROR(__xludf.DUMMYFUNCTION("""COMPUTED_VALUE"""),"I learnt an amusing fact that each additional word in the user's bio in GitHub correlates with roughly 9 additional followers. The codes are well commented, organized and easy to follow.")</f>
        <v>I learnt an amusing fact that each additional word in the user's bio in GitHub correlates with roughly 9 additional followers. The codes are well commented, organized and easy to follow.</v>
      </c>
      <c r="J524" s="3" t="str">
        <f>IFERROR(__xludf.DUMMYFUNCTION("""COMPUTED_VALUE"""),"24ds1000095@ds.study.iitm.ac.in")</f>
        <v>24ds1000095@ds.study.iitm.ac.in</v>
      </c>
      <c r="K524" s="3" t="str">
        <f t="shared" si="1"/>
        <v>24ds1000095@ds.study.iitm.ac.inhttps://github.com/Shivam-IITM-DS/banglore-users</v>
      </c>
      <c r="L524" s="3" t="str">
        <f t="shared" si="2"/>
        <v>24ds1000095@ds.study.iitm.ac.inhttps://github.com/ajay-iit/TDS-Project-1</v>
      </c>
    </row>
    <row r="525">
      <c r="A525" s="3">
        <f>IFERROR(__xludf.DUMMYFUNCTION("""COMPUTED_VALUE"""),45605.01065783565)</f>
        <v>45605.01066</v>
      </c>
      <c r="B525" s="5" t="str">
        <f>IFERROR(__xludf.DUMMYFUNCTION("""COMPUTED_VALUE"""),"https://github.com/Aakash-Prime/github-users-chennai")</f>
        <v>https://github.com/Aakash-Prime/github-users-chennai</v>
      </c>
      <c r="C525" s="3">
        <f>IFERROR(__xludf.DUMMYFUNCTION("""COMPUTED_VALUE"""),7.0)</f>
        <v>7</v>
      </c>
      <c r="D525" s="3">
        <f>IFERROR(__xludf.DUMMYFUNCTION("""COMPUTED_VALUE"""),10.0)</f>
        <v>10</v>
      </c>
      <c r="E525" s="3" t="str">
        <f>IFERROR(__xludf.DUMMYFUNCTION("""COMPUTED_VALUE"""),"The findings weren't based on too detailed analysis . And the code was well organized")</f>
        <v>The findings weren't based on too detailed analysis . And the code was well organized</v>
      </c>
      <c r="F525" s="5" t="str">
        <f>IFERROR(__xludf.DUMMYFUNCTION("""COMPUTED_VALUE"""),"https://github.com/terminator7x/tds-project/tree/main")</f>
        <v>https://github.com/terminator7x/tds-project/tree/main</v>
      </c>
      <c r="G525" s="3">
        <f>IFERROR(__xludf.DUMMYFUNCTION("""COMPUTED_VALUE"""),7.0)</f>
        <v>7</v>
      </c>
      <c r="H525" s="3">
        <f>IFERROR(__xludf.DUMMYFUNCTION("""COMPUTED_VALUE"""),10.0)</f>
        <v>10</v>
      </c>
      <c r="I525" s="3" t="str">
        <f>IFERROR(__xludf.DUMMYFUNCTION("""COMPUTED_VALUE"""),"The findings weren't based on too detailed analysis . And the code was well organized")</f>
        <v>The findings weren't based on too detailed analysis . And the code was well organized</v>
      </c>
      <c r="J525" s="3" t="str">
        <f>IFERROR(__xludf.DUMMYFUNCTION("""COMPUTED_VALUE"""),"22ds3000009@ds.study.iitm.ac.in")</f>
        <v>22ds3000009@ds.study.iitm.ac.in</v>
      </c>
      <c r="K525" s="3" t="str">
        <f t="shared" si="1"/>
        <v>22ds3000009@ds.study.iitm.ac.inhttps://github.com/Aakash-Prime/github-users-chennai</v>
      </c>
      <c r="L525" s="3" t="str">
        <f t="shared" si="2"/>
        <v>22ds3000009@ds.study.iitm.ac.inhttps://github.com/terminator7x/tds-project/tree/main</v>
      </c>
    </row>
    <row r="526">
      <c r="A526" s="3">
        <f>IFERROR(__xludf.DUMMYFUNCTION("""COMPUTED_VALUE"""),45605.02401101852)</f>
        <v>45605.02401</v>
      </c>
      <c r="B526" s="5" t="str">
        <f>IFERROR(__xludf.DUMMYFUNCTION("""COMPUTED_VALUE"""),"https://github.com/DSharanya07/ZurichUsers")</f>
        <v>https://github.com/DSharanya07/ZurichUsers</v>
      </c>
      <c r="C526" s="3">
        <f>IFERROR(__xludf.DUMMYFUNCTION("""COMPUTED_VALUE"""),4.0)</f>
        <v>4</v>
      </c>
      <c r="D526" s="3">
        <f>IFERROR(__xludf.DUMMYFUNCTION("""COMPUTED_VALUE"""),4.0)</f>
        <v>4</v>
      </c>
      <c r="E526" s="3" t="str">
        <f>IFERROR(__xludf.DUMMYFUNCTION("""COMPUTED_VALUE"""),"Readme findings are very generic. The code does seem copy pasted and looks like no attention has been given to it. Same functions are present 3 to 4 times.")</f>
        <v>Readme findings are very generic. The code does seem copy pasted and looks like no attention has been given to it. Same functions are present 3 to 4 times.</v>
      </c>
      <c r="F526" s="5" t="str">
        <f>IFERROR(__xludf.DUMMYFUNCTION("""COMPUTED_VALUE"""),"https://github.com/sg-sparsh-goyal/TDS-project1-22f1000693")</f>
        <v>https://github.com/sg-sparsh-goyal/TDS-project1-22f1000693</v>
      </c>
      <c r="G526" s="3">
        <f>IFERROR(__xludf.DUMMYFUNCTION("""COMPUTED_VALUE"""),6.0)</f>
        <v>6</v>
      </c>
      <c r="H526" s="3">
        <f>IFERROR(__xludf.DUMMYFUNCTION("""COMPUTED_VALUE"""),7.0)</f>
        <v>7</v>
      </c>
      <c r="I526" s="3" t="str">
        <f>IFERROR(__xludf.DUMMYFUNCTION("""COMPUTED_VALUE"""),"Recommendation seems very new. Code is clean but not commented for professionalism.")</f>
        <v>Recommendation seems very new. Code is clean but not commented for professionalism.</v>
      </c>
      <c r="J526" s="3" t="str">
        <f>IFERROR(__xludf.DUMMYFUNCTION("""COMPUTED_VALUE"""),"21f2001230@ds.study.iitm.ac.in")</f>
        <v>21f2001230@ds.study.iitm.ac.in</v>
      </c>
      <c r="K526" s="3" t="str">
        <f t="shared" si="1"/>
        <v>21f2001230@ds.study.iitm.ac.inhttps://github.com/DSharanya07/ZurichUsers</v>
      </c>
      <c r="L526" s="3" t="str">
        <f t="shared" si="2"/>
        <v>21f2001230@ds.study.iitm.ac.inhttps://github.com/sg-sparsh-goyal/TDS-project1-22f1000693</v>
      </c>
    </row>
    <row r="527">
      <c r="A527" s="3">
        <f>IFERROR(__xludf.DUMMYFUNCTION("""COMPUTED_VALUE"""),45605.0361378125)</f>
        <v>45605.03614</v>
      </c>
      <c r="B527" s="5" t="str">
        <f>IFERROR(__xludf.DUMMYFUNCTION("""COMPUTED_VALUE"""),"https://github.com/Madras-protagonist/Bangalore-GitHub-Users-Project")</f>
        <v>https://github.com/Madras-protagonist/Bangalore-GitHub-Users-Project</v>
      </c>
      <c r="C527" s="3">
        <f>IFERROR(__xludf.DUMMYFUNCTION("""COMPUTED_VALUE"""),8.0)</f>
        <v>8</v>
      </c>
      <c r="D527" s="3">
        <f>IFERROR(__xludf.DUMMYFUNCTION("""COMPUTED_VALUE"""),7.0)</f>
        <v>7</v>
      </c>
      <c r="E527" s="3" t="str">
        <f>IFERROR(__xludf.DUMMYFUNCTION("""COMPUTED_VALUE"""),"The README content was very generalized, some numbers could have been better. It would have been better if the code or files involved in the analysis was attached. Also, It seems that the Boolean fields were not converted into Strings of Lower Case.")</f>
        <v>The README content was very generalized, some numbers could have been better. It would have been better if the code or files involved in the analysis was attached. Also, It seems that the Boolean fields were not converted into Strings of Lower Case.</v>
      </c>
      <c r="F527" s="5" t="str">
        <f>IFERROR(__xludf.DUMMYFUNCTION("""COMPUTED_VALUE"""),"https://github.com/siddhant-bapna/TDSP1")</f>
        <v>https://github.com/siddhant-bapna/TDSP1</v>
      </c>
      <c r="G527" s="3">
        <f>IFERROR(__xludf.DUMMYFUNCTION("""COMPUTED_VALUE"""),8.0)</f>
        <v>8</v>
      </c>
      <c r="H527" s="3">
        <f>IFERROR(__xludf.DUMMYFUNCTION("""COMPUTED_VALUE"""),8.0)</f>
        <v>8</v>
      </c>
      <c r="I527" s="3" t="str">
        <f>IFERROR(__xludf.DUMMYFUNCTION("""COMPUTED_VALUE"""),"The README content was very generalized, some numbers could have been better. Also it would have been better if the code or files involved in the analysis was attached.")</f>
        <v>The README content was very generalized, some numbers could have been better. Also it would have been better if the code or files involved in the analysis was attached.</v>
      </c>
      <c r="J527" s="3" t="str">
        <f>IFERROR(__xludf.DUMMYFUNCTION("""COMPUTED_VALUE"""),"23f2004417@ds.study.iitm.ac.in")</f>
        <v>23f2004417@ds.study.iitm.ac.in</v>
      </c>
      <c r="K527" s="3" t="str">
        <f t="shared" si="1"/>
        <v>23f2004417@ds.study.iitm.ac.inhttps://github.com/Madras-protagonist/Bangalore-GitHub-Users-Project</v>
      </c>
      <c r="L527" s="3" t="str">
        <f t="shared" si="2"/>
        <v>23f2004417@ds.study.iitm.ac.inhttps://github.com/siddhant-bapna/TDSP1</v>
      </c>
    </row>
    <row r="528">
      <c r="A528" s="3">
        <f>IFERROR(__xludf.DUMMYFUNCTION("""COMPUTED_VALUE"""),45605.036760243056)</f>
        <v>45605.03676</v>
      </c>
      <c r="B528" s="5" t="str">
        <f>IFERROR(__xludf.DUMMYFUNCTION("""COMPUTED_VALUE"""),"https://github.com/Jatendra/iitm_project1")</f>
        <v>https://github.com/Jatendra/iitm_project1</v>
      </c>
      <c r="C528" s="3">
        <f>IFERROR(__xludf.DUMMYFUNCTION("""COMPUTED_VALUE"""),10.0)</f>
        <v>10</v>
      </c>
      <c r="D528" s="3">
        <f>IFERROR(__xludf.DUMMYFUNCTION("""COMPUTED_VALUE"""),9.0)</f>
        <v>9</v>
      </c>
      <c r="E528" s="3" t="str">
        <f>IFERROR(__xludf.DUMMYFUNCTION("""COMPUTED_VALUE"""),"The README in the repository describes data scraped from the GitHub API, focusing on users in Berlin with over 200 followers. It includes data on user profiles and their public repositories, organized into CSV files. The analysis highlights low surname di"&amp;"versity, with ""Schneider"" being the most common. Recommendations encourage developers to enhance their profiles for better visibility by including contact information. The project is organized with clear explanations of the data scraping process, filter"&amp;"ing, and findings.
The code is well-structured and demonstrates a high level of clarity, with logical flow and consistent formatting that makes it easy to follow and understand. The use of descriptive variable names and modular functions enhances readabil"&amp;"ity and facilitates future maintenance")</f>
        <v>The README in the repository describes data scraped from the GitHub API, focusing on users in Berlin with over 200 followers. It includes data on user profiles and their public repositories, organized into CSV files. The analysis highlights low surname diversity, with "Schneider" being the most common. Recommendations encourage developers to enhance their profiles for better visibility by including contact information. The project is organized with clear explanations of the data scraping process, filtering, and findings.
The code is well-structured and demonstrates a high level of clarity, with logical flow and consistent formatting that makes it easy to follow and understand. The use of descriptive variable names and modular functions enhances readability and facilitates future maintenance</v>
      </c>
      <c r="F528" s="5" t="str">
        <f>IFERROR(__xludf.DUMMYFUNCTION("""COMPUTED_VALUE"""),"https://github.com/jhaaj08/TDS_project1")</f>
        <v>https://github.com/jhaaj08/TDS_project1</v>
      </c>
      <c r="G528" s="3">
        <f>IFERROR(__xludf.DUMMYFUNCTION("""COMPUTED_VALUE"""),9.0)</f>
        <v>9</v>
      </c>
      <c r="H528" s="3">
        <f>IFERROR(__xludf.DUMMYFUNCTION("""COMPUTED_VALUE"""),9.0)</f>
        <v>9</v>
      </c>
      <c r="I528" s="3" t="str">
        <f>IFERROR(__xludf.DUMMYFUNCTION("""COMPUTED_VALUE"""),"The README effectively outlines the project objectives, data scraping methodology, and key insights. The findings on Python’s popularity and weekend developer activity are relevant, with actionable recommendations that add practical value. Clear, concise,"&amp;" and informative additional graph is provided. Code is well thought-out and does a great job meeting its purpose. The structure is logical, and the functions make it easy to follow")</f>
        <v>The README effectively outlines the project objectives, data scraping methodology, and key insights. The findings on Python’s popularity and weekend developer activity are relevant, with actionable recommendations that add practical value. Clear, concise, and informative additional graph is provided. Code is well thought-out and does a great job meeting its purpose. The structure is logical, and the functions make it easy to follow</v>
      </c>
      <c r="J528" s="3" t="str">
        <f>IFERROR(__xludf.DUMMYFUNCTION("""COMPUTED_VALUE"""),"21f2000237@ds.study.iitm.ac.in")</f>
        <v>21f2000237@ds.study.iitm.ac.in</v>
      </c>
      <c r="K528" s="3" t="str">
        <f t="shared" si="1"/>
        <v>21f2000237@ds.study.iitm.ac.inhttps://github.com/Jatendra/iitm_project1</v>
      </c>
      <c r="L528" s="3" t="str">
        <f t="shared" si="2"/>
        <v>21f2000237@ds.study.iitm.ac.inhttps://github.com/jhaaj08/TDS_project1</v>
      </c>
    </row>
    <row r="529">
      <c r="A529" s="3">
        <f>IFERROR(__xludf.DUMMYFUNCTION("""COMPUTED_VALUE"""),45605.036869247684)</f>
        <v>45605.03687</v>
      </c>
      <c r="B529" s="5" t="str">
        <f>IFERROR(__xludf.DUMMYFUNCTION("""COMPUTED_VALUE"""),"https://github.com/rharini1402/mumbai50")</f>
        <v>https://github.com/rharini1402/mumbai50</v>
      </c>
      <c r="C529" s="3">
        <f>IFERROR(__xludf.DUMMYFUNCTION("""COMPUTED_VALUE"""),10.0)</f>
        <v>10</v>
      </c>
      <c r="D529" s="3">
        <f>IFERROR(__xludf.DUMMYFUNCTION("""COMPUTED_VALUE"""),10.0)</f>
        <v>10</v>
      </c>
      <c r="E529" s="3" t="str">
        <f>IFERROR(__xludf.DUMMYFUNCTION("""COMPUTED_VALUE"""),"The findings were interesting, clear and professional")</f>
        <v>The findings were interesting, clear and professional</v>
      </c>
      <c r="F529" s="5" t="str">
        <f>IFERROR(__xludf.DUMMYFUNCTION("""COMPUTED_VALUE"""),"https://github.com/ArnoldMathew1998/TDS-project")</f>
        <v>https://github.com/ArnoldMathew1998/TDS-project</v>
      </c>
      <c r="G529" s="3">
        <f>IFERROR(__xludf.DUMMYFUNCTION("""COMPUTED_VALUE"""),10.0)</f>
        <v>10</v>
      </c>
      <c r="H529" s="3">
        <f>IFERROR(__xludf.DUMMYFUNCTION("""COMPUTED_VALUE"""),10.0)</f>
        <v>10</v>
      </c>
      <c r="I529" s="3" t="str">
        <f>IFERROR(__xludf.DUMMYFUNCTION("""COMPUTED_VALUE"""),"The findings were interesting, clear and professional")</f>
        <v>The findings were interesting, clear and professional</v>
      </c>
      <c r="J529" s="3" t="str">
        <f>IFERROR(__xludf.DUMMYFUNCTION("""COMPUTED_VALUE"""),"22f2000082@ds.study.iitm.ac.in")</f>
        <v>22f2000082@ds.study.iitm.ac.in</v>
      </c>
      <c r="K529" s="3" t="str">
        <f t="shared" si="1"/>
        <v>22f2000082@ds.study.iitm.ac.inhttps://github.com/rharini1402/mumbai50</v>
      </c>
      <c r="L529" s="3" t="str">
        <f t="shared" si="2"/>
        <v>22f2000082@ds.study.iitm.ac.inhttps://github.com/ArnoldMathew1998/TDS-project</v>
      </c>
    </row>
    <row r="530">
      <c r="A530" s="3">
        <f>IFERROR(__xludf.DUMMYFUNCTION("""COMPUTED_VALUE"""),45605.03710540509)</f>
        <v>45605.03711</v>
      </c>
      <c r="B530" s="5" t="str">
        <f>IFERROR(__xludf.DUMMYFUNCTION("""COMPUTED_VALUE"""),"https://github.com/AbdulHadiCreator/TDSproject1")</f>
        <v>https://github.com/AbdulHadiCreator/TDSproject1</v>
      </c>
      <c r="C530" s="3">
        <f>IFERROR(__xludf.DUMMYFUNCTION("""COMPUTED_VALUE"""),10.0)</f>
        <v>10</v>
      </c>
      <c r="D530" s="3">
        <f>IFERROR(__xludf.DUMMYFUNCTION("""COMPUTED_VALUE"""),10.0)</f>
        <v>10</v>
      </c>
      <c r="E530" s="3" t="str">
        <f>IFERROR(__xludf.DUMMYFUNCTION("""COMPUTED_VALUE"""),"The answers are detailed and the code is clear.")</f>
        <v>The answers are detailed and the code is clear.</v>
      </c>
      <c r="F530" s="5" t="str">
        <f>IFERROR(__xludf.DUMMYFUNCTION("""COMPUTED_VALUE"""),"https://github.com/sashank-e/TDS_P1")</f>
        <v>https://github.com/sashank-e/TDS_P1</v>
      </c>
      <c r="G530" s="3">
        <f>IFERROR(__xludf.DUMMYFUNCTION("""COMPUTED_VALUE"""),10.0)</f>
        <v>10</v>
      </c>
      <c r="H530" s="3">
        <f>IFERROR(__xludf.DUMMYFUNCTION("""COMPUTED_VALUE"""),10.0)</f>
        <v>10</v>
      </c>
      <c r="I530" s="3" t="str">
        <f>IFERROR(__xludf.DUMMYFUNCTION("""COMPUTED_VALUE"""),"The answers are detailed and the code is clear.")</f>
        <v>The answers are detailed and the code is clear.</v>
      </c>
      <c r="J530" s="3" t="str">
        <f>IFERROR(__xludf.DUMMYFUNCTION("""COMPUTED_VALUE"""),"22f1001711@ds.study.iitm.ac.in")</f>
        <v>22f1001711@ds.study.iitm.ac.in</v>
      </c>
      <c r="K530" s="3" t="str">
        <f t="shared" si="1"/>
        <v>22f1001711@ds.study.iitm.ac.inhttps://github.com/AbdulHadiCreator/TDSproject1</v>
      </c>
      <c r="L530" s="3" t="str">
        <f t="shared" si="2"/>
        <v>22f1001711@ds.study.iitm.ac.inhttps://github.com/sashank-e/TDS_P1</v>
      </c>
    </row>
    <row r="531">
      <c r="A531" s="3">
        <f>IFERROR(__xludf.DUMMYFUNCTION("""COMPUTED_VALUE"""),45605.04430869213)</f>
        <v>45605.04431</v>
      </c>
      <c r="B531" s="5" t="str">
        <f>IFERROR(__xludf.DUMMYFUNCTION("""COMPUTED_VALUE"""),"https://github.com/bl00m-byte/TDS-Project-1")</f>
        <v>https://github.com/bl00m-byte/TDS-Project-1</v>
      </c>
      <c r="C531" s="3">
        <f>IFERROR(__xludf.DUMMYFUNCTION("""COMPUTED_VALUE"""),6.0)</f>
        <v>6</v>
      </c>
      <c r="D531" s="3">
        <f>IFERROR(__xludf.DUMMYFUNCTION("""COMPUTED_VALUE"""),0.0)</f>
        <v>0</v>
      </c>
      <c r="E531" s="3" t="str">
        <f>IFERROR(__xludf.DUMMYFUNCTION("""COMPUTED_VALUE"""),"The code block is not present. ")</f>
        <v>The code block is not present. </v>
      </c>
      <c r="F531" s="5" t="str">
        <f>IFERROR(__xludf.DUMMYFUNCTION("""COMPUTED_VALUE"""),"https://github.com/shanky999/TDS_Project1")</f>
        <v>https://github.com/shanky999/TDS_Project1</v>
      </c>
      <c r="G531" s="3">
        <f>IFERROR(__xludf.DUMMYFUNCTION("""COMPUTED_VALUE"""),6.0)</f>
        <v>6</v>
      </c>
      <c r="H531" s="3">
        <f>IFERROR(__xludf.DUMMYFUNCTION("""COMPUTED_VALUE"""),10.0)</f>
        <v>10</v>
      </c>
      <c r="I531" s="3" t="str">
        <f>IFERROR(__xludf.DUMMYFUNCTION("""COMPUTED_VALUE"""),"The code block was present and clean. ")</f>
        <v>The code block was present and clean. </v>
      </c>
      <c r="J531" s="3" t="str">
        <f>IFERROR(__xludf.DUMMYFUNCTION("""COMPUTED_VALUE"""),"21f1001102@ds.study.iitm.ac.in")</f>
        <v>21f1001102@ds.study.iitm.ac.in</v>
      </c>
      <c r="K531" s="3" t="str">
        <f t="shared" si="1"/>
        <v>21f1001102@ds.study.iitm.ac.inhttps://github.com/bl00m-byte/TDS-Project-1</v>
      </c>
      <c r="L531" s="3" t="str">
        <f t="shared" si="2"/>
        <v>21f1001102@ds.study.iitm.ac.inhttps://github.com/shanky999/TDS_Project1</v>
      </c>
    </row>
    <row r="532">
      <c r="A532" s="3">
        <f>IFERROR(__xludf.DUMMYFUNCTION("""COMPUTED_VALUE"""),45605.051221875)</f>
        <v>45605.05122</v>
      </c>
      <c r="B532" s="5" t="str">
        <f>IFERROR(__xludf.DUMMYFUNCTION("""COMPUTED_VALUE"""),"https://github.com/OmkarShekharRaut/datasciencetoolsproject1")</f>
        <v>https://github.com/OmkarShekharRaut/datasciencetoolsproject1</v>
      </c>
      <c r="C532" s="3">
        <f>IFERROR(__xludf.DUMMYFUNCTION("""COMPUTED_VALUE"""),5.0)</f>
        <v>5</v>
      </c>
      <c r="D532" s="3">
        <f>IFERROR(__xludf.DUMMYFUNCTION("""COMPUTED_VALUE"""),10.0)</f>
        <v>10</v>
      </c>
      <c r="E532" s="3" t="str">
        <f>IFERROR(__xludf.DUMMYFUNCTION("""COMPUTED_VALUE"""),"code is very well written and structured but readme doesn't have the information asked")</f>
        <v>code is very well written and structured but readme doesn't have the information asked</v>
      </c>
      <c r="F532" s="5" t="str">
        <f>IFERROR(__xludf.DUMMYFUNCTION("""COMPUTED_VALUE"""),"https://github.com/Skyehackerdoge/github-london-users")</f>
        <v>https://github.com/Skyehackerdoge/github-london-users</v>
      </c>
      <c r="G532" s="3">
        <f>IFERROR(__xludf.DUMMYFUNCTION("""COMPUTED_VALUE"""),10.0)</f>
        <v>10</v>
      </c>
      <c r="H532" s="3">
        <f>IFERROR(__xludf.DUMMYFUNCTION("""COMPUTED_VALUE"""),9.0)</f>
        <v>9</v>
      </c>
      <c r="I532" s="3" t="str">
        <f>IFERROR(__xludf.DUMMYFUNCTION("""COMPUTED_VALUE"""),"readme file answers the questions and has valid bullet points, code is also clear though there is no analysis code provided")</f>
        <v>readme file answers the questions and has valid bullet points, code is also clear though there is no analysis code provided</v>
      </c>
      <c r="J532" s="3" t="str">
        <f>IFERROR(__xludf.DUMMYFUNCTION("""COMPUTED_VALUE"""),"21f3001919@ds.study.iitm.ac.in")</f>
        <v>21f3001919@ds.study.iitm.ac.in</v>
      </c>
      <c r="K532" s="3" t="str">
        <f t="shared" si="1"/>
        <v>21f3001919@ds.study.iitm.ac.inhttps://github.com/OmkarShekharRaut/datasciencetoolsproject1</v>
      </c>
      <c r="L532" s="3" t="str">
        <f t="shared" si="2"/>
        <v>21f3001919@ds.study.iitm.ac.inhttps://github.com/Skyehackerdoge/github-london-users</v>
      </c>
    </row>
    <row r="533">
      <c r="A533" s="3">
        <f>IFERROR(__xludf.DUMMYFUNCTION("""COMPUTED_VALUE"""),45605.05160427083)</f>
        <v>45605.0516</v>
      </c>
      <c r="B533" s="5" t="str">
        <f>IFERROR(__xludf.DUMMYFUNCTION("""COMPUTED_VALUE"""),"https://github.com/23f2004408/tds-p1")</f>
        <v>https://github.com/23f2004408/tds-p1</v>
      </c>
      <c r="C533" s="3">
        <f>IFERROR(__xludf.DUMMYFUNCTION("""COMPUTED_VALUE"""),9.0)</f>
        <v>9</v>
      </c>
      <c r="D533" s="3">
        <f>IFERROR(__xludf.DUMMYFUNCTION("""COMPUTED_VALUE"""),10.0)</f>
        <v>10</v>
      </c>
      <c r="E533" s="3" t="str">
        <f>IFERROR(__xludf.DUMMYFUNCTION("""COMPUTED_VALUE"""),"the repo was nicely commented and well presented.")</f>
        <v>the repo was nicely commented and well presented.</v>
      </c>
      <c r="F533" s="5" t="str">
        <f>IFERROR(__xludf.DUMMYFUNCTION("""COMPUTED_VALUE"""),"https://github.com/ashuiitm/tdsproject1/")</f>
        <v>https://github.com/ashuiitm/tdsproject1/</v>
      </c>
      <c r="G533" s="3">
        <f>IFERROR(__xludf.DUMMYFUNCTION("""COMPUTED_VALUE"""),7.0)</f>
        <v>7</v>
      </c>
      <c r="H533" s="3">
        <f>IFERROR(__xludf.DUMMYFUNCTION("""COMPUTED_VALUE"""),7.0)</f>
        <v>7</v>
      </c>
      <c r="I533" s="3" t="str">
        <f>IFERROR(__xludf.DUMMYFUNCTION("""COMPUTED_VALUE"""),"the repo was not very clearly presented and lacked structure.")</f>
        <v>the repo was not very clearly presented and lacked structure.</v>
      </c>
      <c r="J533" s="3" t="str">
        <f>IFERROR(__xludf.DUMMYFUNCTION("""COMPUTED_VALUE"""),"22f1001432@ds.study.iitm.ac.in")</f>
        <v>22f1001432@ds.study.iitm.ac.in</v>
      </c>
      <c r="K533" s="3" t="str">
        <f t="shared" si="1"/>
        <v>22f1001432@ds.study.iitm.ac.inhttps://github.com/23f2004408/tds-p1</v>
      </c>
      <c r="L533" s="3" t="str">
        <f t="shared" si="2"/>
        <v>22f1001432@ds.study.iitm.ac.inhttps://github.com/ashuiitm/tdsproject1/</v>
      </c>
    </row>
    <row r="534">
      <c r="A534" s="3">
        <f>IFERROR(__xludf.DUMMYFUNCTION("""COMPUTED_VALUE"""),45605.05314037037)</f>
        <v>45605.05314</v>
      </c>
      <c r="B534" s="5" t="str">
        <f>IFERROR(__xludf.DUMMYFUNCTION("""COMPUTED_VALUE"""),"https://github.com/22f2001730/TDS_P1")</f>
        <v>https://github.com/22f2001730/TDS_P1</v>
      </c>
      <c r="C534" s="3">
        <f>IFERROR(__xludf.DUMMYFUNCTION("""COMPUTED_VALUE"""),7.0)</f>
        <v>7</v>
      </c>
      <c r="D534" s="3">
        <f>IFERROR(__xludf.DUMMYFUNCTION("""COMPUTED_VALUE"""),9.0)</f>
        <v>9</v>
      </c>
      <c r="E534" s="3" t="str">
        <f>IFERROR(__xludf.DUMMYFUNCTION("""COMPUTED_VALUE"""),"The submitted finding in README was pretty plain and nothing very interesting. But the code was very clear and organized.")</f>
        <v>The submitted finding in README was pretty plain and nothing very interesting. But the code was very clear and organized.</v>
      </c>
      <c r="F534" s="5" t="str">
        <f>IFERROR(__xludf.DUMMYFUNCTION("""COMPUTED_VALUE"""),"https://github.com/VaishHa/Delhi100_TDS")</f>
        <v>https://github.com/VaishHa/Delhi100_TDS</v>
      </c>
      <c r="G534" s="3">
        <f>IFERROR(__xludf.DUMMYFUNCTION("""COMPUTED_VALUE"""),8.0)</f>
        <v>8</v>
      </c>
      <c r="H534" s="3">
        <f>IFERROR(__xludf.DUMMYFUNCTION("""COMPUTED_VALUE"""),7.0)</f>
        <v>7</v>
      </c>
      <c r="I534" s="3" t="str">
        <f>IFERROR(__xludf.DUMMYFUNCTION("""COMPUTED_VALUE"""),"Both were equally good with clear findings but the codes could have been much clear than the one submitted.")</f>
        <v>Both were equally good with clear findings but the codes could have been much clear than the one submitted.</v>
      </c>
      <c r="J534" s="3" t="str">
        <f>IFERROR(__xludf.DUMMYFUNCTION("""COMPUTED_VALUE"""),"22f3000313@ds.study.iitm.ac.in")</f>
        <v>22f3000313@ds.study.iitm.ac.in</v>
      </c>
      <c r="K534" s="3" t="str">
        <f t="shared" si="1"/>
        <v>22f3000313@ds.study.iitm.ac.inhttps://github.com/22f2001730/TDS_P1</v>
      </c>
      <c r="L534" s="3" t="str">
        <f t="shared" si="2"/>
        <v>22f3000313@ds.study.iitm.ac.inhttps://github.com/VaishHa/Delhi100_TDS</v>
      </c>
    </row>
    <row r="535">
      <c r="A535" s="3">
        <f>IFERROR(__xludf.DUMMYFUNCTION("""COMPUTED_VALUE"""),45605.05354957176)</f>
        <v>45605.05355</v>
      </c>
      <c r="B535" s="5" t="str">
        <f>IFERROR(__xludf.DUMMYFUNCTION("""COMPUTED_VALUE"""),"https://github.com/n3055/Chennai-50_223f3004177")</f>
        <v>https://github.com/n3055/Chennai-50_223f3004177</v>
      </c>
      <c r="C535" s="3">
        <f>IFERROR(__xludf.DUMMYFUNCTION("""COMPUTED_VALUE"""),7.0)</f>
        <v>7</v>
      </c>
      <c r="D535" s="3">
        <f>IFERROR(__xludf.DUMMYFUNCTION("""COMPUTED_VALUE"""),5.0)</f>
        <v>5</v>
      </c>
      <c r="E535" s="3" t="str">
        <f>IFERROR(__xludf.DUMMYFUNCTION("""COMPUTED_VALUE"""),"The README is sufficient enough when it comes to explaining scrapping of the data but insights to the facts and advice for the developers could have been more elaborated.
The data scrapping was done in a separate file but the analysis was done in a single"&amp;" separate python file without comments which made it hardly readable.")</f>
        <v>The README is sufficient enough when it comes to explaining scrapping of the data but insights to the facts and advice for the developers could have been more elaborated.
The data scrapping was done in a separate file but the analysis was done in a single separate python file without comments which made it hardly readable.</v>
      </c>
      <c r="F535" s="5" t="str">
        <f>IFERROR(__xludf.DUMMYFUNCTION("""COMPUTED_VALUE"""),"https://github.com/gadilashashank/tds_p1")</f>
        <v>https://github.com/gadilashashank/tds_p1</v>
      </c>
      <c r="G535" s="3">
        <f>IFERROR(__xludf.DUMMYFUNCTION("""COMPUTED_VALUE"""),5.0)</f>
        <v>5</v>
      </c>
      <c r="H535" s="3">
        <f>IFERROR(__xludf.DUMMYFUNCTION("""COMPUTED_VALUE"""),7.0)</f>
        <v>7</v>
      </c>
      <c r="I535" s="3" t="str">
        <f>IFERROR(__xludf.DUMMYFUNCTION("""COMPUTED_VALUE"""),"README file was missing markdown and had no structure to the content as well as advice for the developers was missing.
The code for data scrapping was done in separate files and while the analysis was done in a single python file, the questions were separ"&amp;"ated using comments which made it more readable although it could have been made more readable by adding more comments.")</f>
        <v>README file was missing markdown and had no structure to the content as well as advice for the developers was missing.
The code for data scrapping was done in separate files and while the analysis was done in a single python file, the questions were separated using comments which made it more readable although it could have been made more readable by adding more comments.</v>
      </c>
      <c r="J535" s="3" t="str">
        <f>IFERROR(__xludf.DUMMYFUNCTION("""COMPUTED_VALUE"""),"22f3001981@ds.study.iitm.ac.in")</f>
        <v>22f3001981@ds.study.iitm.ac.in</v>
      </c>
      <c r="K535" s="3" t="str">
        <f t="shared" si="1"/>
        <v>22f3001981@ds.study.iitm.ac.inhttps://github.com/n3055/Chennai-50_223f3004177</v>
      </c>
      <c r="L535" s="3" t="str">
        <f t="shared" si="2"/>
        <v>22f3001981@ds.study.iitm.ac.inhttps://github.com/gadilashashank/tds_p1</v>
      </c>
    </row>
    <row r="536">
      <c r="A536" s="3">
        <f>IFERROR(__xludf.DUMMYFUNCTION("""COMPUTED_VALUE"""),45605.059860636575)</f>
        <v>45605.05986</v>
      </c>
      <c r="B536" s="5" t="str">
        <f>IFERROR(__xludf.DUMMYFUNCTION("""COMPUTED_VALUE"""),"https://github.com/SarveshMSIITM/TDS-P1")</f>
        <v>https://github.com/SarveshMSIITM/TDS-P1</v>
      </c>
      <c r="C536" s="3">
        <f>IFERROR(__xludf.DUMMYFUNCTION("""COMPUTED_VALUE"""),7.0)</f>
        <v>7</v>
      </c>
      <c r="D536" s="3">
        <f>IFERROR(__xludf.DUMMYFUNCTION("""COMPUTED_VALUE"""),9.0)</f>
        <v>9</v>
      </c>
      <c r="E536" s="3" t="str">
        <f>IFERROR(__xludf.DUMMYFUNCTION("""COMPUTED_VALUE"""),"The code was clean and professional-however, comments could've been included in the codes, which would have ensured a better understanding and readability. The repo has a README, however it doesn't contain all findings. Hence, for findings I have provided"&amp;" 7 on 10 whereas for the professionalism and clean code, I have provided 9 on 10.")</f>
        <v>The code was clean and professional-however, comments could've been included in the codes, which would have ensured a better understanding and readability. The repo has a README, however it doesn't contain all findings. Hence, for findings I have provided 7 on 10 whereas for the professionalism and clean code, I have provided 9 on 10.</v>
      </c>
      <c r="F536" s="5" t="str">
        <f>IFERROR(__xludf.DUMMYFUNCTION("""COMPUTED_VALUE"""),"https://github.com/kamalesh-79/tdsproj/tree/main")</f>
        <v>https://github.com/kamalesh-79/tdsproj/tree/main</v>
      </c>
      <c r="G536" s="3">
        <f>IFERROR(__xludf.DUMMYFUNCTION("""COMPUTED_VALUE"""),10.0)</f>
        <v>10</v>
      </c>
      <c r="H536" s="3">
        <f>IFERROR(__xludf.DUMMYFUNCTION("""COMPUTED_VALUE"""),10.0)</f>
        <v>10</v>
      </c>
      <c r="I536" s="3" t="str">
        <f>IFERROR(__xludf.DUMMYFUNCTION("""COMPUTED_VALUE"""),"The readme contains clear and concise findings. All files of the repo has clean &amp; professional code, with each line of code having comments too, ensuring ease of understanding. Every line of code and readme is well readable. Hence, I have provided 10 on 1"&amp;"0 for both.")</f>
        <v>The readme contains clear and concise findings. All files of the repo has clean &amp; professional code, with each line of code having comments too, ensuring ease of understanding. Every line of code and readme is well readable. Hence, I have provided 10 on 10 for both.</v>
      </c>
      <c r="J536" s="3" t="str">
        <f>IFERROR(__xludf.DUMMYFUNCTION("""COMPUTED_VALUE"""),"22f3001321@ds.study.iitm.ac.in")</f>
        <v>22f3001321@ds.study.iitm.ac.in</v>
      </c>
      <c r="K536" s="3" t="str">
        <f t="shared" si="1"/>
        <v>22f3001321@ds.study.iitm.ac.inhttps://github.com/SarveshMSIITM/TDS-P1</v>
      </c>
      <c r="L536" s="3" t="str">
        <f t="shared" si="2"/>
        <v>22f3001321@ds.study.iitm.ac.inhttps://github.com/kamalesh-79/tdsproj/tree/main</v>
      </c>
    </row>
    <row r="537">
      <c r="A537" s="3">
        <f>IFERROR(__xludf.DUMMYFUNCTION("""COMPUTED_VALUE"""),45605.06111603009)</f>
        <v>45605.06112</v>
      </c>
      <c r="B537" s="5" t="str">
        <f>IFERROR(__xludf.DUMMYFUNCTION("""COMPUTED_VALUE"""),"https://github.com/venkatsaivikram-iitm/tds-project1/")</f>
        <v>https://github.com/venkatsaivikram-iitm/tds-project1/</v>
      </c>
      <c r="C537" s="3">
        <f>IFERROR(__xludf.DUMMYFUNCTION("""COMPUTED_VALUE"""),10.0)</f>
        <v>10</v>
      </c>
      <c r="D537" s="3">
        <f>IFERROR(__xludf.DUMMYFUNCTION("""COMPUTED_VALUE"""),10.0)</f>
        <v>10</v>
      </c>
      <c r="E537" s="3" t="str">
        <f>IFERROR(__xludf.DUMMYFUNCTION("""COMPUTED_VALUE"""),"I learnt something new from the readme.md and the python code is very readable and easy to understand.It is arranged in order and looks neat.")</f>
        <v>I learnt something new from the readme.md and the python code is very readable and easy to understand.It is arranged in order and looks neat.</v>
      </c>
      <c r="F537" s="5" t="str">
        <f>IFERROR(__xludf.DUMMYFUNCTION("""COMPUTED_VALUE"""),"https://github.com/Rishi-Bhatt/TDS-Project1-Sept2024")</f>
        <v>https://github.com/Rishi-Bhatt/TDS-Project1-Sept2024</v>
      </c>
      <c r="G537" s="3">
        <f>IFERROR(__xludf.DUMMYFUNCTION("""COMPUTED_VALUE"""),10.0)</f>
        <v>10</v>
      </c>
      <c r="H537" s="3">
        <f>IFERROR(__xludf.DUMMYFUNCTION("""COMPUTED_VALUE"""),10.0)</f>
        <v>10</v>
      </c>
      <c r="I537" s="3" t="str">
        <f>IFERROR(__xludf.DUMMYFUNCTION("""COMPUTED_VALUE"""),"I learnt somehting fascinating from readme.md.The code has also clearly been split into 2 files one for the scraper and the other for the analysis.The github api token is also hidden which is a  good coding practice.")</f>
        <v>I learnt somehting fascinating from readme.md.The code has also clearly been split into 2 files one for the scraper and the other for the analysis.The github api token is also hidden which is a  good coding practice.</v>
      </c>
      <c r="J537" s="3" t="str">
        <f>IFERROR(__xludf.DUMMYFUNCTION("""COMPUTED_VALUE"""),"24f1001850@ds.study.iitm.ac.in")</f>
        <v>24f1001850@ds.study.iitm.ac.in</v>
      </c>
      <c r="K537" s="3" t="str">
        <f t="shared" si="1"/>
        <v>24f1001850@ds.study.iitm.ac.inhttps://github.com/venkatsaivikram-iitm/tds-project1/</v>
      </c>
      <c r="L537" s="3" t="str">
        <f t="shared" si="2"/>
        <v>24f1001850@ds.study.iitm.ac.inhttps://github.com/Rishi-Bhatt/TDS-Project1-Sept2024</v>
      </c>
    </row>
    <row r="538">
      <c r="A538" s="3">
        <f>IFERROR(__xludf.DUMMYFUNCTION("""COMPUTED_VALUE"""),45605.06463476852)</f>
        <v>45605.06463</v>
      </c>
      <c r="B538" s="5" t="str">
        <f>IFERROR(__xludf.DUMMYFUNCTION("""COMPUTED_VALUE"""),"https://github.com/RealFalseGod/Project1")</f>
        <v>https://github.com/RealFalseGod/Project1</v>
      </c>
      <c r="C538" s="3">
        <f>IFERROR(__xludf.DUMMYFUNCTION("""COMPUTED_VALUE"""),10.0)</f>
        <v>10</v>
      </c>
      <c r="D538" s="3">
        <f>IFERROR(__xludf.DUMMYFUNCTION("""COMPUTED_VALUE"""),0.0)</f>
        <v>0</v>
      </c>
      <c r="E538" s="3" t="str">
        <f>IFERROR(__xludf.DUMMYFUNCTION("""COMPUTED_VALUE"""),"Good Elaboration for each question asked is given but no code file is present")</f>
        <v>Good Elaboration for each question asked is given but no code file is present</v>
      </c>
      <c r="F538" s="5" t="str">
        <f>IFERROR(__xludf.DUMMYFUNCTION("""COMPUTED_VALUE"""),"https://github.com/Anburajasp/TDS-PROJECT-1")</f>
        <v>https://github.com/Anburajasp/TDS-PROJECT-1</v>
      </c>
      <c r="G538" s="3">
        <f>IFERROR(__xludf.DUMMYFUNCTION("""COMPUTED_VALUE"""),10.0)</f>
        <v>10</v>
      </c>
      <c r="H538" s="3">
        <f>IFERROR(__xludf.DUMMYFUNCTION("""COMPUTED_VALUE"""),10.0)</f>
        <v>10</v>
      </c>
      <c r="I538" s="3" t="str">
        <f>IFERROR(__xludf.DUMMYFUNCTION("""COMPUTED_VALUE"""),"good elaboration and code file also present with decent code written")</f>
        <v>good elaboration and code file also present with decent code written</v>
      </c>
      <c r="J538" s="3" t="str">
        <f>IFERROR(__xludf.DUMMYFUNCTION("""COMPUTED_VALUE"""),"22f2001075@ds.study.iitm.ac.in")</f>
        <v>22f2001075@ds.study.iitm.ac.in</v>
      </c>
      <c r="K538" s="3" t="str">
        <f t="shared" si="1"/>
        <v>22f2001075@ds.study.iitm.ac.inhttps://github.com/RealFalseGod/Project1</v>
      </c>
      <c r="L538" s="3" t="str">
        <f t="shared" si="2"/>
        <v>22f2001075@ds.study.iitm.ac.inhttps://github.com/Anburajasp/TDS-PROJECT-1</v>
      </c>
    </row>
    <row r="539">
      <c r="A539" s="3">
        <f>IFERROR(__xludf.DUMMYFUNCTION("""COMPUTED_VALUE"""),45605.06578609954)</f>
        <v>45605.06579</v>
      </c>
      <c r="B539" s="5" t="str">
        <f>IFERROR(__xludf.DUMMYFUNCTION("""COMPUTED_VALUE"""),"https://github.com/Thanvish07/TDS_Project-1")</f>
        <v>https://github.com/Thanvish07/TDS_Project-1</v>
      </c>
      <c r="C539" s="3">
        <f>IFERROR(__xludf.DUMMYFUNCTION("""COMPUTED_VALUE"""),10.0)</f>
        <v>10</v>
      </c>
      <c r="D539" s="3">
        <f>IFERROR(__xludf.DUMMYFUNCTION("""COMPUTED_VALUE"""),8.0)</f>
        <v>8</v>
      </c>
      <c r="E539" s="3" t="str">
        <f>IFERROR(__xludf.DUMMYFUNCTION("""COMPUTED_VALUE"""),"the rating i provided for code because is not containing the 1-16 codes &amp; the rating i provided to readme is good and clear")</f>
        <v>the rating i provided for code because is not containing the 1-16 codes &amp; the rating i provided to readme is good and clear</v>
      </c>
      <c r="F539" s="5" t="str">
        <f>IFERROR(__xludf.DUMMYFUNCTION("""COMPUTED_VALUE"""),"https://github.com/AMIRTHAKATESAN-M/TDS-PROJECT-1")</f>
        <v>https://github.com/AMIRTHAKATESAN-M/TDS-PROJECT-1</v>
      </c>
      <c r="G539" s="3">
        <f>IFERROR(__xludf.DUMMYFUNCTION("""COMPUTED_VALUE"""),6.0)</f>
        <v>6</v>
      </c>
      <c r="H539" s="3">
        <f>IFERROR(__xludf.DUMMYFUNCTION("""COMPUTED_VALUE"""),10.0)</f>
        <v>10</v>
      </c>
      <c r="I539" s="3" t="str">
        <f>IFERROR(__xludf.DUMMYFUNCTION("""COMPUTED_VALUE"""),"the rating for code is because it is good and clear &amp; the rating that i have given to readme because there is only data collection part only and the other two points are missing in the readme")</f>
        <v>the rating for code is because it is good and clear &amp; the rating that i have given to readme because there is only data collection part only and the other two points are missing in the readme</v>
      </c>
      <c r="J539" s="3" t="str">
        <f>IFERROR(__xludf.DUMMYFUNCTION("""COMPUTED_VALUE"""),"23f1002482@ds.study.iitm.ac.in")</f>
        <v>23f1002482@ds.study.iitm.ac.in</v>
      </c>
      <c r="K539" s="3" t="str">
        <f t="shared" si="1"/>
        <v>23f1002482@ds.study.iitm.ac.inhttps://github.com/Thanvish07/TDS_Project-1</v>
      </c>
      <c r="L539" s="3" t="str">
        <f t="shared" si="2"/>
        <v>23f1002482@ds.study.iitm.ac.inhttps://github.com/AMIRTHAKATESAN-M/TDS-PROJECT-1</v>
      </c>
    </row>
    <row r="540">
      <c r="A540" s="3">
        <f>IFERROR(__xludf.DUMMYFUNCTION("""COMPUTED_VALUE"""),45605.06668258102)</f>
        <v>45605.06668</v>
      </c>
      <c r="B540" s="5" t="str">
        <f>IFERROR(__xludf.DUMMYFUNCTION("""COMPUTED_VALUE"""),"https://github.com/Anish071105/TDS-project1")</f>
        <v>https://github.com/Anish071105/TDS-project1</v>
      </c>
      <c r="C540" s="3">
        <f>IFERROR(__xludf.DUMMYFUNCTION("""COMPUTED_VALUE"""),9.0)</f>
        <v>9</v>
      </c>
      <c r="D540" s="3">
        <f>IFERROR(__xludf.DUMMYFUNCTION("""COMPUTED_VALUE"""),10.0)</f>
        <v>10</v>
      </c>
      <c r="E540" s="3" t="str">
        <f>IFERROR(__xludf.DUMMYFUNCTION("""COMPUTED_VALUE"""),"The code was broken into segments with clear call-outs as to what part is performing what function, making it easy to read and understand. The findings were interesting as it found a logical inconsistency by finding that The ""stargazers_count"" and ""wat"&amp;"chers_count"" columns have same values, which is not possible since all watchers won't give same star.")</f>
        <v>The code was broken into segments with clear call-outs as to what part is performing what function, making it easy to read and understand. The findings were interesting as it found a logical inconsistency by finding that The "stargazers_count" and "watchers_count" columns have same values, which is not possible since all watchers won't give same star.</v>
      </c>
      <c r="F540" s="5" t="str">
        <f>IFERROR(__xludf.DUMMYFUNCTION("""COMPUTED_VALUE"""),"https://github.com/MANAV-py/tds_project1")</f>
        <v>https://github.com/MANAV-py/tds_project1</v>
      </c>
      <c r="G540" s="3">
        <f>IFERROR(__xludf.DUMMYFUNCTION("""COMPUTED_VALUE"""),6.0)</f>
        <v>6</v>
      </c>
      <c r="H540" s="3">
        <f>IFERROR(__xludf.DUMMYFUNCTION("""COMPUTED_VALUE"""),9.0)</f>
        <v>9</v>
      </c>
      <c r="I540" s="3" t="str">
        <f>IFERROR(__xludf.DUMMYFUNCTION("""COMPUTED_VALUE"""),"The code was broken into segments with clear call-outs as to what part is performing what function, making it easy to read and understand. The findings or inferences were generated by ChatGPT, as they actually dont make me go wow or think that hey! I didn"&amp;"t think that was possible")</f>
        <v>The code was broken into segments with clear call-outs as to what part is performing what function, making it easy to read and understand. The findings or inferences were generated by ChatGPT, as they actually dont make me go wow or think that hey! I didnt think that was possible</v>
      </c>
      <c r="J540" s="3" t="str">
        <f>IFERROR(__xludf.DUMMYFUNCTION("""COMPUTED_VALUE"""),"24f1002176@ds.study.iitm.ac.in")</f>
        <v>24f1002176@ds.study.iitm.ac.in</v>
      </c>
      <c r="K540" s="3" t="str">
        <f t="shared" si="1"/>
        <v>24f1002176@ds.study.iitm.ac.inhttps://github.com/Anish071105/TDS-project1</v>
      </c>
      <c r="L540" s="3" t="str">
        <f t="shared" si="2"/>
        <v>24f1002176@ds.study.iitm.ac.inhttps://github.com/MANAV-py/tds_project1</v>
      </c>
    </row>
    <row r="541">
      <c r="A541" s="3">
        <f>IFERROR(__xludf.DUMMYFUNCTION("""COMPUTED_VALUE"""),45605.070927106484)</f>
        <v>45605.07093</v>
      </c>
      <c r="B541" s="5" t="str">
        <f>IFERROR(__xludf.DUMMYFUNCTION("""COMPUTED_VALUE"""),"https://github.com/ViratJinjala/TDS-project-1")</f>
        <v>https://github.com/ViratJinjala/TDS-project-1</v>
      </c>
      <c r="C541" s="3">
        <f>IFERROR(__xludf.DUMMYFUNCTION("""COMPUTED_VALUE"""),5.0)</f>
        <v>5</v>
      </c>
      <c r="D541" s="3">
        <f>IFERROR(__xludf.DUMMYFUNCTION("""COMPUTED_VALUE"""),10.0)</f>
        <v>10</v>
      </c>
      <c r="E541" s="3" t="str">
        <f>IFERROR(__xludf.DUMMYFUNCTION("""COMPUTED_VALUE"""),"This user did not upload the README file separately in his Repository as instructed instead he has mentioned his README points in his ipynb file itself. Thus, I have rated the first component 5/10 as he has put the 3 statements as required of which his an"&amp;"alysis that the top developers are self taught is quite interesting but the README is not uploaded as a separate file hence I had to reduce the marks.
The code file is very clean and clear highlighting the codes for each question individually and the dat"&amp;"a scraping procedure hence I have given the second component 10/10.  ")</f>
        <v>This user did not upload the README file separately in his Repository as instructed instead he has mentioned his README points in his ipynb file itself. Thus, I have rated the first component 5/10 as he has put the 3 statements as required of which his analysis that the top developers are self taught is quite interesting but the README is not uploaded as a separate file hence I had to reduce the marks.
The code file is very clean and clear highlighting the codes for each question individually and the data scraping procedure hence I have given the second component 10/10.  </v>
      </c>
      <c r="F541" s="5" t="str">
        <f>IFERROR(__xludf.DUMMYFUNCTION("""COMPUTED_VALUE"""),"https://github.com/anantdev123/Project1")</f>
        <v>https://github.com/anantdev123/Project1</v>
      </c>
      <c r="G541" s="3">
        <f>IFERROR(__xludf.DUMMYFUNCTION("""COMPUTED_VALUE"""),3.0)</f>
        <v>3</v>
      </c>
      <c r="H541" s="3">
        <f>IFERROR(__xludf.DUMMYFUNCTION("""COMPUTED_VALUE"""),5.0)</f>
        <v>5</v>
      </c>
      <c r="I541" s="3" t="str">
        <f>IFERROR(__xludf.DUMMYFUNCTION("""COMPUTED_VALUE"""),"This user has uploaded a README file in the repository but there are no findings in it and only the first bullet point about how the data was scraped and what it is about was mentioned 3/10 for the first component.
The code for scraping the data is given"&amp;" and it is quite good but there's no code for the questions hence I have given the second component 5/10.")</f>
        <v>This user has uploaded a README file in the repository but there are no findings in it and only the first bullet point about how the data was scraped and what it is about was mentioned 3/10 for the first component.
The code for scraping the data is given and it is quite good but there's no code for the questions hence I have given the second component 5/10.</v>
      </c>
      <c r="J541" s="3" t="str">
        <f>IFERROR(__xludf.DUMMYFUNCTION("""COMPUTED_VALUE"""),"22f3000452@ds.study.iitm.ac.in")</f>
        <v>22f3000452@ds.study.iitm.ac.in</v>
      </c>
      <c r="K541" s="3" t="str">
        <f t="shared" si="1"/>
        <v>22f3000452@ds.study.iitm.ac.inhttps://github.com/ViratJinjala/TDS-project-1</v>
      </c>
      <c r="L541" s="3" t="str">
        <f t="shared" si="2"/>
        <v>22f3000452@ds.study.iitm.ac.inhttps://github.com/anantdev123/Project1</v>
      </c>
    </row>
    <row r="542">
      <c r="A542" s="3">
        <f>IFERROR(__xludf.DUMMYFUNCTION("""COMPUTED_VALUE"""),45605.079987708334)</f>
        <v>45605.07999</v>
      </c>
      <c r="B542" s="5" t="str">
        <f>IFERROR(__xludf.DUMMYFUNCTION("""COMPUTED_VALUE"""),"https://github.com/sourav08nitp/tds-project-1")</f>
        <v>https://github.com/sourav08nitp/tds-project-1</v>
      </c>
      <c r="C542" s="3">
        <f>IFERROR(__xludf.DUMMYFUNCTION("""COMPUTED_VALUE"""),9.0)</f>
        <v>9</v>
      </c>
      <c r="D542" s="3">
        <f>IFERROR(__xludf.DUMMYFUNCTION("""COMPUTED_VALUE"""),9.0)</f>
        <v>9</v>
      </c>
      <c r="E542" s="3" t="str">
        <f>IFERROR(__xludf.DUMMYFUNCTION("""COMPUTED_VALUE"""),"I find this project quite interesting and good overall.")</f>
        <v>I find this project quite interesting and good overall.</v>
      </c>
      <c r="F542" s="5" t="str">
        <f>IFERROR(__xludf.DUMMYFUNCTION("""COMPUTED_VALUE"""),"https://github.com/Jahnavi530/TDS-Project-1")</f>
        <v>https://github.com/Jahnavi530/TDS-Project-1</v>
      </c>
      <c r="G542" s="3">
        <f>IFERROR(__xludf.DUMMYFUNCTION("""COMPUTED_VALUE"""),10.0)</f>
        <v>10</v>
      </c>
      <c r="H542" s="3">
        <f>IFERROR(__xludf.DUMMYFUNCTION("""COMPUTED_VALUE"""),10.0)</f>
        <v>10</v>
      </c>
      <c r="I542" s="3" t="str">
        <f>IFERROR(__xludf.DUMMYFUNCTION("""COMPUTED_VALUE"""),"I find this project really amazing and very well elaborated")</f>
        <v>I find this project really amazing and very well elaborated</v>
      </c>
      <c r="J542" s="3" t="str">
        <f>IFERROR(__xludf.DUMMYFUNCTION("""COMPUTED_VALUE"""),"21f3000585@ds.study.iitm.ac.in")</f>
        <v>21f3000585@ds.study.iitm.ac.in</v>
      </c>
      <c r="K542" s="3" t="str">
        <f t="shared" si="1"/>
        <v>21f3000585@ds.study.iitm.ac.inhttps://github.com/sourav08nitp/tds-project-1</v>
      </c>
      <c r="L542" s="3" t="str">
        <f t="shared" si="2"/>
        <v>21f3000585@ds.study.iitm.ac.inhttps://github.com/Jahnavi530/TDS-Project-1</v>
      </c>
    </row>
    <row r="543">
      <c r="A543" s="3">
        <f>IFERROR(__xludf.DUMMYFUNCTION("""COMPUTED_VALUE"""),45605.081406736106)</f>
        <v>45605.08141</v>
      </c>
      <c r="B543" s="5" t="str">
        <f>IFERROR(__xludf.DUMMYFUNCTION("""COMPUTED_VALUE"""),"https://github.com/Mv98dell/Mv/blob/33999fa40510af74122c53f73c6b8df2b53129c9/repositories.csv")</f>
        <v>https://github.com/Mv98dell/Mv/blob/33999fa40510af74122c53f73c6b8df2b53129c9/repositories.csv</v>
      </c>
      <c r="C543" s="3">
        <f>IFERROR(__xludf.DUMMYFUNCTION("""COMPUTED_VALUE"""),5.0)</f>
        <v>5</v>
      </c>
      <c r="D543" s="3">
        <f>IFERROR(__xludf.DUMMYFUNCTION("""COMPUTED_VALUE"""),8.0)</f>
        <v>8</v>
      </c>
      <c r="E543" s="3" t="str">
        <f>IFERROR(__xludf.DUMMYFUNCTION("""COMPUTED_VALUE"""),"There is Readme.md, That is required but there is nothing totally blank Just 'Mv' commit and there is no finding there and in the second repositery.csv is good you can see the raw data, user.csv is good as well.")</f>
        <v>There is Readme.md, That is required but there is nothing totally blank Just 'Mv' commit and there is no finding there and in the second repositery.csv is good you can see the raw data, user.csv is good as well.</v>
      </c>
      <c r="F543" s="5" t="str">
        <f>IFERROR(__xludf.DUMMYFUNCTION("""COMPUTED_VALUE"""),"https://github.com/anshikaatiwari/tdsp1")</f>
        <v>https://github.com/anshikaatiwari/tdsp1</v>
      </c>
      <c r="G543" s="3">
        <f>IFERROR(__xludf.DUMMYFUNCTION("""COMPUTED_VALUE"""),9.0)</f>
        <v>9</v>
      </c>
      <c r="H543" s="3">
        <f>IFERROR(__xludf.DUMMYFUNCTION("""COMPUTED_VALUE"""),10.0)</f>
        <v>10</v>
      </c>
      <c r="I543" s="3" t="str">
        <f>IFERROR(__xludf.DUMMYFUNCTION("""COMPUTED_VALUE"""),"This is  good repository, In readme.csv, this repo is the done a beautiful job and in the Professionalism she done a Wonderful job repository have a solid ans.ipynb shows the calculation part beautifully and overall the repository is very good with all th"&amp;"e insight within. ")</f>
        <v>This is  good repository, In readme.csv, this repo is the done a beautiful job and in the Professionalism she done a Wonderful job repository have a solid ans.ipynb shows the calculation part beautifully and overall the repository is very good with all the insight within. </v>
      </c>
      <c r="J543" s="3" t="str">
        <f>IFERROR(__xludf.DUMMYFUNCTION("""COMPUTED_VALUE"""),"21f2000615@ds.study.iitm.ac.in")</f>
        <v>21f2000615@ds.study.iitm.ac.in</v>
      </c>
      <c r="K543" s="3" t="str">
        <f t="shared" si="1"/>
        <v>21f2000615@ds.study.iitm.ac.inhttps://github.com/Mv98dell/Mv/blob/33999fa40510af74122c53f73c6b8df2b53129c9/repositories.csv</v>
      </c>
      <c r="L543" s="3" t="str">
        <f t="shared" si="2"/>
        <v>21f2000615@ds.study.iitm.ac.inhttps://github.com/anshikaatiwari/tdsp1</v>
      </c>
    </row>
    <row r="544">
      <c r="A544" s="3">
        <f>IFERROR(__xludf.DUMMYFUNCTION("""COMPUTED_VALUE"""),45605.08809828704)</f>
        <v>45605.0881</v>
      </c>
      <c r="B544" s="5" t="str">
        <f>IFERROR(__xludf.DUMMYFUNCTION("""COMPUTED_VALUE"""),"https://github.com/22f3000190/Seattle-200---TDM")</f>
        <v>https://github.com/22f3000190/Seattle-200---TDM</v>
      </c>
      <c r="C544" s="3">
        <f>IFERROR(__xludf.DUMMYFUNCTION("""COMPUTED_VALUE"""),10.0)</f>
        <v>10</v>
      </c>
      <c r="D544" s="3">
        <f>IFERROR(__xludf.DUMMYFUNCTION("""COMPUTED_VALUE"""),10.0)</f>
        <v>10</v>
      </c>
      <c r="E544" s="3" t="str">
        <f>IFERROR(__xludf.DUMMYFUNCTION("""COMPUTED_VALUE"""),"the repo has the README.md and code file and the finding and the process were goodly described")</f>
        <v>the repo has the README.md and code file and the finding and the process were goodly described</v>
      </c>
      <c r="F544" s="5" t="str">
        <f>IFERROR(__xludf.DUMMYFUNCTION("""COMPUTED_VALUE"""),"https://github.com/RishabhBarthwal28/TDS-PROJECT-1")</f>
        <v>https://github.com/RishabhBarthwal28/TDS-PROJECT-1</v>
      </c>
      <c r="G544" s="3">
        <f>IFERROR(__xludf.DUMMYFUNCTION("""COMPUTED_VALUE"""),10.0)</f>
        <v>10</v>
      </c>
      <c r="H544" s="3">
        <f>IFERROR(__xludf.DUMMYFUNCTION("""COMPUTED_VALUE"""),10.0)</f>
        <v>10</v>
      </c>
      <c r="I544" s="3" t="str">
        <f>IFERROR(__xludf.DUMMYFUNCTION("""COMPUTED_VALUE"""),"the The repository features a detailed README.md and code file, with well-explained findings and a thorough description of the process.")</f>
        <v>the The repository features a detailed README.md and code file, with well-explained findings and a thorough description of the process.</v>
      </c>
      <c r="J544" s="3" t="str">
        <f>IFERROR(__xludf.DUMMYFUNCTION("""COMPUTED_VALUE"""),"22f3000721@ds.study.iitm.ac.in")</f>
        <v>22f3000721@ds.study.iitm.ac.in</v>
      </c>
      <c r="K544" s="3" t="str">
        <f t="shared" si="1"/>
        <v>22f3000721@ds.study.iitm.ac.inhttps://github.com/22f3000190/Seattle-200---TDM</v>
      </c>
      <c r="L544" s="3" t="str">
        <f t="shared" si="2"/>
        <v>22f3000721@ds.study.iitm.ac.inhttps://github.com/RishabhBarthwal28/TDS-PROJECT-1</v>
      </c>
    </row>
    <row r="545">
      <c r="A545" s="3">
        <f>IFERROR(__xludf.DUMMYFUNCTION("""COMPUTED_VALUE"""),45605.090998796295)</f>
        <v>45605.091</v>
      </c>
      <c r="B545" s="5" t="str">
        <f>IFERROR(__xludf.DUMMYFUNCTION("""COMPUTED_VALUE"""),"https://github.com/Yashi-code/dublin-developer-data/tree/main")</f>
        <v>https://github.com/Yashi-code/dublin-developer-data/tree/main</v>
      </c>
      <c r="C545" s="3">
        <f>IFERROR(__xludf.DUMMYFUNCTION("""COMPUTED_VALUE"""),6.0)</f>
        <v>6</v>
      </c>
      <c r="D545" s="3">
        <f>IFERROR(__xludf.DUMMYFUNCTION("""COMPUTED_VALUE"""),9.0)</f>
        <v>9</v>
      </c>
      <c r="E545" s="3" t="str">
        <f>IFERROR(__xludf.DUMMYFUNCTION("""COMPUTED_VALUE"""),"The code in the repo is clean and professional, however the findings are very vague. ")</f>
        <v>The code in the repo is clean and professional, however the findings are very vague. </v>
      </c>
      <c r="F545" s="5" t="str">
        <f>IFERROR(__xludf.DUMMYFUNCTION("""COMPUTED_VALUE"""),"https://github.com/Karanshrivastav/tds_project_1")</f>
        <v>https://github.com/Karanshrivastav/tds_project_1</v>
      </c>
      <c r="G545" s="3">
        <f>IFERROR(__xludf.DUMMYFUNCTION("""COMPUTED_VALUE"""),0.0)</f>
        <v>0</v>
      </c>
      <c r="H545" s="3">
        <f>IFERROR(__xludf.DUMMYFUNCTION("""COMPUTED_VALUE"""),2.0)</f>
        <v>2</v>
      </c>
      <c r="I545" s="3" t="str">
        <f>IFERROR(__xludf.DUMMYFUNCTION("""COMPUTED_VALUE"""),"The code in the repo is passable, but the question labelling is (and/or comments) not very good and wrong in some places. Also, there are no findings.")</f>
        <v>The code in the repo is passable, but the question labelling is (and/or comments) not very good and wrong in some places. Also, there are no findings.</v>
      </c>
      <c r="J545" s="3" t="str">
        <f>IFERROR(__xludf.DUMMYFUNCTION("""COMPUTED_VALUE"""),"22f3001059@ds.study.iitm.ac.in")</f>
        <v>22f3001059@ds.study.iitm.ac.in</v>
      </c>
      <c r="K545" s="3" t="str">
        <f t="shared" si="1"/>
        <v>22f3001059@ds.study.iitm.ac.inhttps://github.com/Yashi-code/dublin-developer-data/tree/main</v>
      </c>
      <c r="L545" s="3" t="str">
        <f t="shared" si="2"/>
        <v>22f3001059@ds.study.iitm.ac.inhttps://github.com/Karanshrivastav/tds_project_1</v>
      </c>
    </row>
    <row r="546">
      <c r="A546" s="3">
        <f>IFERROR(__xludf.DUMMYFUNCTION("""COMPUTED_VALUE"""),45605.09271527777)</f>
        <v>45605.09272</v>
      </c>
      <c r="B546" s="5" t="str">
        <f>IFERROR(__xludf.DUMMYFUNCTION("""COMPUTED_VALUE"""),"https://github.com/manojp23/TDS-Project-1")</f>
        <v>https://github.com/manojp23/TDS-Project-1</v>
      </c>
      <c r="C546" s="3">
        <f>IFERROR(__xludf.DUMMYFUNCTION("""COMPUTED_VALUE"""),8.0)</f>
        <v>8</v>
      </c>
      <c r="D546" s="3">
        <f>IFERROR(__xludf.DUMMYFUNCTION("""COMPUTED_VALUE"""),0.0)</f>
        <v>0</v>
      </c>
      <c r="E546" s="3" t="str">
        <f>IFERROR(__xludf.DUMMYFUNCTION("""COMPUTED_VALUE"""),"as I seen there is no code availabe and Readme contain basic information")</f>
        <v>as I seen there is no code availabe and Readme contain basic information</v>
      </c>
      <c r="F546" s="5" t="str">
        <f>IFERROR(__xludf.DUMMYFUNCTION("""COMPUTED_VALUE"""),"https://github.com/IITM-007/Project1/tree/main")</f>
        <v>https://github.com/IITM-007/Project1/tree/main</v>
      </c>
      <c r="G546" s="3">
        <f>IFERROR(__xludf.DUMMYFUNCTION("""COMPUTED_VALUE"""),9.0)</f>
        <v>9</v>
      </c>
      <c r="H546" s="3">
        <f>IFERROR(__xludf.DUMMYFUNCTION("""COMPUTED_VALUE"""),9.0)</f>
        <v>9</v>
      </c>
      <c r="I546" s="3" t="str">
        <f>IFERROR(__xludf.DUMMYFUNCTION("""COMPUTED_VALUE"""),"readme contain all basic information with a flowchart and have all codes ")</f>
        <v>readme contain all basic information with a flowchart and have all codes </v>
      </c>
      <c r="J546" s="3" t="str">
        <f>IFERROR(__xludf.DUMMYFUNCTION("""COMPUTED_VALUE"""),"23f1001763@ds.study.iitm.ac.in")</f>
        <v>23f1001763@ds.study.iitm.ac.in</v>
      </c>
      <c r="K546" s="3" t="str">
        <f t="shared" si="1"/>
        <v>23f1001763@ds.study.iitm.ac.inhttps://github.com/manojp23/TDS-Project-1</v>
      </c>
      <c r="L546" s="3" t="str">
        <f t="shared" si="2"/>
        <v>23f1001763@ds.study.iitm.ac.inhttps://github.com/IITM-007/Project1/tree/main</v>
      </c>
    </row>
    <row r="547">
      <c r="A547" s="3">
        <f>IFERROR(__xludf.DUMMYFUNCTION("""COMPUTED_VALUE"""),45605.096069907406)</f>
        <v>45605.09607</v>
      </c>
      <c r="B547" s="5" t="str">
        <f>IFERROR(__xludf.DUMMYFUNCTION("""COMPUTED_VALUE"""),"https://github.com/Kushagra-IITM/TDS1_23f1001963")</f>
        <v>https://github.com/Kushagra-IITM/TDS1_23f1001963</v>
      </c>
      <c r="C547" s="3">
        <f>IFERROR(__xludf.DUMMYFUNCTION("""COMPUTED_VALUE"""),8.0)</f>
        <v>8</v>
      </c>
      <c r="D547" s="3">
        <f>IFERROR(__xludf.DUMMYFUNCTION("""COMPUTED_VALUE"""),8.0)</f>
        <v>8</v>
      </c>
      <c r="E547" s="3" t="str">
        <f>IFERROR(__xludf.DUMMYFUNCTION("""COMPUTED_VALUE"""),"codes and repo could be presented in a more professional way.")</f>
        <v>codes and repo could be presented in a more professional way.</v>
      </c>
      <c r="F547" s="5" t="str">
        <f>IFERROR(__xludf.DUMMYFUNCTION("""COMPUTED_VALUE"""),"https://github.com/Anu-IITM/Tds_project1")</f>
        <v>https://github.com/Anu-IITM/Tds_project1</v>
      </c>
      <c r="G547" s="3">
        <f>IFERROR(__xludf.DUMMYFUNCTION("""COMPUTED_VALUE"""),10.0)</f>
        <v>10</v>
      </c>
      <c r="H547" s="3">
        <f>IFERROR(__xludf.DUMMYFUNCTION("""COMPUTED_VALUE"""),10.0)</f>
        <v>10</v>
      </c>
      <c r="I547" s="3" t="str">
        <f>IFERROR(__xludf.DUMMYFUNCTION("""COMPUTED_VALUE"""),"I have learnt something fascinating. All codes are attached. Everything is clear and presented in a professional way.")</f>
        <v>I have learnt something fascinating. All codes are attached. Everything is clear and presented in a professional way.</v>
      </c>
      <c r="J547" s="3" t="str">
        <f>IFERROR(__xludf.DUMMYFUNCTION("""COMPUTED_VALUE"""),"23f1001991@ds.study.iitm.ac.in")</f>
        <v>23f1001991@ds.study.iitm.ac.in</v>
      </c>
      <c r="K547" s="3" t="str">
        <f t="shared" si="1"/>
        <v>23f1001991@ds.study.iitm.ac.inhttps://github.com/Kushagra-IITM/TDS1_23f1001963</v>
      </c>
      <c r="L547" s="3" t="str">
        <f t="shared" si="2"/>
        <v>23f1001991@ds.study.iitm.ac.inhttps://github.com/Anu-IITM/Tds_project1</v>
      </c>
    </row>
    <row r="548">
      <c r="A548" s="3">
        <f>IFERROR(__xludf.DUMMYFUNCTION("""COMPUTED_VALUE"""),45605.48234431713)</f>
        <v>45605.48234</v>
      </c>
      <c r="B548" s="5" t="str">
        <f>IFERROR(__xludf.DUMMYFUNCTION("""COMPUTED_VALUE"""),"https://github.com/na-ch7/TDS-Project-1")</f>
        <v>https://github.com/na-ch7/TDS-Project-1</v>
      </c>
      <c r="C548" s="3">
        <f>IFERROR(__xludf.DUMMYFUNCTION("""COMPUTED_VALUE"""),10.0)</f>
        <v>10</v>
      </c>
      <c r="D548" s="3">
        <f>IFERROR(__xludf.DUMMYFUNCTION("""COMPUTED_VALUE"""),0.0)</f>
        <v>0</v>
      </c>
      <c r="E548" s="3" t="str">
        <f>IFERROR(__xludf.DUMMYFUNCTION("""COMPUTED_VALUE"""),"Readme has required description and no code available")</f>
        <v>Readme has required description and no code available</v>
      </c>
      <c r="F548" s="5" t="str">
        <f>IFERROR(__xludf.DUMMYFUNCTION("""COMPUTED_VALUE"""),"https://github.com/ShivamAgrawal100/TDS-Project1")</f>
        <v>https://github.com/ShivamAgrawal100/TDS-Project1</v>
      </c>
      <c r="G548" s="3">
        <f>IFERROR(__xludf.DUMMYFUNCTION("""COMPUTED_VALUE"""),10.0)</f>
        <v>10</v>
      </c>
      <c r="H548" s="3">
        <f>IFERROR(__xludf.DUMMYFUNCTION("""COMPUTED_VALUE"""),10.0)</f>
        <v>10</v>
      </c>
      <c r="I548" s="3" t="str">
        <f>IFERROR(__xludf.DUMMYFUNCTION("""COMPUTED_VALUE"""),"Code is available and neat also readme is present.")</f>
        <v>Code is available and neat also readme is present.</v>
      </c>
      <c r="J548" s="3" t="str">
        <f>IFERROR(__xludf.DUMMYFUNCTION("""COMPUTED_VALUE"""),"23f2005597@ds.study.iitm.ac.in")</f>
        <v>23f2005597@ds.study.iitm.ac.in</v>
      </c>
      <c r="K548" s="3" t="str">
        <f t="shared" si="1"/>
        <v>23f2005597@ds.study.iitm.ac.inhttps://github.com/na-ch7/TDS-Project-1</v>
      </c>
      <c r="L548" s="3" t="str">
        <f t="shared" si="2"/>
        <v>23f2005597@ds.study.iitm.ac.inhttps://github.com/ShivamAgrawal100/TDS-Project1</v>
      </c>
    </row>
    <row r="549">
      <c r="A549" s="3">
        <f>IFERROR(__xludf.DUMMYFUNCTION("""COMPUTED_VALUE"""),45605.572135254624)</f>
        <v>45605.57214</v>
      </c>
      <c r="B549" s="5" t="str">
        <f>IFERROR(__xludf.DUMMYFUNCTION("""COMPUTED_VALUE"""),"https://github.com/rahul-jha-2001/TDS")</f>
        <v>https://github.com/rahul-jha-2001/TDS</v>
      </c>
      <c r="C549" s="3">
        <f>IFERROR(__xludf.DUMMYFUNCTION("""COMPUTED_VALUE"""),10.0)</f>
        <v>10</v>
      </c>
      <c r="D549" s="3">
        <f>IFERROR(__xludf.DUMMYFUNCTION("""COMPUTED_VALUE"""),10.0)</f>
        <v>10</v>
      </c>
      <c r="E549" s="3" t="str">
        <f>IFERROR(__xludf.DUMMYFUNCTION("""COMPUTED_VALUE"""),"Good findings and proper execution of the questions")</f>
        <v>Good findings and proper execution of the questions</v>
      </c>
      <c r="F549" s="5" t="str">
        <f>IFERROR(__xludf.DUMMYFUNCTION("""COMPUTED_VALUE"""),"https://github.com/Tanuroy10/TdsProject")</f>
        <v>https://github.com/Tanuroy10/TdsProject</v>
      </c>
      <c r="G549" s="3">
        <f>IFERROR(__xludf.DUMMYFUNCTION("""COMPUTED_VALUE"""),10.0)</f>
        <v>10</v>
      </c>
      <c r="H549" s="3">
        <f>IFERROR(__xludf.DUMMYFUNCTION("""COMPUTED_VALUE"""),10.0)</f>
        <v>10</v>
      </c>
      <c r="I549" s="3" t="str">
        <f>IFERROR(__xludf.DUMMYFUNCTION("""COMPUTED_VALUE"""),"Good analysis of the data with correct findings")</f>
        <v>Good analysis of the data with correct findings</v>
      </c>
      <c r="J549" s="3" t="str">
        <f>IFERROR(__xludf.DUMMYFUNCTION("""COMPUTED_VALUE"""),"22f1000599@ds.study.iitm.ac.in")</f>
        <v>22f1000599@ds.study.iitm.ac.in</v>
      </c>
      <c r="K549" s="3" t="str">
        <f t="shared" si="1"/>
        <v>22f1000599@ds.study.iitm.ac.inhttps://github.com/rahul-jha-2001/TDS</v>
      </c>
      <c r="L549" s="3" t="str">
        <f t="shared" si="2"/>
        <v>22f1000599@ds.study.iitm.ac.inhttps://github.com/Tanuroy10/TdsProject</v>
      </c>
    </row>
    <row r="550">
      <c r="A550" s="3">
        <f>IFERROR(__xludf.DUMMYFUNCTION("""COMPUTED_VALUE"""),45605.68446929398)</f>
        <v>45605.68447</v>
      </c>
      <c r="B550" s="5" t="str">
        <f>IFERROR(__xludf.DUMMYFUNCTION("""COMPUTED_VALUE"""),"https://github.com/AbayNandhiga-iitm/tokyo-github-users")</f>
        <v>https://github.com/AbayNandhiga-iitm/tokyo-github-users</v>
      </c>
      <c r="C550" s="3">
        <f>IFERROR(__xludf.DUMMYFUNCTION("""COMPUTED_VALUE"""),8.0)</f>
        <v>8</v>
      </c>
      <c r="D550" s="3">
        <f>IFERROR(__xludf.DUMMYFUNCTION("""COMPUTED_VALUE"""),8.0)</f>
        <v>8</v>
      </c>
      <c r="E550" s="3" t="str">
        <f>IFERROR(__xludf.DUMMYFUNCTION("""COMPUTED_VALUE"""),"The analysis were clear and understandable. However, this readme.md file of this repo didn't follow the rubrics which mentioned that the points should be in one sentences only. Hence, the marks had to be reduced by 2 ")</f>
        <v>The analysis were clear and understandable. However, this readme.md file of this repo didn't follow the rubrics which mentioned that the points should be in one sentences only. Hence, the marks had to be reduced by 2 </v>
      </c>
      <c r="F550" s="5" t="str">
        <f>IFERROR(__xludf.DUMMYFUNCTION("""COMPUTED_VALUE"""),"https://github.com/kashishbansal920/Project-TDS")</f>
        <v>https://github.com/kashishbansal920/Project-TDS</v>
      </c>
      <c r="G550" s="3">
        <f>IFERROR(__xludf.DUMMYFUNCTION("""COMPUTED_VALUE"""),10.0)</f>
        <v>10</v>
      </c>
      <c r="H550" s="3">
        <f>IFERROR(__xludf.DUMMYFUNCTION("""COMPUTED_VALUE"""),10.0)</f>
        <v>10</v>
      </c>
      <c r="I550" s="3" t="str">
        <f>IFERROR(__xludf.DUMMYFUNCTION("""COMPUTED_VALUE"""),"The conclusions made were clear and accurate. All rubrics were followed. Hence the maximum marks has been granted")</f>
        <v>The conclusions made were clear and accurate. All rubrics were followed. Hence the maximum marks has been granted</v>
      </c>
      <c r="J550" s="3" t="str">
        <f>IFERROR(__xludf.DUMMYFUNCTION("""COMPUTED_VALUE"""),"23f2001127@ds.study.iitm.ac.in")</f>
        <v>23f2001127@ds.study.iitm.ac.in</v>
      </c>
      <c r="K550" s="3" t="str">
        <f t="shared" si="1"/>
        <v>23f2001127@ds.study.iitm.ac.inhttps://github.com/AbayNandhiga-iitm/tokyo-github-users</v>
      </c>
      <c r="L550" s="3" t="str">
        <f t="shared" si="2"/>
        <v>23f2001127@ds.study.iitm.ac.inhttps://github.com/kashishbansal920/Project-TDS</v>
      </c>
    </row>
    <row r="551">
      <c r="A551" s="3">
        <f>IFERROR(__xludf.DUMMYFUNCTION("""COMPUTED_VALUE"""),45605.707932708334)</f>
        <v>45605.70793</v>
      </c>
      <c r="B551" s="5" t="str">
        <f>IFERROR(__xludf.DUMMYFUNCTION("""COMPUTED_VALUE"""),"https://github.com/harrycode54/Stockholm100")</f>
        <v>https://github.com/harrycode54/Stockholm100</v>
      </c>
      <c r="C551" s="3">
        <f>IFERROR(__xludf.DUMMYFUNCTION("""COMPUTED_VALUE"""),5.0)</f>
        <v>5</v>
      </c>
      <c r="D551" s="3">
        <f>IFERROR(__xludf.DUMMYFUNCTION("""COMPUTED_VALUE"""),10.0)</f>
        <v>10</v>
      </c>
      <c r="E551" s="3" t="str">
        <f>IFERROR(__xludf.DUMMYFUNCTION("""COMPUTED_VALUE"""),"The notebook contains appropriate code for all the questions in the project, and the findings are based on straightforward observations.")</f>
        <v>The notebook contains appropriate code for all the questions in the project, and the findings are based on straightforward observations.</v>
      </c>
      <c r="F551" s="5" t="str">
        <f>IFERROR(__xludf.DUMMYFUNCTION("""COMPUTED_VALUE"""),"https://github.com/anshulbaliga7/iitm-tds-project1")</f>
        <v>https://github.com/anshulbaliga7/iitm-tds-project1</v>
      </c>
      <c r="G551" s="3">
        <f>IFERROR(__xludf.DUMMYFUNCTION("""COMPUTED_VALUE"""),10.0)</f>
        <v>10</v>
      </c>
      <c r="H551" s="3">
        <f>IFERROR(__xludf.DUMMYFUNCTION("""COMPUTED_VALUE"""),10.0)</f>
        <v>10</v>
      </c>
      <c r="I551" s="3" t="str">
        <f>IFERROR(__xludf.DUMMYFUNCTION("""COMPUTED_VALUE"""),"The findings were comprehensively documented, and the notebook includes the correct code for all analyses.")</f>
        <v>The findings were comprehensively documented, and the notebook includes the correct code for all analyses.</v>
      </c>
      <c r="J551" s="3" t="str">
        <f>IFERROR(__xludf.DUMMYFUNCTION("""COMPUTED_VALUE"""),"21f2001136@ds.study.iitm.ac.in")</f>
        <v>21f2001136@ds.study.iitm.ac.in</v>
      </c>
      <c r="K551" s="3" t="str">
        <f t="shared" si="1"/>
        <v>21f2001136@ds.study.iitm.ac.inhttps://github.com/harrycode54/Stockholm100</v>
      </c>
      <c r="L551" s="3" t="str">
        <f t="shared" si="2"/>
        <v>21f2001136@ds.study.iitm.ac.inhttps://github.com/anshulbaliga7/iitm-tds-project1</v>
      </c>
    </row>
    <row r="552">
      <c r="A552" s="3">
        <f>IFERROR(__xludf.DUMMYFUNCTION("""COMPUTED_VALUE"""),45605.80513278935)</f>
        <v>45605.80513</v>
      </c>
      <c r="B552" s="5" t="str">
        <f>IFERROR(__xludf.DUMMYFUNCTION("""COMPUTED_VALUE"""),"https://github.com/myGreatLoveM/tds-project-1")</f>
        <v>https://github.com/myGreatLoveM/tds-project-1</v>
      </c>
      <c r="C552" s="3">
        <f>IFERROR(__xludf.DUMMYFUNCTION("""COMPUTED_VALUE"""),9.0)</f>
        <v>9</v>
      </c>
      <c r="D552" s="3">
        <f>IFERROR(__xludf.DUMMYFUNCTION("""COMPUTED_VALUE"""),9.0)</f>
        <v>9</v>
      </c>
      <c r="E552" s="3" t="str">
        <f>IFERROR(__xludf.DUMMYFUNCTION("""COMPUTED_VALUE"""),"The readme file had interesting findings and the repo code seems clean to me")</f>
        <v>The readme file had interesting findings and the repo code seems clean to me</v>
      </c>
      <c r="F552" s="5" t="str">
        <f>IFERROR(__xludf.DUMMYFUNCTION("""COMPUTED_VALUE"""),"https://github.com/AbhimanyuDwivedi282/TDS-Project_1")</f>
        <v>https://github.com/AbhimanyuDwivedi282/TDS-Project_1</v>
      </c>
      <c r="G552" s="3">
        <f>IFERROR(__xludf.DUMMYFUNCTION("""COMPUTED_VALUE"""),10.0)</f>
        <v>10</v>
      </c>
      <c r="H552" s="3">
        <f>IFERROR(__xludf.DUMMYFUNCTION("""COMPUTED_VALUE"""),10.0)</f>
        <v>10</v>
      </c>
      <c r="I552" s="3" t="str">
        <f>IFERROR(__xludf.DUMMYFUNCTION("""COMPUTED_VALUE"""),"The readme was concise clear and gave interesting insight about the GitHub community in Bangalore. The code was clear with code separated for each question")</f>
        <v>The readme was concise clear and gave interesting insight about the GitHub community in Bangalore. The code was clear with code separated for each question</v>
      </c>
      <c r="J552" s="3" t="str">
        <f>IFERROR(__xludf.DUMMYFUNCTION("""COMPUTED_VALUE"""),"21f1006103@ds.study.iitm.ac.in")</f>
        <v>21f1006103@ds.study.iitm.ac.in</v>
      </c>
      <c r="K552" s="3" t="str">
        <f t="shared" si="1"/>
        <v>21f1006103@ds.study.iitm.ac.inhttps://github.com/myGreatLoveM/tds-project-1</v>
      </c>
      <c r="L552" s="3" t="str">
        <f t="shared" si="2"/>
        <v>21f1006103@ds.study.iitm.ac.inhttps://github.com/AbhimanyuDwivedi282/TDS-Project_1</v>
      </c>
    </row>
    <row r="553">
      <c r="A553" s="3">
        <f>IFERROR(__xludf.DUMMYFUNCTION("""COMPUTED_VALUE"""),45605.80590688657)</f>
        <v>45605.80591</v>
      </c>
      <c r="B553" s="5" t="str">
        <f>IFERROR(__xludf.DUMMYFUNCTION("""COMPUTED_VALUE"""),"https://github.com/SidharthDahiya/Toronto-Analysis")</f>
        <v>https://github.com/SidharthDahiya/Toronto-Analysis</v>
      </c>
      <c r="C553" s="3">
        <f>IFERROR(__xludf.DUMMYFUNCTION("""COMPUTED_VALUE"""),10.0)</f>
        <v>10</v>
      </c>
      <c r="D553" s="3">
        <f>IFERROR(__xludf.DUMMYFUNCTION("""COMPUTED_VALUE"""),10.0)</f>
        <v>10</v>
      </c>
      <c r="E553" s="3" t="str">
        <f>IFERROR(__xludf.DUMMYFUNCTION("""COMPUTED_VALUE"""),"It matched all the criteria for the ratings")</f>
        <v>It matched all the criteria for the ratings</v>
      </c>
      <c r="F553" s="5" t="str">
        <f>IFERROR(__xludf.DUMMYFUNCTION("""COMPUTED_VALUE"""),"https://github.com/fahmeed1713/GitHub-Users-and-Repositories-Data-Scraper")</f>
        <v>https://github.com/fahmeed1713/GitHub-Users-and-Repositories-Data-Scraper</v>
      </c>
      <c r="G553" s="3">
        <f>IFERROR(__xludf.DUMMYFUNCTION("""COMPUTED_VALUE"""),10.0)</f>
        <v>10</v>
      </c>
      <c r="H553" s="3">
        <f>IFERROR(__xludf.DUMMYFUNCTION("""COMPUTED_VALUE"""),10.0)</f>
        <v>10</v>
      </c>
      <c r="I553" s="3" t="str">
        <f>IFERROR(__xludf.DUMMYFUNCTION("""COMPUTED_VALUE"""),"It matched all the criteria for ratings")</f>
        <v>It matched all the criteria for ratings</v>
      </c>
      <c r="J553" s="3" t="str">
        <f>IFERROR(__xludf.DUMMYFUNCTION("""COMPUTED_VALUE"""),"24f1002524@ds.study.iitm.ac.in")</f>
        <v>24f1002524@ds.study.iitm.ac.in</v>
      </c>
      <c r="K553" s="3" t="str">
        <f t="shared" si="1"/>
        <v>24f1002524@ds.study.iitm.ac.inhttps://github.com/SidharthDahiya/Toronto-Analysis</v>
      </c>
      <c r="L553" s="3" t="str">
        <f t="shared" si="2"/>
        <v>24f1002524@ds.study.iitm.ac.inhttps://github.com/fahmeed1713/GitHub-Users-and-Repositories-Data-Scraper</v>
      </c>
    </row>
    <row r="554">
      <c r="A554" s="3">
        <f>IFERROR(__xludf.DUMMYFUNCTION("""COMPUTED_VALUE"""),45606.00967428241)</f>
        <v>45606.00967</v>
      </c>
      <c r="B554" s="5" t="str">
        <f>IFERROR(__xludf.DUMMYFUNCTION("""COMPUTED_VALUE"""),"https://github.com/23f2004527/TDS_Project1")</f>
        <v>https://github.com/23f2004527/TDS_Project1</v>
      </c>
      <c r="C554" s="3">
        <f>IFERROR(__xludf.DUMMYFUNCTION("""COMPUTED_VALUE"""),9.0)</f>
        <v>9</v>
      </c>
      <c r="D554" s="3">
        <f>IFERROR(__xludf.DUMMYFUNCTION("""COMPUTED_VALUE"""),9.0)</f>
        <v>9</v>
      </c>
      <c r="E554" s="3" t="str">
        <f>IFERROR(__xludf.DUMMYFUNCTION("""COMPUTED_VALUE"""),"Very detailed analysis with proper mentioned the core and approach to solve the questions ")</f>
        <v>Very detailed analysis with proper mentioned the core and approach to solve the questions </v>
      </c>
      <c r="F554" s="5" t="str">
        <f>IFERROR(__xludf.DUMMYFUNCTION("""COMPUTED_VALUE"""),"https://github.com/22f3001673/TDS-Project1")</f>
        <v>https://github.com/22f3001673/TDS-Project1</v>
      </c>
      <c r="G554" s="3">
        <f>IFERROR(__xludf.DUMMYFUNCTION("""COMPUTED_VALUE"""),9.0)</f>
        <v>9</v>
      </c>
      <c r="H554" s="3">
        <f>IFERROR(__xludf.DUMMYFUNCTION("""COMPUTED_VALUE"""),9.0)</f>
        <v>9</v>
      </c>
      <c r="I554" s="3" t="str">
        <f>IFERROR(__xludf.DUMMYFUNCTION("""COMPUTED_VALUE"""),"Detailed analysis provided and exactly mentioning all the micro details of project in the report ")</f>
        <v>Detailed analysis provided and exactly mentioning all the micro details of project in the report </v>
      </c>
      <c r="J554" s="3" t="str">
        <f>IFERROR(__xludf.DUMMYFUNCTION("""COMPUTED_VALUE"""),"23f2004714@ds.study.iitm.ac.in")</f>
        <v>23f2004714@ds.study.iitm.ac.in</v>
      </c>
      <c r="K554" s="3" t="str">
        <f t="shared" si="1"/>
        <v>23f2004714@ds.study.iitm.ac.inhttps://github.com/23f2004527/TDS_Project1</v>
      </c>
      <c r="L554" s="3" t="str">
        <f t="shared" si="2"/>
        <v>23f2004714@ds.study.iitm.ac.inhttps://github.com/22f3001673/TDS-Project1</v>
      </c>
    </row>
    <row r="555">
      <c r="A555" s="3">
        <f>IFERROR(__xludf.DUMMYFUNCTION("""COMPUTED_VALUE"""),45606.16106034722)</f>
        <v>45606.16106</v>
      </c>
      <c r="B555" s="5" t="str">
        <f>IFERROR(__xludf.DUMMYFUNCTION("""COMPUTED_VALUE"""),"https://github.com/Hritik-Shyam-Gupta/TDS-Project1")</f>
        <v>https://github.com/Hritik-Shyam-Gupta/TDS-Project1</v>
      </c>
      <c r="C555" s="3">
        <f>IFERROR(__xludf.DUMMYFUNCTION("""COMPUTED_VALUE"""),10.0)</f>
        <v>10</v>
      </c>
      <c r="D555" s="3">
        <f>IFERROR(__xludf.DUMMYFUNCTION("""COMPUTED_VALUE"""),10.0)</f>
        <v>10</v>
      </c>
      <c r="E555" s="3" t="str">
        <f>IFERROR(__xludf.DUMMYFUNCTION("""COMPUTED_VALUE"""),"The analysis and scraping was very Detailed and well put. The readme.md file felt good to read and understanding what has been done was easy.")</f>
        <v>The analysis and scraping was very Detailed and well put. The readme.md file felt good to read and understanding what has been done was easy.</v>
      </c>
      <c r="F555" s="5" t="str">
        <f>IFERROR(__xludf.DUMMYFUNCTION("""COMPUTED_VALUE"""),"https://github.com/Nandhini-Ammaiappan/Project1")</f>
        <v>https://github.com/Nandhini-Ammaiappan/Project1</v>
      </c>
      <c r="G555" s="3">
        <f>IFERROR(__xludf.DUMMYFUNCTION("""COMPUTED_VALUE"""),10.0)</f>
        <v>10</v>
      </c>
      <c r="H555" s="3">
        <f>IFERROR(__xludf.DUMMYFUNCTION("""COMPUTED_VALUE"""),9.0)</f>
        <v>9</v>
      </c>
      <c r="I555" s="3" t="str">
        <f>IFERROR(__xludf.DUMMYFUNCTION("""COMPUTED_VALUE"""),"The analysis and scraping was very Detailed and well put. The readme.md file felt good to read and understanding what has been done was easy.")</f>
        <v>The analysis and scraping was very Detailed and well put. The readme.md file felt good to read and understanding what has been done was easy.</v>
      </c>
      <c r="J555" s="3" t="str">
        <f>IFERROR(__xludf.DUMMYFUNCTION("""COMPUTED_VALUE"""),"24f1002325@ds.study.iitm.ac.in")</f>
        <v>24f1002325@ds.study.iitm.ac.in</v>
      </c>
      <c r="K555" s="3" t="str">
        <f t="shared" si="1"/>
        <v>24f1002325@ds.study.iitm.ac.inhttps://github.com/Hritik-Shyam-Gupta/TDS-Project1</v>
      </c>
      <c r="L555" s="3" t="str">
        <f t="shared" si="2"/>
        <v>24f1002325@ds.study.iitm.ac.inhttps://github.com/Nandhini-Ammaiappan/Project1</v>
      </c>
    </row>
    <row r="556">
      <c r="A556" s="3">
        <f>IFERROR(__xludf.DUMMYFUNCTION("""COMPUTED_VALUE"""),45606.576832384264)</f>
        <v>45606.57683</v>
      </c>
      <c r="B556" s="5" t="str">
        <f>IFERROR(__xludf.DUMMYFUNCTION("""COMPUTED_VALUE"""),"https://github.com/Danniiiaaaa/TDS-proj-1")</f>
        <v>https://github.com/Danniiiaaaa/TDS-proj-1</v>
      </c>
      <c r="C556" s="3">
        <f>IFERROR(__xludf.DUMMYFUNCTION("""COMPUTED_VALUE"""),10.0)</f>
        <v>10</v>
      </c>
      <c r="D556" s="3">
        <f>IFERROR(__xludf.DUMMYFUNCTION("""COMPUTED_VALUE"""),10.0)</f>
        <v>10</v>
      </c>
      <c r="E556" s="3" t="str">
        <f>IFERROR(__xludf.DUMMYFUNCTION("""COMPUTED_VALUE"""),"The code was clear and professional")</f>
        <v>The code was clear and professional</v>
      </c>
      <c r="F556" s="5" t="str">
        <f>IFERROR(__xludf.DUMMYFUNCTION("""COMPUTED_VALUE"""),"https://github.com/mdjawed372/tds-project1")</f>
        <v>https://github.com/mdjawed372/tds-project1</v>
      </c>
      <c r="G556" s="3">
        <f>IFERROR(__xludf.DUMMYFUNCTION("""COMPUTED_VALUE"""),10.0)</f>
        <v>10</v>
      </c>
      <c r="H556" s="3">
        <f>IFERROR(__xludf.DUMMYFUNCTION("""COMPUTED_VALUE"""),10.0)</f>
        <v>10</v>
      </c>
      <c r="I556" s="3" t="str">
        <f>IFERROR(__xludf.DUMMYFUNCTION("""COMPUTED_VALUE"""),"The code was clear and professional and the Readme was clear")</f>
        <v>The code was clear and professional and the Readme was clear</v>
      </c>
      <c r="J556" s="3" t="str">
        <f>IFERROR(__xludf.DUMMYFUNCTION("""COMPUTED_VALUE"""),"22f2000445@ds.study.iitm.ac.in")</f>
        <v>22f2000445@ds.study.iitm.ac.in</v>
      </c>
      <c r="K556" s="3" t="str">
        <f t="shared" si="1"/>
        <v>22f2000445@ds.study.iitm.ac.inhttps://github.com/Danniiiaaaa/TDS-proj-1</v>
      </c>
      <c r="L556" s="3" t="str">
        <f t="shared" si="2"/>
        <v>22f2000445@ds.study.iitm.ac.inhttps://github.com/mdjawed372/tds-project1</v>
      </c>
    </row>
    <row r="557">
      <c r="A557" s="3">
        <f>IFERROR(__xludf.DUMMYFUNCTION("""COMPUTED_VALUE"""),45606.75569336806)</f>
        <v>45606.75569</v>
      </c>
      <c r="B557" s="5" t="str">
        <f>IFERROR(__xludf.DUMMYFUNCTION("""COMPUTED_VALUE"""),"https://github.com/Ananya200314/IITM_TDS_P1")</f>
        <v>https://github.com/Ananya200314/IITM_TDS_P1</v>
      </c>
      <c r="C557" s="3">
        <f>IFERROR(__xludf.DUMMYFUNCTION("""COMPUTED_VALUE"""),8.0)</f>
        <v>8</v>
      </c>
      <c r="D557" s="3">
        <f>IFERROR(__xludf.DUMMYFUNCTION("""COMPUTED_VALUE"""),10.0)</f>
        <v>10</v>
      </c>
      <c r="E557" s="3" t="str">
        <f>IFERROR(__xludf.DUMMYFUNCTION("""COMPUTED_VALUE"""),"I evaluated the README.md file, and code file. The code was clear and correct. Also the README.md file contained the procedure to some extent")</f>
        <v>I evaluated the README.md file, and code file. The code was clear and correct. Also the README.md file contained the procedure to some extent</v>
      </c>
      <c r="F557" s="5" t="str">
        <f>IFERROR(__xludf.DUMMYFUNCTION("""COMPUTED_VALUE"""),"https://github.com/Shilajit04/TDS-Project-1")</f>
        <v>https://github.com/Shilajit04/TDS-Project-1</v>
      </c>
      <c r="G557" s="3">
        <f>IFERROR(__xludf.DUMMYFUNCTION("""COMPUTED_VALUE"""),8.0)</f>
        <v>8</v>
      </c>
      <c r="H557" s="3">
        <f>IFERROR(__xludf.DUMMYFUNCTION("""COMPUTED_VALUE"""),10.0)</f>
        <v>10</v>
      </c>
      <c r="I557" s="3" t="str">
        <f>IFERROR(__xludf.DUMMYFUNCTION("""COMPUTED_VALUE"""),"I evaluated the README.md file, and code files. The code is easy to understood and properly fornmatted. Also the README.md file contained the procedure to some extent with learnings.")</f>
        <v>I evaluated the README.md file, and code files. The code is easy to understood and properly fornmatted. Also the README.md file contained the procedure to some extent with learnings.</v>
      </c>
      <c r="J557" s="3" t="str">
        <f>IFERROR(__xludf.DUMMYFUNCTION("""COMPUTED_VALUE"""),"22f2000354@ds.study.iitm.ac.in")</f>
        <v>22f2000354@ds.study.iitm.ac.in</v>
      </c>
      <c r="K557" s="3" t="str">
        <f t="shared" si="1"/>
        <v>22f2000354@ds.study.iitm.ac.inhttps://github.com/Ananya200314/IITM_TDS_P1</v>
      </c>
      <c r="L557" s="3" t="str">
        <f t="shared" si="2"/>
        <v>22f2000354@ds.study.iitm.ac.inhttps://github.com/Shilajit04/TDS-Project-1</v>
      </c>
    </row>
    <row r="558">
      <c r="A558" s="3">
        <f>IFERROR(__xludf.DUMMYFUNCTION("""COMPUTED_VALUE"""),45607.05715792824)</f>
        <v>45607.05716</v>
      </c>
      <c r="B558" s="5" t="str">
        <f>IFERROR(__xludf.DUMMYFUNCTION("""COMPUTED_VALUE"""),"https://github.com/rebornphoenix01/TDSProject1")</f>
        <v>https://github.com/rebornphoenix01/TDSProject1</v>
      </c>
      <c r="C558" s="3">
        <f>IFERROR(__xludf.DUMMYFUNCTION("""COMPUTED_VALUE"""),10.0)</f>
        <v>10</v>
      </c>
      <c r="D558" s="3">
        <f>IFERROR(__xludf.DUMMYFUNCTION("""COMPUTED_VALUE"""),10.0)</f>
        <v>10</v>
      </c>
      <c r="E558" s="3" t="str">
        <f>IFERROR(__xludf.DUMMYFUNCTION("""COMPUTED_VALUE"""),"It was well coded, insightful and reflected the hard work put in. ")</f>
        <v>It was well coded, insightful and reflected the hard work put in. </v>
      </c>
      <c r="F558" s="5" t="str">
        <f>IFERROR(__xludf.DUMMYFUNCTION("""COMPUTED_VALUE"""),"https://github.com/SaloniSingh1254/seattle200")</f>
        <v>https://github.com/SaloniSingh1254/seattle200</v>
      </c>
      <c r="G558" s="3">
        <f>IFERROR(__xludf.DUMMYFUNCTION("""COMPUTED_VALUE"""),10.0)</f>
        <v>10</v>
      </c>
      <c r="H558" s="3">
        <f>IFERROR(__xludf.DUMMYFUNCTION("""COMPUTED_VALUE"""),10.0)</f>
        <v>10</v>
      </c>
      <c r="I558" s="3" t="str">
        <f>IFERROR(__xludf.DUMMYFUNCTION("""COMPUTED_VALUE"""),"The analysis was good, insightful and reflected the hard work put in. ")</f>
        <v>The analysis was good, insightful and reflected the hard work put in. </v>
      </c>
      <c r="J558" s="3" t="str">
        <f>IFERROR(__xludf.DUMMYFUNCTION("""COMPUTED_VALUE"""),"21f1004811@ds.study.iitm.ac.in")</f>
        <v>21f1004811@ds.study.iitm.ac.in</v>
      </c>
      <c r="K558" s="3" t="str">
        <f t="shared" si="1"/>
        <v>21f1004811@ds.study.iitm.ac.inhttps://github.com/rebornphoenix01/TDSProject1</v>
      </c>
      <c r="L558" s="3" t="str">
        <f t="shared" si="2"/>
        <v>21f1004811@ds.study.iitm.ac.inhttps://github.com/SaloniSingh1254/seattle200</v>
      </c>
    </row>
    <row r="559">
      <c r="A559" s="3">
        <f>IFERROR(__xludf.DUMMYFUNCTION("""COMPUTED_VALUE"""),45607.143800509264)</f>
        <v>45607.1438</v>
      </c>
      <c r="B559" s="5" t="str">
        <f>IFERROR(__xludf.DUMMYFUNCTION("""COMPUTED_VALUE"""),"https://github.com/Rishitahazra/berlin200")</f>
        <v>https://github.com/Rishitahazra/berlin200</v>
      </c>
      <c r="C559" s="3">
        <f>IFERROR(__xludf.DUMMYFUNCTION("""COMPUTED_VALUE"""),8.0)</f>
        <v>8</v>
      </c>
      <c r="D559" s="3">
        <f>IFERROR(__xludf.DUMMYFUNCTION("""COMPUTED_VALUE"""),8.0)</f>
        <v>8</v>
      </c>
      <c r="E559" s="3" t="str">
        <f>IFERROR(__xludf.DUMMYFUNCTION("""COMPUTED_VALUE"""),"The redme was nicely written and code was available in the repo.")</f>
        <v>The redme was nicely written and code was available in the repo.</v>
      </c>
      <c r="F559" s="5" t="str">
        <f>IFERROR(__xludf.DUMMYFUNCTION("""COMPUTED_VALUE"""),"https://github.com/KD-kaustubh/Tds-project-1")</f>
        <v>https://github.com/KD-kaustubh/Tds-project-1</v>
      </c>
      <c r="G559" s="3">
        <f>IFERROR(__xludf.DUMMYFUNCTION("""COMPUTED_VALUE"""),8.0)</f>
        <v>8</v>
      </c>
      <c r="H559" s="3">
        <f>IFERROR(__xludf.DUMMYFUNCTION("""COMPUTED_VALUE"""),8.0)</f>
        <v>8</v>
      </c>
      <c r="I559" s="3" t="str">
        <f>IFERROR(__xludf.DUMMYFUNCTION("""COMPUTED_VALUE"""),"The redme was nicely written and code was available in the repo.")</f>
        <v>The redme was nicely written and code was available in the repo.</v>
      </c>
      <c r="J559" s="3" t="str">
        <f>IFERROR(__xludf.DUMMYFUNCTION("""COMPUTED_VALUE"""),"23f2004494@ds.study.iitm.ac.in")</f>
        <v>23f2004494@ds.study.iitm.ac.in</v>
      </c>
      <c r="K559" s="3" t="str">
        <f t="shared" si="1"/>
        <v>23f2004494@ds.study.iitm.ac.inhttps://github.com/Rishitahazra/berlin200</v>
      </c>
      <c r="L559" s="3" t="str">
        <f t="shared" si="2"/>
        <v>23f2004494@ds.study.iitm.ac.inhttps://github.com/KD-kaustubh/Tds-project-1</v>
      </c>
    </row>
    <row r="560">
      <c r="A560" s="3">
        <f>IFERROR(__xludf.DUMMYFUNCTION("""COMPUTED_VALUE"""),45609.01248415509)</f>
        <v>45609.01248</v>
      </c>
      <c r="B560" s="5" t="str">
        <f>IFERROR(__xludf.DUMMYFUNCTION("""COMPUTED_VALUE"""),"https://github.com/mehuljun09/TDS_IITM")</f>
        <v>https://github.com/mehuljun09/TDS_IITM</v>
      </c>
      <c r="C560" s="3">
        <f>IFERROR(__xludf.DUMMYFUNCTION("""COMPUTED_VALUE"""),8.0)</f>
        <v>8</v>
      </c>
      <c r="D560" s="3">
        <f>IFERROR(__xludf.DUMMYFUNCTION("""COMPUTED_VALUE"""),9.0)</f>
        <v>9</v>
      </c>
      <c r="E560" s="3" t="str">
        <f>IFERROR(__xludf.DUMMYFUNCTION("""COMPUTED_VALUE"""),"The GitHub repository by mehuljun09 provides an analysis of GitHub users in Delhi with 100+ followers, covering language use, licensing trends, and other user demographics. The README outlines these findings clearly, making it moderately interesting for t"&amp;"hose curious about GitHub community analytics. The code is organized and effective for data collection, though more detailed comments could improve clarity. Overall, this project serves as a helpful resource for those exploring data-driven profiles on Git"&amp;"Hub.")</f>
        <v>The GitHub repository by mehuljun09 provides an analysis of GitHub users in Delhi with 100+ followers, covering language use, licensing trends, and other user demographics. The README outlines these findings clearly, making it moderately interesting for those curious about GitHub community analytics. The code is organized and effective for data collection, though more detailed comments could improve clarity. Overall, this project serves as a helpful resource for those exploring data-driven profiles on GitHub.</v>
      </c>
      <c r="F560" s="5" t="str">
        <f>IFERROR(__xludf.DUMMYFUNCTION("""COMPUTED_VALUE"""),"https://github.com/23f2004417/23f2004417_TDS_Project1")</f>
        <v>https://github.com/23f2004417/23f2004417_TDS_Project1</v>
      </c>
      <c r="G560" s="3">
        <f>IFERROR(__xludf.DUMMYFUNCTION("""COMPUTED_VALUE"""),7.0)</f>
        <v>7</v>
      </c>
      <c r="H560" s="3">
        <f>IFERROR(__xludf.DUMMYFUNCTION("""COMPUTED_VALUE"""),8.0)</f>
        <v>8</v>
      </c>
      <c r="I560" s="3" t="str">
        <f>IFERROR(__xludf.DUMMYFUNCTION("""COMPUTED_VALUE"""),"The 23f2004417_TDS_Project1 repository by 23f2004417 focuses on GitHub data analysis, examining user trends, follow patterns, and factors affecting follower count. The README provides interesting insights, such as correlations between bio length and follo"&amp;"wers, making the findings quite engaging. The code, presented in a Jupyter Notebook, is reasonably organized but could use additional commentary for clarity. Overall, the project provides a valuable look at GitHub user behaviors and offers actionable advi"&amp;"ce for developers.")</f>
        <v>The 23f2004417_TDS_Project1 repository by 23f2004417 focuses on GitHub data analysis, examining user trends, follow patterns, and factors affecting follower count. The README provides interesting insights, such as correlations between bio length and followers, making the findings quite engaging. The code, presented in a Jupyter Notebook, is reasonably organized but could use additional commentary for clarity. Overall, the project provides a valuable look at GitHub user behaviors and offers actionable advice for developers.</v>
      </c>
      <c r="J560" s="3" t="str">
        <f>IFERROR(__xludf.DUMMYFUNCTION("""COMPUTED_VALUE"""),"23f2004225@ds.study.iitm.ac.in")</f>
        <v>23f2004225@ds.study.iitm.ac.in</v>
      </c>
      <c r="K560" s="3" t="str">
        <f t="shared" si="1"/>
        <v>23f2004225@ds.study.iitm.ac.inhttps://github.com/mehuljun09/TDS_IITM</v>
      </c>
      <c r="L560" s="3" t="str">
        <f t="shared" si="2"/>
        <v>23f2004225@ds.study.iitm.ac.inhttps://github.com/23f2004417/23f2004417_TDS_Project1</v>
      </c>
    </row>
    <row r="561">
      <c r="A561" s="3">
        <f>IFERROR(__xludf.DUMMYFUNCTION("""COMPUTED_VALUE"""),45609.03345870371)</f>
        <v>45609.03346</v>
      </c>
      <c r="B561" s="5" t="str">
        <f>IFERROR(__xludf.DUMMYFUNCTION("""COMPUTED_VALUE"""),"https://github.com/sufyan-12/TDS-PR1")</f>
        <v>https://github.com/sufyan-12/TDS-PR1</v>
      </c>
      <c r="C561" s="3">
        <f>IFERROR(__xludf.DUMMYFUNCTION("""COMPUTED_VALUE"""),8.0)</f>
        <v>8</v>
      </c>
      <c r="D561" s="3">
        <f>IFERROR(__xludf.DUMMYFUNCTION("""COMPUTED_VALUE"""),10.0)</f>
        <v>10</v>
      </c>
      <c r="E561" s="3" t="str">
        <f>IFERROR(__xludf.DUMMYFUNCTION("""COMPUTED_VALUE"""),"These ratings match with the professionalism of the code and the findings mentioned in the readme file")</f>
        <v>These ratings match with the professionalism of the code and the findings mentioned in the readme file</v>
      </c>
      <c r="F561" s="5" t="str">
        <f>IFERROR(__xludf.DUMMYFUNCTION("""COMPUTED_VALUE"""),"https://github.com/theduskyrobe/TDS1")</f>
        <v>https://github.com/theduskyrobe/TDS1</v>
      </c>
      <c r="G561" s="3">
        <f>IFERROR(__xludf.DUMMYFUNCTION("""COMPUTED_VALUE"""),8.0)</f>
        <v>8</v>
      </c>
      <c r="H561" s="3">
        <f>IFERROR(__xludf.DUMMYFUNCTION("""COMPUTED_VALUE"""),10.0)</f>
        <v>10</v>
      </c>
      <c r="I561" s="3" t="str">
        <f>IFERROR(__xludf.DUMMYFUNCTION("""COMPUTED_VALUE"""),"The findings in readme file and the codes mentioned in the github link are clear and structured.")</f>
        <v>The findings in readme file and the codes mentioned in the github link are clear and structured.</v>
      </c>
      <c r="J561" s="3" t="str">
        <f>IFERROR(__xludf.DUMMYFUNCTION("""COMPUTED_VALUE"""),"22f2001246@ds.study.iitm.ac.in")</f>
        <v>22f2001246@ds.study.iitm.ac.in</v>
      </c>
      <c r="K561" s="3" t="str">
        <f t="shared" si="1"/>
        <v>22f2001246@ds.study.iitm.ac.inhttps://github.com/sufyan-12/TDS-PR1</v>
      </c>
      <c r="L561" s="3" t="str">
        <f t="shared" si="2"/>
        <v>22f2001246@ds.study.iitm.ac.inhttps://github.com/theduskyrobe/TDS1</v>
      </c>
    </row>
    <row r="562">
      <c r="A562" s="3">
        <f>IFERROR(__xludf.DUMMYFUNCTION("""COMPUTED_VALUE"""),45609.54261052083)</f>
        <v>45609.54261</v>
      </c>
      <c r="B562" s="5" t="str">
        <f>IFERROR(__xludf.DUMMYFUNCTION("""COMPUTED_VALUE"""),"https://github.com/Amrendra-kumar7/API_Melburne")</f>
        <v>https://github.com/Amrendra-kumar7/API_Melburne</v>
      </c>
      <c r="C562" s="3">
        <f>IFERROR(__xludf.DUMMYFUNCTION("""COMPUTED_VALUE"""),8.0)</f>
        <v>8</v>
      </c>
      <c r="D562" s="3">
        <f>IFERROR(__xludf.DUMMYFUNCTION("""COMPUTED_VALUE"""),0.0)</f>
        <v>0</v>
      </c>
      <c r="E562" s="3" t="str">
        <f>IFERROR(__xludf.DUMMYFUNCTION("""COMPUTED_VALUE"""),"The findings and conclusions were well written and analyzed, stating the surprising prevalence of older languages in modern projects, along with the lack of collaboration tools being used. The actionable recommendation of using more collaboration tools is"&amp;" simple and easy to implement, and thus well-recommended. 
However, I would argue that the conclusions are not surprising to anyone with experience in the field of programming, as these issues would be very obvious once you get into the field. 
Thus I gav"&amp;"e a very respectable 8 for the findings (Full for the quality of findings, reduced by 2 point for being unlikely to be surprising).")</f>
        <v>The findings and conclusions were well written and analyzed, stating the surprising prevalence of older languages in modern projects, along with the lack of collaboration tools being used. The actionable recommendation of using more collaboration tools is simple and easy to implement, and thus well-recommended. 
However, I would argue that the conclusions are not surprising to anyone with experience in the field of programming, as these issues would be very obvious once you get into the field. 
Thus I gave a very respectable 8 for the findings (Full for the quality of findings, reduced by 2 point for being unlikely to be surprising).</v>
      </c>
      <c r="F562" s="5" t="str">
        <f>IFERROR(__xludf.DUMMYFUNCTION("""COMPUTED_VALUE"""),"https://github.com/Anas007-lab/Toronto_Scraper")</f>
        <v>https://github.com/Anas007-lab/Toronto_Scraper</v>
      </c>
      <c r="G562" s="3">
        <f>IFERROR(__xludf.DUMMYFUNCTION("""COMPUTED_VALUE"""),9.0)</f>
        <v>9</v>
      </c>
      <c r="H562" s="3">
        <f>IFERROR(__xludf.DUMMYFUNCTION("""COMPUTED_VALUE"""),9.0)</f>
        <v>9</v>
      </c>
      <c r="I562" s="3" t="str">
        <f>IFERROR(__xludf.DUMMYFUNCTION("""COMPUTED_VALUE"""),"A surprising revelation was found: The number of followers had a correlation with bio-length, with an approx increase of 8 followers per word. This was indeed fascinating as one would have expected followers to have been dependent on number of projects or"&amp;" the like for a website involving coding. 
Furthermore, the author expanded on this by recommending users to write more detailed and expansive bios (along with adding projects) to increase their follower count.
The only issue right now is the fact that w"&amp;"e don't know if this link is a direct causation (bigger bio -&gt; more followers), reverse causation (more followers -&gt; bigger bio) or a correlation (bigger bio and more followers are dependent on something else, like number of projects). However, this is fa"&amp;"r beyond the scope of this project, and as such, this was an excellent analysis done by the author.
[The code was well written, clear, and understandable, and it took me just a minute or two to understand it in its entirety. Furthermore, it appeared effi"&amp;"cient, and well aware of potential errors, but I can't comment more on this without executing it.]")</f>
        <v>A surprising revelation was found: The number of followers had a correlation with bio-length, with an approx increase of 8 followers per word. This was indeed fascinating as one would have expected followers to have been dependent on number of projects or the like for a website involving coding. 
Furthermore, the author expanded on this by recommending users to write more detailed and expansive bios (along with adding projects) to increase their follower count.
The only issue right now is the fact that we don't know if this link is a direct causation (bigger bio -&gt; more followers), reverse causation (more followers -&gt; bigger bio) or a correlation (bigger bio and more followers are dependent on something else, like number of projects). However, this is far beyond the scope of this project, and as such, this was an excellent analysis done by the author.
[The code was well written, clear, and understandable, and it took me just a minute or two to understand it in its entirety. Furthermore, it appeared efficient, and well aware of potential errors, but I can't comment more on this without executing it.]</v>
      </c>
      <c r="J562" s="3" t="str">
        <f>IFERROR(__xludf.DUMMYFUNCTION("""COMPUTED_VALUE"""),"23f3002262@ds.study.iitm.ac.in")</f>
        <v>23f3002262@ds.study.iitm.ac.in</v>
      </c>
      <c r="K562" s="3" t="str">
        <f t="shared" si="1"/>
        <v>23f3002262@ds.study.iitm.ac.inhttps://github.com/Amrendra-kumar7/API_Melburne</v>
      </c>
      <c r="L562" s="3" t="str">
        <f t="shared" si="2"/>
        <v>23f3002262@ds.study.iitm.ac.inhttps://github.com/Anas007-lab/Toronto_Scraper</v>
      </c>
    </row>
    <row r="563">
      <c r="A563" s="3">
        <f>IFERROR(__xludf.DUMMYFUNCTION("""COMPUTED_VALUE"""),45609.576055983795)</f>
        <v>45609.57606</v>
      </c>
      <c r="B563" s="5" t="str">
        <f>IFERROR(__xludf.DUMMYFUNCTION("""COMPUTED_VALUE"""),"https://github.com/terminator7x/tds-project/tree/main")</f>
        <v>https://github.com/terminator7x/tds-project/tree/main</v>
      </c>
      <c r="C563" s="3">
        <f>IFERROR(__xludf.DUMMYFUNCTION("""COMPUTED_VALUE"""),10.0)</f>
        <v>10</v>
      </c>
      <c r="D563" s="3">
        <f>IFERROR(__xludf.DUMMYFUNCTION("""COMPUTED_VALUE"""),10.0)</f>
        <v>10</v>
      </c>
      <c r="E563" s="3" t="str">
        <f>IFERROR(__xludf.DUMMYFUNCTION("""COMPUTED_VALUE"""),"It has detailed view. very clear and elegant")</f>
        <v>It has detailed view. very clear and elegant</v>
      </c>
      <c r="F563" s="5" t="str">
        <f>IFERROR(__xludf.DUMMYFUNCTION("""COMPUTED_VALUE"""),"https://github.com/Aakash-Prime/github-users-chennai")</f>
        <v>https://github.com/Aakash-Prime/github-users-chennai</v>
      </c>
      <c r="G563" s="3">
        <f>IFERROR(__xludf.DUMMYFUNCTION("""COMPUTED_VALUE"""),10.0)</f>
        <v>10</v>
      </c>
      <c r="H563" s="3">
        <f>IFERROR(__xludf.DUMMYFUNCTION("""COMPUTED_VALUE"""),10.0)</f>
        <v>10</v>
      </c>
      <c r="I563" s="3" t="str">
        <f>IFERROR(__xludf.DUMMYFUNCTION("""COMPUTED_VALUE"""),"It has detailed view very clear and elegant")</f>
        <v>It has detailed view very clear and elegant</v>
      </c>
      <c r="J563" s="3" t="str">
        <f>IFERROR(__xludf.DUMMYFUNCTION("""COMPUTED_VALUE"""),"23ds3000044@ds.study.iitm.ac.in")</f>
        <v>23ds3000044@ds.study.iitm.ac.in</v>
      </c>
      <c r="K563" s="3" t="str">
        <f t="shared" si="1"/>
        <v>23ds3000044@ds.study.iitm.ac.inhttps://github.com/terminator7x/tds-project/tree/main</v>
      </c>
      <c r="L563" s="3" t="str">
        <f t="shared" si="2"/>
        <v>23ds3000044@ds.study.iitm.ac.inhttps://github.com/Aakash-Prime/github-users-chennai</v>
      </c>
    </row>
    <row r="564">
      <c r="A564" s="3">
        <f>IFERROR(__xludf.DUMMYFUNCTION("""COMPUTED_VALUE"""),45609.887685231486)</f>
        <v>45609.88769</v>
      </c>
      <c r="B564" s="5" t="str">
        <f>IFERROR(__xludf.DUMMYFUNCTION("""COMPUTED_VALUE"""),"https://github.com/Viswa-iitm/TDS-project-1")</f>
        <v>https://github.com/Viswa-iitm/TDS-project-1</v>
      </c>
      <c r="C564" s="3">
        <f>IFERROR(__xludf.DUMMYFUNCTION("""COMPUTED_VALUE"""),10.0)</f>
        <v>10</v>
      </c>
      <c r="D564" s="3">
        <f>IFERROR(__xludf.DUMMYFUNCTION("""COMPUTED_VALUE"""),10.0)</f>
        <v>10</v>
      </c>
      <c r="E564" s="3" t="str">
        <f>IFERROR(__xludf.DUMMYFUNCTION("""COMPUTED_VALUE"""),"The readme doc was clear and good")</f>
        <v>The readme doc was clear and good</v>
      </c>
      <c r="F564" s="5" t="str">
        <f>IFERROR(__xludf.DUMMYFUNCTION("""COMPUTED_VALUE"""),"https://github.com/Karthikey2003/tdsproj1")</f>
        <v>https://github.com/Karthikey2003/tdsproj1</v>
      </c>
      <c r="G564" s="3">
        <f>IFERROR(__xludf.DUMMYFUNCTION("""COMPUTED_VALUE"""),10.0)</f>
        <v>10</v>
      </c>
      <c r="H564" s="3">
        <f>IFERROR(__xludf.DUMMYFUNCTION("""COMPUTED_VALUE"""),10.0)</f>
        <v>10</v>
      </c>
      <c r="I564" s="3" t="str">
        <f>IFERROR(__xludf.DUMMYFUNCTION("""COMPUTED_VALUE"""),"The code was elaborate and correct")</f>
        <v>The code was elaborate and correct</v>
      </c>
      <c r="J564" s="3" t="str">
        <f>IFERROR(__xludf.DUMMYFUNCTION("""COMPUTED_VALUE"""),"23f2000319@ds.study.iitm.ac.in")</f>
        <v>23f2000319@ds.study.iitm.ac.in</v>
      </c>
      <c r="K564" s="3" t="str">
        <f t="shared" si="1"/>
        <v>23f2000319@ds.study.iitm.ac.inhttps://github.com/Viswa-iitm/TDS-project-1</v>
      </c>
      <c r="L564" s="3" t="str">
        <f t="shared" si="2"/>
        <v>23f2000319@ds.study.iitm.ac.inhttps://github.com/Karthikey2003/tdsproj1</v>
      </c>
    </row>
    <row r="565">
      <c r="A565" s="3">
        <f>IFERROR(__xludf.DUMMYFUNCTION("""COMPUTED_VALUE"""),45610.172531018514)</f>
        <v>45610.17253</v>
      </c>
      <c r="B565" s="5" t="str">
        <f>IFERROR(__xludf.DUMMYFUNCTION("""COMPUTED_VALUE"""),"https://github.com/joshna-dhanokar/Stockholm-100")</f>
        <v>https://github.com/joshna-dhanokar/Stockholm-100</v>
      </c>
      <c r="C565" s="3">
        <f>IFERROR(__xludf.DUMMYFUNCTION("""COMPUTED_VALUE"""),6.0)</f>
        <v>6</v>
      </c>
      <c r="D565" s="3">
        <f>IFERROR(__xludf.DUMMYFUNCTION("""COMPUTED_VALUE"""),6.0)</f>
        <v>6</v>
      </c>
      <c r="E565" s="3" t="str">
        <f>IFERROR(__xludf.DUMMYFUNCTION("""COMPUTED_VALUE"""),"There are no explanations as to how the data is scapped. No details about any findings. ")</f>
        <v>There are no explanations as to how the data is scapped. No details about any findings. </v>
      </c>
      <c r="F565" s="5" t="str">
        <f>IFERROR(__xludf.DUMMYFUNCTION("""COMPUTED_VALUE"""),"https://github.com/RITIK-CHAUDHRY/project-1")</f>
        <v>https://github.com/RITIK-CHAUDHRY/project-1</v>
      </c>
      <c r="G565" s="3">
        <f>IFERROR(__xludf.DUMMYFUNCTION("""COMPUTED_VALUE"""),9.0)</f>
        <v>9</v>
      </c>
      <c r="H565" s="3">
        <f>IFERROR(__xludf.DUMMYFUNCTION("""COMPUTED_VALUE"""),9.0)</f>
        <v>9</v>
      </c>
      <c r="I565" s="3" t="str">
        <f>IFERROR(__xludf.DUMMYFUNCTION("""COMPUTED_VALUE"""),"The questions and respective code used to solve that particualr question  is very clear. There are required explanations in the code. ")</f>
        <v>The questions and respective code used to solve that particualr question  is very clear. There are required explanations in the code. </v>
      </c>
      <c r="J565" s="3" t="str">
        <f>IFERROR(__xludf.DUMMYFUNCTION("""COMPUTED_VALUE"""),"21f2001525@ds.study.iitm.ac.in")</f>
        <v>21f2001525@ds.study.iitm.ac.in</v>
      </c>
      <c r="K565" s="3" t="str">
        <f t="shared" si="1"/>
        <v>21f2001525@ds.study.iitm.ac.inhttps://github.com/joshna-dhanokar/Stockholm-100</v>
      </c>
      <c r="L565" s="3" t="str">
        <f t="shared" si="2"/>
        <v>21f2001525@ds.study.iitm.ac.inhttps://github.com/RITIK-CHAUDHRY/project-1</v>
      </c>
    </row>
    <row r="566">
      <c r="A566" s="3">
        <f>IFERROR(__xludf.DUMMYFUNCTION("""COMPUTED_VALUE"""),45611.66329052083)</f>
        <v>45611.66329</v>
      </c>
      <c r="B566" s="5" t="str">
        <f>IFERROR(__xludf.DUMMYFUNCTION("""COMPUTED_VALUE"""),"https://github.com/pranay2k3/iitpro")</f>
        <v>https://github.com/pranay2k3/iitpro</v>
      </c>
      <c r="C566" s="3">
        <f>IFERROR(__xludf.DUMMYFUNCTION("""COMPUTED_VALUE"""),0.0)</f>
        <v>0</v>
      </c>
      <c r="D566" s="3">
        <f>IFERROR(__xludf.DUMMYFUNCTION("""COMPUTED_VALUE"""),0.0)</f>
        <v>0</v>
      </c>
      <c r="E566" s="3" t="str">
        <f>IFERROR(__xludf.DUMMYFUNCTION("""COMPUTED_VALUE"""),"As the readme.md was empty and there was no code")</f>
        <v>As the readme.md was empty and there was no code</v>
      </c>
      <c r="F566" s="5" t="str">
        <f>IFERROR(__xludf.DUMMYFUNCTION("""COMPUTED_VALUE"""),"https://github.com/spacetime177/tds_proj")</f>
        <v>https://github.com/spacetime177/tds_proj</v>
      </c>
      <c r="G566" s="3">
        <f>IFERROR(__xludf.DUMMYFUNCTION("""COMPUTED_VALUE"""),7.0)</f>
        <v>7</v>
      </c>
      <c r="H566" s="3">
        <f>IFERROR(__xludf.DUMMYFUNCTION("""COMPUTED_VALUE"""),7.0)</f>
        <v>7</v>
      </c>
      <c r="I566" s="3" t="str">
        <f>IFERROR(__xludf.DUMMYFUNCTION("""COMPUTED_VALUE"""),"The repo's readme.md was very clear and concise and the code was also at an acceptable level")</f>
        <v>The repo's readme.md was very clear and concise and the code was also at an acceptable level</v>
      </c>
      <c r="J566" s="3" t="str">
        <f>IFERROR(__xludf.DUMMYFUNCTION("""COMPUTED_VALUE"""),"23f3004405@ds.study.iitm.ac.in")</f>
        <v>23f3004405@ds.study.iitm.ac.in</v>
      </c>
      <c r="K566" s="3" t="str">
        <f t="shared" si="1"/>
        <v>23f3004405@ds.study.iitm.ac.inhttps://github.com/pranay2k3/iitpro</v>
      </c>
      <c r="L566" s="3" t="str">
        <f t="shared" si="2"/>
        <v>23f3004405@ds.study.iitm.ac.inhttps://github.com/spacetime177/tds_proj</v>
      </c>
    </row>
    <row r="567">
      <c r="A567" s="3">
        <f>IFERROR(__xludf.DUMMYFUNCTION("""COMPUTED_VALUE"""),45613.037231435184)</f>
        <v>45613.03723</v>
      </c>
      <c r="B567" s="5" t="str">
        <f>IFERROR(__xludf.DUMMYFUNCTION("""COMPUTED_VALUE"""),"https://github.com/vasanth-svb-1/iitm-syscmd-project-1")</f>
        <v>https://github.com/vasanth-svb-1/iitm-syscmd-project-1</v>
      </c>
      <c r="C567" s="3">
        <f>IFERROR(__xludf.DUMMYFUNCTION("""COMPUTED_VALUE"""),8.0)</f>
        <v>8</v>
      </c>
      <c r="D567" s="3">
        <f>IFERROR(__xludf.DUMMYFUNCTION("""COMPUTED_VALUE"""),1.0)</f>
        <v>1</v>
      </c>
      <c r="E567" s="3" t="str">
        <f>IFERROR(__xludf.DUMMYFUNCTION("""COMPUTED_VALUE"""),"Readme part was good but it was too lengthy. I feel it should have been more concise.
As for repo code, I did find some explanation as to why this method has been followed and I only got the raw user and repo csv and did not get any actual code.")</f>
        <v>Readme part was good but it was too lengthy. I feel it should have been more concise.
As for repo code, I did find some explanation as to why this method has been followed and I only got the raw user and repo csv and did not get any actual code.</v>
      </c>
      <c r="F567" s="5" t="str">
        <f>IFERROR(__xludf.DUMMYFUNCTION("""COMPUTED_VALUE"""),"https://github.com/tiwariannanya/TDS_Project_1_Berlin")</f>
        <v>https://github.com/tiwariannanya/TDS_Project_1_Berlin</v>
      </c>
      <c r="G567" s="3">
        <f>IFERROR(__xludf.DUMMYFUNCTION("""COMPUTED_VALUE"""),7.0)</f>
        <v>7</v>
      </c>
      <c r="H567" s="3">
        <f>IFERROR(__xludf.DUMMYFUNCTION("""COMPUTED_VALUE"""),9.0)</f>
        <v>9</v>
      </c>
      <c r="I567" s="3" t="str">
        <f>IFERROR(__xludf.DUMMYFUNCTION("""COMPUTED_VALUE"""),"The readme file was good but too short, should have written more about the procedure.
As for the repo code, a jupyter notebook was attached which had the complete code snippets. would have given a 10 if there would have been some concise comments in it.")</f>
        <v>The readme file was good but too short, should have written more about the procedure.
As for the repo code, a jupyter notebook was attached which had the complete code snippets. would have given a 10 if there would have been some concise comments in it.</v>
      </c>
      <c r="J567" s="3" t="str">
        <f>IFERROR(__xludf.DUMMYFUNCTION("""COMPUTED_VALUE"""),"23f2001455@ds.study.iitm.ac.in")</f>
        <v>23f2001455@ds.study.iitm.ac.in</v>
      </c>
      <c r="K567" s="3" t="str">
        <f t="shared" si="1"/>
        <v>23f2001455@ds.study.iitm.ac.inhttps://github.com/vasanth-svb-1/iitm-syscmd-project-1</v>
      </c>
      <c r="L567" s="3" t="str">
        <f t="shared" si="2"/>
        <v>23f2001455@ds.study.iitm.ac.inhttps://github.com/tiwariannanya/TDS_Project_1_Berlin</v>
      </c>
    </row>
    <row r="568">
      <c r="A568" s="3">
        <f>IFERROR(__xludf.DUMMYFUNCTION("""COMPUTED_VALUE"""),45613.566169247686)</f>
        <v>45613.56617</v>
      </c>
      <c r="B568" s="5" t="str">
        <f>IFERROR(__xludf.DUMMYFUNCTION("""COMPUTED_VALUE"""),"https://github.com/Saagar-22/Hyderabad_50")</f>
        <v>https://github.com/Saagar-22/Hyderabad_50</v>
      </c>
      <c r="C568" s="3">
        <f>IFERROR(__xludf.DUMMYFUNCTION("""COMPUTED_VALUE"""),9.0)</f>
        <v>9</v>
      </c>
      <c r="D568" s="3">
        <f>IFERROR(__xludf.DUMMYFUNCTION("""COMPUTED_VALUE"""),9.0)</f>
        <v>9</v>
      </c>
      <c r="E568" s="3" t="str">
        <f>IFERROR(__xludf.DUMMYFUNCTION("""COMPUTED_VALUE"""),"It was clear and professional and moreover everything was clear in the repository. ")</f>
        <v>It was clear and professional and moreover everything was clear in the repository. </v>
      </c>
      <c r="F568" s="5" t="str">
        <f>IFERROR(__xludf.DUMMYFUNCTION("""COMPUTED_VALUE"""),"https://github.com/akulbansal1/TDS_Project_1")</f>
        <v>https://github.com/akulbansal1/TDS_Project_1</v>
      </c>
      <c r="G568" s="3">
        <f>IFERROR(__xludf.DUMMYFUNCTION("""COMPUTED_VALUE"""),8.0)</f>
        <v>8</v>
      </c>
      <c r="H568" s="3">
        <f>IFERROR(__xludf.DUMMYFUNCTION("""COMPUTED_VALUE"""),6.0)</f>
        <v>6</v>
      </c>
      <c r="I568" s="3" t="str">
        <f>IFERROR(__xludf.DUMMYFUNCTION("""COMPUTED_VALUE"""),"It was not at all professional. I feel that Readme. Md shouldn't contain much text professionally. ")</f>
        <v>It was not at all professional. I feel that Readme. Md shouldn't contain much text professionally. </v>
      </c>
      <c r="J568" s="3" t="str">
        <f>IFERROR(__xludf.DUMMYFUNCTION("""COMPUTED_VALUE"""),"23f1002938@ds.study.iitm.ac.in")</f>
        <v>23f1002938@ds.study.iitm.ac.in</v>
      </c>
      <c r="K568" s="3" t="str">
        <f t="shared" si="1"/>
        <v>23f1002938@ds.study.iitm.ac.inhttps://github.com/Saagar-22/Hyderabad_50</v>
      </c>
      <c r="L568" s="3" t="str">
        <f t="shared" si="2"/>
        <v>23f1002938@ds.study.iitm.ac.inhttps://github.com/akulbansal1/TDS_Project_1</v>
      </c>
    </row>
    <row r="569">
      <c r="A569" s="3">
        <f>IFERROR(__xludf.DUMMYFUNCTION("""COMPUTED_VALUE"""),45614.78460601852)</f>
        <v>45614.78461</v>
      </c>
      <c r="B569" s="5" t="str">
        <f>IFERROR(__xludf.DUMMYFUNCTION("""COMPUTED_VALUE"""),"https://github.com/Bhaargavi29/Moscow-50-repo ")</f>
        <v>https://github.com/Bhaargavi29/Moscow-50-repo </v>
      </c>
      <c r="C569" s="3">
        <f>IFERROR(__xludf.DUMMYFUNCTION("""COMPUTED_VALUE"""),10.0)</f>
        <v>10</v>
      </c>
      <c r="D569" s="3">
        <f>IFERROR(__xludf.DUMMYFUNCTION("""COMPUTED_VALUE"""),10.0)</f>
        <v>10</v>
      </c>
      <c r="E569" s="3" t="str">
        <f>IFERROR(__xludf.DUMMYFUNCTION("""COMPUTED_VALUE"""),"Looks Good To Me, the repo contained exatcly what was expected")</f>
        <v>Looks Good To Me, the repo contained exatcly what was expected</v>
      </c>
      <c r="F569" s="5" t="str">
        <f>IFERROR(__xludf.DUMMYFUNCTION("""COMPUTED_VALUE"""),"https://github.com/aksarwar/tds-project ")</f>
        <v>https://github.com/aksarwar/tds-project </v>
      </c>
      <c r="G569" s="3">
        <f>IFERROR(__xludf.DUMMYFUNCTION("""COMPUTED_VALUE"""),10.0)</f>
        <v>10</v>
      </c>
      <c r="H569" s="3">
        <f>IFERROR(__xludf.DUMMYFUNCTION("""COMPUTED_VALUE"""),10.0)</f>
        <v>10</v>
      </c>
      <c r="I569" s="3" t="str">
        <f>IFERROR(__xludf.DUMMYFUNCTION("""COMPUTED_VALUE"""),"Looks Good To Me, the repo contained exatcly what was expected")</f>
        <v>Looks Good To Me, the repo contained exatcly what was expected</v>
      </c>
      <c r="J569" s="3" t="str">
        <f>IFERROR(__xludf.DUMMYFUNCTION("""COMPUTED_VALUE"""),"21f1006403@ds.study.iitm.ac.in")</f>
        <v>21f1006403@ds.study.iitm.ac.in</v>
      </c>
      <c r="K569" s="3" t="str">
        <f t="shared" si="1"/>
        <v>21f1006403@ds.study.iitm.ac.inhttps://github.com/Bhaargavi29/Moscow-50-repo </v>
      </c>
      <c r="L569" s="3" t="str">
        <f t="shared" si="2"/>
        <v>21f1006403@ds.study.iitm.ac.inhttps://github.com/aksarwar/tds-project </v>
      </c>
    </row>
    <row r="570">
      <c r="A570" s="3">
        <f>IFERROR(__xludf.DUMMYFUNCTION("""COMPUTED_VALUE"""),45623.01114236111)</f>
        <v>45623.01114</v>
      </c>
      <c r="B570" s="5" t="str">
        <f>IFERROR(__xludf.DUMMYFUNCTION("""COMPUTED_VALUE"""),"https://github.com/querulous-virgo/GitHubAPI/blob/main")</f>
        <v>https://github.com/querulous-virgo/GitHubAPI/blob/main</v>
      </c>
      <c r="C570" s="3">
        <f>IFERROR(__xludf.DUMMYFUNCTION("""COMPUTED_VALUE"""),10.0)</f>
        <v>10</v>
      </c>
      <c r="D570" s="3">
        <f>IFERROR(__xludf.DUMMYFUNCTION("""COMPUTED_VALUE"""),9.0)</f>
        <v>9</v>
      </c>
      <c r="E570" s="3" t="str">
        <f>IFERROR(__xludf.DUMMYFUNCTION("""COMPUTED_VALUE"""),"Read me was good with proper analysis and findings. ")</f>
        <v>Read me was good with proper analysis and findings. </v>
      </c>
      <c r="F570" s="5" t="str">
        <f>IFERROR(__xludf.DUMMYFUNCTION("""COMPUTED_VALUE"""),"https://github.com/Ganesh002005/data_analysis_boostan")</f>
        <v>https://github.com/Ganesh002005/data_analysis_boostan</v>
      </c>
      <c r="G570" s="3">
        <f>IFERROR(__xludf.DUMMYFUNCTION("""COMPUTED_VALUE"""),8.0)</f>
        <v>8</v>
      </c>
      <c r="H570" s="3">
        <f>IFERROR(__xludf.DUMMYFUNCTION("""COMPUTED_VALUE"""),8.0)</f>
        <v>8</v>
      </c>
      <c r="I570" s="3" t="str">
        <f>IFERROR(__xludf.DUMMYFUNCTION("""COMPUTED_VALUE"""),"Read me was not properly formatted and clear.")</f>
        <v>Read me was not properly formatted and clear.</v>
      </c>
      <c r="J570" s="3" t="str">
        <f>IFERROR(__xludf.DUMMYFUNCTION("""COMPUTED_VALUE"""),"22f3000942@ds.study.iitm.ac.in")</f>
        <v>22f3000942@ds.study.iitm.ac.in</v>
      </c>
      <c r="K570" s="3" t="str">
        <f t="shared" si="1"/>
        <v>22f3000942@ds.study.iitm.ac.inhttps://github.com/querulous-virgo/GitHubAPI/blob/main</v>
      </c>
      <c r="L570" s="3" t="str">
        <f t="shared" si="2"/>
        <v>22f3000942@ds.study.iitm.ac.inhttps://github.com/Ganesh002005/data_analysis_boostan</v>
      </c>
    </row>
    <row r="571">
      <c r="A571" s="3">
        <f>IFERROR(__xludf.DUMMYFUNCTION("""COMPUTED_VALUE"""),45630.650911805555)</f>
        <v>45630.65091</v>
      </c>
      <c r="B571" s="5" t="str">
        <f>IFERROR(__xludf.DUMMYFUNCTION("""COMPUTED_VALUE"""),"https://github.com/rsjay1976/TDS-Project1 ")</f>
        <v>https://github.com/rsjay1976/TDS-Project1 </v>
      </c>
      <c r="C571" s="3">
        <f>IFERROR(__xludf.DUMMYFUNCTION("""COMPUTED_VALUE"""),7.0)</f>
        <v>7</v>
      </c>
      <c r="D571" s="3">
        <f>IFERROR(__xludf.DUMMYFUNCTION("""COMPUTED_VALUE"""),10.0)</f>
        <v>10</v>
      </c>
      <c r="E571" s="3" t="str">
        <f>IFERROR(__xludf.DUMMYFUNCTION("""COMPUTED_VALUE"""),"The results are good and the code is clear")</f>
        <v>The results are good and the code is clear</v>
      </c>
      <c r="F571" s="5" t="str">
        <f>IFERROR(__xludf.DUMMYFUNCTION("""COMPUTED_VALUE"""),"https://github.com/ayushi-006/TDS_project_1 ")</f>
        <v>https://github.com/ayushi-006/TDS_project_1 </v>
      </c>
      <c r="G571" s="3">
        <f>IFERROR(__xludf.DUMMYFUNCTION("""COMPUTED_VALUE"""),10.0)</f>
        <v>10</v>
      </c>
      <c r="H571" s="3">
        <f>IFERROR(__xludf.DUMMYFUNCTION("""COMPUTED_VALUE"""),10.0)</f>
        <v>10</v>
      </c>
      <c r="I571" s="3" t="str">
        <f>IFERROR(__xludf.DUMMYFUNCTION("""COMPUTED_VALUE"""),"The results are interesting and the code is clear and elegant")</f>
        <v>The results are interesting and the code is clear and elegant</v>
      </c>
      <c r="J571" s="3" t="str">
        <f>IFERROR(__xludf.DUMMYFUNCTION("""COMPUTED_VALUE"""),"23ds3000191@ds.study.iitm.ac.in")</f>
        <v>23ds3000191@ds.study.iitm.ac.in</v>
      </c>
      <c r="K571" s="3" t="str">
        <f t="shared" si="1"/>
        <v>23ds3000191@ds.study.iitm.ac.inhttps://github.com/rsjay1976/TDS-Project1 </v>
      </c>
      <c r="L571" s="3" t="str">
        <f t="shared" si="2"/>
        <v>23ds3000191@ds.study.iitm.ac.inhttps://github.com/ayushi-006/TDS_project_1 </v>
      </c>
    </row>
    <row r="572">
      <c r="A572" s="3">
        <f>IFERROR(__xludf.DUMMYFUNCTION("""COMPUTED_VALUE"""),45632.86466195602)</f>
        <v>45632.86466</v>
      </c>
      <c r="B572" s="5" t="str">
        <f>IFERROR(__xludf.DUMMYFUNCTION("""COMPUTED_VALUE"""),"https://github.com/titan-adi/Zurich-data-analysis")</f>
        <v>https://github.com/titan-adi/Zurich-data-analysis</v>
      </c>
      <c r="C572" s="3">
        <f>IFERROR(__xludf.DUMMYFUNCTION("""COMPUTED_VALUE"""),10.0)</f>
        <v>10</v>
      </c>
      <c r="D572" s="3">
        <f>IFERROR(__xludf.DUMMYFUNCTION("""COMPUTED_VALUE"""),10.0)</f>
        <v>10</v>
      </c>
      <c r="E572" s="3" t="str">
        <f>IFERROR(__xludf.DUMMYFUNCTION("""COMPUTED_VALUE"""),"readme file was very clear and it provided good facts.")</f>
        <v>readme file was very clear and it provided good facts.</v>
      </c>
      <c r="F572" s="5" t="str">
        <f>IFERROR(__xludf.DUMMYFUNCTION("""COMPUTED_VALUE"""),"https://github.com/Man24Jain/Tokyo-GitHub-Scraping-Project")</f>
        <v>https://github.com/Man24Jain/Tokyo-GitHub-Scraping-Project</v>
      </c>
      <c r="G572" s="3">
        <f>IFERROR(__xludf.DUMMYFUNCTION("""COMPUTED_VALUE"""),10.0)</f>
        <v>10</v>
      </c>
      <c r="H572" s="3">
        <f>IFERROR(__xludf.DUMMYFUNCTION("""COMPUTED_VALUE"""),10.0)</f>
        <v>10</v>
      </c>
      <c r="I572" s="3" t="str">
        <f>IFERROR(__xludf.DUMMYFUNCTION("""COMPUTED_VALUE"""),"readme file was very clear and it provided good facts.")</f>
        <v>readme file was very clear and it provided good facts.</v>
      </c>
      <c r="J572" s="3" t="str">
        <f>IFERROR(__xludf.DUMMYFUNCTION("""COMPUTED_VALUE"""),"22f3000653@ds.study.iitm.ac.in")</f>
        <v>22f3000653@ds.study.iitm.ac.in</v>
      </c>
      <c r="K572" s="3" t="str">
        <f t="shared" si="1"/>
        <v>22f3000653@ds.study.iitm.ac.inhttps://github.com/titan-adi/Zurich-data-analysis</v>
      </c>
      <c r="L572" s="3" t="str">
        <f t="shared" si="2"/>
        <v>22f3000653@ds.study.iitm.ac.inhttps://github.com/Man24Jain/Tokyo-GitHub-Scraping-Project</v>
      </c>
    </row>
    <row r="573">
      <c r="A573" s="3">
        <f>IFERROR(__xludf.DUMMYFUNCTION("""COMPUTED_VALUE"""),45634.803117800926)</f>
        <v>45634.80312</v>
      </c>
      <c r="B573" s="5" t="str">
        <f>IFERROR(__xludf.DUMMYFUNCTION("""COMPUTED_VALUE"""),"https://github.com/BOBandNODDY/SquashDaw/blob/main/README.md")</f>
        <v>https://github.com/BOBandNODDY/SquashDaw/blob/main/README.md</v>
      </c>
      <c r="C573" s="3">
        <f>IFERROR(__xludf.DUMMYFUNCTION("""COMPUTED_VALUE"""),9.0)</f>
        <v>9</v>
      </c>
      <c r="D573" s="3">
        <f>IFERROR(__xludf.DUMMYFUNCTION("""COMPUTED_VALUE"""),8.0)</f>
        <v>8</v>
      </c>
      <c r="E573" s="3" t="str">
        <f>IFERROR(__xludf.DUMMYFUNCTION("""COMPUTED_VALUE"""),"because the repo 1 shows how old and traditional programming languages like html is still ruling and this interesting study led me to rate these ratings")</f>
        <v>because the repo 1 shows how old and traditional programming languages like html is still ruling and this interesting study led me to rate these ratings</v>
      </c>
      <c r="F573" s="5" t="str">
        <f>IFERROR(__xludf.DUMMYFUNCTION("""COMPUTED_VALUE"""),"https://github.com/divyanshdixit09/tds_project1")</f>
        <v>https://github.com/divyanshdixit09/tds_project1</v>
      </c>
      <c r="G573" s="3">
        <f>IFERROR(__xludf.DUMMYFUNCTION("""COMPUTED_VALUE"""),8.0)</f>
        <v>8</v>
      </c>
      <c r="H573" s="3">
        <f>IFERROR(__xludf.DUMMYFUNCTION("""COMPUTED_VALUE"""),9.0)</f>
        <v>9</v>
      </c>
      <c r="I573" s="3" t="str">
        <f>IFERROR(__xludf.DUMMYFUNCTION("""COMPUTED_VALUE"""),"explanation about tokyo github users is written in complete details but it could be written in short also although all the information given by peer is good and helpful which shows general trends")</f>
        <v>explanation about tokyo github users is written in complete details but it could be written in short also although all the information given by peer is good and helpful which shows general trends</v>
      </c>
      <c r="J573" s="3" t="str">
        <f>IFERROR(__xludf.DUMMYFUNCTION("""COMPUTED_VALUE"""),"22f1001595@ds.study.iitm.ac.in")</f>
        <v>22f1001595@ds.study.iitm.ac.in</v>
      </c>
      <c r="K573" s="3" t="str">
        <f t="shared" si="1"/>
        <v>22f1001595@ds.study.iitm.ac.inhttps://github.com/BOBandNODDY/SquashDaw/blob/main/README.md</v>
      </c>
      <c r="L573" s="3" t="str">
        <f t="shared" si="2"/>
        <v>22f1001595@ds.study.iitm.ac.inhttps://github.com/divyanshdixit09/tds_project1</v>
      </c>
    </row>
    <row r="574">
      <c r="A574" s="3"/>
      <c r="B574" s="3"/>
      <c r="C574" s="3"/>
      <c r="D574" s="3"/>
      <c r="E574" s="3"/>
      <c r="F574" s="3"/>
      <c r="G574" s="3"/>
      <c r="H574" s="3"/>
      <c r="I574" s="3"/>
      <c r="J574" s="3"/>
    </row>
    <row r="575">
      <c r="A575" s="3"/>
      <c r="B575" s="3"/>
      <c r="C575" s="3"/>
      <c r="D575" s="3"/>
      <c r="E575" s="3"/>
      <c r="F575" s="3"/>
      <c r="G575" s="3"/>
      <c r="H575" s="3"/>
      <c r="I575" s="3"/>
      <c r="J575" s="3"/>
    </row>
    <row r="576">
      <c r="A576" s="3"/>
      <c r="B576" s="3"/>
      <c r="C576" s="3"/>
      <c r="D576" s="3"/>
      <c r="E576" s="3"/>
      <c r="F576" s="3"/>
      <c r="G576" s="3"/>
      <c r="H576" s="3"/>
      <c r="I576" s="3"/>
      <c r="J576" s="3"/>
    </row>
    <row r="577">
      <c r="A577" s="3"/>
      <c r="B577" s="3"/>
      <c r="C577" s="3"/>
      <c r="D577" s="3"/>
      <c r="E577" s="3"/>
      <c r="F577" s="3"/>
      <c r="G577" s="3"/>
      <c r="H577" s="3"/>
      <c r="I577" s="3"/>
      <c r="J577" s="3"/>
    </row>
    <row r="578">
      <c r="A578" s="3"/>
      <c r="B578" s="3"/>
      <c r="C578" s="3"/>
      <c r="D578" s="3"/>
      <c r="E578" s="3"/>
      <c r="F578" s="3"/>
      <c r="G578" s="3"/>
      <c r="H578" s="3"/>
      <c r="I578" s="3"/>
      <c r="J578" s="3"/>
    </row>
    <row r="579">
      <c r="A579" s="3"/>
      <c r="B579" s="3"/>
      <c r="C579" s="3"/>
      <c r="D579" s="3"/>
      <c r="E579" s="3"/>
      <c r="F579" s="3"/>
      <c r="G579" s="3"/>
      <c r="H579" s="3"/>
      <c r="I579" s="3"/>
      <c r="J579" s="3"/>
    </row>
    <row r="580">
      <c r="A580" s="3"/>
      <c r="B580" s="3"/>
      <c r="C580" s="3"/>
      <c r="D580" s="3"/>
      <c r="E580" s="3"/>
      <c r="F580" s="3"/>
      <c r="G580" s="3"/>
      <c r="H580" s="3"/>
      <c r="I580" s="3"/>
      <c r="J580" s="3"/>
    </row>
    <row r="581">
      <c r="A581" s="3"/>
      <c r="B581" s="3"/>
      <c r="C581" s="3"/>
      <c r="D581" s="3"/>
      <c r="E581" s="3"/>
      <c r="F581" s="3"/>
      <c r="G581" s="3"/>
      <c r="H581" s="3"/>
      <c r="I581" s="3"/>
      <c r="J581" s="3"/>
    </row>
    <row r="582">
      <c r="A582" s="3"/>
      <c r="B582" s="3"/>
      <c r="C582" s="3"/>
      <c r="D582" s="3"/>
      <c r="E582" s="3"/>
      <c r="F582" s="3"/>
      <c r="G582" s="3"/>
      <c r="H582" s="3"/>
      <c r="I582" s="3"/>
      <c r="J582" s="3"/>
    </row>
    <row r="583">
      <c r="A583" s="3"/>
      <c r="B583" s="3"/>
      <c r="C583" s="3"/>
      <c r="D583" s="3"/>
      <c r="E583" s="3"/>
      <c r="F583" s="3"/>
      <c r="G583" s="3"/>
      <c r="H583" s="3"/>
      <c r="I583" s="3"/>
      <c r="J583" s="3"/>
    </row>
    <row r="584">
      <c r="A584" s="3"/>
      <c r="B584" s="3"/>
      <c r="C584" s="3"/>
      <c r="D584" s="3"/>
      <c r="E584" s="3"/>
      <c r="F584" s="3"/>
      <c r="G584" s="3"/>
      <c r="H584" s="3"/>
      <c r="I584" s="3"/>
      <c r="J584" s="3"/>
    </row>
    <row r="585">
      <c r="A585" s="3"/>
      <c r="B585" s="3"/>
      <c r="C585" s="3"/>
      <c r="D585" s="3"/>
      <c r="E585" s="3"/>
      <c r="F585" s="3"/>
      <c r="G585" s="3"/>
      <c r="H585" s="3"/>
      <c r="I585" s="3"/>
      <c r="J585" s="3"/>
    </row>
    <row r="586">
      <c r="A586" s="3"/>
      <c r="B586" s="3"/>
      <c r="C586" s="3"/>
      <c r="D586" s="3"/>
      <c r="E586" s="3"/>
      <c r="F586" s="3"/>
      <c r="G586" s="3"/>
      <c r="H586" s="3"/>
      <c r="I586" s="3"/>
      <c r="J586" s="3"/>
    </row>
    <row r="587">
      <c r="A587" s="3"/>
      <c r="B587" s="3"/>
      <c r="C587" s="3"/>
      <c r="D587" s="3"/>
      <c r="E587" s="3"/>
      <c r="F587" s="3"/>
      <c r="G587" s="3"/>
      <c r="H587" s="3"/>
      <c r="I587" s="3"/>
      <c r="J587" s="3"/>
    </row>
    <row r="588">
      <c r="A588" s="3"/>
      <c r="B588" s="3"/>
      <c r="C588" s="3"/>
      <c r="D588" s="3"/>
      <c r="E588" s="3"/>
      <c r="F588" s="3"/>
      <c r="G588" s="3"/>
      <c r="H588" s="3"/>
      <c r="I588" s="3"/>
      <c r="J588" s="3"/>
    </row>
    <row r="589">
      <c r="A589" s="3"/>
      <c r="B589" s="3"/>
      <c r="C589" s="3"/>
      <c r="D589" s="3"/>
      <c r="E589" s="3"/>
      <c r="F589" s="3"/>
      <c r="G589" s="3"/>
      <c r="H589" s="3"/>
      <c r="I589" s="3"/>
      <c r="J589" s="3"/>
    </row>
    <row r="590">
      <c r="A590" s="3"/>
      <c r="B590" s="3"/>
      <c r="C590" s="3"/>
      <c r="D590" s="3"/>
      <c r="E590" s="3"/>
      <c r="F590" s="3"/>
      <c r="G590" s="3"/>
      <c r="H590" s="3"/>
      <c r="I590" s="3"/>
      <c r="J590" s="3"/>
    </row>
    <row r="591">
      <c r="A591" s="3"/>
      <c r="B591" s="3"/>
      <c r="C591" s="3"/>
      <c r="D591" s="3"/>
      <c r="E591" s="3"/>
      <c r="F591" s="3"/>
      <c r="G591" s="3"/>
      <c r="H591" s="3"/>
      <c r="I591" s="3"/>
      <c r="J591" s="3"/>
    </row>
    <row r="592">
      <c r="A592" s="3"/>
      <c r="B592" s="3"/>
      <c r="C592" s="3"/>
      <c r="D592" s="3"/>
      <c r="E592" s="3"/>
      <c r="F592" s="3"/>
      <c r="G592" s="3"/>
      <c r="H592" s="3"/>
      <c r="I592" s="3"/>
      <c r="J592" s="3"/>
    </row>
    <row r="593">
      <c r="A593" s="3"/>
      <c r="B593" s="3"/>
      <c r="C593" s="3"/>
      <c r="D593" s="3"/>
      <c r="E593" s="3"/>
      <c r="F593" s="3"/>
      <c r="G593" s="3"/>
      <c r="H593" s="3"/>
      <c r="I593" s="3"/>
      <c r="J593" s="3"/>
    </row>
    <row r="594">
      <c r="A594" s="3"/>
      <c r="B594" s="3"/>
      <c r="C594" s="3"/>
      <c r="D594" s="3"/>
      <c r="E594" s="3"/>
      <c r="F594" s="3"/>
      <c r="G594" s="3"/>
      <c r="H594" s="3"/>
      <c r="I594" s="3"/>
      <c r="J594" s="3"/>
    </row>
    <row r="595">
      <c r="A595" s="3"/>
      <c r="B595" s="3"/>
      <c r="C595" s="3"/>
      <c r="D595" s="3"/>
      <c r="E595" s="3"/>
      <c r="F595" s="3"/>
      <c r="G595" s="3"/>
      <c r="H595" s="3"/>
      <c r="I595" s="3"/>
      <c r="J595" s="3"/>
    </row>
    <row r="596">
      <c r="A596" s="3"/>
      <c r="B596" s="3"/>
      <c r="C596" s="3"/>
      <c r="D596" s="3"/>
      <c r="E596" s="3"/>
      <c r="F596" s="3"/>
      <c r="G596" s="3"/>
      <c r="H596" s="3"/>
      <c r="I596" s="3"/>
      <c r="J596" s="3"/>
    </row>
    <row r="597">
      <c r="A597" s="3"/>
      <c r="B597" s="3"/>
      <c r="C597" s="3"/>
      <c r="D597" s="3"/>
      <c r="E597" s="3"/>
      <c r="F597" s="3"/>
      <c r="G597" s="3"/>
      <c r="H597" s="3"/>
      <c r="I597" s="3"/>
      <c r="J597" s="3"/>
    </row>
    <row r="598">
      <c r="A598" s="3"/>
      <c r="B598" s="3"/>
      <c r="C598" s="3"/>
      <c r="D598" s="3"/>
      <c r="E598" s="3"/>
      <c r="F598" s="3"/>
      <c r="G598" s="3"/>
      <c r="H598" s="3"/>
      <c r="I598" s="3"/>
      <c r="J598" s="3"/>
    </row>
    <row r="599">
      <c r="A599" s="3"/>
      <c r="B599" s="3"/>
      <c r="C599" s="3"/>
      <c r="D599" s="3"/>
      <c r="E599" s="3"/>
      <c r="F599" s="3"/>
      <c r="G599" s="3"/>
      <c r="H599" s="3"/>
      <c r="I599" s="3"/>
      <c r="J599" s="3"/>
    </row>
    <row r="600">
      <c r="A600" s="3"/>
      <c r="B600" s="3"/>
      <c r="C600" s="3"/>
      <c r="D600" s="3"/>
      <c r="E600" s="3"/>
      <c r="F600" s="3"/>
      <c r="G600" s="3"/>
      <c r="H600" s="3"/>
      <c r="I600" s="3"/>
      <c r="J600" s="3"/>
    </row>
    <row r="601">
      <c r="A601" s="3"/>
      <c r="B601" s="3"/>
      <c r="C601" s="3"/>
      <c r="D601" s="3"/>
      <c r="E601" s="3"/>
      <c r="F601" s="3"/>
      <c r="G601" s="3"/>
      <c r="H601" s="3"/>
      <c r="I601" s="3"/>
      <c r="J601" s="3"/>
    </row>
    <row r="602">
      <c r="A602" s="3"/>
      <c r="B602" s="3"/>
      <c r="C602" s="3"/>
      <c r="D602" s="3"/>
      <c r="E602" s="3"/>
      <c r="F602" s="3"/>
      <c r="G602" s="3"/>
      <c r="H602" s="3"/>
      <c r="I602" s="3"/>
      <c r="J602" s="3"/>
    </row>
    <row r="603">
      <c r="A603" s="3"/>
      <c r="B603" s="3"/>
      <c r="C603" s="3"/>
      <c r="D603" s="3"/>
      <c r="E603" s="3"/>
      <c r="F603" s="3"/>
      <c r="G603" s="3"/>
      <c r="H603" s="3"/>
      <c r="I603" s="3"/>
      <c r="J603" s="3"/>
    </row>
    <row r="604">
      <c r="A604" s="3"/>
      <c r="B604" s="3"/>
      <c r="C604" s="3"/>
      <c r="D604" s="3"/>
      <c r="E604" s="3"/>
      <c r="F604" s="3"/>
      <c r="G604" s="3"/>
      <c r="H604" s="3"/>
      <c r="I604" s="3"/>
      <c r="J604" s="3"/>
    </row>
    <row r="605">
      <c r="A605" s="3"/>
      <c r="B605" s="3"/>
      <c r="C605" s="3"/>
      <c r="D605" s="3"/>
      <c r="E605" s="3"/>
      <c r="F605" s="3"/>
      <c r="G605" s="3"/>
      <c r="H605" s="3"/>
      <c r="I605" s="3"/>
      <c r="J605" s="3"/>
    </row>
    <row r="606">
      <c r="A606" s="3"/>
      <c r="B606" s="3"/>
      <c r="C606" s="3"/>
      <c r="D606" s="3"/>
      <c r="E606" s="3"/>
      <c r="F606" s="3"/>
      <c r="G606" s="3"/>
      <c r="H606" s="3"/>
      <c r="I606" s="3"/>
      <c r="J606" s="3"/>
    </row>
    <row r="607">
      <c r="A607" s="3"/>
      <c r="B607" s="3"/>
      <c r="C607" s="3"/>
      <c r="D607" s="3"/>
      <c r="E607" s="3"/>
      <c r="F607" s="3"/>
      <c r="G607" s="3"/>
      <c r="H607" s="3"/>
      <c r="I607" s="3"/>
      <c r="J607" s="3"/>
    </row>
    <row r="608">
      <c r="A608" s="3"/>
      <c r="B608" s="3"/>
      <c r="C608" s="3"/>
      <c r="D608" s="3"/>
      <c r="E608" s="3"/>
      <c r="F608" s="3"/>
      <c r="G608" s="3"/>
      <c r="H608" s="3"/>
      <c r="I608" s="3"/>
      <c r="J608" s="3"/>
    </row>
    <row r="609">
      <c r="A609" s="3"/>
      <c r="B609" s="3"/>
      <c r="C609" s="3"/>
      <c r="D609" s="3"/>
      <c r="E609" s="3"/>
      <c r="F609" s="3"/>
      <c r="G609" s="3"/>
      <c r="H609" s="3"/>
      <c r="I609" s="3"/>
      <c r="J609" s="3"/>
    </row>
    <row r="610">
      <c r="A610" s="3"/>
      <c r="B610" s="3"/>
      <c r="C610" s="3"/>
      <c r="D610" s="3"/>
      <c r="E610" s="3"/>
      <c r="F610" s="3"/>
      <c r="G610" s="3"/>
      <c r="H610" s="3"/>
      <c r="I610" s="3"/>
      <c r="J610" s="3"/>
    </row>
    <row r="611">
      <c r="A611" s="3"/>
      <c r="B611" s="3"/>
      <c r="C611" s="3"/>
      <c r="D611" s="3"/>
      <c r="E611" s="3"/>
      <c r="F611" s="3"/>
      <c r="G611" s="3"/>
      <c r="H611" s="3"/>
      <c r="I611" s="3"/>
      <c r="J611" s="3"/>
    </row>
    <row r="612">
      <c r="A612" s="3"/>
      <c r="B612" s="3"/>
      <c r="C612" s="3"/>
      <c r="D612" s="3"/>
      <c r="E612" s="3"/>
      <c r="F612" s="3"/>
      <c r="G612" s="3"/>
      <c r="H612" s="3"/>
      <c r="I612" s="3"/>
      <c r="J612" s="3"/>
    </row>
    <row r="613">
      <c r="A613" s="3"/>
      <c r="B613" s="3"/>
      <c r="C613" s="3"/>
      <c r="D613" s="3"/>
      <c r="E613" s="3"/>
      <c r="F613" s="3"/>
      <c r="G613" s="3"/>
      <c r="H613" s="3"/>
      <c r="I613" s="3"/>
      <c r="J613" s="3"/>
    </row>
    <row r="614">
      <c r="A614" s="3"/>
      <c r="B614" s="3"/>
      <c r="C614" s="3"/>
      <c r="D614" s="3"/>
      <c r="E614" s="3"/>
      <c r="F614" s="3"/>
      <c r="G614" s="3"/>
      <c r="H614" s="3"/>
      <c r="I614" s="3"/>
      <c r="J614" s="3"/>
    </row>
    <row r="615">
      <c r="A615" s="3"/>
      <c r="B615" s="3"/>
      <c r="C615" s="3"/>
      <c r="D615" s="3"/>
      <c r="E615" s="3"/>
      <c r="F615" s="3"/>
      <c r="G615" s="3"/>
      <c r="H615" s="3"/>
      <c r="I615" s="3"/>
      <c r="J615" s="3"/>
    </row>
    <row r="616">
      <c r="A616" s="3"/>
      <c r="B616" s="3"/>
      <c r="C616" s="3"/>
      <c r="D616" s="3"/>
      <c r="E616" s="3"/>
      <c r="F616" s="3"/>
      <c r="G616" s="3"/>
      <c r="H616" s="3"/>
      <c r="I616" s="3"/>
      <c r="J616" s="3"/>
    </row>
    <row r="617">
      <c r="A617" s="3"/>
      <c r="B617" s="3"/>
      <c r="C617" s="3"/>
      <c r="D617" s="3"/>
      <c r="E617" s="3"/>
      <c r="F617" s="3"/>
      <c r="G617" s="3"/>
      <c r="H617" s="3"/>
      <c r="I617" s="3"/>
      <c r="J617" s="3"/>
    </row>
    <row r="618">
      <c r="A618" s="3"/>
      <c r="B618" s="3"/>
      <c r="C618" s="3"/>
      <c r="D618" s="3"/>
      <c r="E618" s="3"/>
      <c r="F618" s="3"/>
      <c r="G618" s="3"/>
      <c r="H618" s="3"/>
      <c r="I618" s="3"/>
      <c r="J618" s="3"/>
    </row>
    <row r="619">
      <c r="A619" s="3"/>
      <c r="B619" s="3"/>
      <c r="C619" s="3"/>
      <c r="D619" s="3"/>
      <c r="E619" s="3"/>
      <c r="F619" s="3"/>
      <c r="G619" s="3"/>
      <c r="H619" s="3"/>
      <c r="I619" s="3"/>
      <c r="J619" s="3"/>
    </row>
    <row r="620">
      <c r="A620" s="3"/>
      <c r="B620" s="3"/>
      <c r="C620" s="3"/>
      <c r="D620" s="3"/>
      <c r="E620" s="3"/>
      <c r="F620" s="3"/>
      <c r="G620" s="3"/>
      <c r="H620" s="3"/>
      <c r="I620" s="3"/>
      <c r="J620" s="3"/>
    </row>
    <row r="621">
      <c r="A621" s="3"/>
      <c r="B621" s="3"/>
      <c r="C621" s="3"/>
      <c r="D621" s="3"/>
      <c r="E621" s="3"/>
      <c r="F621" s="3"/>
      <c r="G621" s="3"/>
      <c r="H621" s="3"/>
      <c r="I621" s="3"/>
      <c r="J621" s="3"/>
    </row>
    <row r="622">
      <c r="A622" s="3"/>
      <c r="B622" s="3"/>
      <c r="C622" s="3"/>
      <c r="D622" s="3"/>
      <c r="E622" s="3"/>
      <c r="F622" s="3"/>
      <c r="G622" s="3"/>
      <c r="H622" s="3"/>
      <c r="I622" s="3"/>
      <c r="J622" s="3"/>
    </row>
    <row r="623">
      <c r="A623" s="3"/>
      <c r="B623" s="3"/>
      <c r="C623" s="3"/>
      <c r="D623" s="3"/>
      <c r="E623" s="3"/>
      <c r="F623" s="3"/>
      <c r="G623" s="3"/>
      <c r="H623" s="3"/>
      <c r="I623" s="3"/>
      <c r="J623" s="3"/>
    </row>
    <row r="624">
      <c r="A624" s="3"/>
      <c r="B624" s="3"/>
      <c r="C624" s="3"/>
      <c r="D624" s="3"/>
      <c r="E624" s="3"/>
      <c r="F624" s="3"/>
      <c r="G624" s="3"/>
      <c r="H624" s="3"/>
      <c r="I624" s="3"/>
      <c r="J624" s="3"/>
    </row>
    <row r="625">
      <c r="A625" s="3"/>
      <c r="B625" s="3"/>
      <c r="C625" s="3"/>
      <c r="D625" s="3"/>
      <c r="E625" s="3"/>
      <c r="F625" s="3"/>
      <c r="G625" s="3"/>
      <c r="H625" s="3"/>
      <c r="I625" s="3"/>
      <c r="J625" s="3"/>
    </row>
    <row r="626">
      <c r="A626" s="3"/>
      <c r="B626" s="3"/>
      <c r="C626" s="3"/>
      <c r="D626" s="3"/>
      <c r="E626" s="3"/>
      <c r="F626" s="3"/>
      <c r="G626" s="3"/>
      <c r="H626" s="3"/>
      <c r="I626" s="3"/>
      <c r="J626" s="3"/>
    </row>
    <row r="627">
      <c r="A627" s="3"/>
      <c r="B627" s="3"/>
      <c r="C627" s="3"/>
      <c r="D627" s="3"/>
      <c r="E627" s="3"/>
      <c r="F627" s="3"/>
      <c r="G627" s="3"/>
      <c r="H627" s="3"/>
      <c r="I627" s="3"/>
      <c r="J627" s="3"/>
    </row>
    <row r="628">
      <c r="A628" s="3"/>
      <c r="B628" s="3"/>
      <c r="C628" s="3"/>
      <c r="D628" s="3"/>
      <c r="E628" s="3"/>
      <c r="F628" s="3"/>
      <c r="G628" s="3"/>
      <c r="H628" s="3"/>
      <c r="I628" s="3"/>
      <c r="J628" s="3"/>
    </row>
    <row r="629">
      <c r="A629" s="3"/>
      <c r="B629" s="3"/>
      <c r="C629" s="3"/>
      <c r="D629" s="3"/>
      <c r="E629" s="3"/>
      <c r="F629" s="3"/>
      <c r="G629" s="3"/>
      <c r="H629" s="3"/>
      <c r="I629" s="3"/>
      <c r="J629" s="3"/>
    </row>
    <row r="630">
      <c r="A630" s="3"/>
      <c r="B630" s="3"/>
      <c r="C630" s="3"/>
      <c r="D630" s="3"/>
      <c r="E630" s="3"/>
      <c r="F630" s="3"/>
      <c r="G630" s="3"/>
      <c r="H630" s="3"/>
      <c r="I630" s="3"/>
      <c r="J630" s="3"/>
    </row>
    <row r="631">
      <c r="A631" s="3"/>
      <c r="B631" s="3"/>
      <c r="C631" s="3"/>
      <c r="D631" s="3"/>
      <c r="E631" s="3"/>
      <c r="F631" s="3"/>
      <c r="G631" s="3"/>
      <c r="H631" s="3"/>
      <c r="I631" s="3"/>
      <c r="J631" s="3"/>
    </row>
    <row r="632">
      <c r="A632" s="3"/>
      <c r="B632" s="3"/>
      <c r="C632" s="3"/>
      <c r="D632" s="3"/>
      <c r="E632" s="3"/>
      <c r="F632" s="3"/>
      <c r="G632" s="3"/>
      <c r="H632" s="3"/>
      <c r="I632" s="3"/>
      <c r="J632" s="3"/>
    </row>
    <row r="633">
      <c r="A633" s="3"/>
      <c r="B633" s="3"/>
      <c r="C633" s="3"/>
      <c r="D633" s="3"/>
      <c r="E633" s="3"/>
      <c r="F633" s="3"/>
      <c r="G633" s="3"/>
      <c r="H633" s="3"/>
      <c r="I633" s="3"/>
      <c r="J633" s="3"/>
    </row>
    <row r="634">
      <c r="A634" s="3"/>
      <c r="B634" s="3"/>
      <c r="C634" s="3"/>
      <c r="D634" s="3"/>
      <c r="E634" s="3"/>
      <c r="F634" s="3"/>
      <c r="G634" s="3"/>
      <c r="H634" s="3"/>
      <c r="I634" s="3"/>
      <c r="J634" s="3"/>
    </row>
    <row r="635">
      <c r="A635" s="3"/>
      <c r="B635" s="3"/>
      <c r="C635" s="3"/>
      <c r="D635" s="3"/>
      <c r="E635" s="3"/>
      <c r="F635" s="3"/>
      <c r="G635" s="3"/>
      <c r="H635" s="3"/>
      <c r="I635" s="3"/>
      <c r="J635" s="3"/>
    </row>
    <row r="636">
      <c r="A636" s="3"/>
      <c r="B636" s="3"/>
      <c r="C636" s="3"/>
      <c r="D636" s="3"/>
      <c r="E636" s="3"/>
      <c r="F636" s="3"/>
      <c r="G636" s="3"/>
      <c r="H636" s="3"/>
      <c r="I636" s="3"/>
      <c r="J636" s="3"/>
    </row>
    <row r="637">
      <c r="A637" s="3"/>
      <c r="B637" s="3"/>
      <c r="C637" s="3"/>
      <c r="D637" s="3"/>
      <c r="E637" s="3"/>
      <c r="F637" s="3"/>
      <c r="G637" s="3"/>
      <c r="H637" s="3"/>
      <c r="I637" s="3"/>
      <c r="J637" s="3"/>
    </row>
    <row r="638">
      <c r="A638" s="3"/>
      <c r="B638" s="3"/>
      <c r="C638" s="3"/>
      <c r="D638" s="3"/>
      <c r="E638" s="3"/>
      <c r="F638" s="3"/>
      <c r="G638" s="3"/>
      <c r="H638" s="3"/>
      <c r="I638" s="3"/>
      <c r="J638" s="3"/>
    </row>
    <row r="639">
      <c r="A639" s="3"/>
      <c r="B639" s="3"/>
      <c r="C639" s="3"/>
      <c r="D639" s="3"/>
      <c r="E639" s="3"/>
      <c r="F639" s="3"/>
      <c r="G639" s="3"/>
      <c r="H639" s="3"/>
      <c r="I639" s="3"/>
      <c r="J639" s="3"/>
    </row>
    <row r="640">
      <c r="A640" s="3"/>
      <c r="B640" s="3"/>
      <c r="C640" s="3"/>
      <c r="D640" s="3"/>
      <c r="E640" s="3"/>
      <c r="F640" s="3"/>
      <c r="G640" s="3"/>
      <c r="H640" s="3"/>
      <c r="I640" s="3"/>
      <c r="J640" s="3"/>
    </row>
    <row r="641">
      <c r="A641" s="3"/>
      <c r="B641" s="3"/>
      <c r="C641" s="3"/>
      <c r="D641" s="3"/>
      <c r="E641" s="3"/>
      <c r="F641" s="3"/>
      <c r="G641" s="3"/>
      <c r="H641" s="3"/>
      <c r="I641" s="3"/>
      <c r="J641" s="3"/>
    </row>
    <row r="642">
      <c r="A642" s="3"/>
      <c r="B642" s="3"/>
      <c r="C642" s="3"/>
      <c r="D642" s="3"/>
      <c r="E642" s="3"/>
      <c r="F642" s="3"/>
      <c r="G642" s="3"/>
      <c r="H642" s="3"/>
      <c r="I642" s="3"/>
      <c r="J642" s="3"/>
    </row>
    <row r="643">
      <c r="A643" s="3"/>
      <c r="B643" s="3"/>
      <c r="C643" s="3"/>
      <c r="D643" s="3"/>
      <c r="E643" s="3"/>
      <c r="F643" s="3"/>
      <c r="G643" s="3"/>
      <c r="H643" s="3"/>
      <c r="I643" s="3"/>
      <c r="J643" s="3"/>
    </row>
    <row r="644">
      <c r="A644" s="3"/>
      <c r="B644" s="3"/>
      <c r="C644" s="3"/>
      <c r="D644" s="3"/>
      <c r="E644" s="3"/>
      <c r="F644" s="3"/>
      <c r="G644" s="3"/>
      <c r="H644" s="3"/>
      <c r="I644" s="3"/>
      <c r="J644" s="3"/>
    </row>
    <row r="645">
      <c r="A645" s="3"/>
      <c r="B645" s="3"/>
      <c r="C645" s="3"/>
      <c r="D645" s="3"/>
      <c r="E645" s="3"/>
      <c r="F645" s="3"/>
      <c r="G645" s="3"/>
      <c r="H645" s="3"/>
      <c r="I645" s="3"/>
      <c r="J645" s="3"/>
    </row>
    <row r="646">
      <c r="A646" s="3"/>
      <c r="B646" s="3"/>
      <c r="C646" s="3"/>
      <c r="D646" s="3"/>
      <c r="E646" s="3"/>
      <c r="F646" s="3"/>
      <c r="G646" s="3"/>
      <c r="H646" s="3"/>
      <c r="I646" s="3"/>
      <c r="J646" s="3"/>
    </row>
    <row r="647">
      <c r="A647" s="3"/>
      <c r="B647" s="3"/>
      <c r="C647" s="3"/>
      <c r="D647" s="3"/>
      <c r="E647" s="3"/>
      <c r="F647" s="3"/>
      <c r="G647" s="3"/>
      <c r="H647" s="3"/>
      <c r="I647" s="3"/>
      <c r="J647" s="3"/>
    </row>
    <row r="648">
      <c r="A648" s="3"/>
      <c r="B648" s="3"/>
      <c r="C648" s="3"/>
      <c r="D648" s="3"/>
      <c r="E648" s="3"/>
      <c r="F648" s="3"/>
      <c r="G648" s="3"/>
      <c r="H648" s="3"/>
      <c r="I648" s="3"/>
      <c r="J648" s="3"/>
    </row>
    <row r="649">
      <c r="A649" s="3"/>
      <c r="B649" s="3"/>
      <c r="C649" s="3"/>
      <c r="D649" s="3"/>
      <c r="E649" s="3"/>
      <c r="F649" s="3"/>
      <c r="G649" s="3"/>
      <c r="H649" s="3"/>
      <c r="I649" s="3"/>
      <c r="J649" s="3"/>
    </row>
    <row r="650">
      <c r="A650" s="3"/>
      <c r="B650" s="3"/>
      <c r="C650" s="3"/>
      <c r="D650" s="3"/>
      <c r="E650" s="3"/>
      <c r="F650" s="3"/>
      <c r="G650" s="3"/>
      <c r="H650" s="3"/>
      <c r="I650" s="3"/>
      <c r="J650" s="3"/>
    </row>
    <row r="651">
      <c r="A651" s="3"/>
      <c r="B651" s="3"/>
      <c r="C651" s="3"/>
      <c r="D651" s="3"/>
      <c r="E651" s="3"/>
      <c r="F651" s="3"/>
      <c r="G651" s="3"/>
      <c r="H651" s="3"/>
      <c r="I651" s="3"/>
      <c r="J651" s="3"/>
    </row>
    <row r="652">
      <c r="A652" s="3"/>
      <c r="B652" s="3"/>
      <c r="C652" s="3"/>
      <c r="D652" s="3"/>
      <c r="E652" s="3"/>
      <c r="F652" s="3"/>
      <c r="G652" s="3"/>
      <c r="H652" s="3"/>
      <c r="I652" s="3"/>
      <c r="J652" s="3"/>
    </row>
    <row r="653">
      <c r="A653" s="3"/>
      <c r="B653" s="3"/>
      <c r="C653" s="3"/>
      <c r="D653" s="3"/>
      <c r="E653" s="3"/>
      <c r="F653" s="3"/>
      <c r="G653" s="3"/>
      <c r="H653" s="3"/>
      <c r="I653" s="3"/>
      <c r="J653" s="3"/>
    </row>
    <row r="654">
      <c r="A654" s="3"/>
      <c r="B654" s="3"/>
      <c r="C654" s="3"/>
      <c r="D654" s="3"/>
      <c r="E654" s="3"/>
      <c r="F654" s="3"/>
      <c r="G654" s="3"/>
      <c r="H654" s="3"/>
      <c r="I654" s="3"/>
      <c r="J654" s="3"/>
    </row>
    <row r="655">
      <c r="A655" s="3"/>
      <c r="B655" s="3"/>
      <c r="C655" s="3"/>
      <c r="D655" s="3"/>
      <c r="E655" s="3"/>
      <c r="F655" s="3"/>
      <c r="G655" s="3"/>
      <c r="H655" s="3"/>
      <c r="I655" s="3"/>
      <c r="J655" s="3"/>
    </row>
    <row r="656">
      <c r="A656" s="3"/>
      <c r="B656" s="3"/>
      <c r="C656" s="3"/>
      <c r="D656" s="3"/>
      <c r="E656" s="3"/>
      <c r="F656" s="3"/>
      <c r="G656" s="3"/>
      <c r="H656" s="3"/>
      <c r="I656" s="3"/>
      <c r="J656" s="3"/>
    </row>
    <row r="657">
      <c r="A657" s="3"/>
      <c r="B657" s="3"/>
      <c r="C657" s="3"/>
      <c r="D657" s="3"/>
      <c r="E657" s="3"/>
      <c r="F657" s="3"/>
      <c r="G657" s="3"/>
      <c r="H657" s="3"/>
      <c r="I657" s="3"/>
      <c r="J657" s="3"/>
    </row>
    <row r="658">
      <c r="A658" s="3"/>
      <c r="B658" s="3"/>
      <c r="C658" s="3"/>
      <c r="D658" s="3"/>
      <c r="E658" s="3"/>
      <c r="F658" s="3"/>
      <c r="G658" s="3"/>
      <c r="H658" s="3"/>
      <c r="I658" s="3"/>
      <c r="J658" s="3"/>
    </row>
    <row r="659">
      <c r="A659" s="3"/>
      <c r="B659" s="3"/>
      <c r="C659" s="3"/>
      <c r="D659" s="3"/>
      <c r="E659" s="3"/>
      <c r="F659" s="3"/>
      <c r="G659" s="3"/>
      <c r="H659" s="3"/>
      <c r="I659" s="3"/>
      <c r="J659" s="3"/>
    </row>
    <row r="660">
      <c r="A660" s="3"/>
      <c r="B660" s="3"/>
      <c r="C660" s="3"/>
      <c r="D660" s="3"/>
      <c r="E660" s="3"/>
      <c r="F660" s="3"/>
      <c r="G660" s="3"/>
      <c r="H660" s="3"/>
      <c r="I660" s="3"/>
      <c r="J660" s="3"/>
    </row>
    <row r="661">
      <c r="A661" s="3"/>
      <c r="B661" s="3"/>
      <c r="C661" s="3"/>
      <c r="D661" s="3"/>
      <c r="E661" s="3"/>
      <c r="F661" s="3"/>
      <c r="G661" s="3"/>
      <c r="H661" s="3"/>
      <c r="I661" s="3"/>
      <c r="J661" s="3"/>
    </row>
    <row r="662">
      <c r="A662" s="3"/>
      <c r="B662" s="3"/>
      <c r="C662" s="3"/>
      <c r="D662" s="3"/>
      <c r="E662" s="3"/>
      <c r="F662" s="3"/>
      <c r="G662" s="3"/>
      <c r="H662" s="3"/>
      <c r="I662" s="3"/>
      <c r="J662" s="3"/>
    </row>
    <row r="663">
      <c r="A663" s="3"/>
      <c r="B663" s="3"/>
      <c r="C663" s="3"/>
      <c r="D663" s="3"/>
      <c r="E663" s="3"/>
      <c r="F663" s="3"/>
      <c r="G663" s="3"/>
      <c r="H663" s="3"/>
      <c r="I663" s="3"/>
      <c r="J663" s="3"/>
    </row>
    <row r="664">
      <c r="A664" s="3"/>
      <c r="B664" s="3"/>
      <c r="C664" s="3"/>
      <c r="D664" s="3"/>
      <c r="E664" s="3"/>
      <c r="F664" s="3"/>
      <c r="G664" s="3"/>
      <c r="H664" s="3"/>
      <c r="I664" s="3"/>
      <c r="J664" s="3"/>
    </row>
    <row r="665">
      <c r="A665" s="3"/>
      <c r="B665" s="3"/>
      <c r="C665" s="3"/>
      <c r="D665" s="3"/>
      <c r="E665" s="3"/>
      <c r="F665" s="3"/>
      <c r="G665" s="3"/>
      <c r="H665" s="3"/>
      <c r="I665" s="3"/>
      <c r="J665" s="3"/>
    </row>
    <row r="666">
      <c r="A666" s="3"/>
      <c r="B666" s="3"/>
      <c r="C666" s="3"/>
      <c r="D666" s="3"/>
      <c r="E666" s="3"/>
      <c r="F666" s="3"/>
      <c r="G666" s="3"/>
      <c r="H666" s="3"/>
      <c r="I666" s="3"/>
      <c r="J666" s="3"/>
    </row>
    <row r="667">
      <c r="A667" s="3"/>
      <c r="B667" s="3"/>
      <c r="C667" s="3"/>
      <c r="D667" s="3"/>
      <c r="E667" s="3"/>
      <c r="F667" s="3"/>
      <c r="G667" s="3"/>
      <c r="H667" s="3"/>
      <c r="I667" s="3"/>
      <c r="J667" s="3"/>
    </row>
    <row r="668">
      <c r="A668" s="3"/>
      <c r="B668" s="3"/>
      <c r="C668" s="3"/>
      <c r="D668" s="3"/>
      <c r="E668" s="3"/>
      <c r="F668" s="3"/>
      <c r="G668" s="3"/>
      <c r="H668" s="3"/>
      <c r="I668" s="3"/>
      <c r="J668" s="3"/>
    </row>
    <row r="669">
      <c r="A669" s="3"/>
      <c r="B669" s="3"/>
      <c r="C669" s="3"/>
      <c r="D669" s="3"/>
      <c r="E669" s="3"/>
      <c r="F669" s="3"/>
      <c r="G669" s="3"/>
      <c r="H669" s="3"/>
      <c r="I669" s="3"/>
      <c r="J669" s="3"/>
    </row>
    <row r="670">
      <c r="A670" s="3"/>
      <c r="B670" s="3"/>
      <c r="C670" s="3"/>
      <c r="D670" s="3"/>
      <c r="E670" s="3"/>
      <c r="F670" s="3"/>
      <c r="G670" s="3"/>
      <c r="H670" s="3"/>
      <c r="I670" s="3"/>
      <c r="J670" s="3"/>
    </row>
    <row r="671">
      <c r="A671" s="3"/>
      <c r="B671" s="3"/>
      <c r="C671" s="3"/>
      <c r="D671" s="3"/>
      <c r="E671" s="3"/>
      <c r="F671" s="3"/>
      <c r="G671" s="3"/>
      <c r="H671" s="3"/>
      <c r="I671" s="3"/>
      <c r="J671" s="3"/>
    </row>
    <row r="672">
      <c r="A672" s="3"/>
      <c r="B672" s="3"/>
      <c r="C672" s="3"/>
      <c r="D672" s="3"/>
      <c r="E672" s="3"/>
      <c r="F672" s="3"/>
      <c r="G672" s="3"/>
      <c r="H672" s="3"/>
      <c r="I672" s="3"/>
      <c r="J672" s="3"/>
    </row>
    <row r="673">
      <c r="A673" s="3"/>
      <c r="B673" s="3"/>
      <c r="C673" s="3"/>
      <c r="D673" s="3"/>
      <c r="E673" s="3"/>
      <c r="F673" s="3"/>
      <c r="G673" s="3"/>
      <c r="H673" s="3"/>
      <c r="I673" s="3"/>
      <c r="J673" s="3"/>
    </row>
  </sheetData>
  <hyperlinks>
    <hyperlink r:id="rId1" ref="B3"/>
    <hyperlink r:id="rId2" ref="F3"/>
    <hyperlink r:id="rId3" ref="B4"/>
    <hyperlink r:id="rId4" ref="F4"/>
    <hyperlink r:id="rId5" ref="B5"/>
    <hyperlink r:id="rId6" ref="F5"/>
    <hyperlink r:id="rId7" ref="B6"/>
    <hyperlink r:id="rId8" ref="F6"/>
    <hyperlink r:id="rId9" ref="B7"/>
    <hyperlink r:id="rId10" ref="F7"/>
    <hyperlink r:id="rId11" ref="B8"/>
    <hyperlink r:id="rId12" ref="F8"/>
    <hyperlink r:id="rId13" ref="B9"/>
    <hyperlink r:id="rId14" ref="F9"/>
    <hyperlink r:id="rId15" ref="B10"/>
    <hyperlink r:id="rId16" ref="F10"/>
    <hyperlink r:id="rId17" ref="B11"/>
    <hyperlink r:id="rId18" ref="F11"/>
    <hyperlink r:id="rId19" ref="B12"/>
    <hyperlink r:id="rId20" ref="F12"/>
    <hyperlink r:id="rId21" ref="B13"/>
    <hyperlink r:id="rId22" ref="F13"/>
    <hyperlink r:id="rId23" ref="B14"/>
    <hyperlink r:id="rId24" ref="F14"/>
    <hyperlink r:id="rId25" ref="B15"/>
    <hyperlink r:id="rId26" ref="F15"/>
    <hyperlink r:id="rId27" ref="B16"/>
    <hyperlink r:id="rId28" ref="F16"/>
    <hyperlink r:id="rId29" ref="B17"/>
    <hyperlink r:id="rId30" ref="F17"/>
    <hyperlink r:id="rId31" ref="B18"/>
    <hyperlink r:id="rId32" ref="F18"/>
    <hyperlink r:id="rId33" ref="B19"/>
    <hyperlink r:id="rId34" ref="F19"/>
    <hyperlink r:id="rId35" ref="B20"/>
    <hyperlink r:id="rId36" ref="F20"/>
    <hyperlink r:id="rId37" ref="B22"/>
    <hyperlink r:id="rId38" ref="F22"/>
    <hyperlink r:id="rId39" ref="B23"/>
    <hyperlink r:id="rId40" ref="F23"/>
    <hyperlink r:id="rId41" ref="B24"/>
    <hyperlink r:id="rId42" ref="F24"/>
    <hyperlink r:id="rId43" ref="B25"/>
    <hyperlink r:id="rId44" ref="F25"/>
    <hyperlink r:id="rId45" ref="B26"/>
    <hyperlink r:id="rId46" ref="F26"/>
    <hyperlink r:id="rId47" ref="B27"/>
    <hyperlink r:id="rId48" ref="F27"/>
    <hyperlink r:id="rId49" ref="B28"/>
    <hyperlink r:id="rId50" ref="F28"/>
    <hyperlink r:id="rId51" ref="B29"/>
    <hyperlink r:id="rId52" ref="F29"/>
    <hyperlink r:id="rId53" ref="B30"/>
    <hyperlink r:id="rId54" ref="F30"/>
    <hyperlink r:id="rId55" ref="B31"/>
    <hyperlink r:id="rId56" ref="F31"/>
    <hyperlink r:id="rId57" ref="B32"/>
    <hyperlink r:id="rId58" ref="F32"/>
    <hyperlink r:id="rId59" ref="B33"/>
    <hyperlink r:id="rId60" ref="F33"/>
    <hyperlink r:id="rId61" ref="B34"/>
    <hyperlink r:id="rId62" ref="F34"/>
    <hyperlink r:id="rId63" ref="B35"/>
    <hyperlink r:id="rId64" ref="F35"/>
    <hyperlink r:id="rId65" ref="B36"/>
    <hyperlink r:id="rId66" ref="F36"/>
    <hyperlink r:id="rId67" ref="B37"/>
    <hyperlink r:id="rId68" ref="F37"/>
    <hyperlink r:id="rId69" ref="B38"/>
    <hyperlink r:id="rId70" ref="F38"/>
    <hyperlink r:id="rId71" ref="B39"/>
    <hyperlink r:id="rId72" ref="F39"/>
    <hyperlink r:id="rId73" ref="B40"/>
    <hyperlink r:id="rId74" ref="F40"/>
    <hyperlink r:id="rId75" ref="B41"/>
    <hyperlink r:id="rId76" ref="F41"/>
    <hyperlink r:id="rId77" ref="B42"/>
    <hyperlink r:id="rId78" ref="F42"/>
    <hyperlink r:id="rId79" ref="B43"/>
    <hyperlink r:id="rId80" ref="F43"/>
    <hyperlink r:id="rId81" ref="B44"/>
    <hyperlink r:id="rId82" ref="F44"/>
    <hyperlink r:id="rId83" ref="B45"/>
    <hyperlink r:id="rId84" ref="F45"/>
    <hyperlink r:id="rId85" ref="B46"/>
    <hyperlink r:id="rId86" ref="F46"/>
    <hyperlink r:id="rId87" ref="B47"/>
    <hyperlink r:id="rId88" ref="F47"/>
    <hyperlink r:id="rId89" ref="B48"/>
    <hyperlink r:id="rId90" ref="F48"/>
    <hyperlink r:id="rId91" ref="B49"/>
    <hyperlink r:id="rId92" ref="F49"/>
    <hyperlink r:id="rId93" ref="B50"/>
    <hyperlink r:id="rId94" ref="F50"/>
    <hyperlink r:id="rId95" ref="B51"/>
    <hyperlink r:id="rId96" ref="F51"/>
    <hyperlink r:id="rId97" ref="B52"/>
    <hyperlink r:id="rId98" ref="F52"/>
    <hyperlink r:id="rId99" ref="B53"/>
    <hyperlink r:id="rId100" ref="F53"/>
    <hyperlink r:id="rId101" ref="B54"/>
    <hyperlink r:id="rId102" ref="F54"/>
    <hyperlink r:id="rId103" ref="B55"/>
    <hyperlink r:id="rId104" ref="F55"/>
    <hyperlink r:id="rId105" ref="B56"/>
    <hyperlink r:id="rId106" ref="F56"/>
    <hyperlink r:id="rId107" ref="B57"/>
    <hyperlink r:id="rId108" ref="F57"/>
    <hyperlink r:id="rId109" ref="B58"/>
    <hyperlink r:id="rId110" ref="F58"/>
    <hyperlink r:id="rId111" ref="B59"/>
    <hyperlink r:id="rId112" ref="F59"/>
    <hyperlink r:id="rId113" ref="B60"/>
    <hyperlink r:id="rId114" ref="F60"/>
    <hyperlink r:id="rId115" ref="B61"/>
    <hyperlink r:id="rId116" ref="F61"/>
    <hyperlink r:id="rId117" ref="B62"/>
    <hyperlink r:id="rId118" ref="F62"/>
    <hyperlink r:id="rId119" ref="B63"/>
    <hyperlink r:id="rId120" ref="F63"/>
    <hyperlink r:id="rId121" ref="B64"/>
    <hyperlink r:id="rId122" ref="F64"/>
    <hyperlink r:id="rId123" ref="B65"/>
    <hyperlink r:id="rId124" ref="F65"/>
    <hyperlink r:id="rId125" ref="B66"/>
    <hyperlink r:id="rId126" ref="F66"/>
    <hyperlink r:id="rId127" ref="B67"/>
    <hyperlink r:id="rId128" ref="F67"/>
    <hyperlink r:id="rId129" ref="B68"/>
    <hyperlink r:id="rId130" ref="F68"/>
    <hyperlink r:id="rId131" ref="B69"/>
    <hyperlink r:id="rId132" ref="F69"/>
    <hyperlink r:id="rId133" ref="B70"/>
    <hyperlink r:id="rId134" ref="F70"/>
    <hyperlink r:id="rId135" ref="B71"/>
    <hyperlink r:id="rId136" ref="F71"/>
    <hyperlink r:id="rId137" ref="B72"/>
    <hyperlink r:id="rId138" ref="F72"/>
    <hyperlink r:id="rId139" ref="B73"/>
    <hyperlink r:id="rId140" ref="F73"/>
    <hyperlink r:id="rId141" ref="B74"/>
    <hyperlink r:id="rId142" ref="F74"/>
    <hyperlink r:id="rId143" ref="B75"/>
    <hyperlink r:id="rId144" ref="F75"/>
    <hyperlink r:id="rId145" ref="B76"/>
    <hyperlink r:id="rId146" ref="F76"/>
    <hyperlink r:id="rId147" ref="B77"/>
    <hyperlink r:id="rId148" ref="F77"/>
    <hyperlink r:id="rId149" ref="B78"/>
    <hyperlink r:id="rId150" ref="F78"/>
    <hyperlink r:id="rId151" ref="B79"/>
    <hyperlink r:id="rId152" ref="F79"/>
    <hyperlink r:id="rId153" ref="B80"/>
    <hyperlink r:id="rId154" ref="F80"/>
    <hyperlink r:id="rId155" ref="B81"/>
    <hyperlink r:id="rId156" ref="F81"/>
    <hyperlink r:id="rId157" ref="B82"/>
    <hyperlink r:id="rId158" ref="F82"/>
    <hyperlink r:id="rId159" ref="B83"/>
    <hyperlink r:id="rId160" ref="F83"/>
    <hyperlink r:id="rId161" ref="B84"/>
    <hyperlink r:id="rId162" ref="F84"/>
    <hyperlink r:id="rId163" ref="B85"/>
    <hyperlink r:id="rId164" ref="F85"/>
    <hyperlink r:id="rId165" ref="B86"/>
    <hyperlink r:id="rId166" ref="F86"/>
    <hyperlink r:id="rId167" ref="B87"/>
    <hyperlink r:id="rId168" ref="F87"/>
    <hyperlink r:id="rId169" ref="B88"/>
    <hyperlink r:id="rId170" ref="F88"/>
    <hyperlink r:id="rId171" ref="B89"/>
    <hyperlink r:id="rId172" ref="F89"/>
    <hyperlink r:id="rId173" ref="B90"/>
    <hyperlink r:id="rId174" ref="F90"/>
    <hyperlink r:id="rId175" ref="B91"/>
    <hyperlink r:id="rId176" ref="F91"/>
    <hyperlink r:id="rId177" ref="B92"/>
    <hyperlink r:id="rId178" ref="F92"/>
    <hyperlink r:id="rId179" ref="B93"/>
    <hyperlink r:id="rId180" ref="F93"/>
    <hyperlink r:id="rId181" ref="B94"/>
    <hyperlink r:id="rId182" ref="F94"/>
    <hyperlink r:id="rId183" ref="B95"/>
    <hyperlink r:id="rId184" ref="F95"/>
    <hyperlink r:id="rId185" ref="B96"/>
    <hyperlink r:id="rId186" ref="F96"/>
    <hyperlink r:id="rId187" ref="B97"/>
    <hyperlink r:id="rId188" ref="F97"/>
    <hyperlink r:id="rId189" ref="B98"/>
    <hyperlink r:id="rId190" ref="F98"/>
    <hyperlink r:id="rId191" ref="B99"/>
    <hyperlink r:id="rId192" ref="F99"/>
    <hyperlink r:id="rId193" ref="B100"/>
    <hyperlink r:id="rId194" ref="F100"/>
    <hyperlink r:id="rId195" ref="B101"/>
    <hyperlink r:id="rId196" ref="F101"/>
    <hyperlink r:id="rId197" ref="B102"/>
    <hyperlink r:id="rId198" ref="F102"/>
    <hyperlink r:id="rId199" ref="B103"/>
    <hyperlink r:id="rId200" ref="F103"/>
    <hyperlink r:id="rId201" ref="B104"/>
    <hyperlink r:id="rId202" ref="F104"/>
    <hyperlink r:id="rId203" ref="B105"/>
    <hyperlink r:id="rId204" ref="F105"/>
    <hyperlink r:id="rId205" ref="B106"/>
    <hyperlink r:id="rId206" ref="F106"/>
    <hyperlink r:id="rId207" ref="B107"/>
    <hyperlink r:id="rId208" ref="F107"/>
    <hyperlink r:id="rId209" ref="B108"/>
    <hyperlink r:id="rId210" ref="F108"/>
    <hyperlink r:id="rId211" ref="B109"/>
    <hyperlink r:id="rId212" ref="F109"/>
    <hyperlink r:id="rId213" ref="B110"/>
    <hyperlink r:id="rId214" ref="F110"/>
    <hyperlink r:id="rId215" ref="B111"/>
    <hyperlink r:id="rId216" ref="F111"/>
    <hyperlink r:id="rId217" ref="B112"/>
    <hyperlink r:id="rId218" ref="F112"/>
    <hyperlink r:id="rId219" ref="B113"/>
    <hyperlink r:id="rId220" ref="F113"/>
    <hyperlink r:id="rId221" ref="B114"/>
    <hyperlink r:id="rId222" ref="F114"/>
    <hyperlink r:id="rId223" ref="B115"/>
    <hyperlink r:id="rId224" ref="F115"/>
    <hyperlink r:id="rId225" ref="B116"/>
    <hyperlink r:id="rId226" ref="F116"/>
    <hyperlink r:id="rId227" ref="B117"/>
    <hyperlink r:id="rId228" ref="F117"/>
    <hyperlink r:id="rId229" ref="B118"/>
    <hyperlink r:id="rId230" ref="F118"/>
    <hyperlink r:id="rId231" ref="B119"/>
    <hyperlink r:id="rId232" ref="F119"/>
    <hyperlink r:id="rId233" ref="B120"/>
    <hyperlink r:id="rId234" ref="F120"/>
    <hyperlink r:id="rId235" ref="B121"/>
    <hyperlink r:id="rId236" ref="F121"/>
    <hyperlink r:id="rId237" ref="B122"/>
    <hyperlink r:id="rId238" ref="F122"/>
    <hyperlink r:id="rId239" ref="B123"/>
    <hyperlink r:id="rId240" ref="F123"/>
    <hyperlink r:id="rId241" ref="B124"/>
    <hyperlink r:id="rId242" ref="F124"/>
    <hyperlink r:id="rId243" ref="B125"/>
    <hyperlink r:id="rId244" ref="F125"/>
    <hyperlink r:id="rId245" ref="B126"/>
    <hyperlink r:id="rId246" ref="F126"/>
    <hyperlink r:id="rId247" ref="B127"/>
    <hyperlink r:id="rId248" ref="F127"/>
    <hyperlink r:id="rId249" ref="B128"/>
    <hyperlink r:id="rId250" ref="F128"/>
    <hyperlink r:id="rId251" ref="B129"/>
    <hyperlink r:id="rId252" ref="F129"/>
    <hyperlink r:id="rId253" ref="B130"/>
    <hyperlink r:id="rId254" ref="F130"/>
    <hyperlink r:id="rId255" ref="B131"/>
    <hyperlink r:id="rId256" ref="F131"/>
    <hyperlink r:id="rId257" ref="B132"/>
    <hyperlink r:id="rId258" ref="F132"/>
    <hyperlink r:id="rId259" ref="B133"/>
    <hyperlink r:id="rId260" ref="F133"/>
    <hyperlink r:id="rId261" ref="B134"/>
    <hyperlink r:id="rId262" ref="F134"/>
    <hyperlink r:id="rId263" ref="B135"/>
    <hyperlink r:id="rId264" ref="F135"/>
    <hyperlink r:id="rId265" ref="B136"/>
    <hyperlink r:id="rId266" ref="F136"/>
    <hyperlink r:id="rId267" ref="B137"/>
    <hyperlink r:id="rId268" ref="F137"/>
    <hyperlink r:id="rId269" ref="B138"/>
    <hyperlink r:id="rId270" ref="F138"/>
    <hyperlink r:id="rId271" ref="B139"/>
    <hyperlink r:id="rId272" ref="F139"/>
    <hyperlink r:id="rId273" ref="B140"/>
    <hyperlink r:id="rId274" ref="F140"/>
    <hyperlink r:id="rId275" ref="B141"/>
    <hyperlink r:id="rId276" ref="F141"/>
    <hyperlink r:id="rId277" ref="B142"/>
    <hyperlink r:id="rId278" ref="F142"/>
    <hyperlink r:id="rId279" ref="B143"/>
    <hyperlink r:id="rId280" ref="F143"/>
    <hyperlink r:id="rId281" ref="B144"/>
    <hyperlink r:id="rId282" ref="F144"/>
    <hyperlink r:id="rId283" ref="B145"/>
    <hyperlink r:id="rId284" ref="F145"/>
    <hyperlink r:id="rId285" ref="B146"/>
    <hyperlink r:id="rId286" ref="F146"/>
    <hyperlink r:id="rId287" ref="B147"/>
    <hyperlink r:id="rId288" ref="F147"/>
    <hyperlink r:id="rId289" ref="B148"/>
    <hyperlink r:id="rId290" ref="F148"/>
    <hyperlink r:id="rId291" ref="B149"/>
    <hyperlink r:id="rId292" ref="F149"/>
    <hyperlink r:id="rId293" ref="B150"/>
    <hyperlink r:id="rId294" ref="F150"/>
    <hyperlink r:id="rId295" ref="B151"/>
    <hyperlink r:id="rId296" ref="F151"/>
    <hyperlink r:id="rId297" ref="B152"/>
    <hyperlink r:id="rId298" ref="F152"/>
    <hyperlink r:id="rId299" ref="B153"/>
    <hyperlink r:id="rId300" ref="F153"/>
    <hyperlink r:id="rId301" ref="B154"/>
    <hyperlink r:id="rId302" ref="F154"/>
    <hyperlink r:id="rId303" ref="B155"/>
    <hyperlink r:id="rId304" ref="F155"/>
    <hyperlink r:id="rId305" ref="B156"/>
    <hyperlink r:id="rId306" ref="F156"/>
    <hyperlink r:id="rId307" ref="B157"/>
    <hyperlink r:id="rId308" ref="F157"/>
    <hyperlink r:id="rId309" ref="B158"/>
    <hyperlink r:id="rId310" ref="F158"/>
    <hyperlink r:id="rId311" ref="B159"/>
    <hyperlink r:id="rId312" ref="F159"/>
    <hyperlink r:id="rId313" ref="B160"/>
    <hyperlink r:id="rId314" ref="F160"/>
    <hyperlink r:id="rId315" ref="B161"/>
    <hyperlink r:id="rId316" ref="F161"/>
    <hyperlink r:id="rId317" ref="B162"/>
    <hyperlink r:id="rId318" ref="F162"/>
    <hyperlink r:id="rId319" ref="B163"/>
    <hyperlink r:id="rId320" ref="F163"/>
    <hyperlink r:id="rId321" ref="B164"/>
    <hyperlink r:id="rId322" ref="F164"/>
    <hyperlink r:id="rId323" ref="B165"/>
    <hyperlink r:id="rId324" ref="F165"/>
    <hyperlink r:id="rId325" ref="B166"/>
    <hyperlink r:id="rId326" ref="F166"/>
    <hyperlink r:id="rId327" ref="B167"/>
    <hyperlink r:id="rId328" ref="F167"/>
    <hyperlink r:id="rId329" ref="B168"/>
    <hyperlink r:id="rId330" ref="F168"/>
    <hyperlink r:id="rId331" ref="B169"/>
    <hyperlink r:id="rId332" ref="F169"/>
    <hyperlink r:id="rId333" ref="B170"/>
    <hyperlink r:id="rId334" ref="F170"/>
    <hyperlink r:id="rId335" ref="B171"/>
    <hyperlink r:id="rId336" ref="F171"/>
    <hyperlink r:id="rId337" ref="B172"/>
    <hyperlink r:id="rId338" ref="F172"/>
    <hyperlink r:id="rId339" ref="B173"/>
    <hyperlink r:id="rId340" ref="F173"/>
    <hyperlink r:id="rId341" ref="B174"/>
    <hyperlink r:id="rId342" ref="F174"/>
    <hyperlink r:id="rId343" ref="B175"/>
    <hyperlink r:id="rId344" ref="F175"/>
    <hyperlink r:id="rId345" ref="B176"/>
    <hyperlink r:id="rId346" ref="F176"/>
    <hyperlink r:id="rId347" ref="B177"/>
    <hyperlink r:id="rId348" ref="F177"/>
    <hyperlink r:id="rId349" ref="B178"/>
    <hyperlink r:id="rId350" ref="F178"/>
    <hyperlink r:id="rId351" ref="B179"/>
    <hyperlink r:id="rId352" ref="F179"/>
    <hyperlink r:id="rId353" ref="B180"/>
    <hyperlink r:id="rId354" ref="F180"/>
    <hyperlink r:id="rId355" ref="B181"/>
    <hyperlink r:id="rId356" ref="F181"/>
    <hyperlink r:id="rId357" ref="B182"/>
    <hyperlink r:id="rId358" ref="F182"/>
    <hyperlink r:id="rId359" ref="B183"/>
    <hyperlink r:id="rId360" ref="F183"/>
    <hyperlink r:id="rId361" ref="B184"/>
    <hyperlink r:id="rId362" ref="F184"/>
    <hyperlink r:id="rId363" ref="B185"/>
    <hyperlink r:id="rId364" ref="F185"/>
    <hyperlink r:id="rId365" ref="B186"/>
    <hyperlink r:id="rId366" ref="F186"/>
    <hyperlink r:id="rId367" ref="B187"/>
    <hyperlink r:id="rId368" ref="F187"/>
    <hyperlink r:id="rId369" ref="B188"/>
    <hyperlink r:id="rId370" ref="F188"/>
    <hyperlink r:id="rId371" ref="B189"/>
    <hyperlink r:id="rId372" ref="F189"/>
    <hyperlink r:id="rId373" ref="B190"/>
    <hyperlink r:id="rId374" ref="F190"/>
    <hyperlink r:id="rId375" ref="B191"/>
    <hyperlink r:id="rId376" ref="F191"/>
    <hyperlink r:id="rId377" ref="B192"/>
    <hyperlink r:id="rId378" ref="F192"/>
    <hyperlink r:id="rId379" ref="B193"/>
    <hyperlink r:id="rId380" ref="F193"/>
    <hyperlink r:id="rId381" ref="B194"/>
    <hyperlink r:id="rId382" ref="F194"/>
    <hyperlink r:id="rId383" ref="B195"/>
    <hyperlink r:id="rId384" ref="F195"/>
    <hyperlink r:id="rId385" ref="B196"/>
    <hyperlink r:id="rId386" ref="F196"/>
    <hyperlink r:id="rId387" ref="B197"/>
    <hyperlink r:id="rId388" ref="F197"/>
    <hyperlink r:id="rId389" ref="B198"/>
    <hyperlink r:id="rId390" ref="F198"/>
    <hyperlink r:id="rId391" ref="B200"/>
    <hyperlink r:id="rId392" ref="F200"/>
    <hyperlink r:id="rId393" ref="B202"/>
    <hyperlink r:id="rId394" ref="F202"/>
    <hyperlink r:id="rId395" ref="B203"/>
    <hyperlink r:id="rId396" ref="F203"/>
    <hyperlink r:id="rId397" ref="B204"/>
    <hyperlink r:id="rId398" ref="F204"/>
    <hyperlink r:id="rId399" ref="B205"/>
    <hyperlink r:id="rId400" ref="F205"/>
    <hyperlink r:id="rId401" ref="B206"/>
    <hyperlink r:id="rId402" ref="F206"/>
    <hyperlink r:id="rId403" ref="B207"/>
    <hyperlink r:id="rId404" ref="F207"/>
    <hyperlink r:id="rId405" ref="B208"/>
    <hyperlink r:id="rId406" ref="F208"/>
    <hyperlink r:id="rId407" ref="B209"/>
    <hyperlink r:id="rId408" ref="F209"/>
    <hyperlink r:id="rId409" ref="B210"/>
    <hyperlink r:id="rId410" ref="F210"/>
    <hyperlink r:id="rId411" ref="B211"/>
    <hyperlink r:id="rId412" ref="F211"/>
    <hyperlink r:id="rId413" ref="B212"/>
    <hyperlink r:id="rId414" ref="F212"/>
    <hyperlink r:id="rId415" ref="B213"/>
    <hyperlink r:id="rId416" ref="F213"/>
    <hyperlink r:id="rId417" ref="B214"/>
    <hyperlink r:id="rId418" ref="F214"/>
    <hyperlink r:id="rId419" ref="B215"/>
    <hyperlink r:id="rId420" ref="F215"/>
    <hyperlink r:id="rId421" ref="B216"/>
    <hyperlink r:id="rId422" ref="F216"/>
    <hyperlink r:id="rId423" ref="B217"/>
    <hyperlink r:id="rId424" ref="F217"/>
    <hyperlink r:id="rId425" ref="B218"/>
    <hyperlink r:id="rId426" ref="F218"/>
    <hyperlink r:id="rId427" ref="B219"/>
    <hyperlink r:id="rId428" ref="F219"/>
    <hyperlink r:id="rId429" ref="B220"/>
    <hyperlink r:id="rId430" ref="F220"/>
    <hyperlink r:id="rId431" ref="B221"/>
    <hyperlink r:id="rId432" ref="F221"/>
    <hyperlink r:id="rId433" ref="B222"/>
    <hyperlink r:id="rId434" ref="F222"/>
    <hyperlink r:id="rId435" ref="B223"/>
    <hyperlink r:id="rId436" ref="F223"/>
    <hyperlink r:id="rId437" ref="B224"/>
    <hyperlink r:id="rId438" ref="F224"/>
    <hyperlink r:id="rId439" ref="B225"/>
    <hyperlink r:id="rId440" ref="F225"/>
    <hyperlink r:id="rId441" ref="B226"/>
    <hyperlink r:id="rId442" ref="F226"/>
    <hyperlink r:id="rId443" ref="B227"/>
    <hyperlink r:id="rId444" ref="F227"/>
    <hyperlink r:id="rId445" ref="B228"/>
    <hyperlink r:id="rId446" ref="F228"/>
    <hyperlink r:id="rId447" ref="B229"/>
    <hyperlink r:id="rId448" ref="F229"/>
    <hyperlink r:id="rId449" ref="B230"/>
    <hyperlink r:id="rId450" ref="F230"/>
    <hyperlink r:id="rId451" ref="B231"/>
    <hyperlink r:id="rId452" ref="F231"/>
    <hyperlink r:id="rId453" ref="B232"/>
    <hyperlink r:id="rId454" ref="F232"/>
    <hyperlink r:id="rId455" ref="B233"/>
    <hyperlink r:id="rId456" ref="F233"/>
    <hyperlink r:id="rId457" ref="B234"/>
    <hyperlink r:id="rId458" ref="F234"/>
    <hyperlink r:id="rId459" ref="B235"/>
    <hyperlink r:id="rId460" ref="F235"/>
    <hyperlink r:id="rId461" ref="B236"/>
    <hyperlink r:id="rId462" ref="F236"/>
    <hyperlink r:id="rId463" ref="B237"/>
    <hyperlink r:id="rId464" ref="F237"/>
    <hyperlink r:id="rId465" ref="B238"/>
    <hyperlink r:id="rId466" ref="F238"/>
    <hyperlink r:id="rId467" ref="B239"/>
    <hyperlink r:id="rId468" ref="F239"/>
    <hyperlink r:id="rId469" ref="B240"/>
    <hyperlink r:id="rId470" ref="F240"/>
    <hyperlink r:id="rId471" ref="B241"/>
    <hyperlink r:id="rId472" ref="F241"/>
    <hyperlink r:id="rId473" ref="B242"/>
    <hyperlink r:id="rId474" ref="F242"/>
    <hyperlink r:id="rId475" ref="B243"/>
    <hyperlink r:id="rId476" ref="F243"/>
    <hyperlink r:id="rId477" ref="B244"/>
    <hyperlink r:id="rId478" ref="F244"/>
    <hyperlink r:id="rId479" ref="B245"/>
    <hyperlink r:id="rId480" ref="F245"/>
    <hyperlink r:id="rId481" ref="B246"/>
    <hyperlink r:id="rId482" ref="F246"/>
    <hyperlink r:id="rId483" ref="B247"/>
    <hyperlink r:id="rId484" ref="F247"/>
    <hyperlink r:id="rId485" ref="B248"/>
    <hyperlink r:id="rId486" ref="F248"/>
    <hyperlink r:id="rId487" ref="B249"/>
    <hyperlink r:id="rId488" ref="F249"/>
    <hyperlink r:id="rId489" ref="B250"/>
    <hyperlink r:id="rId490" ref="F250"/>
    <hyperlink r:id="rId491" ref="B252"/>
    <hyperlink r:id="rId492" ref="F252"/>
    <hyperlink r:id="rId493" ref="B253"/>
    <hyperlink r:id="rId494" ref="F253"/>
    <hyperlink r:id="rId495" ref="B254"/>
    <hyperlink r:id="rId496" ref="F254"/>
    <hyperlink r:id="rId497" ref="B255"/>
    <hyperlink r:id="rId498" ref="F255"/>
    <hyperlink r:id="rId499" ref="B256"/>
    <hyperlink r:id="rId500" ref="F256"/>
    <hyperlink r:id="rId501" ref="B257"/>
    <hyperlink r:id="rId502" ref="F257"/>
    <hyperlink r:id="rId503" ref="B258"/>
    <hyperlink r:id="rId504" ref="F258"/>
    <hyperlink r:id="rId505" ref="B259"/>
    <hyperlink r:id="rId506" ref="F259"/>
    <hyperlink r:id="rId507" ref="B260"/>
    <hyperlink r:id="rId508" ref="F260"/>
    <hyperlink r:id="rId509" ref="B261"/>
    <hyperlink r:id="rId510" ref="F261"/>
    <hyperlink r:id="rId511" ref="B262"/>
    <hyperlink r:id="rId512" ref="F262"/>
    <hyperlink r:id="rId513" ref="B263"/>
    <hyperlink r:id="rId514" ref="F263"/>
    <hyperlink r:id="rId515" ref="B264"/>
    <hyperlink r:id="rId516" ref="F264"/>
    <hyperlink r:id="rId517" ref="B265"/>
    <hyperlink r:id="rId518" ref="F265"/>
    <hyperlink r:id="rId519" ref="B266"/>
    <hyperlink r:id="rId520" ref="F266"/>
    <hyperlink r:id="rId521" ref="B267"/>
    <hyperlink r:id="rId522" ref="F267"/>
    <hyperlink r:id="rId523" ref="B268"/>
    <hyperlink r:id="rId524" ref="F268"/>
    <hyperlink r:id="rId525" ref="B269"/>
    <hyperlink r:id="rId526" ref="F269"/>
    <hyperlink r:id="rId527" ref="B270"/>
    <hyperlink r:id="rId528" ref="F270"/>
    <hyperlink r:id="rId529" ref="B271"/>
    <hyperlink r:id="rId530" ref="F271"/>
    <hyperlink r:id="rId531" ref="B272"/>
    <hyperlink r:id="rId532" ref="F272"/>
    <hyperlink r:id="rId533" ref="B273"/>
    <hyperlink r:id="rId534" ref="F273"/>
    <hyperlink r:id="rId535" ref="B274"/>
    <hyperlink r:id="rId536" ref="F274"/>
    <hyperlink r:id="rId537" ref="B275"/>
    <hyperlink r:id="rId538" ref="F275"/>
    <hyperlink r:id="rId539" ref="B276"/>
    <hyperlink r:id="rId540" ref="F276"/>
    <hyperlink r:id="rId541" ref="B277"/>
    <hyperlink r:id="rId542" ref="F277"/>
    <hyperlink r:id="rId543" ref="B278"/>
    <hyperlink r:id="rId544" ref="F278"/>
    <hyperlink r:id="rId545" ref="B279"/>
    <hyperlink r:id="rId546" ref="F279"/>
    <hyperlink r:id="rId547" ref="B280"/>
    <hyperlink r:id="rId548" ref="F280"/>
    <hyperlink r:id="rId549" ref="B281"/>
    <hyperlink r:id="rId550" ref="F281"/>
    <hyperlink r:id="rId551" ref="B282"/>
    <hyperlink r:id="rId552" ref="F282"/>
    <hyperlink r:id="rId553" ref="B283"/>
    <hyperlink r:id="rId554" ref="F283"/>
    <hyperlink r:id="rId555" ref="B284"/>
    <hyperlink r:id="rId556" ref="F284"/>
    <hyperlink r:id="rId557" ref="B285"/>
    <hyperlink r:id="rId558" ref="F285"/>
    <hyperlink r:id="rId559" ref="B286"/>
    <hyperlink r:id="rId560" ref="F286"/>
    <hyperlink r:id="rId561" ref="B287"/>
    <hyperlink r:id="rId562" ref="F287"/>
    <hyperlink r:id="rId563" ref="B288"/>
    <hyperlink r:id="rId564" ref="F288"/>
    <hyperlink r:id="rId565" ref="B289"/>
    <hyperlink r:id="rId566" ref="F289"/>
    <hyperlink r:id="rId567" ref="B290"/>
    <hyperlink r:id="rId568" ref="F290"/>
    <hyperlink r:id="rId569" ref="B291"/>
    <hyperlink r:id="rId570" ref="F291"/>
    <hyperlink r:id="rId571" ref="B292"/>
    <hyperlink r:id="rId572" ref="F292"/>
    <hyperlink r:id="rId573" ref="B293"/>
    <hyperlink r:id="rId574" ref="F293"/>
    <hyperlink r:id="rId575" ref="B294"/>
    <hyperlink r:id="rId576" ref="F294"/>
    <hyperlink r:id="rId577" ref="B295"/>
    <hyperlink r:id="rId578" ref="F295"/>
    <hyperlink r:id="rId579" ref="B296"/>
    <hyperlink r:id="rId580" ref="F296"/>
    <hyperlink r:id="rId581" ref="B297"/>
    <hyperlink r:id="rId582" ref="F297"/>
    <hyperlink r:id="rId583" ref="B298"/>
    <hyperlink r:id="rId584" ref="F298"/>
    <hyperlink r:id="rId585" ref="B299"/>
    <hyperlink r:id="rId586" ref="F299"/>
    <hyperlink r:id="rId587" ref="B300"/>
    <hyperlink r:id="rId588" ref="F300"/>
    <hyperlink r:id="rId589" ref="B301"/>
    <hyperlink r:id="rId590" ref="F301"/>
    <hyperlink r:id="rId591" ref="B302"/>
    <hyperlink r:id="rId592" ref="F302"/>
    <hyperlink r:id="rId593" ref="B303"/>
    <hyperlink r:id="rId594" ref="F303"/>
    <hyperlink r:id="rId595" ref="B304"/>
    <hyperlink r:id="rId596" ref="F304"/>
    <hyperlink r:id="rId597" ref="B305"/>
    <hyperlink r:id="rId598" ref="F305"/>
    <hyperlink r:id="rId599" ref="B306"/>
    <hyperlink r:id="rId600" ref="F306"/>
    <hyperlink r:id="rId601" ref="B307"/>
    <hyperlink r:id="rId602" ref="F307"/>
    <hyperlink r:id="rId603" ref="B308"/>
    <hyperlink r:id="rId604" ref="F308"/>
    <hyperlink r:id="rId605" ref="B309"/>
    <hyperlink r:id="rId606" ref="F309"/>
    <hyperlink r:id="rId607" ref="B310"/>
    <hyperlink r:id="rId608" ref="F310"/>
    <hyperlink r:id="rId609" ref="B311"/>
    <hyperlink r:id="rId610" ref="F311"/>
    <hyperlink r:id="rId611" ref="B312"/>
    <hyperlink r:id="rId612" ref="F312"/>
    <hyperlink r:id="rId613" ref="B313"/>
    <hyperlink r:id="rId614" ref="F313"/>
    <hyperlink r:id="rId615" ref="B314"/>
    <hyperlink r:id="rId616" ref="F314"/>
    <hyperlink r:id="rId617" ref="B315"/>
    <hyperlink r:id="rId618" ref="F315"/>
    <hyperlink r:id="rId619" ref="B316"/>
    <hyperlink r:id="rId620" ref="F316"/>
    <hyperlink r:id="rId621" ref="B317"/>
    <hyperlink r:id="rId622" ref="F317"/>
    <hyperlink r:id="rId623" ref="B318"/>
    <hyperlink r:id="rId624" ref="F318"/>
    <hyperlink r:id="rId625" ref="B319"/>
    <hyperlink r:id="rId626" ref="F319"/>
    <hyperlink r:id="rId627" ref="B320"/>
    <hyperlink r:id="rId628" ref="F320"/>
    <hyperlink r:id="rId629" ref="B321"/>
    <hyperlink r:id="rId630" ref="F321"/>
    <hyperlink r:id="rId631" ref="B322"/>
    <hyperlink r:id="rId632" ref="F322"/>
    <hyperlink r:id="rId633" ref="B323"/>
    <hyperlink r:id="rId634" ref="F323"/>
    <hyperlink r:id="rId635" ref="B324"/>
    <hyperlink r:id="rId636" ref="F324"/>
    <hyperlink r:id="rId637" ref="B325"/>
    <hyperlink r:id="rId638" ref="F325"/>
    <hyperlink r:id="rId639" ref="B326"/>
    <hyperlink r:id="rId640" ref="F326"/>
    <hyperlink r:id="rId641" ref="B327"/>
    <hyperlink r:id="rId642" ref="F327"/>
    <hyperlink r:id="rId643" ref="B328"/>
    <hyperlink r:id="rId644" ref="F328"/>
    <hyperlink r:id="rId645" ref="B329"/>
    <hyperlink r:id="rId646" ref="F329"/>
    <hyperlink r:id="rId647" ref="B330"/>
    <hyperlink r:id="rId648" ref="F330"/>
    <hyperlink r:id="rId649" ref="B331"/>
    <hyperlink r:id="rId650" ref="F331"/>
    <hyperlink r:id="rId651" ref="B332"/>
    <hyperlink r:id="rId652" ref="F332"/>
    <hyperlink r:id="rId653" ref="B333"/>
    <hyperlink r:id="rId654" ref="F333"/>
    <hyperlink r:id="rId655" ref="B334"/>
    <hyperlink r:id="rId656" ref="F334"/>
    <hyperlink r:id="rId657" ref="B335"/>
    <hyperlink r:id="rId658" ref="F335"/>
    <hyperlink r:id="rId659" ref="B336"/>
    <hyperlink r:id="rId660" ref="F336"/>
    <hyperlink r:id="rId661" ref="B337"/>
    <hyperlink r:id="rId662" ref="F337"/>
    <hyperlink r:id="rId663" ref="B338"/>
    <hyperlink r:id="rId664" ref="F338"/>
    <hyperlink r:id="rId665" ref="B339"/>
    <hyperlink r:id="rId666" ref="F339"/>
    <hyperlink r:id="rId667" ref="B340"/>
    <hyperlink r:id="rId668" ref="F340"/>
    <hyperlink r:id="rId669" ref="B341"/>
    <hyperlink r:id="rId670" ref="F341"/>
    <hyperlink r:id="rId671" ref="B342"/>
    <hyperlink r:id="rId672" ref="F342"/>
    <hyperlink r:id="rId673" ref="B343"/>
    <hyperlink r:id="rId674" ref="F343"/>
    <hyperlink r:id="rId675" ref="B344"/>
    <hyperlink r:id="rId676" ref="F344"/>
    <hyperlink r:id="rId677" ref="B345"/>
    <hyperlink r:id="rId678" ref="F345"/>
    <hyperlink r:id="rId679" ref="B346"/>
    <hyperlink r:id="rId680" ref="F346"/>
    <hyperlink r:id="rId681" ref="B347"/>
    <hyperlink r:id="rId682" ref="F347"/>
    <hyperlink r:id="rId683" ref="B348"/>
    <hyperlink r:id="rId684" ref="F348"/>
    <hyperlink r:id="rId685" ref="B349"/>
    <hyperlink r:id="rId686" ref="F349"/>
    <hyperlink r:id="rId687" ref="B350"/>
    <hyperlink r:id="rId688" ref="F350"/>
    <hyperlink r:id="rId689" ref="B351"/>
    <hyperlink r:id="rId690" ref="F351"/>
    <hyperlink r:id="rId691" ref="B352"/>
    <hyperlink r:id="rId692" ref="F352"/>
    <hyperlink r:id="rId693" ref="B353"/>
    <hyperlink r:id="rId694" ref="F353"/>
    <hyperlink r:id="rId695" ref="B354"/>
    <hyperlink r:id="rId696" ref="F354"/>
    <hyperlink r:id="rId697" ref="B355"/>
    <hyperlink r:id="rId698" ref="F355"/>
    <hyperlink r:id="rId699" ref="B356"/>
    <hyperlink r:id="rId700" ref="F356"/>
    <hyperlink r:id="rId701" ref="B357"/>
    <hyperlink r:id="rId702" ref="F357"/>
    <hyperlink r:id="rId703" ref="B358"/>
    <hyperlink r:id="rId704" ref="F358"/>
    <hyperlink r:id="rId705" ref="B359"/>
    <hyperlink r:id="rId706" ref="F359"/>
    <hyperlink r:id="rId707" ref="B360"/>
    <hyperlink r:id="rId708" ref="F360"/>
    <hyperlink r:id="rId709" ref="B361"/>
    <hyperlink r:id="rId710" ref="F361"/>
    <hyperlink r:id="rId711" ref="B362"/>
    <hyperlink r:id="rId712" ref="F362"/>
    <hyperlink r:id="rId713" ref="B363"/>
    <hyperlink r:id="rId714" ref="F363"/>
    <hyperlink r:id="rId715" ref="B364"/>
    <hyperlink r:id="rId716" ref="F364"/>
    <hyperlink r:id="rId717" ref="B365"/>
    <hyperlink r:id="rId718" ref="F365"/>
    <hyperlink r:id="rId719" ref="B366"/>
    <hyperlink r:id="rId720" ref="F366"/>
    <hyperlink r:id="rId721" ref="B367"/>
    <hyperlink r:id="rId722" ref="F367"/>
    <hyperlink r:id="rId723" ref="B368"/>
    <hyperlink r:id="rId724" ref="F368"/>
    <hyperlink r:id="rId725" ref="B369"/>
    <hyperlink r:id="rId726" ref="F369"/>
    <hyperlink r:id="rId727" ref="B370"/>
    <hyperlink r:id="rId728" ref="F370"/>
    <hyperlink r:id="rId729" ref="B371"/>
    <hyperlink r:id="rId730" ref="F371"/>
    <hyperlink r:id="rId731" ref="B372"/>
    <hyperlink r:id="rId732" ref="F372"/>
    <hyperlink r:id="rId733" ref="B373"/>
    <hyperlink r:id="rId734" ref="F373"/>
    <hyperlink r:id="rId735" ref="B374"/>
    <hyperlink r:id="rId736" ref="F374"/>
    <hyperlink r:id="rId737" ref="B375"/>
    <hyperlink r:id="rId738" ref="F375"/>
    <hyperlink r:id="rId739" ref="B376"/>
    <hyperlink r:id="rId740" ref="F376"/>
    <hyperlink r:id="rId741" ref="B377"/>
    <hyperlink r:id="rId742" ref="F377"/>
    <hyperlink r:id="rId743" ref="B378"/>
    <hyperlink r:id="rId744" ref="F378"/>
    <hyperlink r:id="rId745" ref="B379"/>
    <hyperlink r:id="rId746" ref="F379"/>
    <hyperlink r:id="rId747" ref="B380"/>
    <hyperlink r:id="rId748" ref="F380"/>
    <hyperlink r:id="rId749" ref="B381"/>
    <hyperlink r:id="rId750" ref="F381"/>
    <hyperlink r:id="rId751" ref="B382"/>
    <hyperlink r:id="rId752" ref="F382"/>
    <hyperlink r:id="rId753" ref="B383"/>
    <hyperlink r:id="rId754" ref="F383"/>
    <hyperlink r:id="rId755" ref="B384"/>
    <hyperlink r:id="rId756" ref="F384"/>
    <hyperlink r:id="rId757" ref="B385"/>
    <hyperlink r:id="rId758" ref="F385"/>
    <hyperlink r:id="rId759" ref="B386"/>
    <hyperlink r:id="rId760" ref="F386"/>
    <hyperlink r:id="rId761" ref="B387"/>
    <hyperlink r:id="rId762" ref="F387"/>
    <hyperlink r:id="rId763" ref="B388"/>
    <hyperlink r:id="rId764" ref="F388"/>
    <hyperlink r:id="rId765" ref="B389"/>
    <hyperlink r:id="rId766" ref="F389"/>
    <hyperlink r:id="rId767" ref="B390"/>
    <hyperlink r:id="rId768" ref="F390"/>
    <hyperlink r:id="rId769" ref="B391"/>
    <hyperlink r:id="rId770" ref="F391"/>
    <hyperlink r:id="rId771" ref="B392"/>
    <hyperlink r:id="rId772" ref="F392"/>
    <hyperlink r:id="rId773" ref="B393"/>
    <hyperlink r:id="rId774" ref="F393"/>
    <hyperlink r:id="rId775" ref="B394"/>
    <hyperlink r:id="rId776" ref="F394"/>
    <hyperlink r:id="rId777" ref="B395"/>
    <hyperlink r:id="rId778" ref="F395"/>
    <hyperlink r:id="rId779" ref="B396"/>
    <hyperlink r:id="rId780" ref="F396"/>
    <hyperlink r:id="rId781" ref="B397"/>
    <hyperlink r:id="rId782" ref="F397"/>
    <hyperlink r:id="rId783" ref="B398"/>
    <hyperlink r:id="rId784" ref="F398"/>
    <hyperlink r:id="rId785" ref="B399"/>
    <hyperlink r:id="rId786" ref="F399"/>
    <hyperlink r:id="rId787" ref="B400"/>
    <hyperlink r:id="rId788" ref="F400"/>
    <hyperlink r:id="rId789" ref="B401"/>
    <hyperlink r:id="rId790" ref="F401"/>
    <hyperlink r:id="rId791" ref="B402"/>
    <hyperlink r:id="rId792" ref="F402"/>
    <hyperlink r:id="rId793" ref="B403"/>
    <hyperlink r:id="rId794" ref="F403"/>
    <hyperlink r:id="rId795" ref="B404"/>
    <hyperlink r:id="rId796" ref="F404"/>
    <hyperlink r:id="rId797" ref="B405"/>
    <hyperlink r:id="rId798" ref="F405"/>
    <hyperlink r:id="rId799" ref="B406"/>
    <hyperlink r:id="rId800" ref="F406"/>
    <hyperlink r:id="rId801" ref="B407"/>
    <hyperlink r:id="rId802" ref="F407"/>
    <hyperlink r:id="rId803" ref="B408"/>
    <hyperlink r:id="rId804" ref="F408"/>
    <hyperlink r:id="rId805" ref="B409"/>
    <hyperlink r:id="rId806" ref="F409"/>
    <hyperlink r:id="rId807" ref="B410"/>
    <hyperlink r:id="rId808" ref="F410"/>
    <hyperlink r:id="rId809" ref="B411"/>
    <hyperlink r:id="rId810" ref="F411"/>
    <hyperlink r:id="rId811" ref="B412"/>
    <hyperlink r:id="rId812" ref="F412"/>
    <hyperlink r:id="rId813" ref="B413"/>
    <hyperlink r:id="rId814" ref="F413"/>
    <hyperlink r:id="rId815" ref="B414"/>
    <hyperlink r:id="rId816" ref="F414"/>
    <hyperlink r:id="rId817" ref="B415"/>
    <hyperlink r:id="rId818" ref="F415"/>
    <hyperlink r:id="rId819" ref="B416"/>
    <hyperlink r:id="rId820" ref="F416"/>
    <hyperlink r:id="rId821" ref="B417"/>
    <hyperlink r:id="rId822" ref="F417"/>
    <hyperlink r:id="rId823" ref="B418"/>
    <hyperlink r:id="rId824" ref="F418"/>
    <hyperlink r:id="rId825" ref="B419"/>
    <hyperlink r:id="rId826" ref="F419"/>
    <hyperlink r:id="rId827" ref="B420"/>
    <hyperlink r:id="rId828" ref="F420"/>
    <hyperlink r:id="rId829" ref="B421"/>
    <hyperlink r:id="rId830" ref="F421"/>
    <hyperlink r:id="rId831" ref="B422"/>
    <hyperlink r:id="rId832" ref="F422"/>
    <hyperlink r:id="rId833" ref="B423"/>
    <hyperlink r:id="rId834" ref="F423"/>
    <hyperlink r:id="rId835" ref="B424"/>
    <hyperlink r:id="rId836" ref="F424"/>
    <hyperlink r:id="rId837" ref="B425"/>
    <hyperlink r:id="rId838" ref="F425"/>
    <hyperlink r:id="rId839" ref="B426"/>
    <hyperlink r:id="rId840" ref="F426"/>
    <hyperlink r:id="rId841" ref="B427"/>
    <hyperlink r:id="rId842" ref="F427"/>
    <hyperlink r:id="rId843" ref="B428"/>
    <hyperlink r:id="rId844" ref="F428"/>
    <hyperlink r:id="rId845" ref="B429"/>
    <hyperlink r:id="rId846" ref="F429"/>
    <hyperlink r:id="rId847" ref="B430"/>
    <hyperlink r:id="rId848" ref="F430"/>
    <hyperlink r:id="rId849" ref="B431"/>
    <hyperlink r:id="rId850" ref="F431"/>
    <hyperlink r:id="rId851" ref="B432"/>
    <hyperlink r:id="rId852" ref="F432"/>
    <hyperlink r:id="rId853" ref="B433"/>
    <hyperlink r:id="rId854" ref="F433"/>
    <hyperlink r:id="rId855" ref="B434"/>
    <hyperlink r:id="rId856" ref="F434"/>
    <hyperlink r:id="rId857" ref="B435"/>
    <hyperlink r:id="rId858" ref="B436"/>
    <hyperlink r:id="rId859" ref="F436"/>
    <hyperlink r:id="rId860" ref="B437"/>
    <hyperlink r:id="rId861" ref="F437"/>
    <hyperlink r:id="rId862" ref="B438"/>
    <hyperlink r:id="rId863" ref="F438"/>
    <hyperlink r:id="rId864" ref="B439"/>
    <hyperlink r:id="rId865" ref="F439"/>
    <hyperlink r:id="rId866" ref="B440"/>
    <hyperlink r:id="rId867" ref="F440"/>
    <hyperlink r:id="rId868" ref="B441"/>
    <hyperlink r:id="rId869" ref="F441"/>
    <hyperlink r:id="rId870" ref="B442"/>
    <hyperlink r:id="rId871" ref="F442"/>
    <hyperlink r:id="rId872" ref="B443"/>
    <hyperlink r:id="rId873" ref="F443"/>
    <hyperlink r:id="rId874" ref="B444"/>
    <hyperlink r:id="rId875" ref="F444"/>
    <hyperlink r:id="rId876" ref="B445"/>
    <hyperlink r:id="rId877" ref="F445"/>
    <hyperlink r:id="rId878" ref="B446"/>
    <hyperlink r:id="rId879" ref="F446"/>
    <hyperlink r:id="rId880" ref="B447"/>
    <hyperlink r:id="rId881" ref="F447"/>
    <hyperlink r:id="rId882" ref="B448"/>
    <hyperlink r:id="rId883" ref="F448"/>
    <hyperlink r:id="rId884" ref="B449"/>
    <hyperlink r:id="rId885" ref="F449"/>
    <hyperlink r:id="rId886" ref="B450"/>
    <hyperlink r:id="rId887" ref="F450"/>
    <hyperlink r:id="rId888" ref="B451"/>
    <hyperlink r:id="rId889" ref="F451"/>
    <hyperlink r:id="rId890" ref="B452"/>
    <hyperlink r:id="rId891" ref="F452"/>
    <hyperlink r:id="rId892" ref="B453"/>
    <hyperlink r:id="rId893" ref="F453"/>
    <hyperlink r:id="rId894" ref="B454"/>
    <hyperlink r:id="rId895" ref="F454"/>
    <hyperlink r:id="rId896" ref="B455"/>
    <hyperlink r:id="rId897" ref="F455"/>
    <hyperlink r:id="rId898" ref="B456"/>
    <hyperlink r:id="rId899" ref="F456"/>
    <hyperlink r:id="rId900" ref="B457"/>
    <hyperlink r:id="rId901" ref="F457"/>
    <hyperlink r:id="rId902" ref="B458"/>
    <hyperlink r:id="rId903" ref="F458"/>
    <hyperlink r:id="rId904" ref="B459"/>
    <hyperlink r:id="rId905" ref="F459"/>
    <hyperlink r:id="rId906" ref="B460"/>
    <hyperlink r:id="rId907" ref="F460"/>
    <hyperlink r:id="rId908" ref="B461"/>
    <hyperlink r:id="rId909" ref="F461"/>
    <hyperlink r:id="rId910" ref="B462"/>
    <hyperlink r:id="rId911" ref="F462"/>
    <hyperlink r:id="rId912" ref="B463"/>
    <hyperlink r:id="rId913" ref="F463"/>
    <hyperlink r:id="rId914" ref="B464"/>
    <hyperlink r:id="rId915" ref="F464"/>
    <hyperlink r:id="rId916" ref="B465"/>
    <hyperlink r:id="rId917" ref="F465"/>
    <hyperlink r:id="rId918" ref="B466"/>
    <hyperlink r:id="rId919" ref="F466"/>
    <hyperlink r:id="rId920" ref="B467"/>
    <hyperlink r:id="rId921" ref="F467"/>
    <hyperlink r:id="rId922" ref="B468"/>
    <hyperlink r:id="rId923" ref="F468"/>
    <hyperlink r:id="rId924" ref="B469"/>
    <hyperlink r:id="rId925" ref="F469"/>
    <hyperlink r:id="rId926" ref="B470"/>
    <hyperlink r:id="rId927" ref="F470"/>
    <hyperlink r:id="rId928" ref="B471"/>
    <hyperlink r:id="rId929" ref="F471"/>
    <hyperlink r:id="rId930" ref="B472"/>
    <hyperlink r:id="rId931" ref="F472"/>
    <hyperlink r:id="rId932" ref="B473"/>
    <hyperlink r:id="rId933" ref="F473"/>
    <hyperlink r:id="rId934" ref="B474"/>
    <hyperlink r:id="rId935" ref="F474"/>
    <hyperlink r:id="rId936" ref="B475"/>
    <hyperlink r:id="rId937" ref="F475"/>
    <hyperlink r:id="rId938" ref="B476"/>
    <hyperlink r:id="rId939" ref="F476"/>
    <hyperlink r:id="rId940" ref="B477"/>
    <hyperlink r:id="rId941" ref="F477"/>
    <hyperlink r:id="rId942" ref="B478"/>
    <hyperlink r:id="rId943" ref="F478"/>
    <hyperlink r:id="rId944" ref="B479"/>
    <hyperlink r:id="rId945" ref="F479"/>
    <hyperlink r:id="rId946" ref="B480"/>
    <hyperlink r:id="rId947" ref="F480"/>
    <hyperlink r:id="rId948" ref="B481"/>
    <hyperlink r:id="rId949" ref="F481"/>
    <hyperlink r:id="rId950" ref="B482"/>
    <hyperlink r:id="rId951" ref="F482"/>
    <hyperlink r:id="rId952" ref="B483"/>
    <hyperlink r:id="rId953" ref="F483"/>
    <hyperlink r:id="rId954" ref="B484"/>
    <hyperlink r:id="rId955" ref="F484"/>
    <hyperlink r:id="rId956" ref="B485"/>
    <hyperlink r:id="rId957" ref="F485"/>
    <hyperlink r:id="rId958" ref="B486"/>
    <hyperlink r:id="rId959" ref="F486"/>
    <hyperlink r:id="rId960" ref="B487"/>
    <hyperlink r:id="rId961" ref="F487"/>
    <hyperlink r:id="rId962" ref="B488"/>
    <hyperlink r:id="rId963" ref="F488"/>
    <hyperlink r:id="rId964" ref="B489"/>
    <hyperlink r:id="rId965" ref="F489"/>
    <hyperlink r:id="rId966" ref="B490"/>
    <hyperlink r:id="rId967" ref="F490"/>
    <hyperlink r:id="rId968" ref="B491"/>
    <hyperlink r:id="rId969" ref="F491"/>
    <hyperlink r:id="rId970" ref="B492"/>
    <hyperlink r:id="rId971" ref="F492"/>
    <hyperlink r:id="rId972" ref="B493"/>
    <hyperlink r:id="rId973" ref="F493"/>
    <hyperlink r:id="rId974" ref="B494"/>
    <hyperlink r:id="rId975" ref="F494"/>
    <hyperlink r:id="rId976" ref="B495"/>
    <hyperlink r:id="rId977" ref="F495"/>
    <hyperlink r:id="rId978" ref="B496"/>
    <hyperlink r:id="rId979" ref="F496"/>
    <hyperlink r:id="rId980" ref="B497"/>
    <hyperlink r:id="rId981" ref="F497"/>
    <hyperlink r:id="rId982" ref="B498"/>
    <hyperlink r:id="rId983" ref="F498"/>
    <hyperlink r:id="rId984" ref="B499"/>
    <hyperlink r:id="rId985" ref="F499"/>
    <hyperlink r:id="rId986" ref="B500"/>
    <hyperlink r:id="rId987" ref="F500"/>
    <hyperlink r:id="rId988" ref="B501"/>
    <hyperlink r:id="rId989" ref="F501"/>
    <hyperlink r:id="rId990" ref="B502"/>
    <hyperlink r:id="rId991" ref="F502"/>
    <hyperlink r:id="rId992" ref="B503"/>
    <hyperlink r:id="rId993" ref="F503"/>
    <hyperlink r:id="rId994" ref="B504"/>
    <hyperlink r:id="rId995" ref="F504"/>
    <hyperlink r:id="rId996" ref="B505"/>
    <hyperlink r:id="rId997" ref="F505"/>
    <hyperlink r:id="rId998" ref="B506"/>
    <hyperlink r:id="rId999" ref="F506"/>
    <hyperlink r:id="rId1000" ref="B507"/>
    <hyperlink r:id="rId1001" ref="F507"/>
    <hyperlink r:id="rId1002" ref="B508"/>
    <hyperlink r:id="rId1003" ref="F508"/>
    <hyperlink r:id="rId1004" ref="B509"/>
    <hyperlink r:id="rId1005" ref="F509"/>
    <hyperlink r:id="rId1006" ref="B510"/>
    <hyperlink r:id="rId1007" ref="F510"/>
    <hyperlink r:id="rId1008" ref="B511"/>
    <hyperlink r:id="rId1009" ref="F511"/>
    <hyperlink r:id="rId1010" ref="B512"/>
    <hyperlink r:id="rId1011" ref="F512"/>
    <hyperlink r:id="rId1012" ref="B513"/>
    <hyperlink r:id="rId1013" ref="F513"/>
    <hyperlink r:id="rId1014" ref="B514"/>
    <hyperlink r:id="rId1015" ref="F514"/>
    <hyperlink r:id="rId1016" ref="B515"/>
    <hyperlink r:id="rId1017" ref="F515"/>
    <hyperlink r:id="rId1018" ref="B516"/>
    <hyperlink r:id="rId1019" ref="F516"/>
    <hyperlink r:id="rId1020" ref="B517"/>
    <hyperlink r:id="rId1021" ref="F517"/>
    <hyperlink r:id="rId1022" ref="B518"/>
    <hyperlink r:id="rId1023" ref="F518"/>
    <hyperlink r:id="rId1024" ref="B519"/>
    <hyperlink r:id="rId1025" ref="F519"/>
    <hyperlink r:id="rId1026" ref="B520"/>
    <hyperlink r:id="rId1027" ref="F520"/>
    <hyperlink r:id="rId1028" ref="B521"/>
    <hyperlink r:id="rId1029" ref="F521"/>
    <hyperlink r:id="rId1030" ref="B522"/>
    <hyperlink r:id="rId1031" ref="F522"/>
    <hyperlink r:id="rId1032" ref="B523"/>
    <hyperlink r:id="rId1033" ref="F523"/>
    <hyperlink r:id="rId1034" ref="B524"/>
    <hyperlink r:id="rId1035" ref="F524"/>
    <hyperlink r:id="rId1036" ref="B525"/>
    <hyperlink r:id="rId1037" ref="F525"/>
    <hyperlink r:id="rId1038" ref="B526"/>
    <hyperlink r:id="rId1039" ref="F526"/>
    <hyperlink r:id="rId1040" ref="B527"/>
    <hyperlink r:id="rId1041" ref="F527"/>
    <hyperlink r:id="rId1042" ref="B528"/>
    <hyperlink r:id="rId1043" ref="F528"/>
    <hyperlink r:id="rId1044" ref="B529"/>
    <hyperlink r:id="rId1045" ref="F529"/>
    <hyperlink r:id="rId1046" ref="B530"/>
    <hyperlink r:id="rId1047" ref="F530"/>
    <hyperlink r:id="rId1048" ref="B531"/>
    <hyperlink r:id="rId1049" ref="F531"/>
    <hyperlink r:id="rId1050" ref="B532"/>
    <hyperlink r:id="rId1051" ref="F532"/>
    <hyperlink r:id="rId1052" ref="B533"/>
    <hyperlink r:id="rId1053" ref="F533"/>
    <hyperlink r:id="rId1054" ref="B534"/>
    <hyperlink r:id="rId1055" ref="F534"/>
    <hyperlink r:id="rId1056" ref="B535"/>
    <hyperlink r:id="rId1057" ref="F535"/>
    <hyperlink r:id="rId1058" ref="B536"/>
    <hyperlink r:id="rId1059" ref="F536"/>
    <hyperlink r:id="rId1060" ref="B537"/>
    <hyperlink r:id="rId1061" ref="F537"/>
    <hyperlink r:id="rId1062" ref="B538"/>
    <hyperlink r:id="rId1063" ref="F538"/>
    <hyperlink r:id="rId1064" ref="B539"/>
    <hyperlink r:id="rId1065" ref="F539"/>
    <hyperlink r:id="rId1066" ref="B540"/>
    <hyperlink r:id="rId1067" ref="F540"/>
    <hyperlink r:id="rId1068" ref="B541"/>
    <hyperlink r:id="rId1069" ref="F541"/>
    <hyperlink r:id="rId1070" ref="B542"/>
    <hyperlink r:id="rId1071" ref="F542"/>
    <hyperlink r:id="rId1072" ref="B543"/>
    <hyperlink r:id="rId1073" ref="F543"/>
    <hyperlink r:id="rId1074" ref="B544"/>
    <hyperlink r:id="rId1075" ref="F544"/>
    <hyperlink r:id="rId1076" ref="B545"/>
    <hyperlink r:id="rId1077" ref="F545"/>
    <hyperlink r:id="rId1078" ref="B546"/>
    <hyperlink r:id="rId1079" ref="F546"/>
    <hyperlink r:id="rId1080" ref="B547"/>
    <hyperlink r:id="rId1081" ref="F547"/>
    <hyperlink r:id="rId1082" ref="B548"/>
    <hyperlink r:id="rId1083" ref="F548"/>
    <hyperlink r:id="rId1084" ref="B549"/>
    <hyperlink r:id="rId1085" ref="F549"/>
    <hyperlink r:id="rId1086" ref="B550"/>
    <hyperlink r:id="rId1087" ref="F550"/>
    <hyperlink r:id="rId1088" ref="B551"/>
    <hyperlink r:id="rId1089" ref="F551"/>
    <hyperlink r:id="rId1090" ref="B552"/>
    <hyperlink r:id="rId1091" ref="F552"/>
    <hyperlink r:id="rId1092" ref="B553"/>
    <hyperlink r:id="rId1093" ref="F553"/>
    <hyperlink r:id="rId1094" ref="B554"/>
    <hyperlink r:id="rId1095" ref="F554"/>
    <hyperlink r:id="rId1096" ref="B555"/>
    <hyperlink r:id="rId1097" ref="F555"/>
    <hyperlink r:id="rId1098" ref="B556"/>
    <hyperlink r:id="rId1099" ref="F556"/>
    <hyperlink r:id="rId1100" ref="B557"/>
    <hyperlink r:id="rId1101" ref="F557"/>
    <hyperlink r:id="rId1102" ref="B558"/>
    <hyperlink r:id="rId1103" ref="F558"/>
    <hyperlink r:id="rId1104" ref="B559"/>
    <hyperlink r:id="rId1105" ref="F559"/>
    <hyperlink r:id="rId1106" ref="B560"/>
    <hyperlink r:id="rId1107" ref="F560"/>
    <hyperlink r:id="rId1108" ref="B561"/>
    <hyperlink r:id="rId1109" ref="F561"/>
    <hyperlink r:id="rId1110" ref="B562"/>
    <hyperlink r:id="rId1111" ref="F562"/>
    <hyperlink r:id="rId1112" ref="B563"/>
    <hyperlink r:id="rId1113" ref="F563"/>
    <hyperlink r:id="rId1114" ref="B564"/>
    <hyperlink r:id="rId1115" ref="F564"/>
    <hyperlink r:id="rId1116" ref="B565"/>
    <hyperlink r:id="rId1117" ref="F565"/>
    <hyperlink r:id="rId1118" ref="B566"/>
    <hyperlink r:id="rId1119" ref="F566"/>
    <hyperlink r:id="rId1120" ref="B567"/>
    <hyperlink r:id="rId1121" ref="F567"/>
    <hyperlink r:id="rId1122" ref="B568"/>
    <hyperlink r:id="rId1123" ref="F568"/>
    <hyperlink r:id="rId1124" ref="B569"/>
    <hyperlink r:id="rId1125" ref="F569"/>
    <hyperlink r:id="rId1126" ref="B570"/>
    <hyperlink r:id="rId1127" ref="F570"/>
    <hyperlink r:id="rId1128" ref="B571"/>
    <hyperlink r:id="rId1129" ref="F571"/>
    <hyperlink r:id="rId1130" ref="B572"/>
    <hyperlink r:id="rId1131" ref="F572"/>
    <hyperlink r:id="rId1132" ref="B573"/>
    <hyperlink r:id="rId1133" ref="F573"/>
  </hyperlinks>
  <drawing r:id="rId113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B1" s="4" t="s">
        <v>38</v>
      </c>
      <c r="C1" s="4" t="s">
        <v>39</v>
      </c>
      <c r="D1" s="4" t="s">
        <v>40</v>
      </c>
      <c r="E1" s="4" t="s">
        <v>41</v>
      </c>
      <c r="F1" s="4" t="s">
        <v>42</v>
      </c>
      <c r="G1" s="3" t="str">
        <f>IFERROR(__xludf.DUMMYFUNCTION("UNIQUE(C:C)"),"Repo")</f>
        <v>Repo</v>
      </c>
      <c r="H1" s="4" t="s">
        <v>43</v>
      </c>
      <c r="I1" s="4" t="s">
        <v>44</v>
      </c>
      <c r="J1" s="4" t="s">
        <v>45</v>
      </c>
      <c r="K1" s="4" t="s">
        <v>46</v>
      </c>
      <c r="L1" s="4" t="s">
        <v>47</v>
      </c>
      <c r="M1" s="4" t="s">
        <v>48</v>
      </c>
      <c r="N1" s="6" t="s">
        <v>49</v>
      </c>
    </row>
    <row r="2" hidden="1">
      <c r="B2" s="3" t="s">
        <v>50</v>
      </c>
      <c r="C2" s="5" t="s">
        <v>51</v>
      </c>
      <c r="D2" s="3">
        <v>8.0</v>
      </c>
      <c r="E2" s="3">
        <v>8.0</v>
      </c>
      <c r="F2" s="3">
        <f t="shared" ref="F2:F1135" si="1">COUNTIF(C:C,G2)</f>
        <v>2</v>
      </c>
      <c r="G2" s="5" t="str">
        <f>IFERROR(__xludf.DUMMYFUNCTION("""COMPUTED_VALUE"""),"https://github.com/22f1001786-iitm/-Shanghai-200")</f>
        <v>https://github.com/22f1001786-iitm/-Shanghai-200</v>
      </c>
      <c r="H2" s="3">
        <f t="shared" ref="H2:H713" si="2">IF(F2&gt;0,XLOOKUP(G2,C:C,D:D,"missing",0,1),"No reviews")</f>
        <v>8</v>
      </c>
      <c r="I2" s="3">
        <f t="shared" ref="I2:I713" si="3">IF(F2&gt;0,XLOOKUP(G2,C:C,E:E,"missing",0,1),"No reviews")</f>
        <v>8</v>
      </c>
      <c r="J2" s="3">
        <f t="shared" ref="J2:J713" si="4">IF(F2=2,XLOOKUP(G2,C:C,D:D,"missing",0,-1),"No reviews")</f>
        <v>7</v>
      </c>
      <c r="K2" s="3">
        <f t="shared" ref="K2:K713" si="5">IF(F2=2,XLOOKUP(G2,C:C,E:E,"missing",0,-1),"No reviews")</f>
        <v>9</v>
      </c>
      <c r="L2" s="7">
        <f t="shared" ref="L2:L713" si="6">IF(F2=2,ABS(H2-J2)," ")</f>
        <v>1</v>
      </c>
      <c r="M2" s="7">
        <f t="shared" ref="M2:M713" si="7">IF(F2=2,ABS(I2-K2)," ")</f>
        <v>1</v>
      </c>
      <c r="N2" s="7">
        <f t="shared" ref="N2:N713" si="8">IFERROR(IF(F2=2,0.5*MAX((H2+I2),(J2+K2)),IF(F2=1,0.5*(H2+I2),"No Reviews")),"No Reviews")</f>
        <v>8</v>
      </c>
    </row>
    <row r="3" hidden="1">
      <c r="B3" s="3" t="s">
        <v>52</v>
      </c>
      <c r="C3" s="5" t="s">
        <v>53</v>
      </c>
      <c r="D3" s="3">
        <v>10.0</v>
      </c>
      <c r="E3" s="3">
        <v>0.0</v>
      </c>
      <c r="F3" s="3">
        <f t="shared" si="1"/>
        <v>1</v>
      </c>
      <c r="G3" s="5" t="str">
        <f>IFERROR(__xludf.DUMMYFUNCTION("""COMPUTED_VALUE"""),"https://github.com/jarin2503/tds-project-1")</f>
        <v>https://github.com/jarin2503/tds-project-1</v>
      </c>
      <c r="H3" s="3">
        <f t="shared" si="2"/>
        <v>10</v>
      </c>
      <c r="I3" s="3">
        <f t="shared" si="3"/>
        <v>0</v>
      </c>
      <c r="J3" s="3" t="str">
        <f t="shared" si="4"/>
        <v>No reviews</v>
      </c>
      <c r="K3" s="3" t="str">
        <f t="shared" si="5"/>
        <v>No reviews</v>
      </c>
      <c r="L3" s="7" t="str">
        <f t="shared" si="6"/>
        <v> </v>
      </c>
      <c r="M3" s="7" t="str">
        <f t="shared" si="7"/>
        <v> </v>
      </c>
      <c r="N3" s="7">
        <f t="shared" si="8"/>
        <v>5</v>
      </c>
    </row>
    <row r="4" hidden="1">
      <c r="B4" s="3" t="s">
        <v>54</v>
      </c>
      <c r="C4" s="5" t="s">
        <v>55</v>
      </c>
      <c r="D4" s="3">
        <v>10.0</v>
      </c>
      <c r="E4" s="3">
        <v>0.0</v>
      </c>
      <c r="F4" s="3">
        <f t="shared" si="1"/>
        <v>1</v>
      </c>
      <c r="G4" s="5" t="str">
        <f>IFERROR(__xludf.DUMMYFUNCTION("""COMPUTED_VALUE"""),"https://github.com/budhilnigam/TDS-Project1")</f>
        <v>https://github.com/budhilnigam/TDS-Project1</v>
      </c>
      <c r="H4" s="3">
        <f t="shared" si="2"/>
        <v>10</v>
      </c>
      <c r="I4" s="3">
        <f t="shared" si="3"/>
        <v>0</v>
      </c>
      <c r="J4" s="3" t="str">
        <f t="shared" si="4"/>
        <v>No reviews</v>
      </c>
      <c r="K4" s="3" t="str">
        <f t="shared" si="5"/>
        <v>No reviews</v>
      </c>
      <c r="L4" s="7" t="str">
        <f t="shared" si="6"/>
        <v> </v>
      </c>
      <c r="M4" s="7" t="str">
        <f t="shared" si="7"/>
        <v> </v>
      </c>
      <c r="N4" s="7">
        <f t="shared" si="8"/>
        <v>5</v>
      </c>
    </row>
    <row r="5" hidden="1">
      <c r="B5" s="3" t="s">
        <v>56</v>
      </c>
      <c r="C5" s="5" t="s">
        <v>57</v>
      </c>
      <c r="D5" s="3">
        <v>10.0</v>
      </c>
      <c r="E5" s="3">
        <v>4.0</v>
      </c>
      <c r="F5" s="3">
        <f t="shared" si="1"/>
        <v>2</v>
      </c>
      <c r="G5" s="5" t="str">
        <f>IFERROR(__xludf.DUMMYFUNCTION("""COMPUTED_VALUE"""),"https://github.com/IIT-JRV/IIT/tree/main")</f>
        <v>https://github.com/IIT-JRV/IIT/tree/main</v>
      </c>
      <c r="H5" s="3">
        <f t="shared" si="2"/>
        <v>10</v>
      </c>
      <c r="I5" s="3">
        <f t="shared" si="3"/>
        <v>4</v>
      </c>
      <c r="J5" s="3">
        <f t="shared" si="4"/>
        <v>9</v>
      </c>
      <c r="K5" s="3">
        <f t="shared" si="5"/>
        <v>10</v>
      </c>
      <c r="L5" s="7">
        <f t="shared" si="6"/>
        <v>1</v>
      </c>
      <c r="M5" s="7">
        <f t="shared" si="7"/>
        <v>6</v>
      </c>
      <c r="N5" s="7">
        <f t="shared" si="8"/>
        <v>9.5</v>
      </c>
    </row>
    <row r="6" hidden="1">
      <c r="B6" s="3" t="s">
        <v>58</v>
      </c>
      <c r="C6" s="5" t="s">
        <v>59</v>
      </c>
      <c r="D6" s="3">
        <v>10.0</v>
      </c>
      <c r="E6" s="3">
        <v>10.0</v>
      </c>
      <c r="F6" s="3">
        <f t="shared" si="1"/>
        <v>1</v>
      </c>
      <c r="G6" s="5" t="str">
        <f>IFERROR(__xludf.DUMMYFUNCTION("""COMPUTED_VALUE"""),"https://github.com/sh-yamm/TDS-1")</f>
        <v>https://github.com/sh-yamm/TDS-1</v>
      </c>
      <c r="H6" s="3">
        <f t="shared" si="2"/>
        <v>10</v>
      </c>
      <c r="I6" s="3">
        <f t="shared" si="3"/>
        <v>10</v>
      </c>
      <c r="J6" s="3" t="str">
        <f t="shared" si="4"/>
        <v>No reviews</v>
      </c>
      <c r="K6" s="3" t="str">
        <f t="shared" si="5"/>
        <v>No reviews</v>
      </c>
      <c r="L6" s="7" t="str">
        <f t="shared" si="6"/>
        <v> </v>
      </c>
      <c r="M6" s="7" t="str">
        <f t="shared" si="7"/>
        <v> </v>
      </c>
      <c r="N6" s="7">
        <f t="shared" si="8"/>
        <v>10</v>
      </c>
    </row>
    <row r="7" hidden="1">
      <c r="B7" s="3" t="s">
        <v>60</v>
      </c>
      <c r="C7" s="5" t="s">
        <v>61</v>
      </c>
      <c r="D7" s="3">
        <v>10.0</v>
      </c>
      <c r="E7" s="3">
        <v>10.0</v>
      </c>
      <c r="F7" s="3">
        <f t="shared" si="1"/>
        <v>2</v>
      </c>
      <c r="G7" s="5" t="str">
        <f>IFERROR(__xludf.DUMMYFUNCTION("""COMPUTED_VALUE"""),"https://github.com/Alizalily/TDS_Project1")</f>
        <v>https://github.com/Alizalily/TDS_Project1</v>
      </c>
      <c r="H7" s="3">
        <f t="shared" si="2"/>
        <v>10</v>
      </c>
      <c r="I7" s="3">
        <f t="shared" si="3"/>
        <v>10</v>
      </c>
      <c r="J7" s="3">
        <f t="shared" si="4"/>
        <v>8</v>
      </c>
      <c r="K7" s="3">
        <f t="shared" si="5"/>
        <v>8</v>
      </c>
      <c r="L7" s="7">
        <f t="shared" si="6"/>
        <v>2</v>
      </c>
      <c r="M7" s="7">
        <f t="shared" si="7"/>
        <v>2</v>
      </c>
      <c r="N7" s="7">
        <f t="shared" si="8"/>
        <v>10</v>
      </c>
    </row>
    <row r="8" hidden="1">
      <c r="B8" s="3" t="s">
        <v>62</v>
      </c>
      <c r="C8" s="5" t="s">
        <v>63</v>
      </c>
      <c r="D8" s="3">
        <v>10.0</v>
      </c>
      <c r="E8" s="3">
        <v>0.0</v>
      </c>
      <c r="F8" s="3">
        <f t="shared" si="1"/>
        <v>2</v>
      </c>
      <c r="G8" s="5" t="str">
        <f>IFERROR(__xludf.DUMMYFUNCTION("""COMPUTED_VALUE"""),"https://github.com/Aniruddha017/TDSproject1")</f>
        <v>https://github.com/Aniruddha017/TDSproject1</v>
      </c>
      <c r="H8" s="3">
        <f t="shared" si="2"/>
        <v>10</v>
      </c>
      <c r="I8" s="3">
        <f t="shared" si="3"/>
        <v>0</v>
      </c>
      <c r="J8" s="3">
        <f t="shared" si="4"/>
        <v>9</v>
      </c>
      <c r="K8" s="3">
        <f t="shared" si="5"/>
        <v>6</v>
      </c>
      <c r="L8" s="7">
        <f t="shared" si="6"/>
        <v>1</v>
      </c>
      <c r="M8" s="7">
        <f t="shared" si="7"/>
        <v>6</v>
      </c>
      <c r="N8" s="7">
        <f t="shared" si="8"/>
        <v>7.5</v>
      </c>
    </row>
    <row r="9" hidden="1">
      <c r="B9" s="3" t="s">
        <v>64</v>
      </c>
      <c r="C9" s="5" t="s">
        <v>65</v>
      </c>
      <c r="D9" s="3">
        <v>0.0</v>
      </c>
      <c r="E9" s="3">
        <v>10.0</v>
      </c>
      <c r="F9" s="3">
        <f t="shared" si="1"/>
        <v>2</v>
      </c>
      <c r="G9" s="5" t="str">
        <f>IFERROR(__xludf.DUMMYFUNCTION("""COMPUTED_VALUE"""),"https://github.com/ViratJinjala/TDS-project-1")</f>
        <v>https://github.com/ViratJinjala/TDS-project-1</v>
      </c>
      <c r="H9" s="3">
        <f t="shared" si="2"/>
        <v>0</v>
      </c>
      <c r="I9" s="3">
        <f t="shared" si="3"/>
        <v>10</v>
      </c>
      <c r="J9" s="3">
        <f t="shared" si="4"/>
        <v>5</v>
      </c>
      <c r="K9" s="3">
        <f t="shared" si="5"/>
        <v>10</v>
      </c>
      <c r="L9" s="7">
        <f t="shared" si="6"/>
        <v>5</v>
      </c>
      <c r="M9" s="7">
        <f t="shared" si="7"/>
        <v>0</v>
      </c>
      <c r="N9" s="7">
        <f t="shared" si="8"/>
        <v>7.5</v>
      </c>
    </row>
    <row r="10" hidden="1">
      <c r="B10" s="3" t="s">
        <v>66</v>
      </c>
      <c r="C10" s="5" t="s">
        <v>67</v>
      </c>
      <c r="D10" s="3">
        <v>7.0</v>
      </c>
      <c r="E10" s="3">
        <v>7.0</v>
      </c>
      <c r="F10" s="3">
        <f t="shared" si="1"/>
        <v>2</v>
      </c>
      <c r="G10" s="5" t="str">
        <f>IFERROR(__xludf.DUMMYFUNCTION("""COMPUTED_VALUE"""),"https://github.com/niki7777777/TDS-Project-1")</f>
        <v>https://github.com/niki7777777/TDS-Project-1</v>
      </c>
      <c r="H10" s="3">
        <f t="shared" si="2"/>
        <v>7</v>
      </c>
      <c r="I10" s="3">
        <f t="shared" si="3"/>
        <v>7</v>
      </c>
      <c r="J10" s="3">
        <f t="shared" si="4"/>
        <v>9</v>
      </c>
      <c r="K10" s="3">
        <f t="shared" si="5"/>
        <v>0</v>
      </c>
      <c r="L10" s="7">
        <f t="shared" si="6"/>
        <v>2</v>
      </c>
      <c r="M10" s="7">
        <f t="shared" si="7"/>
        <v>7</v>
      </c>
      <c r="N10" s="7">
        <f t="shared" si="8"/>
        <v>7</v>
      </c>
    </row>
    <row r="11" hidden="1">
      <c r="B11" s="3" t="s">
        <v>68</v>
      </c>
      <c r="C11" s="5" t="s">
        <v>69</v>
      </c>
      <c r="D11" s="3">
        <v>10.0</v>
      </c>
      <c r="E11" s="3">
        <v>10.0</v>
      </c>
      <c r="F11" s="3">
        <f t="shared" si="1"/>
        <v>2</v>
      </c>
      <c r="G11" s="5" t="str">
        <f>IFERROR(__xludf.DUMMYFUNCTION("""COMPUTED_VALUE"""),"https://github.com/aliabidi00/tds-project-1")</f>
        <v>https://github.com/aliabidi00/tds-project-1</v>
      </c>
      <c r="H11" s="3">
        <f t="shared" si="2"/>
        <v>10</v>
      </c>
      <c r="I11" s="3">
        <f t="shared" si="3"/>
        <v>10</v>
      </c>
      <c r="J11" s="3">
        <f t="shared" si="4"/>
        <v>10</v>
      </c>
      <c r="K11" s="3">
        <f t="shared" si="5"/>
        <v>7</v>
      </c>
      <c r="L11" s="7">
        <f t="shared" si="6"/>
        <v>0</v>
      </c>
      <c r="M11" s="7">
        <f t="shared" si="7"/>
        <v>3</v>
      </c>
      <c r="N11" s="7">
        <f t="shared" si="8"/>
        <v>10</v>
      </c>
    </row>
    <row r="12" hidden="1">
      <c r="B12" s="3" t="s">
        <v>70</v>
      </c>
      <c r="C12" s="5" t="s">
        <v>71</v>
      </c>
      <c r="D12" s="3">
        <v>10.0</v>
      </c>
      <c r="E12" s="3">
        <v>10.0</v>
      </c>
      <c r="F12" s="3">
        <f t="shared" si="1"/>
        <v>1</v>
      </c>
      <c r="G12" s="5" t="str">
        <f>IFERROR(__xludf.DUMMYFUNCTION("""COMPUTED_VALUE"""),"https://github.com/SAM8402/tds-project1")</f>
        <v>https://github.com/SAM8402/tds-project1</v>
      </c>
      <c r="H12" s="3">
        <f t="shared" si="2"/>
        <v>10</v>
      </c>
      <c r="I12" s="3">
        <f t="shared" si="3"/>
        <v>10</v>
      </c>
      <c r="J12" s="3" t="str">
        <f t="shared" si="4"/>
        <v>No reviews</v>
      </c>
      <c r="K12" s="3" t="str">
        <f t="shared" si="5"/>
        <v>No reviews</v>
      </c>
      <c r="L12" s="7" t="str">
        <f t="shared" si="6"/>
        <v> </v>
      </c>
      <c r="M12" s="7" t="str">
        <f t="shared" si="7"/>
        <v> </v>
      </c>
      <c r="N12" s="7">
        <f t="shared" si="8"/>
        <v>10</v>
      </c>
    </row>
    <row r="13" hidden="1">
      <c r="B13" s="3" t="s">
        <v>72</v>
      </c>
      <c r="C13" s="5" t="s">
        <v>73</v>
      </c>
      <c r="D13" s="3">
        <v>10.0</v>
      </c>
      <c r="E13" s="3">
        <v>10.0</v>
      </c>
      <c r="F13" s="3">
        <f t="shared" si="1"/>
        <v>1</v>
      </c>
      <c r="G13" s="5" t="str">
        <f>IFERROR(__xludf.DUMMYFUNCTION("""COMPUTED_VALUE"""),"https://github.com/Aishwarya-V-K/Sydney_Github_User")</f>
        <v>https://github.com/Aishwarya-V-K/Sydney_Github_User</v>
      </c>
      <c r="H13" s="3">
        <f t="shared" si="2"/>
        <v>10</v>
      </c>
      <c r="I13" s="3">
        <f t="shared" si="3"/>
        <v>10</v>
      </c>
      <c r="J13" s="3" t="str">
        <f t="shared" si="4"/>
        <v>No reviews</v>
      </c>
      <c r="K13" s="3" t="str">
        <f t="shared" si="5"/>
        <v>No reviews</v>
      </c>
      <c r="L13" s="7" t="str">
        <f t="shared" si="6"/>
        <v> </v>
      </c>
      <c r="M13" s="7" t="str">
        <f t="shared" si="7"/>
        <v> </v>
      </c>
      <c r="N13" s="7">
        <f t="shared" si="8"/>
        <v>10</v>
      </c>
    </row>
    <row r="14" hidden="1">
      <c r="B14" s="3" t="s">
        <v>74</v>
      </c>
      <c r="C14" s="5" t="s">
        <v>75</v>
      </c>
      <c r="D14" s="3">
        <v>5.0</v>
      </c>
      <c r="E14" s="3">
        <v>0.0</v>
      </c>
      <c r="F14" s="3">
        <f t="shared" si="1"/>
        <v>2</v>
      </c>
      <c r="G14" s="5" t="str">
        <f>IFERROR(__xludf.DUMMYFUNCTION("""COMPUTED_VALUE"""),"https://github.com/yyyzznnn/TDS-Project1")</f>
        <v>https://github.com/yyyzznnn/TDS-Project1</v>
      </c>
      <c r="H14" s="3">
        <f t="shared" si="2"/>
        <v>5</v>
      </c>
      <c r="I14" s="3">
        <f t="shared" si="3"/>
        <v>0</v>
      </c>
      <c r="J14" s="3">
        <f t="shared" si="4"/>
        <v>1</v>
      </c>
      <c r="K14" s="3">
        <f t="shared" si="5"/>
        <v>0</v>
      </c>
      <c r="L14" s="7">
        <f t="shared" si="6"/>
        <v>4</v>
      </c>
      <c r="M14" s="7">
        <f t="shared" si="7"/>
        <v>0</v>
      </c>
      <c r="N14" s="7">
        <f t="shared" si="8"/>
        <v>2.5</v>
      </c>
    </row>
    <row r="15" hidden="1">
      <c r="B15" s="3" t="s">
        <v>76</v>
      </c>
      <c r="C15" s="5" t="s">
        <v>77</v>
      </c>
      <c r="D15" s="3">
        <v>0.0</v>
      </c>
      <c r="E15" s="3">
        <v>0.0</v>
      </c>
      <c r="F15" s="3">
        <f t="shared" si="1"/>
        <v>2</v>
      </c>
      <c r="G15" s="5" t="str">
        <f>IFERROR(__xludf.DUMMYFUNCTION("""COMPUTED_VALUE"""),"https://github.com/21f1006103/tds-1")</f>
        <v>https://github.com/21f1006103/tds-1</v>
      </c>
      <c r="H15" s="3">
        <f t="shared" si="2"/>
        <v>0</v>
      </c>
      <c r="I15" s="3">
        <f t="shared" si="3"/>
        <v>0</v>
      </c>
      <c r="J15" s="3">
        <f t="shared" si="4"/>
        <v>1</v>
      </c>
      <c r="K15" s="3">
        <f t="shared" si="5"/>
        <v>0</v>
      </c>
      <c r="L15" s="7">
        <f t="shared" si="6"/>
        <v>1</v>
      </c>
      <c r="M15" s="7">
        <f t="shared" si="7"/>
        <v>0</v>
      </c>
      <c r="N15" s="7">
        <f t="shared" si="8"/>
        <v>0.5</v>
      </c>
    </row>
    <row r="16" hidden="1">
      <c r="B16" s="3" t="s">
        <v>78</v>
      </c>
      <c r="C16" s="5" t="s">
        <v>79</v>
      </c>
      <c r="D16" s="3">
        <v>10.0</v>
      </c>
      <c r="E16" s="3">
        <v>10.0</v>
      </c>
      <c r="F16" s="3">
        <f t="shared" si="1"/>
        <v>2</v>
      </c>
      <c r="G16" s="5" t="str">
        <f>IFERROR(__xludf.DUMMYFUNCTION("""COMPUTED_VALUE"""),"https://github.com/IITM-AnandK/AK-Project-Shanghai-200-Followers")</f>
        <v>https://github.com/IITM-AnandK/AK-Project-Shanghai-200-Followers</v>
      </c>
      <c r="H16" s="3">
        <f t="shared" si="2"/>
        <v>10</v>
      </c>
      <c r="I16" s="3">
        <f t="shared" si="3"/>
        <v>10</v>
      </c>
      <c r="J16" s="3">
        <f t="shared" si="4"/>
        <v>10</v>
      </c>
      <c r="K16" s="3">
        <f t="shared" si="5"/>
        <v>10</v>
      </c>
      <c r="L16" s="7">
        <f t="shared" si="6"/>
        <v>0</v>
      </c>
      <c r="M16" s="7">
        <f t="shared" si="7"/>
        <v>0</v>
      </c>
      <c r="N16" s="7">
        <f t="shared" si="8"/>
        <v>10</v>
      </c>
    </row>
    <row r="17" hidden="1">
      <c r="B17" s="3" t="s">
        <v>80</v>
      </c>
      <c r="C17" s="5" t="s">
        <v>81</v>
      </c>
      <c r="D17" s="3">
        <v>10.0</v>
      </c>
      <c r="E17" s="3">
        <v>10.0</v>
      </c>
      <c r="F17" s="3">
        <f t="shared" si="1"/>
        <v>1</v>
      </c>
      <c r="G17" s="5" t="str">
        <f>IFERROR(__xludf.DUMMYFUNCTION("""COMPUTED_VALUE"""),"https://github.com/S23fVK/tdsProj1")</f>
        <v>https://github.com/S23fVK/tdsProj1</v>
      </c>
      <c r="H17" s="3">
        <f t="shared" si="2"/>
        <v>10</v>
      </c>
      <c r="I17" s="3">
        <f t="shared" si="3"/>
        <v>10</v>
      </c>
      <c r="J17" s="3" t="str">
        <f t="shared" si="4"/>
        <v>No reviews</v>
      </c>
      <c r="K17" s="3" t="str">
        <f t="shared" si="5"/>
        <v>No reviews</v>
      </c>
      <c r="L17" s="7" t="str">
        <f t="shared" si="6"/>
        <v> </v>
      </c>
      <c r="M17" s="7" t="str">
        <f t="shared" si="7"/>
        <v> </v>
      </c>
      <c r="N17" s="7">
        <f t="shared" si="8"/>
        <v>10</v>
      </c>
    </row>
    <row r="18" hidden="1">
      <c r="B18" s="3" t="s">
        <v>82</v>
      </c>
      <c r="C18" s="5" t="s">
        <v>83</v>
      </c>
      <c r="D18" s="3">
        <v>8.0</v>
      </c>
      <c r="E18" s="3">
        <v>10.0</v>
      </c>
      <c r="F18" s="3">
        <f t="shared" si="1"/>
        <v>2</v>
      </c>
      <c r="G18" s="5" t="str">
        <f>IFERROR(__xludf.DUMMYFUNCTION("""COMPUTED_VALUE"""),"https://github.com/SaarthakMaini/tds_project_1/")</f>
        <v>https://github.com/SaarthakMaini/tds_project_1/</v>
      </c>
      <c r="H18" s="3">
        <f t="shared" si="2"/>
        <v>8</v>
      </c>
      <c r="I18" s="3">
        <f t="shared" si="3"/>
        <v>10</v>
      </c>
      <c r="J18" s="3">
        <f t="shared" si="4"/>
        <v>4</v>
      </c>
      <c r="K18" s="3">
        <f t="shared" si="5"/>
        <v>7</v>
      </c>
      <c r="L18" s="7">
        <f t="shared" si="6"/>
        <v>4</v>
      </c>
      <c r="M18" s="7">
        <f t="shared" si="7"/>
        <v>3</v>
      </c>
      <c r="N18" s="7">
        <f t="shared" si="8"/>
        <v>9</v>
      </c>
    </row>
    <row r="19" hidden="1">
      <c r="B19" s="3" t="s">
        <v>84</v>
      </c>
      <c r="C19" s="5" t="s">
        <v>85</v>
      </c>
      <c r="D19" s="3">
        <v>10.0</v>
      </c>
      <c r="E19" s="3">
        <v>10.0</v>
      </c>
      <c r="F19" s="3">
        <f t="shared" si="1"/>
        <v>1</v>
      </c>
      <c r="G19" s="5" t="str">
        <f>IFERROR(__xludf.DUMMYFUNCTION("""COMPUTED_VALUE"""),"https://github.com/loki1512/TDS-Project-1")</f>
        <v>https://github.com/loki1512/TDS-Project-1</v>
      </c>
      <c r="H19" s="3">
        <f t="shared" si="2"/>
        <v>10</v>
      </c>
      <c r="I19" s="3">
        <f t="shared" si="3"/>
        <v>10</v>
      </c>
      <c r="J19" s="3" t="str">
        <f t="shared" si="4"/>
        <v>No reviews</v>
      </c>
      <c r="K19" s="3" t="str">
        <f t="shared" si="5"/>
        <v>No reviews</v>
      </c>
      <c r="L19" s="7" t="str">
        <f t="shared" si="6"/>
        <v> </v>
      </c>
      <c r="M19" s="7" t="str">
        <f t="shared" si="7"/>
        <v> </v>
      </c>
      <c r="N19" s="7">
        <f t="shared" si="8"/>
        <v>10</v>
      </c>
    </row>
    <row r="20">
      <c r="B20" s="3" t="s">
        <v>86</v>
      </c>
      <c r="C20" s="3" t="s">
        <v>87</v>
      </c>
      <c r="D20" s="3">
        <v>10.0</v>
      </c>
      <c r="E20" s="3">
        <v>10.0</v>
      </c>
      <c r="F20" s="3">
        <f t="shared" si="1"/>
        <v>4</v>
      </c>
      <c r="G20" s="3" t="str">
        <f>IFERROR(__xludf.DUMMYFUNCTION("""COMPUTED_VALUE"""),"Yes")</f>
        <v>Yes</v>
      </c>
      <c r="H20" s="3">
        <f t="shared" si="2"/>
        <v>10</v>
      </c>
      <c r="I20" s="3">
        <f t="shared" si="3"/>
        <v>10</v>
      </c>
      <c r="J20" s="3" t="str">
        <f t="shared" si="4"/>
        <v>No reviews</v>
      </c>
      <c r="K20" s="3" t="str">
        <f t="shared" si="5"/>
        <v>No reviews</v>
      </c>
      <c r="L20" s="7" t="str">
        <f t="shared" si="6"/>
        <v> </v>
      </c>
      <c r="M20" s="7" t="str">
        <f t="shared" si="7"/>
        <v> </v>
      </c>
      <c r="N20" s="7" t="str">
        <f t="shared" si="8"/>
        <v>No Reviews</v>
      </c>
    </row>
    <row r="21" hidden="1">
      <c r="B21" s="3" t="s">
        <v>88</v>
      </c>
      <c r="C21" s="5" t="s">
        <v>89</v>
      </c>
      <c r="D21" s="3">
        <v>10.0</v>
      </c>
      <c r="E21" s="3">
        <v>10.0</v>
      </c>
      <c r="F21" s="3">
        <f t="shared" si="1"/>
        <v>2</v>
      </c>
      <c r="G21" s="5" t="str">
        <f>IFERROR(__xludf.DUMMYFUNCTION("""COMPUTED_VALUE"""),"https://github.com/Ananya200314/IITM_TDS_P1")</f>
        <v>https://github.com/Ananya200314/IITM_TDS_P1</v>
      </c>
      <c r="H21" s="3">
        <f t="shared" si="2"/>
        <v>10</v>
      </c>
      <c r="I21" s="3">
        <f t="shared" si="3"/>
        <v>10</v>
      </c>
      <c r="J21" s="3">
        <f t="shared" si="4"/>
        <v>8</v>
      </c>
      <c r="K21" s="3">
        <f t="shared" si="5"/>
        <v>10</v>
      </c>
      <c r="L21" s="7">
        <f t="shared" si="6"/>
        <v>2</v>
      </c>
      <c r="M21" s="7">
        <f t="shared" si="7"/>
        <v>0</v>
      </c>
      <c r="N21" s="7">
        <f t="shared" si="8"/>
        <v>10</v>
      </c>
    </row>
    <row r="22" hidden="1">
      <c r="B22" s="3" t="s">
        <v>90</v>
      </c>
      <c r="C22" s="5" t="s">
        <v>91</v>
      </c>
      <c r="D22" s="3">
        <v>0.0</v>
      </c>
      <c r="E22" s="3">
        <v>0.0</v>
      </c>
      <c r="F22" s="3">
        <f t="shared" si="1"/>
        <v>2</v>
      </c>
      <c r="G22" s="5" t="str">
        <f>IFERROR(__xludf.DUMMYFUNCTION("""COMPUTED_VALUE"""),"https://github.com/shivyatripathi2604/TDS")</f>
        <v>https://github.com/shivyatripathi2604/TDS</v>
      </c>
      <c r="H22" s="3">
        <f t="shared" si="2"/>
        <v>0</v>
      </c>
      <c r="I22" s="3">
        <f t="shared" si="3"/>
        <v>0</v>
      </c>
      <c r="J22" s="3">
        <f t="shared" si="4"/>
        <v>0</v>
      </c>
      <c r="K22" s="3">
        <f t="shared" si="5"/>
        <v>0</v>
      </c>
      <c r="L22" s="7">
        <f t="shared" si="6"/>
        <v>0</v>
      </c>
      <c r="M22" s="7">
        <f t="shared" si="7"/>
        <v>0</v>
      </c>
      <c r="N22" s="7">
        <f t="shared" si="8"/>
        <v>0</v>
      </c>
    </row>
    <row r="23" hidden="1">
      <c r="B23" s="3" t="s">
        <v>92</v>
      </c>
      <c r="C23" s="5" t="s">
        <v>93</v>
      </c>
      <c r="D23" s="3">
        <v>6.0</v>
      </c>
      <c r="E23" s="3">
        <v>9.0</v>
      </c>
      <c r="F23" s="3">
        <f t="shared" si="1"/>
        <v>2</v>
      </c>
      <c r="G23" s="5" t="str">
        <f>IFERROR(__xludf.DUMMYFUNCTION("""COMPUTED_VALUE"""),"https://github.com/harikrishnajiju/github-city-user-analyzer")</f>
        <v>https://github.com/harikrishnajiju/github-city-user-analyzer</v>
      </c>
      <c r="H23" s="3">
        <f t="shared" si="2"/>
        <v>6</v>
      </c>
      <c r="I23" s="3">
        <f t="shared" si="3"/>
        <v>9</v>
      </c>
      <c r="J23" s="3">
        <f t="shared" si="4"/>
        <v>3</v>
      </c>
      <c r="K23" s="3">
        <f t="shared" si="5"/>
        <v>8</v>
      </c>
      <c r="L23" s="7">
        <f t="shared" si="6"/>
        <v>3</v>
      </c>
      <c r="M23" s="7">
        <f t="shared" si="7"/>
        <v>1</v>
      </c>
      <c r="N23" s="7">
        <f t="shared" si="8"/>
        <v>7.5</v>
      </c>
    </row>
    <row r="24" hidden="1">
      <c r="B24" s="3" t="s">
        <v>94</v>
      </c>
      <c r="C24" s="5" t="s">
        <v>95</v>
      </c>
      <c r="D24" s="3">
        <v>10.0</v>
      </c>
      <c r="E24" s="3">
        <v>10.0</v>
      </c>
      <c r="F24" s="3">
        <f t="shared" si="1"/>
        <v>2</v>
      </c>
      <c r="G24" s="5" t="str">
        <f>IFERROR(__xludf.DUMMYFUNCTION("""COMPUTED_VALUE"""),"https://github.com/dhirajp1603/IITM-TDS")</f>
        <v>https://github.com/dhirajp1603/IITM-TDS</v>
      </c>
      <c r="H24" s="3">
        <f t="shared" si="2"/>
        <v>10</v>
      </c>
      <c r="I24" s="3">
        <f t="shared" si="3"/>
        <v>10</v>
      </c>
      <c r="J24" s="3">
        <f t="shared" si="4"/>
        <v>3</v>
      </c>
      <c r="K24" s="3">
        <f t="shared" si="5"/>
        <v>8</v>
      </c>
      <c r="L24" s="7">
        <f t="shared" si="6"/>
        <v>7</v>
      </c>
      <c r="M24" s="7">
        <f t="shared" si="7"/>
        <v>2</v>
      </c>
      <c r="N24" s="7">
        <f t="shared" si="8"/>
        <v>10</v>
      </c>
    </row>
    <row r="25" hidden="1">
      <c r="B25" s="3" t="s">
        <v>96</v>
      </c>
      <c r="C25" s="5" t="s">
        <v>97</v>
      </c>
      <c r="D25" s="3">
        <v>6.0</v>
      </c>
      <c r="E25" s="3">
        <v>7.0</v>
      </c>
      <c r="F25" s="3">
        <f t="shared" si="1"/>
        <v>2</v>
      </c>
      <c r="G25" s="5" t="str">
        <f>IFERROR(__xludf.DUMMYFUNCTION("""COMPUTED_VALUE"""),"https://github.com/DisRajeeth/proj-1-tds")</f>
        <v>https://github.com/DisRajeeth/proj-1-tds</v>
      </c>
      <c r="H25" s="3">
        <f t="shared" si="2"/>
        <v>6</v>
      </c>
      <c r="I25" s="3">
        <f t="shared" si="3"/>
        <v>7</v>
      </c>
      <c r="J25" s="3">
        <f t="shared" si="4"/>
        <v>9</v>
      </c>
      <c r="K25" s="3">
        <f t="shared" si="5"/>
        <v>10</v>
      </c>
      <c r="L25" s="7">
        <f t="shared" si="6"/>
        <v>3</v>
      </c>
      <c r="M25" s="7">
        <f t="shared" si="7"/>
        <v>3</v>
      </c>
      <c r="N25" s="7">
        <f t="shared" si="8"/>
        <v>9.5</v>
      </c>
    </row>
    <row r="26" hidden="1">
      <c r="B26" s="3" t="s">
        <v>98</v>
      </c>
      <c r="C26" s="5" t="s">
        <v>99</v>
      </c>
      <c r="D26" s="3">
        <v>8.0</v>
      </c>
      <c r="E26" s="3">
        <v>0.0</v>
      </c>
      <c r="F26" s="3">
        <f t="shared" si="1"/>
        <v>2</v>
      </c>
      <c r="G26" s="5" t="str">
        <f>IFERROR(__xludf.DUMMYFUNCTION("""COMPUTED_VALUE"""),"https://github.com/arshadnit/TDSP1")</f>
        <v>https://github.com/arshadnit/TDSP1</v>
      </c>
      <c r="H26" s="3">
        <f t="shared" si="2"/>
        <v>8</v>
      </c>
      <c r="I26" s="3">
        <f t="shared" si="3"/>
        <v>0</v>
      </c>
      <c r="J26" s="3">
        <f t="shared" si="4"/>
        <v>10</v>
      </c>
      <c r="K26" s="3">
        <f t="shared" si="5"/>
        <v>10</v>
      </c>
      <c r="L26" s="7">
        <f t="shared" si="6"/>
        <v>2</v>
      </c>
      <c r="M26" s="7">
        <f t="shared" si="7"/>
        <v>10</v>
      </c>
      <c r="N26" s="7">
        <f t="shared" si="8"/>
        <v>10</v>
      </c>
    </row>
    <row r="27" hidden="1">
      <c r="B27" s="3" t="s">
        <v>100</v>
      </c>
      <c r="C27" s="5" t="s">
        <v>101</v>
      </c>
      <c r="D27" s="3">
        <v>6.0</v>
      </c>
      <c r="E27" s="3">
        <v>0.0</v>
      </c>
      <c r="F27" s="3">
        <f t="shared" si="1"/>
        <v>2</v>
      </c>
      <c r="G27" s="5" t="str">
        <f>IFERROR(__xludf.DUMMYFUNCTION("""COMPUTED_VALUE"""),"https://github.com/AnvithaVarre7/Project-1")</f>
        <v>https://github.com/AnvithaVarre7/Project-1</v>
      </c>
      <c r="H27" s="3">
        <f t="shared" si="2"/>
        <v>6</v>
      </c>
      <c r="I27" s="3">
        <f t="shared" si="3"/>
        <v>0</v>
      </c>
      <c r="J27" s="3">
        <f t="shared" si="4"/>
        <v>10</v>
      </c>
      <c r="K27" s="3">
        <f t="shared" si="5"/>
        <v>0</v>
      </c>
      <c r="L27" s="7">
        <f t="shared" si="6"/>
        <v>4</v>
      </c>
      <c r="M27" s="7">
        <f t="shared" si="7"/>
        <v>0</v>
      </c>
      <c r="N27" s="7">
        <f t="shared" si="8"/>
        <v>5</v>
      </c>
    </row>
    <row r="28" hidden="1">
      <c r="B28" s="3" t="s">
        <v>102</v>
      </c>
      <c r="C28" s="5" t="s">
        <v>103</v>
      </c>
      <c r="D28" s="3">
        <v>10.0</v>
      </c>
      <c r="E28" s="3">
        <v>0.0</v>
      </c>
      <c r="F28" s="3">
        <f t="shared" si="1"/>
        <v>1</v>
      </c>
      <c r="G28" s="5" t="str">
        <f>IFERROR(__xludf.DUMMYFUNCTION("""COMPUTED_VALUE"""),"https://github.com/GIT1001082/TDS_project_1")</f>
        <v>https://github.com/GIT1001082/TDS_project_1</v>
      </c>
      <c r="H28" s="3">
        <f t="shared" si="2"/>
        <v>10</v>
      </c>
      <c r="I28" s="3">
        <f t="shared" si="3"/>
        <v>0</v>
      </c>
      <c r="J28" s="3" t="str">
        <f t="shared" si="4"/>
        <v>No reviews</v>
      </c>
      <c r="K28" s="3" t="str">
        <f t="shared" si="5"/>
        <v>No reviews</v>
      </c>
      <c r="L28" s="7" t="str">
        <f t="shared" si="6"/>
        <v> </v>
      </c>
      <c r="M28" s="7" t="str">
        <f t="shared" si="7"/>
        <v> </v>
      </c>
      <c r="N28" s="7">
        <f t="shared" si="8"/>
        <v>5</v>
      </c>
    </row>
    <row r="29" hidden="1">
      <c r="B29" s="3" t="s">
        <v>104</v>
      </c>
      <c r="C29" s="5" t="s">
        <v>105</v>
      </c>
      <c r="D29" s="3">
        <v>10.0</v>
      </c>
      <c r="E29" s="3">
        <v>10.0</v>
      </c>
      <c r="F29" s="3">
        <f t="shared" si="1"/>
        <v>1</v>
      </c>
      <c r="G29" s="5" t="str">
        <f>IFERROR(__xludf.DUMMYFUNCTION("""COMPUTED_VALUE"""),"https://github.com/pratyushjdhv/iitm-tds")</f>
        <v>https://github.com/pratyushjdhv/iitm-tds</v>
      </c>
      <c r="H29" s="3">
        <f t="shared" si="2"/>
        <v>10</v>
      </c>
      <c r="I29" s="3">
        <f t="shared" si="3"/>
        <v>10</v>
      </c>
      <c r="J29" s="3" t="str">
        <f t="shared" si="4"/>
        <v>No reviews</v>
      </c>
      <c r="K29" s="3" t="str">
        <f t="shared" si="5"/>
        <v>No reviews</v>
      </c>
      <c r="L29" s="7" t="str">
        <f t="shared" si="6"/>
        <v> </v>
      </c>
      <c r="M29" s="7" t="str">
        <f t="shared" si="7"/>
        <v> </v>
      </c>
      <c r="N29" s="7">
        <f t="shared" si="8"/>
        <v>10</v>
      </c>
    </row>
    <row r="30" hidden="1">
      <c r="B30" s="3" t="s">
        <v>106</v>
      </c>
      <c r="C30" s="5" t="s">
        <v>107</v>
      </c>
      <c r="D30" s="3">
        <v>10.0</v>
      </c>
      <c r="E30" s="3">
        <v>9.0</v>
      </c>
      <c r="F30" s="3">
        <f t="shared" si="1"/>
        <v>2</v>
      </c>
      <c r="G30" s="5" t="str">
        <f>IFERROR(__xludf.DUMMYFUNCTION("""COMPUTED_VALUE"""),"https://github.com/rishikarai23/TDS-PROJECT")</f>
        <v>https://github.com/rishikarai23/TDS-PROJECT</v>
      </c>
      <c r="H30" s="3">
        <f t="shared" si="2"/>
        <v>10</v>
      </c>
      <c r="I30" s="3">
        <f t="shared" si="3"/>
        <v>9</v>
      </c>
      <c r="J30" s="3">
        <f t="shared" si="4"/>
        <v>9</v>
      </c>
      <c r="K30" s="3">
        <f t="shared" si="5"/>
        <v>10</v>
      </c>
      <c r="L30" s="7">
        <f t="shared" si="6"/>
        <v>1</v>
      </c>
      <c r="M30" s="7">
        <f t="shared" si="7"/>
        <v>1</v>
      </c>
      <c r="N30" s="7">
        <f t="shared" si="8"/>
        <v>9.5</v>
      </c>
    </row>
    <row r="31" hidden="1">
      <c r="B31" s="3" t="s">
        <v>108</v>
      </c>
      <c r="C31" s="5" t="s">
        <v>109</v>
      </c>
      <c r="D31" s="3">
        <v>10.0</v>
      </c>
      <c r="E31" s="3">
        <v>10.0</v>
      </c>
      <c r="F31" s="3">
        <f t="shared" si="1"/>
        <v>1</v>
      </c>
      <c r="G31" s="5" t="str">
        <f>IFERROR(__xludf.DUMMYFUNCTION("""COMPUTED_VALUE"""),"https://github.com/bipkrsinghh/TDS-proj")</f>
        <v>https://github.com/bipkrsinghh/TDS-proj</v>
      </c>
      <c r="H31" s="3">
        <f t="shared" si="2"/>
        <v>10</v>
      </c>
      <c r="I31" s="3">
        <f t="shared" si="3"/>
        <v>10</v>
      </c>
      <c r="J31" s="3" t="str">
        <f t="shared" si="4"/>
        <v>No reviews</v>
      </c>
      <c r="K31" s="3" t="str">
        <f t="shared" si="5"/>
        <v>No reviews</v>
      </c>
      <c r="L31" s="7" t="str">
        <f t="shared" si="6"/>
        <v> </v>
      </c>
      <c r="M31" s="7" t="str">
        <f t="shared" si="7"/>
        <v> </v>
      </c>
      <c r="N31" s="7">
        <f t="shared" si="8"/>
        <v>10</v>
      </c>
    </row>
    <row r="32" hidden="1">
      <c r="B32" s="3" t="s">
        <v>110</v>
      </c>
      <c r="C32" s="5" t="s">
        <v>111</v>
      </c>
      <c r="D32" s="3">
        <v>9.0</v>
      </c>
      <c r="E32" s="3">
        <v>9.0</v>
      </c>
      <c r="F32" s="3">
        <f t="shared" si="1"/>
        <v>2</v>
      </c>
      <c r="G32" s="5" t="str">
        <f>IFERROR(__xludf.DUMMYFUNCTION("""COMPUTED_VALUE"""),"https://github.com/Preena-iitmds/pree_ZurichProj1")</f>
        <v>https://github.com/Preena-iitmds/pree_ZurichProj1</v>
      </c>
      <c r="H32" s="3">
        <f t="shared" si="2"/>
        <v>9</v>
      </c>
      <c r="I32" s="3">
        <f t="shared" si="3"/>
        <v>9</v>
      </c>
      <c r="J32" s="3">
        <f t="shared" si="4"/>
        <v>0</v>
      </c>
      <c r="K32" s="3">
        <f t="shared" si="5"/>
        <v>0</v>
      </c>
      <c r="L32" s="7">
        <f t="shared" si="6"/>
        <v>9</v>
      </c>
      <c r="M32" s="7">
        <f t="shared" si="7"/>
        <v>9</v>
      </c>
      <c r="N32" s="7">
        <f t="shared" si="8"/>
        <v>9</v>
      </c>
    </row>
    <row r="33" hidden="1">
      <c r="B33" s="3" t="s">
        <v>112</v>
      </c>
      <c r="C33" s="5" t="s">
        <v>113</v>
      </c>
      <c r="D33" s="3">
        <v>10.0</v>
      </c>
      <c r="E33" s="3">
        <v>8.0</v>
      </c>
      <c r="F33" s="3">
        <f t="shared" si="1"/>
        <v>2</v>
      </c>
      <c r="G33" s="5" t="str">
        <f>IFERROR(__xludf.DUMMYFUNCTION("""COMPUTED_VALUE"""),"https://github.com/22f3001377/Pro1")</f>
        <v>https://github.com/22f3001377/Pro1</v>
      </c>
      <c r="H33" s="3">
        <f t="shared" si="2"/>
        <v>10</v>
      </c>
      <c r="I33" s="3">
        <f t="shared" si="3"/>
        <v>8</v>
      </c>
      <c r="J33" s="3">
        <f t="shared" si="4"/>
        <v>10</v>
      </c>
      <c r="K33" s="3">
        <f t="shared" si="5"/>
        <v>10</v>
      </c>
      <c r="L33" s="7">
        <f t="shared" si="6"/>
        <v>0</v>
      </c>
      <c r="M33" s="7">
        <f t="shared" si="7"/>
        <v>2</v>
      </c>
      <c r="N33" s="7">
        <f t="shared" si="8"/>
        <v>10</v>
      </c>
    </row>
    <row r="34" hidden="1">
      <c r="B34" s="3" t="s">
        <v>114</v>
      </c>
      <c r="C34" s="5" t="s">
        <v>115</v>
      </c>
      <c r="D34" s="3">
        <v>5.0</v>
      </c>
      <c r="E34" s="3">
        <v>5.0</v>
      </c>
      <c r="F34" s="3">
        <f t="shared" si="1"/>
        <v>2</v>
      </c>
      <c r="G34" s="5" t="str">
        <f>IFERROR(__xludf.DUMMYFUNCTION("""COMPUTED_VALUE"""),"https://github.com/Udita1122/23f1000092")</f>
        <v>https://github.com/Udita1122/23f1000092</v>
      </c>
      <c r="H34" s="3">
        <f t="shared" si="2"/>
        <v>5</v>
      </c>
      <c r="I34" s="3">
        <f t="shared" si="3"/>
        <v>5</v>
      </c>
      <c r="J34" s="3">
        <f t="shared" si="4"/>
        <v>8</v>
      </c>
      <c r="K34" s="3">
        <f t="shared" si="5"/>
        <v>9</v>
      </c>
      <c r="L34" s="7">
        <f t="shared" si="6"/>
        <v>3</v>
      </c>
      <c r="M34" s="7">
        <f t="shared" si="7"/>
        <v>4</v>
      </c>
      <c r="N34" s="7">
        <f t="shared" si="8"/>
        <v>8.5</v>
      </c>
    </row>
    <row r="35" hidden="1">
      <c r="B35" s="3" t="s">
        <v>116</v>
      </c>
      <c r="C35" s="5" t="s">
        <v>117</v>
      </c>
      <c r="D35" s="3">
        <v>10.0</v>
      </c>
      <c r="E35" s="3">
        <v>10.0</v>
      </c>
      <c r="F35" s="3">
        <f t="shared" si="1"/>
        <v>3</v>
      </c>
      <c r="G35" s="5" t="str">
        <f>IFERROR(__xludf.DUMMYFUNCTION("""COMPUTED_VALUE"""),"https://github.com/dhaanicodes/project1")</f>
        <v>https://github.com/dhaanicodes/project1</v>
      </c>
      <c r="H35" s="3">
        <f t="shared" si="2"/>
        <v>10</v>
      </c>
      <c r="I35" s="3">
        <f t="shared" si="3"/>
        <v>10</v>
      </c>
      <c r="J35" s="3" t="str">
        <f t="shared" si="4"/>
        <v>No reviews</v>
      </c>
      <c r="K35" s="3" t="str">
        <f t="shared" si="5"/>
        <v>No reviews</v>
      </c>
      <c r="L35" s="7" t="str">
        <f t="shared" si="6"/>
        <v> </v>
      </c>
      <c r="M35" s="7" t="str">
        <f t="shared" si="7"/>
        <v> </v>
      </c>
      <c r="N35" s="7" t="str">
        <f t="shared" si="8"/>
        <v>No Reviews</v>
      </c>
    </row>
    <row r="36" hidden="1">
      <c r="B36" s="3" t="s">
        <v>118</v>
      </c>
      <c r="C36" s="5" t="s">
        <v>119</v>
      </c>
      <c r="D36" s="3">
        <v>10.0</v>
      </c>
      <c r="E36" s="3">
        <v>10.0</v>
      </c>
      <c r="F36" s="3">
        <f t="shared" si="1"/>
        <v>2</v>
      </c>
      <c r="G36" s="5" t="str">
        <f>IFERROR(__xludf.DUMMYFUNCTION("""COMPUTED_VALUE"""),"https://github.com/Karthikey2003/tdsproj1")</f>
        <v>https://github.com/Karthikey2003/tdsproj1</v>
      </c>
      <c r="H36" s="3">
        <f t="shared" si="2"/>
        <v>10</v>
      </c>
      <c r="I36" s="3">
        <f t="shared" si="3"/>
        <v>10</v>
      </c>
      <c r="J36" s="3">
        <f t="shared" si="4"/>
        <v>10</v>
      </c>
      <c r="K36" s="3">
        <f t="shared" si="5"/>
        <v>10</v>
      </c>
      <c r="L36" s="7">
        <f t="shared" si="6"/>
        <v>0</v>
      </c>
      <c r="M36" s="7">
        <f t="shared" si="7"/>
        <v>0</v>
      </c>
      <c r="N36" s="7">
        <f t="shared" si="8"/>
        <v>10</v>
      </c>
    </row>
    <row r="37" hidden="1">
      <c r="B37" s="3" t="s">
        <v>120</v>
      </c>
      <c r="C37" s="5" t="s">
        <v>121</v>
      </c>
      <c r="D37" s="3">
        <v>5.0</v>
      </c>
      <c r="E37" s="3">
        <v>5.0</v>
      </c>
      <c r="F37" s="3">
        <f t="shared" si="1"/>
        <v>1</v>
      </c>
      <c r="G37" s="5" t="str">
        <f>IFERROR(__xludf.DUMMYFUNCTION("""COMPUTED_VALUE"""),"https://github.com/devp1866/tds_project_1")</f>
        <v>https://github.com/devp1866/tds_project_1</v>
      </c>
      <c r="H37" s="3">
        <f t="shared" si="2"/>
        <v>5</v>
      </c>
      <c r="I37" s="3">
        <f t="shared" si="3"/>
        <v>5</v>
      </c>
      <c r="J37" s="3" t="str">
        <f t="shared" si="4"/>
        <v>No reviews</v>
      </c>
      <c r="K37" s="3" t="str">
        <f t="shared" si="5"/>
        <v>No reviews</v>
      </c>
      <c r="L37" s="7" t="str">
        <f t="shared" si="6"/>
        <v> </v>
      </c>
      <c r="M37" s="7" t="str">
        <f t="shared" si="7"/>
        <v> </v>
      </c>
      <c r="N37" s="7">
        <f t="shared" si="8"/>
        <v>5</v>
      </c>
    </row>
    <row r="38" hidden="1">
      <c r="B38" s="3" t="s">
        <v>122</v>
      </c>
      <c r="C38" s="5" t="s">
        <v>123</v>
      </c>
      <c r="D38" s="3">
        <v>10.0</v>
      </c>
      <c r="E38" s="3">
        <v>0.0</v>
      </c>
      <c r="F38" s="3">
        <f t="shared" si="1"/>
        <v>1</v>
      </c>
      <c r="G38" s="5" t="str">
        <f>IFERROR(__xludf.DUMMYFUNCTION("""COMPUTED_VALUE"""),"https://github.com/sujatrobhadra/TDS_Project_1")</f>
        <v>https://github.com/sujatrobhadra/TDS_Project_1</v>
      </c>
      <c r="H38" s="3">
        <f t="shared" si="2"/>
        <v>10</v>
      </c>
      <c r="I38" s="3">
        <f t="shared" si="3"/>
        <v>0</v>
      </c>
      <c r="J38" s="3" t="str">
        <f t="shared" si="4"/>
        <v>No reviews</v>
      </c>
      <c r="K38" s="3" t="str">
        <f t="shared" si="5"/>
        <v>No reviews</v>
      </c>
      <c r="L38" s="7" t="str">
        <f t="shared" si="6"/>
        <v> </v>
      </c>
      <c r="M38" s="7" t="str">
        <f t="shared" si="7"/>
        <v> </v>
      </c>
      <c r="N38" s="7">
        <f t="shared" si="8"/>
        <v>5</v>
      </c>
    </row>
    <row r="39" hidden="1">
      <c r="B39" s="3" t="s">
        <v>124</v>
      </c>
      <c r="C39" s="5" t="s">
        <v>125</v>
      </c>
      <c r="D39" s="3">
        <v>6.0</v>
      </c>
      <c r="E39" s="3">
        <v>0.0</v>
      </c>
      <c r="F39" s="3">
        <f t="shared" si="1"/>
        <v>2</v>
      </c>
      <c r="G39" s="5" t="str">
        <f>IFERROR(__xludf.DUMMYFUNCTION("""COMPUTED_VALUE"""),"https://github.com/Chitraksha-Sharma/Project_1_TDS")</f>
        <v>https://github.com/Chitraksha-Sharma/Project_1_TDS</v>
      </c>
      <c r="H39" s="3">
        <f t="shared" si="2"/>
        <v>6</v>
      </c>
      <c r="I39" s="3">
        <f t="shared" si="3"/>
        <v>0</v>
      </c>
      <c r="J39" s="3">
        <f t="shared" si="4"/>
        <v>9</v>
      </c>
      <c r="K39" s="3">
        <f t="shared" si="5"/>
        <v>0</v>
      </c>
      <c r="L39" s="7">
        <f t="shared" si="6"/>
        <v>3</v>
      </c>
      <c r="M39" s="7">
        <f t="shared" si="7"/>
        <v>0</v>
      </c>
      <c r="N39" s="7">
        <f t="shared" si="8"/>
        <v>4.5</v>
      </c>
    </row>
    <row r="40" hidden="1">
      <c r="B40" s="3" t="s">
        <v>126</v>
      </c>
      <c r="C40" s="5" t="s">
        <v>127</v>
      </c>
      <c r="D40" s="3">
        <v>9.0</v>
      </c>
      <c r="E40" s="3">
        <v>7.0</v>
      </c>
      <c r="F40" s="3">
        <f t="shared" si="1"/>
        <v>1</v>
      </c>
      <c r="G40" s="5" t="str">
        <f>IFERROR(__xludf.DUMMYFUNCTION("""COMPUTED_VALUE"""),"https://github.com/aarfeeniitm/TDS-Project-1")</f>
        <v>https://github.com/aarfeeniitm/TDS-Project-1</v>
      </c>
      <c r="H40" s="3">
        <f t="shared" si="2"/>
        <v>9</v>
      </c>
      <c r="I40" s="3">
        <f t="shared" si="3"/>
        <v>7</v>
      </c>
      <c r="J40" s="3" t="str">
        <f t="shared" si="4"/>
        <v>No reviews</v>
      </c>
      <c r="K40" s="3" t="str">
        <f t="shared" si="5"/>
        <v>No reviews</v>
      </c>
      <c r="L40" s="7" t="str">
        <f t="shared" si="6"/>
        <v> </v>
      </c>
      <c r="M40" s="7" t="str">
        <f t="shared" si="7"/>
        <v> </v>
      </c>
      <c r="N40" s="7">
        <f t="shared" si="8"/>
        <v>8</v>
      </c>
    </row>
    <row r="41" hidden="1">
      <c r="B41" s="3" t="s">
        <v>128</v>
      </c>
      <c r="C41" s="5" t="s">
        <v>129</v>
      </c>
      <c r="D41" s="3">
        <v>8.0</v>
      </c>
      <c r="E41" s="3">
        <v>8.0</v>
      </c>
      <c r="F41" s="3">
        <f t="shared" si="1"/>
        <v>2</v>
      </c>
      <c r="G41" s="5" t="str">
        <f>IFERROR(__xludf.DUMMYFUNCTION("""COMPUTED_VALUE"""),"https://github.com/sufyan-12/TDS-PR1")</f>
        <v>https://github.com/sufyan-12/TDS-PR1</v>
      </c>
      <c r="H41" s="3">
        <f t="shared" si="2"/>
        <v>8</v>
      </c>
      <c r="I41" s="3">
        <f t="shared" si="3"/>
        <v>8</v>
      </c>
      <c r="J41" s="3">
        <f t="shared" si="4"/>
        <v>8</v>
      </c>
      <c r="K41" s="3">
        <f t="shared" si="5"/>
        <v>10</v>
      </c>
      <c r="L41" s="7">
        <f t="shared" si="6"/>
        <v>0</v>
      </c>
      <c r="M41" s="7">
        <f t="shared" si="7"/>
        <v>2</v>
      </c>
      <c r="N41" s="7">
        <f t="shared" si="8"/>
        <v>9</v>
      </c>
    </row>
    <row r="42" hidden="1">
      <c r="B42" s="3" t="s">
        <v>130</v>
      </c>
      <c r="C42" s="5" t="s">
        <v>113</v>
      </c>
      <c r="D42" s="3">
        <v>10.0</v>
      </c>
      <c r="E42" s="3">
        <v>10.0</v>
      </c>
      <c r="F42" s="3">
        <f t="shared" si="1"/>
        <v>2</v>
      </c>
      <c r="G42" s="5" t="str">
        <f>IFERROR(__xludf.DUMMYFUNCTION("""COMPUTED_VALUE"""),"https://github.com/RutikaKanaujiya/barcelona_assignment")</f>
        <v>https://github.com/RutikaKanaujiya/barcelona_assignment</v>
      </c>
      <c r="H42" s="3">
        <f t="shared" si="2"/>
        <v>6</v>
      </c>
      <c r="I42" s="3">
        <f t="shared" si="3"/>
        <v>8</v>
      </c>
      <c r="J42" s="3">
        <f t="shared" si="4"/>
        <v>0</v>
      </c>
      <c r="K42" s="3">
        <f t="shared" si="5"/>
        <v>3</v>
      </c>
      <c r="L42" s="7">
        <f t="shared" si="6"/>
        <v>6</v>
      </c>
      <c r="M42" s="7">
        <f t="shared" si="7"/>
        <v>5</v>
      </c>
      <c r="N42" s="7">
        <f t="shared" si="8"/>
        <v>7</v>
      </c>
    </row>
    <row r="43" hidden="1">
      <c r="B43" s="3" t="s">
        <v>131</v>
      </c>
      <c r="C43" s="5" t="s">
        <v>132</v>
      </c>
      <c r="D43" s="3">
        <v>6.0</v>
      </c>
      <c r="E43" s="3">
        <v>8.0</v>
      </c>
      <c r="F43" s="3">
        <f t="shared" si="1"/>
        <v>2</v>
      </c>
      <c r="G43" s="5" t="str">
        <f>IFERROR(__xludf.DUMMYFUNCTION("""COMPUTED_VALUE"""),"https://github.com/Sgytuy/Tools-in-Data-Science---Project-1/tree/main")</f>
        <v>https://github.com/Sgytuy/Tools-in-Data-Science---Project-1/tree/main</v>
      </c>
      <c r="H43" s="3">
        <f t="shared" si="2"/>
        <v>9</v>
      </c>
      <c r="I43" s="3">
        <f t="shared" si="3"/>
        <v>5</v>
      </c>
      <c r="J43" s="3">
        <f t="shared" si="4"/>
        <v>5</v>
      </c>
      <c r="K43" s="3">
        <f t="shared" si="5"/>
        <v>0</v>
      </c>
      <c r="L43" s="7">
        <f t="shared" si="6"/>
        <v>4</v>
      </c>
      <c r="M43" s="7">
        <f t="shared" si="7"/>
        <v>5</v>
      </c>
      <c r="N43" s="7">
        <f t="shared" si="8"/>
        <v>7</v>
      </c>
    </row>
    <row r="44" hidden="1">
      <c r="B44" s="3" t="s">
        <v>133</v>
      </c>
      <c r="C44" s="5" t="s">
        <v>134</v>
      </c>
      <c r="D44" s="3">
        <v>9.0</v>
      </c>
      <c r="E44" s="3">
        <v>5.0</v>
      </c>
      <c r="F44" s="3">
        <f t="shared" si="1"/>
        <v>2</v>
      </c>
      <c r="G44" s="5" t="str">
        <f>IFERROR(__xludf.DUMMYFUNCTION("""COMPUTED_VALUE"""),"https://github.com/febixcf/tds-project1")</f>
        <v>https://github.com/febixcf/tds-project1</v>
      </c>
      <c r="H44" s="3">
        <f t="shared" si="2"/>
        <v>10</v>
      </c>
      <c r="I44" s="3">
        <f t="shared" si="3"/>
        <v>10</v>
      </c>
      <c r="J44" s="3">
        <f t="shared" si="4"/>
        <v>10</v>
      </c>
      <c r="K44" s="3">
        <f t="shared" si="5"/>
        <v>10</v>
      </c>
      <c r="L44" s="7">
        <f t="shared" si="6"/>
        <v>0</v>
      </c>
      <c r="M44" s="7">
        <f t="shared" si="7"/>
        <v>0</v>
      </c>
      <c r="N44" s="7">
        <f t="shared" si="8"/>
        <v>10</v>
      </c>
    </row>
    <row r="45" hidden="1">
      <c r="B45" s="3" t="s">
        <v>135</v>
      </c>
      <c r="C45" s="5" t="s">
        <v>67</v>
      </c>
      <c r="D45" s="3">
        <v>9.0</v>
      </c>
      <c r="E45" s="3">
        <v>0.0</v>
      </c>
      <c r="F45" s="3">
        <f t="shared" si="1"/>
        <v>2</v>
      </c>
      <c r="G45" s="5" t="str">
        <f>IFERROR(__xludf.DUMMYFUNCTION("""COMPUTED_VALUE"""),"https://github.com/SarveshMSIITM/TDS-P1")</f>
        <v>https://github.com/SarveshMSIITM/TDS-P1</v>
      </c>
      <c r="H45" s="3">
        <f t="shared" si="2"/>
        <v>3</v>
      </c>
      <c r="I45" s="3">
        <f t="shared" si="3"/>
        <v>7</v>
      </c>
      <c r="J45" s="3">
        <f t="shared" si="4"/>
        <v>7</v>
      </c>
      <c r="K45" s="3">
        <f t="shared" si="5"/>
        <v>9</v>
      </c>
      <c r="L45" s="7">
        <f t="shared" si="6"/>
        <v>4</v>
      </c>
      <c r="M45" s="7">
        <f t="shared" si="7"/>
        <v>2</v>
      </c>
      <c r="N45" s="7">
        <f t="shared" si="8"/>
        <v>8</v>
      </c>
    </row>
    <row r="46" hidden="1">
      <c r="B46" s="3" t="s">
        <v>136</v>
      </c>
      <c r="C46" s="5" t="s">
        <v>137</v>
      </c>
      <c r="D46" s="3">
        <v>10.0</v>
      </c>
      <c r="E46" s="3">
        <v>10.0</v>
      </c>
      <c r="F46" s="3">
        <f t="shared" si="1"/>
        <v>2</v>
      </c>
      <c r="G46" s="5" t="str">
        <f>IFERROR(__xludf.DUMMYFUNCTION("""COMPUTED_VALUE"""),"https://github.com/SrujanKVK/23f2003652-ds.study.iitm.ac.in__London-500")</f>
        <v>https://github.com/SrujanKVK/23f2003652-ds.study.iitm.ac.in__London-500</v>
      </c>
      <c r="H46" s="3">
        <f t="shared" si="2"/>
        <v>5</v>
      </c>
      <c r="I46" s="3">
        <f t="shared" si="3"/>
        <v>0</v>
      </c>
      <c r="J46" s="3">
        <f t="shared" si="4"/>
        <v>8</v>
      </c>
      <c r="K46" s="3">
        <f t="shared" si="5"/>
        <v>0</v>
      </c>
      <c r="L46" s="7">
        <f t="shared" si="6"/>
        <v>3</v>
      </c>
      <c r="M46" s="7">
        <f t="shared" si="7"/>
        <v>0</v>
      </c>
      <c r="N46" s="7">
        <f t="shared" si="8"/>
        <v>4</v>
      </c>
    </row>
    <row r="47" hidden="1">
      <c r="B47" s="3" t="s">
        <v>138</v>
      </c>
      <c r="C47" s="5" t="s">
        <v>132</v>
      </c>
      <c r="D47" s="3">
        <v>0.0</v>
      </c>
      <c r="E47" s="3">
        <v>3.0</v>
      </c>
      <c r="F47" s="3">
        <f t="shared" si="1"/>
        <v>2</v>
      </c>
      <c r="G47" s="5" t="str">
        <f>IFERROR(__xludf.DUMMYFUNCTION("""COMPUTED_VALUE"""),"https://github.com/nishant1909/TDS-Project-1")</f>
        <v>https://github.com/nishant1909/TDS-Project-1</v>
      </c>
      <c r="H47" s="3">
        <f t="shared" si="2"/>
        <v>10</v>
      </c>
      <c r="I47" s="3">
        <f t="shared" si="3"/>
        <v>0</v>
      </c>
      <c r="J47" s="3">
        <f t="shared" si="4"/>
        <v>9</v>
      </c>
      <c r="K47" s="3">
        <f t="shared" si="5"/>
        <v>8</v>
      </c>
      <c r="L47" s="7">
        <f t="shared" si="6"/>
        <v>1</v>
      </c>
      <c r="M47" s="7">
        <f t="shared" si="7"/>
        <v>8</v>
      </c>
      <c r="N47" s="7">
        <f t="shared" si="8"/>
        <v>8.5</v>
      </c>
    </row>
    <row r="48" hidden="1">
      <c r="B48" s="3" t="s">
        <v>139</v>
      </c>
      <c r="C48" s="5" t="s">
        <v>140</v>
      </c>
      <c r="D48" s="3">
        <v>3.0</v>
      </c>
      <c r="E48" s="3">
        <v>7.0</v>
      </c>
      <c r="F48" s="3">
        <f t="shared" si="1"/>
        <v>1</v>
      </c>
      <c r="G48" s="5" t="str">
        <f>IFERROR(__xludf.DUMMYFUNCTION("""COMPUTED_VALUE"""),"https://github.com/Gajanan09/GithubAustinUsers/blob/main/main.py")</f>
        <v>https://github.com/Gajanan09/GithubAustinUsers/blob/main/main.py</v>
      </c>
      <c r="H48" s="3">
        <f t="shared" si="2"/>
        <v>10</v>
      </c>
      <c r="I48" s="3">
        <f t="shared" si="3"/>
        <v>10</v>
      </c>
      <c r="J48" s="3" t="str">
        <f t="shared" si="4"/>
        <v>No reviews</v>
      </c>
      <c r="K48" s="3" t="str">
        <f t="shared" si="5"/>
        <v>No reviews</v>
      </c>
      <c r="L48" s="7" t="str">
        <f t="shared" si="6"/>
        <v> </v>
      </c>
      <c r="M48" s="7" t="str">
        <f t="shared" si="7"/>
        <v> </v>
      </c>
      <c r="N48" s="7">
        <f t="shared" si="8"/>
        <v>10</v>
      </c>
    </row>
    <row r="49" hidden="1">
      <c r="B49" s="3" t="s">
        <v>141</v>
      </c>
      <c r="C49" s="5" t="s">
        <v>142</v>
      </c>
      <c r="D49" s="3">
        <v>5.0</v>
      </c>
      <c r="E49" s="3">
        <v>0.0</v>
      </c>
      <c r="F49" s="3">
        <f t="shared" si="1"/>
        <v>2</v>
      </c>
      <c r="G49" s="5" t="str">
        <f>IFERROR(__xludf.DUMMYFUNCTION("""COMPUTED_VALUE"""),"https://github.com/rishitaguptaaa/IITM_TDS_Project1")</f>
        <v>https://github.com/rishitaguptaaa/IITM_TDS_Project1</v>
      </c>
      <c r="H49" s="3">
        <f t="shared" si="2"/>
        <v>8</v>
      </c>
      <c r="I49" s="3">
        <f t="shared" si="3"/>
        <v>10</v>
      </c>
      <c r="J49" s="3">
        <f t="shared" si="4"/>
        <v>7</v>
      </c>
      <c r="K49" s="3">
        <f t="shared" si="5"/>
        <v>9</v>
      </c>
      <c r="L49" s="7">
        <f t="shared" si="6"/>
        <v>1</v>
      </c>
      <c r="M49" s="7">
        <f t="shared" si="7"/>
        <v>1</v>
      </c>
      <c r="N49" s="7">
        <f t="shared" si="8"/>
        <v>9</v>
      </c>
    </row>
    <row r="50" hidden="1">
      <c r="B50" s="3" t="s">
        <v>143</v>
      </c>
      <c r="C50" s="5" t="s">
        <v>144</v>
      </c>
      <c r="D50" s="3">
        <v>10.0</v>
      </c>
      <c r="E50" s="3">
        <v>0.0</v>
      </c>
      <c r="F50" s="3">
        <f t="shared" si="1"/>
        <v>2</v>
      </c>
      <c r="G50" s="5" t="str">
        <f>IFERROR(__xludf.DUMMYFUNCTION("""COMPUTED_VALUE"""),"https://github.com/harshshah-codes/TDS-project-1")</f>
        <v>https://github.com/harshshah-codes/TDS-project-1</v>
      </c>
      <c r="H50" s="3">
        <f t="shared" si="2"/>
        <v>10</v>
      </c>
      <c r="I50" s="3">
        <f t="shared" si="3"/>
        <v>10</v>
      </c>
      <c r="J50" s="3">
        <f t="shared" si="4"/>
        <v>8</v>
      </c>
      <c r="K50" s="3">
        <f t="shared" si="5"/>
        <v>5</v>
      </c>
      <c r="L50" s="7">
        <f t="shared" si="6"/>
        <v>2</v>
      </c>
      <c r="M50" s="7">
        <f t="shared" si="7"/>
        <v>5</v>
      </c>
      <c r="N50" s="7">
        <f t="shared" si="8"/>
        <v>10</v>
      </c>
    </row>
    <row r="51" hidden="1">
      <c r="B51" s="3" t="s">
        <v>145</v>
      </c>
      <c r="C51" s="5" t="s">
        <v>146</v>
      </c>
      <c r="D51" s="3">
        <v>10.0</v>
      </c>
      <c r="E51" s="3">
        <v>10.0</v>
      </c>
      <c r="F51" s="3">
        <f t="shared" si="1"/>
        <v>2</v>
      </c>
      <c r="G51" s="5" t="str">
        <f>IFERROR(__xludf.DUMMYFUNCTION("""COMPUTED_VALUE"""),"https://github.com/Nimbus29/TDS-Project_1")</f>
        <v>https://github.com/Nimbus29/TDS-Project_1</v>
      </c>
      <c r="H51" s="3">
        <f t="shared" si="2"/>
        <v>10</v>
      </c>
      <c r="I51" s="3">
        <f t="shared" si="3"/>
        <v>10</v>
      </c>
      <c r="J51" s="3">
        <f t="shared" si="4"/>
        <v>8</v>
      </c>
      <c r="K51" s="3">
        <f t="shared" si="5"/>
        <v>5</v>
      </c>
      <c r="L51" s="7">
        <f t="shared" si="6"/>
        <v>2</v>
      </c>
      <c r="M51" s="7">
        <f t="shared" si="7"/>
        <v>5</v>
      </c>
      <c r="N51" s="7">
        <f t="shared" si="8"/>
        <v>10</v>
      </c>
    </row>
    <row r="52" hidden="1">
      <c r="B52" s="3" t="s">
        <v>147</v>
      </c>
      <c r="C52" s="5" t="s">
        <v>148</v>
      </c>
      <c r="D52" s="3">
        <v>8.0</v>
      </c>
      <c r="E52" s="3">
        <v>10.0</v>
      </c>
      <c r="F52" s="3">
        <f t="shared" si="1"/>
        <v>2</v>
      </c>
      <c r="G52" s="5" t="str">
        <f>IFERROR(__xludf.DUMMYFUNCTION("""COMPUTED_VALUE"""),"https://github.com/manojp23/TDS-Project-1")</f>
        <v>https://github.com/manojp23/TDS-Project-1</v>
      </c>
      <c r="H52" s="3">
        <f t="shared" si="2"/>
        <v>10</v>
      </c>
      <c r="I52" s="3">
        <f t="shared" si="3"/>
        <v>10</v>
      </c>
      <c r="J52" s="3">
        <f t="shared" si="4"/>
        <v>8</v>
      </c>
      <c r="K52" s="3">
        <f t="shared" si="5"/>
        <v>0</v>
      </c>
      <c r="L52" s="7">
        <f t="shared" si="6"/>
        <v>2</v>
      </c>
      <c r="M52" s="7">
        <f t="shared" si="7"/>
        <v>10</v>
      </c>
      <c r="N52" s="7">
        <f t="shared" si="8"/>
        <v>10</v>
      </c>
    </row>
    <row r="53" hidden="1">
      <c r="B53" s="3" t="s">
        <v>149</v>
      </c>
      <c r="C53" s="5" t="s">
        <v>150</v>
      </c>
      <c r="D53" s="3">
        <v>10.0</v>
      </c>
      <c r="E53" s="3">
        <v>10.0</v>
      </c>
      <c r="F53" s="3">
        <f t="shared" si="1"/>
        <v>2</v>
      </c>
      <c r="G53" s="5" t="str">
        <f>IFERROR(__xludf.DUMMYFUNCTION("""COMPUTED_VALUE"""),"https://github.com/sri-4122/TDS-PROJECT1-FINAL")</f>
        <v>https://github.com/sri-4122/TDS-PROJECT1-FINAL</v>
      </c>
      <c r="H53" s="3">
        <f t="shared" si="2"/>
        <v>10</v>
      </c>
      <c r="I53" s="3">
        <f t="shared" si="3"/>
        <v>8</v>
      </c>
      <c r="J53" s="3">
        <f t="shared" si="4"/>
        <v>10</v>
      </c>
      <c r="K53" s="3">
        <f t="shared" si="5"/>
        <v>10</v>
      </c>
      <c r="L53" s="7">
        <f t="shared" si="6"/>
        <v>0</v>
      </c>
      <c r="M53" s="7">
        <f t="shared" si="7"/>
        <v>2</v>
      </c>
      <c r="N53" s="7">
        <f t="shared" si="8"/>
        <v>10</v>
      </c>
    </row>
    <row r="54" hidden="1">
      <c r="B54" s="3" t="s">
        <v>151</v>
      </c>
      <c r="C54" s="5" t="s">
        <v>152</v>
      </c>
      <c r="D54" s="3">
        <v>10.0</v>
      </c>
      <c r="E54" s="3">
        <v>10.0</v>
      </c>
      <c r="F54" s="3">
        <f t="shared" si="1"/>
        <v>1</v>
      </c>
      <c r="G54" s="5" t="str">
        <f>IFERROR(__xludf.DUMMYFUNCTION("""COMPUTED_VALUE"""),"https://github.com/Aryan-Mishra24/TDS_PROJECT1")</f>
        <v>https://github.com/Aryan-Mishra24/TDS_PROJECT1</v>
      </c>
      <c r="H54" s="3">
        <f t="shared" si="2"/>
        <v>7</v>
      </c>
      <c r="I54" s="3">
        <f t="shared" si="3"/>
        <v>0</v>
      </c>
      <c r="J54" s="3" t="str">
        <f t="shared" si="4"/>
        <v>No reviews</v>
      </c>
      <c r="K54" s="3" t="str">
        <f t="shared" si="5"/>
        <v>No reviews</v>
      </c>
      <c r="L54" s="7" t="str">
        <f t="shared" si="6"/>
        <v> </v>
      </c>
      <c r="M54" s="7" t="str">
        <f t="shared" si="7"/>
        <v> </v>
      </c>
      <c r="N54" s="7">
        <f t="shared" si="8"/>
        <v>3.5</v>
      </c>
    </row>
    <row r="55" hidden="1">
      <c r="B55" s="3" t="s">
        <v>153</v>
      </c>
      <c r="C55" s="5" t="s">
        <v>154</v>
      </c>
      <c r="D55" s="3">
        <v>10.0</v>
      </c>
      <c r="E55" s="3">
        <v>10.0</v>
      </c>
      <c r="F55" s="3">
        <f t="shared" si="1"/>
        <v>2</v>
      </c>
      <c r="G55" s="5" t="str">
        <f>IFERROR(__xludf.DUMMYFUNCTION("""COMPUTED_VALUE"""),"https://github.com/Rajat1164/tdsproject")</f>
        <v>https://github.com/Rajat1164/tdsproject</v>
      </c>
      <c r="H55" s="3">
        <f t="shared" si="2"/>
        <v>8</v>
      </c>
      <c r="I55" s="3">
        <f t="shared" si="3"/>
        <v>10</v>
      </c>
      <c r="J55" s="3">
        <f t="shared" si="4"/>
        <v>10</v>
      </c>
      <c r="K55" s="3">
        <f t="shared" si="5"/>
        <v>10</v>
      </c>
      <c r="L55" s="7">
        <f t="shared" si="6"/>
        <v>2</v>
      </c>
      <c r="M55" s="7">
        <f t="shared" si="7"/>
        <v>0</v>
      </c>
      <c r="N55" s="7">
        <f t="shared" si="8"/>
        <v>10</v>
      </c>
    </row>
    <row r="56" hidden="1">
      <c r="B56" s="3" t="s">
        <v>155</v>
      </c>
      <c r="C56" s="5" t="s">
        <v>156</v>
      </c>
      <c r="D56" s="3">
        <v>10.0</v>
      </c>
      <c r="E56" s="3">
        <v>8.0</v>
      </c>
      <c r="F56" s="3">
        <f t="shared" si="1"/>
        <v>2</v>
      </c>
      <c r="G56" s="5" t="str">
        <f>IFERROR(__xludf.DUMMYFUNCTION("""COMPUTED_VALUE"""),"https://github.com/reddevilrohith/TDS_PROJ1")</f>
        <v>https://github.com/reddevilrohith/TDS_PROJ1</v>
      </c>
      <c r="H56" s="3">
        <f t="shared" si="2"/>
        <v>7</v>
      </c>
      <c r="I56" s="3">
        <f t="shared" si="3"/>
        <v>0</v>
      </c>
      <c r="J56" s="3">
        <f t="shared" si="4"/>
        <v>10</v>
      </c>
      <c r="K56" s="3">
        <f t="shared" si="5"/>
        <v>10</v>
      </c>
      <c r="L56" s="7">
        <f t="shared" si="6"/>
        <v>3</v>
      </c>
      <c r="M56" s="7">
        <f t="shared" si="7"/>
        <v>10</v>
      </c>
      <c r="N56" s="7">
        <f t="shared" si="8"/>
        <v>10</v>
      </c>
    </row>
    <row r="57" hidden="1">
      <c r="B57" s="3" t="s">
        <v>157</v>
      </c>
      <c r="C57" s="5" t="s">
        <v>158</v>
      </c>
      <c r="D57" s="3">
        <v>7.0</v>
      </c>
      <c r="E57" s="3">
        <v>0.0</v>
      </c>
      <c r="F57" s="3">
        <f t="shared" si="1"/>
        <v>2</v>
      </c>
      <c r="G57" s="5" t="str">
        <f>IFERROR(__xludf.DUMMYFUNCTION("""COMPUTED_VALUE"""),"https://github.com/KarthikKalashLGS/TDSProject1")</f>
        <v>https://github.com/KarthikKalashLGS/TDSProject1</v>
      </c>
      <c r="H57" s="3">
        <f t="shared" si="2"/>
        <v>9</v>
      </c>
      <c r="I57" s="3">
        <f t="shared" si="3"/>
        <v>9</v>
      </c>
      <c r="J57" s="3">
        <f t="shared" si="4"/>
        <v>8</v>
      </c>
      <c r="K57" s="3">
        <f t="shared" si="5"/>
        <v>0</v>
      </c>
      <c r="L57" s="7">
        <f t="shared" si="6"/>
        <v>1</v>
      </c>
      <c r="M57" s="7">
        <f t="shared" si="7"/>
        <v>9</v>
      </c>
      <c r="N57" s="7">
        <f t="shared" si="8"/>
        <v>9</v>
      </c>
    </row>
    <row r="58" hidden="1">
      <c r="B58" s="3" t="s">
        <v>159</v>
      </c>
      <c r="C58" s="5" t="s">
        <v>160</v>
      </c>
      <c r="D58" s="3">
        <v>8.0</v>
      </c>
      <c r="E58" s="3">
        <v>10.0</v>
      </c>
      <c r="F58" s="3">
        <f t="shared" si="1"/>
        <v>2</v>
      </c>
      <c r="G58" s="5" t="str">
        <f>IFERROR(__xludf.DUMMYFUNCTION("""COMPUTED_VALUE"""),"https://github.com/stu2262/IITM_TDS_Proj1")</f>
        <v>https://github.com/stu2262/IITM_TDS_Proj1</v>
      </c>
      <c r="H58" s="3">
        <f t="shared" si="2"/>
        <v>7</v>
      </c>
      <c r="I58" s="3">
        <f t="shared" si="3"/>
        <v>9</v>
      </c>
      <c r="J58" s="3">
        <f t="shared" si="4"/>
        <v>10</v>
      </c>
      <c r="K58" s="3">
        <f t="shared" si="5"/>
        <v>0</v>
      </c>
      <c r="L58" s="7">
        <f t="shared" si="6"/>
        <v>3</v>
      </c>
      <c r="M58" s="7">
        <f t="shared" si="7"/>
        <v>9</v>
      </c>
      <c r="N58" s="7">
        <f t="shared" si="8"/>
        <v>8</v>
      </c>
    </row>
    <row r="59" hidden="1">
      <c r="B59" s="3" t="s">
        <v>161</v>
      </c>
      <c r="C59" s="5" t="s">
        <v>162</v>
      </c>
      <c r="D59" s="3">
        <v>7.0</v>
      </c>
      <c r="E59" s="3">
        <v>0.0</v>
      </c>
      <c r="F59" s="3">
        <f t="shared" si="1"/>
        <v>1</v>
      </c>
      <c r="G59" s="5" t="str">
        <f>IFERROR(__xludf.DUMMYFUNCTION("""COMPUTED_VALUE"""),"https://github.com/rishisni/TDS-Project-1")</f>
        <v>https://github.com/rishisni/TDS-Project-1</v>
      </c>
      <c r="H59" s="3">
        <f t="shared" si="2"/>
        <v>10</v>
      </c>
      <c r="I59" s="3">
        <f t="shared" si="3"/>
        <v>10</v>
      </c>
      <c r="J59" s="3" t="str">
        <f t="shared" si="4"/>
        <v>No reviews</v>
      </c>
      <c r="K59" s="3" t="str">
        <f t="shared" si="5"/>
        <v>No reviews</v>
      </c>
      <c r="L59" s="7" t="str">
        <f t="shared" si="6"/>
        <v> </v>
      </c>
      <c r="M59" s="7" t="str">
        <f t="shared" si="7"/>
        <v> </v>
      </c>
      <c r="N59" s="7">
        <f t="shared" si="8"/>
        <v>10</v>
      </c>
    </row>
    <row r="60" hidden="1">
      <c r="B60" s="3" t="s">
        <v>163</v>
      </c>
      <c r="C60" s="5" t="s">
        <v>164</v>
      </c>
      <c r="D60" s="3">
        <v>9.0</v>
      </c>
      <c r="E60" s="3">
        <v>9.0</v>
      </c>
      <c r="F60" s="3">
        <f t="shared" si="1"/>
        <v>2</v>
      </c>
      <c r="G60" s="5" t="str">
        <f>IFERROR(__xludf.DUMMYFUNCTION("""COMPUTED_VALUE"""),"https://github.com/so-what-ik/TDS_Project1")</f>
        <v>https://github.com/so-what-ik/TDS_Project1</v>
      </c>
      <c r="H60" s="3">
        <f t="shared" si="2"/>
        <v>2</v>
      </c>
      <c r="I60" s="3">
        <f t="shared" si="3"/>
        <v>9</v>
      </c>
      <c r="J60" s="3">
        <f t="shared" si="4"/>
        <v>8</v>
      </c>
      <c r="K60" s="3">
        <f t="shared" si="5"/>
        <v>9</v>
      </c>
      <c r="L60" s="7">
        <f t="shared" si="6"/>
        <v>6</v>
      </c>
      <c r="M60" s="7">
        <f t="shared" si="7"/>
        <v>0</v>
      </c>
      <c r="N60" s="7">
        <f t="shared" si="8"/>
        <v>8.5</v>
      </c>
    </row>
    <row r="61" hidden="1">
      <c r="B61" s="3" t="s">
        <v>165</v>
      </c>
      <c r="C61" s="5" t="s">
        <v>166</v>
      </c>
      <c r="D61" s="3">
        <v>7.0</v>
      </c>
      <c r="E61" s="3">
        <v>9.0</v>
      </c>
      <c r="F61" s="3">
        <f t="shared" si="1"/>
        <v>2</v>
      </c>
      <c r="G61" s="5" t="str">
        <f>IFERROR(__xludf.DUMMYFUNCTION("""COMPUTED_VALUE"""),"https://github.com/akshaykashyap003/tds_project1")</f>
        <v>https://github.com/akshaykashyap003/tds_project1</v>
      </c>
      <c r="H61" s="3">
        <f t="shared" si="2"/>
        <v>6</v>
      </c>
      <c r="I61" s="3">
        <f t="shared" si="3"/>
        <v>10</v>
      </c>
      <c r="J61" s="3">
        <f t="shared" si="4"/>
        <v>5</v>
      </c>
      <c r="K61" s="3">
        <f t="shared" si="5"/>
        <v>10</v>
      </c>
      <c r="L61" s="7">
        <f t="shared" si="6"/>
        <v>1</v>
      </c>
      <c r="M61" s="7">
        <f t="shared" si="7"/>
        <v>0</v>
      </c>
      <c r="N61" s="7">
        <f t="shared" si="8"/>
        <v>8</v>
      </c>
    </row>
    <row r="62" hidden="1">
      <c r="B62" s="3" t="s">
        <v>167</v>
      </c>
      <c r="C62" s="5" t="s">
        <v>91</v>
      </c>
      <c r="D62" s="3">
        <v>0.0</v>
      </c>
      <c r="E62" s="3">
        <v>0.0</v>
      </c>
      <c r="F62" s="3">
        <f t="shared" si="1"/>
        <v>2</v>
      </c>
      <c r="G62" s="5" t="str">
        <f>IFERROR(__xludf.DUMMYFUNCTION("""COMPUTED_VALUE"""),"https://github.com/AarushiVe/chennai50")</f>
        <v>https://github.com/AarushiVe/chennai50</v>
      </c>
      <c r="H62" s="3">
        <f t="shared" si="2"/>
        <v>2</v>
      </c>
      <c r="I62" s="3">
        <f t="shared" si="3"/>
        <v>5</v>
      </c>
      <c r="J62" s="3">
        <f t="shared" si="4"/>
        <v>10</v>
      </c>
      <c r="K62" s="3">
        <f t="shared" si="5"/>
        <v>10</v>
      </c>
      <c r="L62" s="7">
        <f t="shared" si="6"/>
        <v>8</v>
      </c>
      <c r="M62" s="7">
        <f t="shared" si="7"/>
        <v>5</v>
      </c>
      <c r="N62" s="7">
        <f t="shared" si="8"/>
        <v>10</v>
      </c>
    </row>
    <row r="63" hidden="1">
      <c r="B63" s="3" t="s">
        <v>168</v>
      </c>
      <c r="C63" s="5" t="s">
        <v>169</v>
      </c>
      <c r="D63" s="3">
        <v>10.0</v>
      </c>
      <c r="E63" s="3">
        <v>10.0</v>
      </c>
      <c r="F63" s="3">
        <f t="shared" si="1"/>
        <v>2</v>
      </c>
      <c r="G63" s="5" t="str">
        <f>IFERROR(__xludf.DUMMYFUNCTION("""COMPUTED_VALUE"""),"https://github.com/VishakhAgarwal/proj1")</f>
        <v>https://github.com/VishakhAgarwal/proj1</v>
      </c>
      <c r="H63" s="3">
        <f t="shared" si="2"/>
        <v>0</v>
      </c>
      <c r="I63" s="3">
        <f t="shared" si="3"/>
        <v>0</v>
      </c>
      <c r="J63" s="3">
        <f t="shared" si="4"/>
        <v>5</v>
      </c>
      <c r="K63" s="3">
        <f t="shared" si="5"/>
        <v>5</v>
      </c>
      <c r="L63" s="7">
        <f t="shared" si="6"/>
        <v>5</v>
      </c>
      <c r="M63" s="7">
        <f t="shared" si="7"/>
        <v>5</v>
      </c>
      <c r="N63" s="7">
        <f t="shared" si="8"/>
        <v>5</v>
      </c>
    </row>
    <row r="64" hidden="1">
      <c r="B64" s="3" t="s">
        <v>170</v>
      </c>
      <c r="C64" s="5" t="s">
        <v>171</v>
      </c>
      <c r="D64" s="3">
        <v>2.0</v>
      </c>
      <c r="E64" s="3">
        <v>9.0</v>
      </c>
      <c r="F64" s="3">
        <f t="shared" si="1"/>
        <v>2</v>
      </c>
      <c r="G64" s="5" t="str">
        <f>IFERROR(__xludf.DUMMYFUNCTION("""COMPUTED_VALUE"""),"https://github.com/notnikita21/TDS-Project-1")</f>
        <v>https://github.com/notnikita21/TDS-Project-1</v>
      </c>
      <c r="H64" s="3">
        <f t="shared" si="2"/>
        <v>5</v>
      </c>
      <c r="I64" s="3">
        <f t="shared" si="3"/>
        <v>2</v>
      </c>
      <c r="J64" s="3">
        <f t="shared" si="4"/>
        <v>8</v>
      </c>
      <c r="K64" s="3">
        <f t="shared" si="5"/>
        <v>0</v>
      </c>
      <c r="L64" s="7">
        <f t="shared" si="6"/>
        <v>3</v>
      </c>
      <c r="M64" s="7">
        <f t="shared" si="7"/>
        <v>2</v>
      </c>
      <c r="N64" s="7">
        <f t="shared" si="8"/>
        <v>4</v>
      </c>
    </row>
    <row r="65" hidden="1">
      <c r="B65" s="3" t="s">
        <v>172</v>
      </c>
      <c r="C65" s="5" t="s">
        <v>173</v>
      </c>
      <c r="D65" s="3">
        <v>6.0</v>
      </c>
      <c r="E65" s="3">
        <v>10.0</v>
      </c>
      <c r="F65" s="3">
        <f t="shared" si="1"/>
        <v>2</v>
      </c>
      <c r="G65" s="5" t="str">
        <f>IFERROR(__xludf.DUMMYFUNCTION("""COMPUTED_VALUE"""),"https://github.com/VijeethC300/BangaloreGitHubUsers")</f>
        <v>https://github.com/VijeethC300/BangaloreGitHubUsers</v>
      </c>
      <c r="H65" s="3">
        <f t="shared" si="2"/>
        <v>10</v>
      </c>
      <c r="I65" s="3">
        <f t="shared" si="3"/>
        <v>8</v>
      </c>
      <c r="J65" s="3">
        <f t="shared" si="4"/>
        <v>9</v>
      </c>
      <c r="K65" s="3">
        <f t="shared" si="5"/>
        <v>10</v>
      </c>
      <c r="L65" s="7">
        <f t="shared" si="6"/>
        <v>1</v>
      </c>
      <c r="M65" s="7">
        <f t="shared" si="7"/>
        <v>2</v>
      </c>
      <c r="N65" s="7">
        <f t="shared" si="8"/>
        <v>9.5</v>
      </c>
    </row>
    <row r="66" hidden="1">
      <c r="B66" s="3" t="s">
        <v>174</v>
      </c>
      <c r="C66" s="5" t="s">
        <v>175</v>
      </c>
      <c r="D66" s="3">
        <v>2.0</v>
      </c>
      <c r="E66" s="3">
        <v>5.0</v>
      </c>
      <c r="F66" s="3">
        <f t="shared" si="1"/>
        <v>2</v>
      </c>
      <c r="G66" s="5" t="str">
        <f>IFERROR(__xludf.DUMMYFUNCTION("""COMPUTED_VALUE"""),"https://github.com/Jayaraja-SK/TDS-Project1")</f>
        <v>https://github.com/Jayaraja-SK/TDS-Project1</v>
      </c>
      <c r="H66" s="3">
        <f t="shared" si="2"/>
        <v>8</v>
      </c>
      <c r="I66" s="3">
        <f t="shared" si="3"/>
        <v>8</v>
      </c>
      <c r="J66" s="3">
        <f t="shared" si="4"/>
        <v>7</v>
      </c>
      <c r="K66" s="3">
        <f t="shared" si="5"/>
        <v>9</v>
      </c>
      <c r="L66" s="7">
        <f t="shared" si="6"/>
        <v>1</v>
      </c>
      <c r="M66" s="7">
        <f t="shared" si="7"/>
        <v>1</v>
      </c>
      <c r="N66" s="7">
        <f t="shared" si="8"/>
        <v>8</v>
      </c>
    </row>
    <row r="67" hidden="1">
      <c r="B67" s="3" t="s">
        <v>176</v>
      </c>
      <c r="C67" s="5" t="s">
        <v>177</v>
      </c>
      <c r="D67" s="3">
        <v>0.0</v>
      </c>
      <c r="E67" s="3">
        <v>0.0</v>
      </c>
      <c r="F67" s="3">
        <f t="shared" si="1"/>
        <v>2</v>
      </c>
      <c r="G67" s="5" t="str">
        <f>IFERROR(__xludf.DUMMYFUNCTION("""COMPUTED_VALUE"""),"https://github.com/NEELU9931/tds5")</f>
        <v>https://github.com/NEELU9931/tds5</v>
      </c>
      <c r="H67" s="3">
        <f t="shared" si="2"/>
        <v>9</v>
      </c>
      <c r="I67" s="3">
        <f t="shared" si="3"/>
        <v>0</v>
      </c>
      <c r="J67" s="3">
        <f t="shared" si="4"/>
        <v>8</v>
      </c>
      <c r="K67" s="3">
        <f t="shared" si="5"/>
        <v>0</v>
      </c>
      <c r="L67" s="7">
        <f t="shared" si="6"/>
        <v>1</v>
      </c>
      <c r="M67" s="7">
        <f t="shared" si="7"/>
        <v>0</v>
      </c>
      <c r="N67" s="7">
        <f t="shared" si="8"/>
        <v>4.5</v>
      </c>
    </row>
    <row r="68" hidden="1">
      <c r="B68" s="3" t="s">
        <v>178</v>
      </c>
      <c r="C68" s="5" t="s">
        <v>179</v>
      </c>
      <c r="D68" s="3">
        <v>5.0</v>
      </c>
      <c r="E68" s="3">
        <v>2.0</v>
      </c>
      <c r="F68" s="3">
        <f t="shared" si="1"/>
        <v>2</v>
      </c>
      <c r="G68" s="5" t="str">
        <f>IFERROR(__xludf.DUMMYFUNCTION("""COMPUTED_VALUE"""),"https://github.com/anand-ballabh/TDS-Project-1")</f>
        <v>https://github.com/anand-ballabh/TDS-Project-1</v>
      </c>
      <c r="H68" s="3">
        <f t="shared" si="2"/>
        <v>6</v>
      </c>
      <c r="I68" s="3">
        <f t="shared" si="3"/>
        <v>8</v>
      </c>
      <c r="J68" s="3">
        <f t="shared" si="4"/>
        <v>10</v>
      </c>
      <c r="K68" s="3">
        <f t="shared" si="5"/>
        <v>10</v>
      </c>
      <c r="L68" s="7">
        <f t="shared" si="6"/>
        <v>4</v>
      </c>
      <c r="M68" s="7">
        <f t="shared" si="7"/>
        <v>2</v>
      </c>
      <c r="N68" s="7">
        <f t="shared" si="8"/>
        <v>10</v>
      </c>
    </row>
    <row r="69" hidden="1">
      <c r="B69" s="3" t="s">
        <v>180</v>
      </c>
      <c r="C69" s="5" t="s">
        <v>181</v>
      </c>
      <c r="D69" s="3">
        <v>10.0</v>
      </c>
      <c r="E69" s="3">
        <v>8.0</v>
      </c>
      <c r="F69" s="3">
        <f t="shared" si="1"/>
        <v>2</v>
      </c>
      <c r="G69" s="5" t="str">
        <f>IFERROR(__xludf.DUMMYFUNCTION("""COMPUTED_VALUE"""),"https://github.com/rebornphoenix01/TDSProject1")</f>
        <v>https://github.com/rebornphoenix01/TDSProject1</v>
      </c>
      <c r="H69" s="3">
        <f t="shared" si="2"/>
        <v>10</v>
      </c>
      <c r="I69" s="3">
        <f t="shared" si="3"/>
        <v>10</v>
      </c>
      <c r="J69" s="3">
        <f t="shared" si="4"/>
        <v>10</v>
      </c>
      <c r="K69" s="3">
        <f t="shared" si="5"/>
        <v>10</v>
      </c>
      <c r="L69" s="7">
        <f t="shared" si="6"/>
        <v>0</v>
      </c>
      <c r="M69" s="7">
        <f t="shared" si="7"/>
        <v>0</v>
      </c>
      <c r="N69" s="7">
        <f t="shared" si="8"/>
        <v>10</v>
      </c>
    </row>
    <row r="70" hidden="1">
      <c r="B70" s="3" t="s">
        <v>182</v>
      </c>
      <c r="C70" s="5" t="s">
        <v>152</v>
      </c>
      <c r="D70" s="3">
        <v>8.0</v>
      </c>
      <c r="E70" s="3">
        <v>5.0</v>
      </c>
      <c r="F70" s="3">
        <f t="shared" si="1"/>
        <v>1</v>
      </c>
      <c r="G70" s="5" t="str">
        <f>IFERROR(__xludf.DUMMYFUNCTION("""COMPUTED_VALUE"""),"https://github.com/Avinash94567")</f>
        <v>https://github.com/Avinash94567</v>
      </c>
      <c r="H70" s="3">
        <f t="shared" si="2"/>
        <v>10</v>
      </c>
      <c r="I70" s="3">
        <f t="shared" si="3"/>
        <v>10</v>
      </c>
      <c r="J70" s="3" t="str">
        <f t="shared" si="4"/>
        <v>No reviews</v>
      </c>
      <c r="K70" s="3" t="str">
        <f t="shared" si="5"/>
        <v>No reviews</v>
      </c>
      <c r="L70" s="7" t="str">
        <f t="shared" si="6"/>
        <v> </v>
      </c>
      <c r="M70" s="7" t="str">
        <f t="shared" si="7"/>
        <v> </v>
      </c>
      <c r="N70" s="7">
        <f t="shared" si="8"/>
        <v>10</v>
      </c>
    </row>
    <row r="71" hidden="1">
      <c r="B71" s="3" t="s">
        <v>183</v>
      </c>
      <c r="C71" s="5" t="s">
        <v>184</v>
      </c>
      <c r="D71" s="3">
        <v>8.0</v>
      </c>
      <c r="E71" s="3">
        <v>8.0</v>
      </c>
      <c r="F71" s="3">
        <f t="shared" si="1"/>
        <v>1</v>
      </c>
      <c r="G71" s="5" t="str">
        <f>IFERROR(__xludf.DUMMYFUNCTION("""COMPUTED_VALUE"""),"https://github.com/kvaishnavidevi/tds-project-tokyo-200")</f>
        <v>https://github.com/kvaishnavidevi/tds-project-tokyo-200</v>
      </c>
      <c r="H71" s="3">
        <f t="shared" si="2"/>
        <v>7</v>
      </c>
      <c r="I71" s="3">
        <f t="shared" si="3"/>
        <v>9</v>
      </c>
      <c r="J71" s="3" t="str">
        <f t="shared" si="4"/>
        <v>No reviews</v>
      </c>
      <c r="K71" s="3" t="str">
        <f t="shared" si="5"/>
        <v>No reviews</v>
      </c>
      <c r="L71" s="7" t="str">
        <f t="shared" si="6"/>
        <v> </v>
      </c>
      <c r="M71" s="7" t="str">
        <f t="shared" si="7"/>
        <v> </v>
      </c>
      <c r="N71" s="7">
        <f t="shared" si="8"/>
        <v>8</v>
      </c>
    </row>
    <row r="72" hidden="1">
      <c r="B72" s="3" t="s">
        <v>185</v>
      </c>
      <c r="C72" s="5" t="s">
        <v>186</v>
      </c>
      <c r="D72" s="3">
        <v>9.0</v>
      </c>
      <c r="E72" s="3">
        <v>0.0</v>
      </c>
      <c r="F72" s="3">
        <f t="shared" si="1"/>
        <v>2</v>
      </c>
      <c r="G72" s="5" t="str">
        <f>IFERROR(__xludf.DUMMYFUNCTION("""COMPUTED_VALUE"""),"https://github.com/iitmrs/Project1")</f>
        <v>https://github.com/iitmrs/Project1</v>
      </c>
      <c r="H72" s="3">
        <f t="shared" si="2"/>
        <v>8</v>
      </c>
      <c r="I72" s="3">
        <f t="shared" si="3"/>
        <v>10</v>
      </c>
      <c r="J72" s="3">
        <f t="shared" si="4"/>
        <v>6</v>
      </c>
      <c r="K72" s="3">
        <f t="shared" si="5"/>
        <v>0</v>
      </c>
      <c r="L72" s="7">
        <f t="shared" si="6"/>
        <v>2</v>
      </c>
      <c r="M72" s="7">
        <f t="shared" si="7"/>
        <v>10</v>
      </c>
      <c r="N72" s="7">
        <f t="shared" si="8"/>
        <v>9</v>
      </c>
    </row>
    <row r="73" hidden="1">
      <c r="B73" s="3" t="s">
        <v>187</v>
      </c>
      <c r="C73" s="5" t="s">
        <v>188</v>
      </c>
      <c r="D73" s="3">
        <v>6.0</v>
      </c>
      <c r="E73" s="3">
        <v>8.0</v>
      </c>
      <c r="F73" s="3">
        <f t="shared" si="1"/>
        <v>2</v>
      </c>
      <c r="G73" s="5" t="str">
        <f>IFERROR(__xludf.DUMMYFUNCTION("""COMPUTED_VALUE"""),"https://github.com/ragavkish/tds-sg-analysis")</f>
        <v>https://github.com/ragavkish/tds-sg-analysis</v>
      </c>
      <c r="H73" s="3">
        <f t="shared" si="2"/>
        <v>9</v>
      </c>
      <c r="I73" s="3">
        <f t="shared" si="3"/>
        <v>9</v>
      </c>
      <c r="J73" s="3">
        <f t="shared" si="4"/>
        <v>7</v>
      </c>
      <c r="K73" s="3">
        <f t="shared" si="5"/>
        <v>7</v>
      </c>
      <c r="L73" s="7">
        <f t="shared" si="6"/>
        <v>2</v>
      </c>
      <c r="M73" s="7">
        <f t="shared" si="7"/>
        <v>2</v>
      </c>
      <c r="N73" s="7">
        <f t="shared" si="8"/>
        <v>9</v>
      </c>
    </row>
    <row r="74" hidden="1">
      <c r="B74" s="3" t="s">
        <v>189</v>
      </c>
      <c r="C74" s="5" t="s">
        <v>190</v>
      </c>
      <c r="D74" s="3">
        <v>10.0</v>
      </c>
      <c r="E74" s="3">
        <v>10.0</v>
      </c>
      <c r="F74" s="3">
        <f t="shared" si="1"/>
        <v>1</v>
      </c>
      <c r="G74" s="5" t="str">
        <f>IFERROR(__xludf.DUMMYFUNCTION("""COMPUTED_VALUE"""),"https://github.com/sapiitm/tds")</f>
        <v>https://github.com/sapiitm/tds</v>
      </c>
      <c r="H74" s="3">
        <f t="shared" si="2"/>
        <v>10</v>
      </c>
      <c r="I74" s="3">
        <f t="shared" si="3"/>
        <v>10</v>
      </c>
      <c r="J74" s="3" t="str">
        <f t="shared" si="4"/>
        <v>No reviews</v>
      </c>
      <c r="K74" s="3" t="str">
        <f t="shared" si="5"/>
        <v>No reviews</v>
      </c>
      <c r="L74" s="7" t="str">
        <f t="shared" si="6"/>
        <v> </v>
      </c>
      <c r="M74" s="7" t="str">
        <f t="shared" si="7"/>
        <v> </v>
      </c>
      <c r="N74" s="7">
        <f t="shared" si="8"/>
        <v>10</v>
      </c>
    </row>
    <row r="75" hidden="1">
      <c r="B75" s="3" t="s">
        <v>191</v>
      </c>
      <c r="C75" s="5" t="s">
        <v>192</v>
      </c>
      <c r="D75" s="3">
        <v>10.0</v>
      </c>
      <c r="E75" s="3">
        <v>10.0</v>
      </c>
      <c r="F75" s="3">
        <f t="shared" si="1"/>
        <v>2</v>
      </c>
      <c r="G75" s="5" t="str">
        <f>IFERROR(__xludf.DUMMYFUNCTION("""COMPUTED_VALUE"""),"https://github.com/Yogesh-005/pro1")</f>
        <v>https://github.com/Yogesh-005/pro1</v>
      </c>
      <c r="H75" s="3">
        <f t="shared" si="2"/>
        <v>6</v>
      </c>
      <c r="I75" s="3">
        <f t="shared" si="3"/>
        <v>6</v>
      </c>
      <c r="J75" s="3">
        <f t="shared" si="4"/>
        <v>0</v>
      </c>
      <c r="K75" s="3">
        <f t="shared" si="5"/>
        <v>8</v>
      </c>
      <c r="L75" s="7">
        <f t="shared" si="6"/>
        <v>6</v>
      </c>
      <c r="M75" s="7">
        <f t="shared" si="7"/>
        <v>2</v>
      </c>
      <c r="N75" s="7">
        <f t="shared" si="8"/>
        <v>6</v>
      </c>
    </row>
    <row r="76" hidden="1">
      <c r="B76" s="3" t="s">
        <v>193</v>
      </c>
      <c r="C76" s="5" t="s">
        <v>194</v>
      </c>
      <c r="D76" s="3">
        <v>7.0</v>
      </c>
      <c r="E76" s="3">
        <v>9.0</v>
      </c>
      <c r="F76" s="3">
        <f t="shared" si="1"/>
        <v>1</v>
      </c>
      <c r="G76" s="5" t="str">
        <f>IFERROR(__xludf.DUMMYFUNCTION("""COMPUTED_VALUE"""),"https://github.com/BISWASAHANA/GitScrapy")</f>
        <v>https://github.com/BISWASAHANA/GitScrapy</v>
      </c>
      <c r="H76" s="3">
        <f t="shared" si="2"/>
        <v>9</v>
      </c>
      <c r="I76" s="3">
        <f t="shared" si="3"/>
        <v>9</v>
      </c>
      <c r="J76" s="3" t="str">
        <f t="shared" si="4"/>
        <v>No reviews</v>
      </c>
      <c r="K76" s="3" t="str">
        <f t="shared" si="5"/>
        <v>No reviews</v>
      </c>
      <c r="L76" s="7" t="str">
        <f t="shared" si="6"/>
        <v> </v>
      </c>
      <c r="M76" s="7" t="str">
        <f t="shared" si="7"/>
        <v> </v>
      </c>
      <c r="N76" s="7">
        <f t="shared" si="8"/>
        <v>9</v>
      </c>
    </row>
    <row r="77" hidden="1">
      <c r="B77" s="3" t="s">
        <v>195</v>
      </c>
      <c r="C77" s="5" t="s">
        <v>196</v>
      </c>
      <c r="D77" s="3">
        <v>8.0</v>
      </c>
      <c r="E77" s="3">
        <v>10.0</v>
      </c>
      <c r="F77" s="3">
        <f t="shared" si="1"/>
        <v>2</v>
      </c>
      <c r="G77" s="5" t="str">
        <f>IFERROR(__xludf.DUMMYFUNCTION("""COMPUTED_VALUE"""),"https://github.com/GeekAnanya21/TDS_project1")</f>
        <v>https://github.com/GeekAnanya21/TDS_project1</v>
      </c>
      <c r="H77" s="3">
        <f t="shared" si="2"/>
        <v>9</v>
      </c>
      <c r="I77" s="3">
        <f t="shared" si="3"/>
        <v>10</v>
      </c>
      <c r="J77" s="3">
        <f t="shared" si="4"/>
        <v>10</v>
      </c>
      <c r="K77" s="3">
        <f t="shared" si="5"/>
        <v>10</v>
      </c>
      <c r="L77" s="7">
        <f t="shared" si="6"/>
        <v>1</v>
      </c>
      <c r="M77" s="7">
        <f t="shared" si="7"/>
        <v>0</v>
      </c>
      <c r="N77" s="7">
        <f t="shared" si="8"/>
        <v>10</v>
      </c>
    </row>
    <row r="78" hidden="1">
      <c r="B78" s="3" t="s">
        <v>197</v>
      </c>
      <c r="C78" s="5" t="s">
        <v>198</v>
      </c>
      <c r="D78" s="3">
        <v>9.0</v>
      </c>
      <c r="E78" s="3">
        <v>9.0</v>
      </c>
      <c r="F78" s="3">
        <f t="shared" si="1"/>
        <v>2</v>
      </c>
      <c r="G78" s="5" t="str">
        <f>IFERROR(__xludf.DUMMYFUNCTION("""COMPUTED_VALUE"""),"https://github.com/AdithyaLingam/tds_project_24f1002079")</f>
        <v>https://github.com/AdithyaLingam/tds_project_24f1002079</v>
      </c>
      <c r="H78" s="3">
        <f t="shared" si="2"/>
        <v>9</v>
      </c>
      <c r="I78" s="3">
        <f t="shared" si="3"/>
        <v>10</v>
      </c>
      <c r="J78" s="3">
        <f t="shared" si="4"/>
        <v>10</v>
      </c>
      <c r="K78" s="3">
        <f t="shared" si="5"/>
        <v>10</v>
      </c>
      <c r="L78" s="7">
        <f t="shared" si="6"/>
        <v>1</v>
      </c>
      <c r="M78" s="7">
        <f t="shared" si="7"/>
        <v>0</v>
      </c>
      <c r="N78" s="7">
        <f t="shared" si="8"/>
        <v>10</v>
      </c>
    </row>
    <row r="79" hidden="1">
      <c r="B79" s="3" t="s">
        <v>199</v>
      </c>
      <c r="C79" s="5" t="s">
        <v>200</v>
      </c>
      <c r="D79" s="3">
        <v>10.0</v>
      </c>
      <c r="E79" s="3">
        <v>10.0</v>
      </c>
      <c r="F79" s="3">
        <f t="shared" si="1"/>
        <v>2</v>
      </c>
      <c r="G79" s="5" t="str">
        <f>IFERROR(__xludf.DUMMYFUNCTION("""COMPUTED_VALUE"""),"https://github.com/hardikshub01/TDS-Project-1")</f>
        <v>https://github.com/hardikshub01/TDS-Project-1</v>
      </c>
      <c r="H79" s="3">
        <f t="shared" si="2"/>
        <v>5</v>
      </c>
      <c r="I79" s="3">
        <f t="shared" si="3"/>
        <v>0</v>
      </c>
      <c r="J79" s="3">
        <f t="shared" si="4"/>
        <v>6</v>
      </c>
      <c r="K79" s="3">
        <f t="shared" si="5"/>
        <v>0</v>
      </c>
      <c r="L79" s="7">
        <f t="shared" si="6"/>
        <v>1</v>
      </c>
      <c r="M79" s="7">
        <f t="shared" si="7"/>
        <v>0</v>
      </c>
      <c r="N79" s="7">
        <f t="shared" si="8"/>
        <v>3</v>
      </c>
    </row>
    <row r="80" hidden="1">
      <c r="B80" s="3" t="s">
        <v>201</v>
      </c>
      <c r="C80" s="5" t="s">
        <v>202</v>
      </c>
      <c r="D80" s="3">
        <v>6.0</v>
      </c>
      <c r="E80" s="3">
        <v>6.0</v>
      </c>
      <c r="F80" s="3">
        <f t="shared" si="1"/>
        <v>2</v>
      </c>
      <c r="G80" s="5" t="str">
        <f>IFERROR(__xludf.DUMMYFUNCTION("""COMPUTED_VALUE"""),"https://github.com/yali369/Boston")</f>
        <v>https://github.com/yali369/Boston</v>
      </c>
      <c r="H80" s="3">
        <f t="shared" si="2"/>
        <v>10</v>
      </c>
      <c r="I80" s="3">
        <f t="shared" si="3"/>
        <v>10</v>
      </c>
      <c r="J80" s="3">
        <f t="shared" si="4"/>
        <v>7</v>
      </c>
      <c r="K80" s="3">
        <f t="shared" si="5"/>
        <v>6</v>
      </c>
      <c r="L80" s="7">
        <f t="shared" si="6"/>
        <v>3</v>
      </c>
      <c r="M80" s="7">
        <f t="shared" si="7"/>
        <v>4</v>
      </c>
      <c r="N80" s="7">
        <f t="shared" si="8"/>
        <v>10</v>
      </c>
    </row>
    <row r="81" hidden="1">
      <c r="B81" s="3" t="s">
        <v>203</v>
      </c>
      <c r="C81" s="5" t="s">
        <v>186</v>
      </c>
      <c r="D81" s="3">
        <v>8.0</v>
      </c>
      <c r="E81" s="3">
        <v>0.0</v>
      </c>
      <c r="F81" s="3">
        <f t="shared" si="1"/>
        <v>1</v>
      </c>
      <c r="G81" s="5" t="str">
        <f>IFERROR(__xludf.DUMMYFUNCTION("""COMPUTED_VALUE"""),"https://github.com/Rushiiljindal/TDS-project1")</f>
        <v>https://github.com/Rushiiljindal/TDS-project1</v>
      </c>
      <c r="H81" s="3">
        <f t="shared" si="2"/>
        <v>4</v>
      </c>
      <c r="I81" s="3">
        <f t="shared" si="3"/>
        <v>6</v>
      </c>
      <c r="J81" s="3" t="str">
        <f t="shared" si="4"/>
        <v>No reviews</v>
      </c>
      <c r="K81" s="3" t="str">
        <f t="shared" si="5"/>
        <v>No reviews</v>
      </c>
      <c r="L81" s="7" t="str">
        <f t="shared" si="6"/>
        <v> </v>
      </c>
      <c r="M81" s="7" t="str">
        <f t="shared" si="7"/>
        <v> </v>
      </c>
      <c r="N81" s="7">
        <f t="shared" si="8"/>
        <v>5</v>
      </c>
    </row>
    <row r="82" hidden="1">
      <c r="B82" s="3" t="s">
        <v>204</v>
      </c>
      <c r="C82" s="5" t="s">
        <v>205</v>
      </c>
      <c r="D82" s="3">
        <v>9.0</v>
      </c>
      <c r="E82" s="3">
        <v>9.0</v>
      </c>
      <c r="F82" s="3">
        <f t="shared" si="1"/>
        <v>2</v>
      </c>
      <c r="G82" s="5" t="str">
        <f>IFERROR(__xludf.DUMMYFUNCTION("""COMPUTED_VALUE"""),"https://github.com/JS121000/BERLINPROJECT")</f>
        <v>https://github.com/JS121000/BERLINPROJECT</v>
      </c>
      <c r="H82" s="3">
        <f t="shared" si="2"/>
        <v>2</v>
      </c>
      <c r="I82" s="3">
        <f t="shared" si="3"/>
        <v>0</v>
      </c>
      <c r="J82" s="3">
        <f t="shared" si="4"/>
        <v>10</v>
      </c>
      <c r="K82" s="3">
        <f t="shared" si="5"/>
        <v>10</v>
      </c>
      <c r="L82" s="7">
        <f t="shared" si="6"/>
        <v>8</v>
      </c>
      <c r="M82" s="7">
        <f t="shared" si="7"/>
        <v>10</v>
      </c>
      <c r="N82" s="7">
        <f t="shared" si="8"/>
        <v>10</v>
      </c>
    </row>
    <row r="83" hidden="1">
      <c r="B83" s="3" t="s">
        <v>206</v>
      </c>
      <c r="C83" s="5" t="s">
        <v>207</v>
      </c>
      <c r="D83" s="3">
        <v>9.0</v>
      </c>
      <c r="E83" s="3">
        <v>10.0</v>
      </c>
      <c r="F83" s="3">
        <f t="shared" si="1"/>
        <v>1</v>
      </c>
      <c r="G83" s="5" t="str">
        <f>IFERROR(__xludf.DUMMYFUNCTION("""COMPUTED_VALUE"""),"https://github.com/LavinyaIITM/Project01_TDS")</f>
        <v>https://github.com/LavinyaIITM/Project01_TDS</v>
      </c>
      <c r="H83" s="3">
        <f t="shared" si="2"/>
        <v>10</v>
      </c>
      <c r="I83" s="3">
        <f t="shared" si="3"/>
        <v>10</v>
      </c>
      <c r="J83" s="3" t="str">
        <f t="shared" si="4"/>
        <v>No reviews</v>
      </c>
      <c r="K83" s="3" t="str">
        <f t="shared" si="5"/>
        <v>No reviews</v>
      </c>
      <c r="L83" s="7" t="str">
        <f t="shared" si="6"/>
        <v> </v>
      </c>
      <c r="M83" s="7" t="str">
        <f t="shared" si="7"/>
        <v> </v>
      </c>
      <c r="N83" s="7">
        <f t="shared" si="8"/>
        <v>10</v>
      </c>
    </row>
    <row r="84" hidden="1">
      <c r="B84" s="3" t="s">
        <v>208</v>
      </c>
      <c r="C84" s="5" t="s">
        <v>209</v>
      </c>
      <c r="D84" s="3">
        <v>9.0</v>
      </c>
      <c r="E84" s="3">
        <v>10.0</v>
      </c>
      <c r="F84" s="3">
        <f t="shared" si="1"/>
        <v>1</v>
      </c>
      <c r="G84" s="5" t="str">
        <f>IFERROR(__xludf.DUMMYFUNCTION("""COMPUTED_VALUE"""),"https://github.com/Rushiiljindal/TDS-project1/tree/main")</f>
        <v>https://github.com/Rushiiljindal/TDS-project1/tree/main</v>
      </c>
      <c r="H84" s="3">
        <f t="shared" si="2"/>
        <v>10</v>
      </c>
      <c r="I84" s="3">
        <f t="shared" si="3"/>
        <v>10</v>
      </c>
      <c r="J84" s="3" t="str">
        <f t="shared" si="4"/>
        <v>No reviews</v>
      </c>
      <c r="K84" s="3" t="str">
        <f t="shared" si="5"/>
        <v>No reviews</v>
      </c>
      <c r="L84" s="7" t="str">
        <f t="shared" si="6"/>
        <v> </v>
      </c>
      <c r="M84" s="7" t="str">
        <f t="shared" si="7"/>
        <v> </v>
      </c>
      <c r="N84" s="7">
        <f t="shared" si="8"/>
        <v>10</v>
      </c>
    </row>
    <row r="85" hidden="1">
      <c r="B85" s="3" t="s">
        <v>210</v>
      </c>
      <c r="C85" s="5" t="s">
        <v>211</v>
      </c>
      <c r="D85" s="3">
        <v>5.0</v>
      </c>
      <c r="E85" s="3">
        <v>0.0</v>
      </c>
      <c r="F85" s="3">
        <f t="shared" si="1"/>
        <v>2</v>
      </c>
      <c r="G85" s="5" t="str">
        <f>IFERROR(__xludf.DUMMYFUNCTION("""COMPUTED_VALUE"""),"https://github.com/SaicharanRitwik39/TDSProject1_TermSepDec2024")</f>
        <v>https://github.com/SaicharanRitwik39/TDSProject1_TermSepDec2024</v>
      </c>
      <c r="H85" s="3">
        <f t="shared" si="2"/>
        <v>10</v>
      </c>
      <c r="I85" s="3">
        <f t="shared" si="3"/>
        <v>9</v>
      </c>
      <c r="J85" s="3">
        <f t="shared" si="4"/>
        <v>10</v>
      </c>
      <c r="K85" s="3">
        <f t="shared" si="5"/>
        <v>8</v>
      </c>
      <c r="L85" s="7">
        <f t="shared" si="6"/>
        <v>0</v>
      </c>
      <c r="M85" s="7">
        <f t="shared" si="7"/>
        <v>1</v>
      </c>
      <c r="N85" s="7">
        <f t="shared" si="8"/>
        <v>9.5</v>
      </c>
    </row>
    <row r="86" hidden="1">
      <c r="B86" s="3" t="s">
        <v>212</v>
      </c>
      <c r="C86" s="5" t="s">
        <v>213</v>
      </c>
      <c r="D86" s="3">
        <v>10.0</v>
      </c>
      <c r="E86" s="3">
        <v>10.0</v>
      </c>
      <c r="F86" s="3">
        <f t="shared" si="1"/>
        <v>2</v>
      </c>
      <c r="G86" s="5" t="str">
        <f>IFERROR(__xludf.DUMMYFUNCTION("""COMPUTED_VALUE"""),"https://github.com/srupat/tds_project_1")</f>
        <v>https://github.com/srupat/tds_project_1</v>
      </c>
      <c r="H86" s="3">
        <f t="shared" si="2"/>
        <v>10</v>
      </c>
      <c r="I86" s="3">
        <f t="shared" si="3"/>
        <v>10</v>
      </c>
      <c r="J86" s="3">
        <f t="shared" si="4"/>
        <v>10</v>
      </c>
      <c r="K86" s="3">
        <f t="shared" si="5"/>
        <v>10</v>
      </c>
      <c r="L86" s="7">
        <f t="shared" si="6"/>
        <v>0</v>
      </c>
      <c r="M86" s="7">
        <f t="shared" si="7"/>
        <v>0</v>
      </c>
      <c r="N86" s="7">
        <f t="shared" si="8"/>
        <v>10</v>
      </c>
    </row>
    <row r="87" hidden="1">
      <c r="B87" s="3" t="s">
        <v>214</v>
      </c>
      <c r="C87" s="5" t="s">
        <v>215</v>
      </c>
      <c r="D87" s="3">
        <v>4.0</v>
      </c>
      <c r="E87" s="3">
        <v>6.0</v>
      </c>
      <c r="F87" s="3">
        <f t="shared" si="1"/>
        <v>1</v>
      </c>
      <c r="G87" s="5" t="str">
        <f>IFERROR(__xludf.DUMMYFUNCTION("""COMPUTED_VALUE"""),"https://github.com/Anustup24/TDS")</f>
        <v>https://github.com/Anustup24/TDS</v>
      </c>
      <c r="H87" s="3">
        <f t="shared" si="2"/>
        <v>8</v>
      </c>
      <c r="I87" s="3">
        <f t="shared" si="3"/>
        <v>7</v>
      </c>
      <c r="J87" s="3" t="str">
        <f t="shared" si="4"/>
        <v>No reviews</v>
      </c>
      <c r="K87" s="3" t="str">
        <f t="shared" si="5"/>
        <v>No reviews</v>
      </c>
      <c r="L87" s="7" t="str">
        <f t="shared" si="6"/>
        <v> </v>
      </c>
      <c r="M87" s="7" t="str">
        <f t="shared" si="7"/>
        <v> </v>
      </c>
      <c r="N87" s="7">
        <f t="shared" si="8"/>
        <v>7.5</v>
      </c>
    </row>
    <row r="88" hidden="1">
      <c r="B88" s="3" t="s">
        <v>216</v>
      </c>
      <c r="C88" s="5" t="s">
        <v>217</v>
      </c>
      <c r="D88" s="3">
        <v>2.0</v>
      </c>
      <c r="E88" s="3">
        <v>0.0</v>
      </c>
      <c r="F88" s="3">
        <f t="shared" si="1"/>
        <v>2</v>
      </c>
      <c r="G88" s="5" t="str">
        <f>IFERROR(__xludf.DUMMYFUNCTION("""COMPUTED_VALUE"""),"https://github.com/na-ch7/TDS-Project-1")</f>
        <v>https://github.com/na-ch7/TDS-Project-1</v>
      </c>
      <c r="H88" s="3">
        <f t="shared" si="2"/>
        <v>10</v>
      </c>
      <c r="I88" s="3">
        <f t="shared" si="3"/>
        <v>10</v>
      </c>
      <c r="J88" s="3">
        <f t="shared" si="4"/>
        <v>10</v>
      </c>
      <c r="K88" s="3">
        <f t="shared" si="5"/>
        <v>0</v>
      </c>
      <c r="L88" s="7">
        <f t="shared" si="6"/>
        <v>0</v>
      </c>
      <c r="M88" s="7">
        <f t="shared" si="7"/>
        <v>10</v>
      </c>
      <c r="N88" s="7">
        <f t="shared" si="8"/>
        <v>10</v>
      </c>
    </row>
    <row r="89" hidden="1">
      <c r="B89" s="3" t="s">
        <v>218</v>
      </c>
      <c r="C89" s="5" t="s">
        <v>219</v>
      </c>
      <c r="D89" s="3">
        <v>10.0</v>
      </c>
      <c r="E89" s="3">
        <v>10.0</v>
      </c>
      <c r="F89" s="3">
        <f t="shared" si="1"/>
        <v>2</v>
      </c>
      <c r="G89" s="5" t="str">
        <f>IFERROR(__xludf.DUMMYFUNCTION("""COMPUTED_VALUE"""),"https://github.com/23f1000698/proj1")</f>
        <v>https://github.com/23f1000698/proj1</v>
      </c>
      <c r="H89" s="3">
        <f t="shared" si="2"/>
        <v>10</v>
      </c>
      <c r="I89" s="3">
        <f t="shared" si="3"/>
        <v>10</v>
      </c>
      <c r="J89" s="3">
        <f t="shared" si="4"/>
        <v>3</v>
      </c>
      <c r="K89" s="3">
        <f t="shared" si="5"/>
        <v>3</v>
      </c>
      <c r="L89" s="7">
        <f t="shared" si="6"/>
        <v>7</v>
      </c>
      <c r="M89" s="7">
        <f t="shared" si="7"/>
        <v>7</v>
      </c>
      <c r="N89" s="7">
        <f t="shared" si="8"/>
        <v>10</v>
      </c>
    </row>
    <row r="90" hidden="1">
      <c r="B90" s="3" t="s">
        <v>220</v>
      </c>
      <c r="C90" s="5" t="s">
        <v>221</v>
      </c>
      <c r="D90" s="3">
        <v>10.0</v>
      </c>
      <c r="E90" s="3">
        <v>10.0</v>
      </c>
      <c r="F90" s="3">
        <f t="shared" si="1"/>
        <v>2</v>
      </c>
      <c r="G90" s="5" t="str">
        <f>IFERROR(__xludf.DUMMYFUNCTION("""COMPUTED_VALUE"""),"https://github.com/student2403/tds-project-1")</f>
        <v>https://github.com/student2403/tds-project-1</v>
      </c>
      <c r="H90" s="3">
        <f t="shared" si="2"/>
        <v>5</v>
      </c>
      <c r="I90" s="3">
        <f t="shared" si="3"/>
        <v>10</v>
      </c>
      <c r="J90" s="3">
        <f t="shared" si="4"/>
        <v>8</v>
      </c>
      <c r="K90" s="3">
        <f t="shared" si="5"/>
        <v>10</v>
      </c>
      <c r="L90" s="7">
        <f t="shared" si="6"/>
        <v>3</v>
      </c>
      <c r="M90" s="7">
        <f t="shared" si="7"/>
        <v>0</v>
      </c>
      <c r="N90" s="7">
        <f t="shared" si="8"/>
        <v>9</v>
      </c>
    </row>
    <row r="91" hidden="1">
      <c r="B91" s="3" t="s">
        <v>222</v>
      </c>
      <c r="C91" s="5" t="s">
        <v>223</v>
      </c>
      <c r="D91" s="3">
        <v>10.0</v>
      </c>
      <c r="E91" s="3">
        <v>9.0</v>
      </c>
      <c r="F91" s="3">
        <f t="shared" si="1"/>
        <v>2</v>
      </c>
      <c r="G91" s="5" t="str">
        <f>IFERROR(__xludf.DUMMYFUNCTION("""COMPUTED_VALUE"""),"https://github.com/22f3000190/Seattle-200---TDM")</f>
        <v>https://github.com/22f3000190/Seattle-200---TDM</v>
      </c>
      <c r="H91" s="3">
        <f t="shared" si="2"/>
        <v>10</v>
      </c>
      <c r="I91" s="3">
        <f t="shared" si="3"/>
        <v>10</v>
      </c>
      <c r="J91" s="3">
        <f t="shared" si="4"/>
        <v>10</v>
      </c>
      <c r="K91" s="3">
        <f t="shared" si="5"/>
        <v>10</v>
      </c>
      <c r="L91" s="7">
        <f t="shared" si="6"/>
        <v>0</v>
      </c>
      <c r="M91" s="7">
        <f t="shared" si="7"/>
        <v>0</v>
      </c>
      <c r="N91" s="7">
        <f t="shared" si="8"/>
        <v>10</v>
      </c>
    </row>
    <row r="92" hidden="1">
      <c r="B92" s="3" t="s">
        <v>224</v>
      </c>
      <c r="C92" s="5" t="s">
        <v>225</v>
      </c>
      <c r="D92" s="3">
        <v>10.0</v>
      </c>
      <c r="E92" s="3">
        <v>10.0</v>
      </c>
      <c r="F92" s="3">
        <f t="shared" si="1"/>
        <v>2</v>
      </c>
      <c r="G92" s="5" t="str">
        <f>IFERROR(__xludf.DUMMYFUNCTION("""COMPUTED_VALUE"""),"https://github.com/0rajnishk/tds-p1")</f>
        <v>https://github.com/0rajnishk/tds-p1</v>
      </c>
      <c r="H92" s="3">
        <f t="shared" si="2"/>
        <v>10</v>
      </c>
      <c r="I92" s="3">
        <f t="shared" si="3"/>
        <v>10</v>
      </c>
      <c r="J92" s="3">
        <f t="shared" si="4"/>
        <v>10</v>
      </c>
      <c r="K92" s="3">
        <f t="shared" si="5"/>
        <v>10</v>
      </c>
      <c r="L92" s="7">
        <f t="shared" si="6"/>
        <v>0</v>
      </c>
      <c r="M92" s="7">
        <f t="shared" si="7"/>
        <v>0</v>
      </c>
      <c r="N92" s="7">
        <f t="shared" si="8"/>
        <v>10</v>
      </c>
    </row>
    <row r="93" hidden="1">
      <c r="B93" s="3" t="s">
        <v>226</v>
      </c>
      <c r="C93" s="5" t="s">
        <v>227</v>
      </c>
      <c r="D93" s="3">
        <v>8.0</v>
      </c>
      <c r="E93" s="3">
        <v>7.0</v>
      </c>
      <c r="F93" s="3">
        <f t="shared" si="1"/>
        <v>1</v>
      </c>
      <c r="G93" s="5" t="str">
        <f>IFERROR(__xludf.DUMMYFUNCTION("""COMPUTED_VALUE"""),"https://github.com/rsjay1976/TDS-Project1")</f>
        <v>https://github.com/rsjay1976/TDS-Project1</v>
      </c>
      <c r="H93" s="3">
        <f t="shared" si="2"/>
        <v>10</v>
      </c>
      <c r="I93" s="3">
        <f t="shared" si="3"/>
        <v>10</v>
      </c>
      <c r="J93" s="3" t="str">
        <f t="shared" si="4"/>
        <v>No reviews</v>
      </c>
      <c r="K93" s="3" t="str">
        <f t="shared" si="5"/>
        <v>No reviews</v>
      </c>
      <c r="L93" s="7" t="str">
        <f t="shared" si="6"/>
        <v> </v>
      </c>
      <c r="M93" s="7" t="str">
        <f t="shared" si="7"/>
        <v> </v>
      </c>
      <c r="N93" s="7">
        <f t="shared" si="8"/>
        <v>10</v>
      </c>
    </row>
    <row r="94" hidden="1">
      <c r="B94" s="3" t="s">
        <v>228</v>
      </c>
      <c r="C94" s="5" t="s">
        <v>229</v>
      </c>
      <c r="D94" s="3">
        <v>10.0</v>
      </c>
      <c r="E94" s="3">
        <v>10.0</v>
      </c>
      <c r="F94" s="3">
        <f t="shared" si="1"/>
        <v>1</v>
      </c>
      <c r="G94" s="5" t="str">
        <f>IFERROR(__xludf.DUMMYFUNCTION("""COMPUTED_VALUE"""),"https://github.com/AfnanShamsi/TDS-Project-1/tree/main")</f>
        <v>https://github.com/AfnanShamsi/TDS-Project-1/tree/main</v>
      </c>
      <c r="H94" s="3">
        <f t="shared" si="2"/>
        <v>8</v>
      </c>
      <c r="I94" s="3">
        <f t="shared" si="3"/>
        <v>8</v>
      </c>
      <c r="J94" s="3" t="str">
        <f t="shared" si="4"/>
        <v>No reviews</v>
      </c>
      <c r="K94" s="3" t="str">
        <f t="shared" si="5"/>
        <v>No reviews</v>
      </c>
      <c r="L94" s="7" t="str">
        <f t="shared" si="6"/>
        <v> </v>
      </c>
      <c r="M94" s="7" t="str">
        <f t="shared" si="7"/>
        <v> </v>
      </c>
      <c r="N94" s="7">
        <f t="shared" si="8"/>
        <v>8</v>
      </c>
    </row>
    <row r="95" hidden="1">
      <c r="B95" s="3" t="s">
        <v>230</v>
      </c>
      <c r="C95" s="5" t="s">
        <v>231</v>
      </c>
      <c r="D95" s="3">
        <v>10.0</v>
      </c>
      <c r="E95" s="3">
        <v>10.0</v>
      </c>
      <c r="F95" s="3">
        <f t="shared" si="1"/>
        <v>2</v>
      </c>
      <c r="G95" s="5" t="str">
        <f>IFERROR(__xludf.DUMMYFUNCTION("""COMPUTED_VALUE"""),"https://github.com/GauriTr/TDS_project_1")</f>
        <v>https://github.com/GauriTr/TDS_project_1</v>
      </c>
      <c r="H95" s="3">
        <f t="shared" si="2"/>
        <v>7</v>
      </c>
      <c r="I95" s="3">
        <f t="shared" si="3"/>
        <v>0</v>
      </c>
      <c r="J95" s="3">
        <f t="shared" si="4"/>
        <v>10</v>
      </c>
      <c r="K95" s="3">
        <f t="shared" si="5"/>
        <v>10</v>
      </c>
      <c r="L95" s="7">
        <f t="shared" si="6"/>
        <v>3</v>
      </c>
      <c r="M95" s="7">
        <f t="shared" si="7"/>
        <v>10</v>
      </c>
      <c r="N95" s="7">
        <f t="shared" si="8"/>
        <v>10</v>
      </c>
    </row>
    <row r="96" hidden="1">
      <c r="B96" s="3" t="s">
        <v>232</v>
      </c>
      <c r="C96" s="5" t="s">
        <v>233</v>
      </c>
      <c r="D96" s="3">
        <v>5.0</v>
      </c>
      <c r="E96" s="3">
        <v>10.0</v>
      </c>
      <c r="F96" s="3">
        <f t="shared" si="1"/>
        <v>2</v>
      </c>
      <c r="G96" s="5" t="str">
        <f>IFERROR(__xludf.DUMMYFUNCTION("""COMPUTED_VALUE"""),"https://github.com/RaghavKapil24/tds-project")</f>
        <v>https://github.com/RaghavKapil24/tds-project</v>
      </c>
      <c r="H96" s="3">
        <f t="shared" si="2"/>
        <v>8</v>
      </c>
      <c r="I96" s="3">
        <f t="shared" si="3"/>
        <v>7</v>
      </c>
      <c r="J96" s="3">
        <f t="shared" si="4"/>
        <v>10</v>
      </c>
      <c r="K96" s="3">
        <f t="shared" si="5"/>
        <v>10</v>
      </c>
      <c r="L96" s="7">
        <f t="shared" si="6"/>
        <v>2</v>
      </c>
      <c r="M96" s="7">
        <f t="shared" si="7"/>
        <v>3</v>
      </c>
      <c r="N96" s="7">
        <f t="shared" si="8"/>
        <v>10</v>
      </c>
    </row>
    <row r="97" hidden="1">
      <c r="B97" s="3" t="s">
        <v>234</v>
      </c>
      <c r="C97" s="5" t="s">
        <v>225</v>
      </c>
      <c r="D97" s="3">
        <v>10.0</v>
      </c>
      <c r="E97" s="3">
        <v>10.0</v>
      </c>
      <c r="F97" s="3">
        <f t="shared" si="1"/>
        <v>1</v>
      </c>
      <c r="G97" s="5" t="str">
        <f>IFERROR(__xludf.DUMMYFUNCTION("""COMPUTED_VALUE"""),"https://github.com/AjithSaiCh/tds_project1/tree/main")</f>
        <v>https://github.com/AjithSaiCh/tds_project1/tree/main</v>
      </c>
      <c r="H97" s="3">
        <f t="shared" si="2"/>
        <v>8</v>
      </c>
      <c r="I97" s="3">
        <f t="shared" si="3"/>
        <v>10</v>
      </c>
      <c r="J97" s="3" t="str">
        <f t="shared" si="4"/>
        <v>No reviews</v>
      </c>
      <c r="K97" s="3" t="str">
        <f t="shared" si="5"/>
        <v>No reviews</v>
      </c>
      <c r="L97" s="7" t="str">
        <f t="shared" si="6"/>
        <v> </v>
      </c>
      <c r="M97" s="7" t="str">
        <f t="shared" si="7"/>
        <v> </v>
      </c>
      <c r="N97" s="7">
        <f t="shared" si="8"/>
        <v>9</v>
      </c>
    </row>
    <row r="98" hidden="1">
      <c r="B98" s="3" t="s">
        <v>235</v>
      </c>
      <c r="C98" s="5" t="s">
        <v>236</v>
      </c>
      <c r="D98" s="3">
        <v>10.0</v>
      </c>
      <c r="E98" s="3">
        <v>10.0</v>
      </c>
      <c r="F98" s="3">
        <f t="shared" si="1"/>
        <v>2</v>
      </c>
      <c r="G98" s="5" t="str">
        <f>IFERROR(__xludf.DUMMYFUNCTION("""COMPUTED_VALUE"""),"https://github.com/Saradha24ds1000095/TDS_Project1/")</f>
        <v>https://github.com/Saradha24ds1000095/TDS_Project1/</v>
      </c>
      <c r="H98" s="3">
        <f t="shared" si="2"/>
        <v>4</v>
      </c>
      <c r="I98" s="3">
        <f t="shared" si="3"/>
        <v>3</v>
      </c>
      <c r="J98" s="3">
        <f t="shared" si="4"/>
        <v>10</v>
      </c>
      <c r="K98" s="3">
        <f t="shared" si="5"/>
        <v>10</v>
      </c>
      <c r="L98" s="7">
        <f t="shared" si="6"/>
        <v>6</v>
      </c>
      <c r="M98" s="7">
        <f t="shared" si="7"/>
        <v>7</v>
      </c>
      <c r="N98" s="7">
        <f t="shared" si="8"/>
        <v>10</v>
      </c>
    </row>
    <row r="99" hidden="1">
      <c r="B99" s="3" t="s">
        <v>237</v>
      </c>
      <c r="C99" s="5" t="s">
        <v>238</v>
      </c>
      <c r="D99" s="3">
        <v>10.0</v>
      </c>
      <c r="E99" s="3">
        <v>10.0</v>
      </c>
      <c r="F99" s="3">
        <f t="shared" si="1"/>
        <v>1</v>
      </c>
      <c r="G99" s="5" t="str">
        <f>IFERROR(__xludf.DUMMYFUNCTION("""COMPUTED_VALUE"""),"https://github.com/loki1512/TDS-Project-1/blob/main/README.md")</f>
        <v>https://github.com/loki1512/TDS-Project-1/blob/main/README.md</v>
      </c>
      <c r="H99" s="3">
        <f t="shared" si="2"/>
        <v>6</v>
      </c>
      <c r="I99" s="3">
        <f t="shared" si="3"/>
        <v>9</v>
      </c>
      <c r="J99" s="3" t="str">
        <f t="shared" si="4"/>
        <v>No reviews</v>
      </c>
      <c r="K99" s="3" t="str">
        <f t="shared" si="5"/>
        <v>No reviews</v>
      </c>
      <c r="L99" s="7" t="str">
        <f t="shared" si="6"/>
        <v> </v>
      </c>
      <c r="M99" s="7" t="str">
        <f t="shared" si="7"/>
        <v> </v>
      </c>
      <c r="N99" s="7">
        <f t="shared" si="8"/>
        <v>7.5</v>
      </c>
    </row>
    <row r="100" hidden="1">
      <c r="B100" s="3" t="s">
        <v>239</v>
      </c>
      <c r="C100" s="5" t="s">
        <v>240</v>
      </c>
      <c r="D100" s="3">
        <v>10.0</v>
      </c>
      <c r="E100" s="3">
        <v>10.0</v>
      </c>
      <c r="F100" s="3">
        <f t="shared" si="1"/>
        <v>2</v>
      </c>
      <c r="G100" s="5" t="str">
        <f>IFERROR(__xludf.DUMMYFUNCTION("""COMPUTED_VALUE"""),"https://github.com/Saransh1329/main")</f>
        <v>https://github.com/Saransh1329/main</v>
      </c>
      <c r="H100" s="3">
        <f t="shared" si="2"/>
        <v>9</v>
      </c>
      <c r="I100" s="3">
        <f t="shared" si="3"/>
        <v>9</v>
      </c>
      <c r="J100" s="3">
        <f t="shared" si="4"/>
        <v>10</v>
      </c>
      <c r="K100" s="3">
        <f t="shared" si="5"/>
        <v>0</v>
      </c>
      <c r="L100" s="7">
        <f t="shared" si="6"/>
        <v>1</v>
      </c>
      <c r="M100" s="7">
        <f t="shared" si="7"/>
        <v>9</v>
      </c>
      <c r="N100" s="7">
        <f t="shared" si="8"/>
        <v>9</v>
      </c>
    </row>
    <row r="101" hidden="1">
      <c r="B101" s="3" t="s">
        <v>241</v>
      </c>
      <c r="C101" s="5" t="s">
        <v>242</v>
      </c>
      <c r="D101" s="3">
        <v>8.0</v>
      </c>
      <c r="E101" s="3">
        <v>8.0</v>
      </c>
      <c r="F101" s="3">
        <f t="shared" si="1"/>
        <v>2</v>
      </c>
      <c r="G101" s="5" t="str">
        <f>IFERROR(__xludf.DUMMYFUNCTION("""COMPUTED_VALUE"""),"https://github.com/shinadeveloper/TDS-Project-1")</f>
        <v>https://github.com/shinadeveloper/TDS-Project-1</v>
      </c>
      <c r="H101" s="3">
        <f t="shared" si="2"/>
        <v>8</v>
      </c>
      <c r="I101" s="3">
        <f t="shared" si="3"/>
        <v>8</v>
      </c>
      <c r="J101" s="3">
        <f t="shared" si="4"/>
        <v>10</v>
      </c>
      <c r="K101" s="3">
        <f t="shared" si="5"/>
        <v>10</v>
      </c>
      <c r="L101" s="7">
        <f t="shared" si="6"/>
        <v>2</v>
      </c>
      <c r="M101" s="7">
        <f t="shared" si="7"/>
        <v>2</v>
      </c>
      <c r="N101" s="7">
        <f t="shared" si="8"/>
        <v>10</v>
      </c>
    </row>
    <row r="102" hidden="1">
      <c r="B102" s="3" t="s">
        <v>243</v>
      </c>
      <c r="C102" s="5" t="s">
        <v>175</v>
      </c>
      <c r="D102" s="3">
        <v>10.0</v>
      </c>
      <c r="E102" s="3">
        <v>10.0</v>
      </c>
      <c r="F102" s="3">
        <f t="shared" si="1"/>
        <v>2</v>
      </c>
      <c r="G102" s="5" t="str">
        <f>IFERROR(__xludf.DUMMYFUNCTION("""COMPUTED_VALUE"""),"https://github.com/n3055/Chennai-50_223f3004177")</f>
        <v>https://github.com/n3055/Chennai-50_223f3004177</v>
      </c>
      <c r="H102" s="3">
        <f t="shared" si="2"/>
        <v>7</v>
      </c>
      <c r="I102" s="3">
        <f t="shared" si="3"/>
        <v>7</v>
      </c>
      <c r="J102" s="3">
        <f t="shared" si="4"/>
        <v>7</v>
      </c>
      <c r="K102" s="3">
        <f t="shared" si="5"/>
        <v>5</v>
      </c>
      <c r="L102" s="7">
        <f t="shared" si="6"/>
        <v>0</v>
      </c>
      <c r="M102" s="7">
        <f t="shared" si="7"/>
        <v>2</v>
      </c>
      <c r="N102" s="7">
        <f t="shared" si="8"/>
        <v>7</v>
      </c>
    </row>
    <row r="103" hidden="1">
      <c r="B103" s="3" t="s">
        <v>244</v>
      </c>
      <c r="C103" s="5" t="s">
        <v>245</v>
      </c>
      <c r="D103" s="3">
        <v>7.0</v>
      </c>
      <c r="E103" s="3">
        <v>0.0</v>
      </c>
      <c r="F103" s="3">
        <f t="shared" si="1"/>
        <v>2</v>
      </c>
      <c r="G103" s="5" t="str">
        <f>IFERROR(__xludf.DUMMYFUNCTION("""COMPUTED_VALUE"""),"https://github.com/Tarun-Kandarpa/Beijing-Github-Users")</f>
        <v>https://github.com/Tarun-Kandarpa/Beijing-Github-Users</v>
      </c>
      <c r="H103" s="3">
        <f t="shared" si="2"/>
        <v>9</v>
      </c>
      <c r="I103" s="3">
        <f t="shared" si="3"/>
        <v>9</v>
      </c>
      <c r="J103" s="3">
        <f t="shared" si="4"/>
        <v>10</v>
      </c>
      <c r="K103" s="3">
        <f t="shared" si="5"/>
        <v>10</v>
      </c>
      <c r="L103" s="7">
        <f t="shared" si="6"/>
        <v>1</v>
      </c>
      <c r="M103" s="7">
        <f t="shared" si="7"/>
        <v>1</v>
      </c>
      <c r="N103" s="7">
        <f t="shared" si="8"/>
        <v>10</v>
      </c>
    </row>
    <row r="104" hidden="1">
      <c r="B104" s="3" t="s">
        <v>246</v>
      </c>
      <c r="C104" s="5" t="s">
        <v>247</v>
      </c>
      <c r="D104" s="3">
        <v>8.0</v>
      </c>
      <c r="E104" s="3">
        <v>7.0</v>
      </c>
      <c r="F104" s="3">
        <f t="shared" si="1"/>
        <v>1</v>
      </c>
      <c r="G104" s="5" t="str">
        <f>IFERROR(__xludf.DUMMYFUNCTION("""COMPUTED_VALUE"""),"https://github.com/pittu0802/Myfirstrepo")</f>
        <v>https://github.com/pittu0802/Myfirstrepo</v>
      </c>
      <c r="H104" s="3">
        <f t="shared" si="2"/>
        <v>4</v>
      </c>
      <c r="I104" s="3">
        <f t="shared" si="3"/>
        <v>0</v>
      </c>
      <c r="J104" s="3" t="str">
        <f t="shared" si="4"/>
        <v>No reviews</v>
      </c>
      <c r="K104" s="3" t="str">
        <f t="shared" si="5"/>
        <v>No reviews</v>
      </c>
      <c r="L104" s="7" t="str">
        <f t="shared" si="6"/>
        <v> </v>
      </c>
      <c r="M104" s="7" t="str">
        <f t="shared" si="7"/>
        <v> </v>
      </c>
      <c r="N104" s="7">
        <f t="shared" si="8"/>
        <v>2</v>
      </c>
    </row>
    <row r="105" hidden="1">
      <c r="B105" s="3" t="s">
        <v>248</v>
      </c>
      <c r="C105" s="5" t="s">
        <v>249</v>
      </c>
      <c r="D105" s="3">
        <v>8.0</v>
      </c>
      <c r="E105" s="3">
        <v>10.0</v>
      </c>
      <c r="F105" s="3">
        <f t="shared" si="1"/>
        <v>1</v>
      </c>
      <c r="G105" s="5" t="str">
        <f>IFERROR(__xludf.DUMMYFUNCTION("""COMPUTED_VALUE"""),"https://github.com/shriman-narayan-iitm/Barcelona")</f>
        <v>https://github.com/shriman-narayan-iitm/Barcelona</v>
      </c>
      <c r="H105" s="3">
        <f t="shared" si="2"/>
        <v>10</v>
      </c>
      <c r="I105" s="3">
        <f t="shared" si="3"/>
        <v>10</v>
      </c>
      <c r="J105" s="3" t="str">
        <f t="shared" si="4"/>
        <v>No reviews</v>
      </c>
      <c r="K105" s="3" t="str">
        <f t="shared" si="5"/>
        <v>No reviews</v>
      </c>
      <c r="L105" s="7" t="str">
        <f t="shared" si="6"/>
        <v> </v>
      </c>
      <c r="M105" s="7" t="str">
        <f t="shared" si="7"/>
        <v> </v>
      </c>
      <c r="N105" s="7">
        <f t="shared" si="8"/>
        <v>10</v>
      </c>
    </row>
    <row r="106" hidden="1">
      <c r="B106" s="3" t="s">
        <v>250</v>
      </c>
      <c r="C106" s="5" t="s">
        <v>251</v>
      </c>
      <c r="D106" s="3">
        <v>4.0</v>
      </c>
      <c r="E106" s="3">
        <v>3.0</v>
      </c>
      <c r="F106" s="3">
        <f t="shared" si="1"/>
        <v>2</v>
      </c>
      <c r="G106" s="5" t="str">
        <f>IFERROR(__xludf.DUMMYFUNCTION("""COMPUTED_VALUE"""),"https://github.com/Kirthictrl/TDS-Project-1")</f>
        <v>https://github.com/Kirthictrl/TDS-Project-1</v>
      </c>
      <c r="H106" s="3">
        <f t="shared" si="2"/>
        <v>8</v>
      </c>
      <c r="I106" s="3">
        <f t="shared" si="3"/>
        <v>0</v>
      </c>
      <c r="J106" s="3">
        <f t="shared" si="4"/>
        <v>6</v>
      </c>
      <c r="K106" s="3">
        <f t="shared" si="5"/>
        <v>0</v>
      </c>
      <c r="L106" s="7">
        <f t="shared" si="6"/>
        <v>2</v>
      </c>
      <c r="M106" s="7">
        <f t="shared" si="7"/>
        <v>0</v>
      </c>
      <c r="N106" s="7">
        <f t="shared" si="8"/>
        <v>4</v>
      </c>
    </row>
    <row r="107" hidden="1">
      <c r="B107" s="3" t="s">
        <v>252</v>
      </c>
      <c r="C107" s="5" t="s">
        <v>253</v>
      </c>
      <c r="D107" s="3">
        <v>6.0</v>
      </c>
      <c r="E107" s="3">
        <v>9.0</v>
      </c>
      <c r="F107" s="3">
        <f t="shared" si="1"/>
        <v>1</v>
      </c>
      <c r="G107" s="5" t="str">
        <f>IFERROR(__xludf.DUMMYFUNCTION("""COMPUTED_VALUE"""),"https://github.com/tanyakamboj123/TDS-project1")</f>
        <v>https://github.com/tanyakamboj123/TDS-project1</v>
      </c>
      <c r="H107" s="3">
        <f t="shared" si="2"/>
        <v>10</v>
      </c>
      <c r="I107" s="3">
        <f t="shared" si="3"/>
        <v>10</v>
      </c>
      <c r="J107" s="3" t="str">
        <f t="shared" si="4"/>
        <v>No reviews</v>
      </c>
      <c r="K107" s="3" t="str">
        <f t="shared" si="5"/>
        <v>No reviews</v>
      </c>
      <c r="L107" s="7" t="str">
        <f t="shared" si="6"/>
        <v> </v>
      </c>
      <c r="M107" s="7" t="str">
        <f t="shared" si="7"/>
        <v> </v>
      </c>
      <c r="N107" s="7">
        <f t="shared" si="8"/>
        <v>10</v>
      </c>
    </row>
    <row r="108" hidden="1">
      <c r="B108" s="3" t="s">
        <v>254</v>
      </c>
      <c r="C108" s="5" t="s">
        <v>255</v>
      </c>
      <c r="D108" s="3">
        <v>9.0</v>
      </c>
      <c r="E108" s="3">
        <v>9.0</v>
      </c>
      <c r="F108" s="3">
        <f t="shared" si="1"/>
        <v>2</v>
      </c>
      <c r="G108" s="5" t="str">
        <f>IFERROR(__xludf.DUMMYFUNCTION("""COMPUTED_VALUE"""),"https://github.com/DevanshA1105/Project_1_TDS")</f>
        <v>https://github.com/DevanshA1105/Project_1_TDS</v>
      </c>
      <c r="H108" s="3">
        <f t="shared" si="2"/>
        <v>10</v>
      </c>
      <c r="I108" s="3">
        <f t="shared" si="3"/>
        <v>0</v>
      </c>
      <c r="J108" s="3">
        <f t="shared" si="4"/>
        <v>7</v>
      </c>
      <c r="K108" s="3">
        <f t="shared" si="5"/>
        <v>0</v>
      </c>
      <c r="L108" s="7">
        <f t="shared" si="6"/>
        <v>3</v>
      </c>
      <c r="M108" s="7">
        <f t="shared" si="7"/>
        <v>0</v>
      </c>
      <c r="N108" s="7">
        <f t="shared" si="8"/>
        <v>5</v>
      </c>
    </row>
    <row r="109" hidden="1">
      <c r="B109" s="3" t="s">
        <v>256</v>
      </c>
      <c r="C109" s="5" t="s">
        <v>257</v>
      </c>
      <c r="D109" s="3">
        <v>8.0</v>
      </c>
      <c r="E109" s="3">
        <v>8.0</v>
      </c>
      <c r="F109" s="3">
        <f t="shared" si="1"/>
        <v>1</v>
      </c>
      <c r="G109" s="5" t="str">
        <f>IFERROR(__xludf.DUMMYFUNCTION("""COMPUTED_VALUE"""),"https://github.com/manoharvvs/BarcelonaTDS")</f>
        <v>https://github.com/manoharvvs/BarcelonaTDS</v>
      </c>
      <c r="H109" s="3">
        <f t="shared" si="2"/>
        <v>10</v>
      </c>
      <c r="I109" s="3">
        <f t="shared" si="3"/>
        <v>10</v>
      </c>
      <c r="J109" s="3" t="str">
        <f t="shared" si="4"/>
        <v>No reviews</v>
      </c>
      <c r="K109" s="3" t="str">
        <f t="shared" si="5"/>
        <v>No reviews</v>
      </c>
      <c r="L109" s="7" t="str">
        <f t="shared" si="6"/>
        <v> </v>
      </c>
      <c r="M109" s="7" t="str">
        <f t="shared" si="7"/>
        <v> </v>
      </c>
      <c r="N109" s="7">
        <f t="shared" si="8"/>
        <v>10</v>
      </c>
    </row>
    <row r="110" hidden="1">
      <c r="B110" s="3" t="s">
        <v>258</v>
      </c>
      <c r="C110" s="5" t="s">
        <v>259</v>
      </c>
      <c r="D110" s="3">
        <v>7.0</v>
      </c>
      <c r="E110" s="3">
        <v>7.0</v>
      </c>
      <c r="F110" s="3">
        <f t="shared" si="1"/>
        <v>2</v>
      </c>
      <c r="G110" s="5" t="str">
        <f>IFERROR(__xludf.DUMMYFUNCTION("""COMPUTED_VALUE"""),"https://github.com/harshithbabu-git/Tools-in-DS-Project-1")</f>
        <v>https://github.com/harshithbabu-git/Tools-in-DS-Project-1</v>
      </c>
      <c r="H110" s="3">
        <f t="shared" si="2"/>
        <v>0</v>
      </c>
      <c r="I110" s="3">
        <f t="shared" si="3"/>
        <v>1</v>
      </c>
      <c r="J110" s="3">
        <f t="shared" si="4"/>
        <v>5</v>
      </c>
      <c r="K110" s="3">
        <f t="shared" si="5"/>
        <v>4</v>
      </c>
      <c r="L110" s="7">
        <f t="shared" si="6"/>
        <v>5</v>
      </c>
      <c r="M110" s="7">
        <f t="shared" si="7"/>
        <v>3</v>
      </c>
      <c r="N110" s="7">
        <f t="shared" si="8"/>
        <v>4.5</v>
      </c>
    </row>
    <row r="111" hidden="1">
      <c r="B111" s="3" t="s">
        <v>260</v>
      </c>
      <c r="C111" s="5" t="s">
        <v>198</v>
      </c>
      <c r="D111" s="3">
        <v>7.0</v>
      </c>
      <c r="E111" s="3">
        <v>7.0</v>
      </c>
      <c r="F111" s="3">
        <f t="shared" si="1"/>
        <v>1</v>
      </c>
      <c r="G111" s="5" t="str">
        <f>IFERROR(__xludf.DUMMYFUNCTION("""COMPUTED_VALUE"""),"https://github.com/Codephile14/TDS_Project1")</f>
        <v>https://github.com/Codephile14/TDS_Project1</v>
      </c>
      <c r="H111" s="3">
        <f t="shared" si="2"/>
        <v>10</v>
      </c>
      <c r="I111" s="3">
        <f t="shared" si="3"/>
        <v>10</v>
      </c>
      <c r="J111" s="3" t="str">
        <f t="shared" si="4"/>
        <v>No reviews</v>
      </c>
      <c r="K111" s="3" t="str">
        <f t="shared" si="5"/>
        <v>No reviews</v>
      </c>
      <c r="L111" s="7" t="str">
        <f t="shared" si="6"/>
        <v> </v>
      </c>
      <c r="M111" s="7" t="str">
        <f t="shared" si="7"/>
        <v> </v>
      </c>
      <c r="N111" s="7">
        <f t="shared" si="8"/>
        <v>10</v>
      </c>
    </row>
    <row r="112" hidden="1">
      <c r="B112" s="3" t="s">
        <v>261</v>
      </c>
      <c r="C112" s="5" t="s">
        <v>262</v>
      </c>
      <c r="D112" s="3">
        <v>9.0</v>
      </c>
      <c r="E112" s="3">
        <v>9.0</v>
      </c>
      <c r="F112" s="3">
        <f t="shared" si="1"/>
        <v>2</v>
      </c>
      <c r="G112" s="5" t="str">
        <f>IFERROR(__xludf.DUMMYFUNCTION("""COMPUTED_VALUE"""),"https://github.com/theiitman/tds_project_1_03777")</f>
        <v>https://github.com/theiitman/tds_project_1_03777</v>
      </c>
      <c r="H112" s="3">
        <f t="shared" si="2"/>
        <v>9</v>
      </c>
      <c r="I112" s="3">
        <f t="shared" si="3"/>
        <v>8</v>
      </c>
      <c r="J112" s="3">
        <f t="shared" si="4"/>
        <v>9</v>
      </c>
      <c r="K112" s="3">
        <f t="shared" si="5"/>
        <v>9</v>
      </c>
      <c r="L112" s="7">
        <f t="shared" si="6"/>
        <v>0</v>
      </c>
      <c r="M112" s="7">
        <f t="shared" si="7"/>
        <v>1</v>
      </c>
      <c r="N112" s="7">
        <f t="shared" si="8"/>
        <v>9</v>
      </c>
    </row>
    <row r="113" hidden="1">
      <c r="B113" s="3" t="s">
        <v>263</v>
      </c>
      <c r="C113" s="5" t="s">
        <v>264</v>
      </c>
      <c r="D113" s="3">
        <v>4.0</v>
      </c>
      <c r="E113" s="3">
        <v>0.0</v>
      </c>
      <c r="F113" s="3">
        <f t="shared" si="1"/>
        <v>2</v>
      </c>
      <c r="G113" s="5" t="str">
        <f>IFERROR(__xludf.DUMMYFUNCTION("""COMPUTED_VALUE"""),"https://github.com/Ashly-06/project-1")</f>
        <v>https://github.com/Ashly-06/project-1</v>
      </c>
      <c r="H113" s="3">
        <f t="shared" si="2"/>
        <v>8</v>
      </c>
      <c r="I113" s="3">
        <f t="shared" si="3"/>
        <v>0</v>
      </c>
      <c r="J113" s="3">
        <f t="shared" si="4"/>
        <v>8</v>
      </c>
      <c r="K113" s="3">
        <f t="shared" si="5"/>
        <v>4</v>
      </c>
      <c r="L113" s="7">
        <f t="shared" si="6"/>
        <v>0</v>
      </c>
      <c r="M113" s="7">
        <f t="shared" si="7"/>
        <v>4</v>
      </c>
      <c r="N113" s="7">
        <f t="shared" si="8"/>
        <v>6</v>
      </c>
    </row>
    <row r="114" hidden="1">
      <c r="B114" s="3" t="s">
        <v>265</v>
      </c>
      <c r="C114" s="5" t="s">
        <v>266</v>
      </c>
      <c r="D114" s="3">
        <v>10.0</v>
      </c>
      <c r="E114" s="3">
        <v>10.0</v>
      </c>
      <c r="F114" s="3">
        <f t="shared" si="1"/>
        <v>2</v>
      </c>
      <c r="G114" s="5" t="str">
        <f>IFERROR(__xludf.DUMMYFUNCTION("""COMPUTED_VALUE"""),"https://github.com/MAUK9086/TDS_Project1")</f>
        <v>https://github.com/MAUK9086/TDS_Project1</v>
      </c>
      <c r="H114" s="3">
        <f t="shared" si="2"/>
        <v>9</v>
      </c>
      <c r="I114" s="3">
        <f t="shared" si="3"/>
        <v>10</v>
      </c>
      <c r="J114" s="3">
        <f t="shared" si="4"/>
        <v>4</v>
      </c>
      <c r="K114" s="3">
        <f t="shared" si="5"/>
        <v>7</v>
      </c>
      <c r="L114" s="7">
        <f t="shared" si="6"/>
        <v>5</v>
      </c>
      <c r="M114" s="7">
        <f t="shared" si="7"/>
        <v>3</v>
      </c>
      <c r="N114" s="7">
        <f t="shared" si="8"/>
        <v>9.5</v>
      </c>
    </row>
    <row r="115" hidden="1">
      <c r="B115" s="3" t="s">
        <v>267</v>
      </c>
      <c r="C115" s="5" t="s">
        <v>268</v>
      </c>
      <c r="D115" s="3">
        <v>8.0</v>
      </c>
      <c r="E115" s="3">
        <v>0.0</v>
      </c>
      <c r="F115" s="3">
        <f t="shared" si="1"/>
        <v>2</v>
      </c>
      <c r="G115" s="5" t="str">
        <f>IFERROR(__xludf.DUMMYFUNCTION("""COMPUTED_VALUE"""),"https://github.com/22f3001059/TDS-project1")</f>
        <v>https://github.com/22f3001059/TDS-project1</v>
      </c>
      <c r="H115" s="3">
        <f t="shared" si="2"/>
        <v>9</v>
      </c>
      <c r="I115" s="3">
        <f t="shared" si="3"/>
        <v>10</v>
      </c>
      <c r="J115" s="3">
        <f t="shared" si="4"/>
        <v>10</v>
      </c>
      <c r="K115" s="3">
        <f t="shared" si="5"/>
        <v>10</v>
      </c>
      <c r="L115" s="7">
        <f t="shared" si="6"/>
        <v>1</v>
      </c>
      <c r="M115" s="7">
        <f t="shared" si="7"/>
        <v>0</v>
      </c>
      <c r="N115" s="7">
        <f t="shared" si="8"/>
        <v>10</v>
      </c>
    </row>
    <row r="116" hidden="1">
      <c r="B116" s="3" t="s">
        <v>269</v>
      </c>
      <c r="C116" s="5" t="s">
        <v>270</v>
      </c>
      <c r="D116" s="3">
        <v>10.0</v>
      </c>
      <c r="E116" s="3">
        <v>10.0</v>
      </c>
      <c r="F116" s="3">
        <f t="shared" si="1"/>
        <v>2</v>
      </c>
      <c r="G116" s="5" t="str">
        <f>IFERROR(__xludf.DUMMYFUNCTION("""COMPUTED_VALUE"""),"https://github.com/mehuljun09/TDS_IITM")</f>
        <v>https://github.com/mehuljun09/TDS_IITM</v>
      </c>
      <c r="H116" s="3">
        <f t="shared" si="2"/>
        <v>10</v>
      </c>
      <c r="I116" s="3">
        <f t="shared" si="3"/>
        <v>10</v>
      </c>
      <c r="J116" s="3">
        <f t="shared" si="4"/>
        <v>8</v>
      </c>
      <c r="K116" s="3">
        <f t="shared" si="5"/>
        <v>9</v>
      </c>
      <c r="L116" s="7">
        <f t="shared" si="6"/>
        <v>2</v>
      </c>
      <c r="M116" s="7">
        <f t="shared" si="7"/>
        <v>1</v>
      </c>
      <c r="N116" s="7">
        <f t="shared" si="8"/>
        <v>10</v>
      </c>
    </row>
    <row r="117" hidden="1">
      <c r="B117" s="3" t="s">
        <v>271</v>
      </c>
      <c r="C117" s="5" t="s">
        <v>272</v>
      </c>
      <c r="D117" s="3">
        <v>10.0</v>
      </c>
      <c r="E117" s="3">
        <v>0.0</v>
      </c>
      <c r="F117" s="3">
        <f t="shared" si="1"/>
        <v>1</v>
      </c>
      <c r="G117" s="5" t="str">
        <f>IFERROR(__xludf.DUMMYFUNCTION("""COMPUTED_VALUE"""),"https://github.com/AlakhyaIITM/proj1/blob/main/README.md")</f>
        <v>https://github.com/AlakhyaIITM/proj1/blob/main/README.md</v>
      </c>
      <c r="H117" s="3">
        <f t="shared" si="2"/>
        <v>1</v>
      </c>
      <c r="I117" s="3">
        <f t="shared" si="3"/>
        <v>9</v>
      </c>
      <c r="J117" s="3" t="str">
        <f t="shared" si="4"/>
        <v>No reviews</v>
      </c>
      <c r="K117" s="3" t="str">
        <f t="shared" si="5"/>
        <v>No reviews</v>
      </c>
      <c r="L117" s="7" t="str">
        <f t="shared" si="6"/>
        <v> </v>
      </c>
      <c r="M117" s="7" t="str">
        <f t="shared" si="7"/>
        <v> </v>
      </c>
      <c r="N117" s="7">
        <f t="shared" si="8"/>
        <v>5</v>
      </c>
    </row>
    <row r="118" hidden="1">
      <c r="B118" s="3" t="s">
        <v>273</v>
      </c>
      <c r="C118" s="5" t="s">
        <v>274</v>
      </c>
      <c r="D118" s="3">
        <v>10.0</v>
      </c>
      <c r="E118" s="3">
        <v>10.0</v>
      </c>
      <c r="F118" s="3">
        <f t="shared" si="1"/>
        <v>2</v>
      </c>
      <c r="G118" s="5" t="str">
        <f>IFERROR(__xludf.DUMMYFUNCTION("""COMPUTED_VALUE"""),"https://github.com/KrishnaDhankar/Project_TDS")</f>
        <v>https://github.com/KrishnaDhankar/Project_TDS</v>
      </c>
      <c r="H118" s="3">
        <f t="shared" si="2"/>
        <v>10</v>
      </c>
      <c r="I118" s="3">
        <f t="shared" si="3"/>
        <v>10</v>
      </c>
      <c r="J118" s="3">
        <f t="shared" si="4"/>
        <v>8</v>
      </c>
      <c r="K118" s="3">
        <f t="shared" si="5"/>
        <v>10</v>
      </c>
      <c r="L118" s="7">
        <f t="shared" si="6"/>
        <v>2</v>
      </c>
      <c r="M118" s="7">
        <f t="shared" si="7"/>
        <v>0</v>
      </c>
      <c r="N118" s="7">
        <f t="shared" si="8"/>
        <v>10</v>
      </c>
    </row>
    <row r="119" hidden="1">
      <c r="B119" s="3" t="s">
        <v>275</v>
      </c>
      <c r="C119" s="5" t="s">
        <v>276</v>
      </c>
      <c r="D119" s="3">
        <v>0.0</v>
      </c>
      <c r="E119" s="3">
        <v>1.0</v>
      </c>
      <c r="F119" s="3">
        <f t="shared" si="1"/>
        <v>2</v>
      </c>
      <c r="G119" s="5" t="str">
        <f>IFERROR(__xludf.DUMMYFUNCTION("""COMPUTED_VALUE"""),"https://github.com/24f1002112/Project1TDS")</f>
        <v>https://github.com/24f1002112/Project1TDS</v>
      </c>
      <c r="H119" s="3">
        <f t="shared" si="2"/>
        <v>9</v>
      </c>
      <c r="I119" s="3">
        <f t="shared" si="3"/>
        <v>10</v>
      </c>
      <c r="J119" s="3">
        <f t="shared" si="4"/>
        <v>9</v>
      </c>
      <c r="K119" s="3">
        <f t="shared" si="5"/>
        <v>9</v>
      </c>
      <c r="L119" s="7">
        <f t="shared" si="6"/>
        <v>0</v>
      </c>
      <c r="M119" s="7">
        <f t="shared" si="7"/>
        <v>1</v>
      </c>
      <c r="N119" s="7">
        <f t="shared" si="8"/>
        <v>9.5</v>
      </c>
    </row>
    <row r="120" hidden="1">
      <c r="B120" s="3" t="s">
        <v>277</v>
      </c>
      <c r="C120" s="5" t="s">
        <v>278</v>
      </c>
      <c r="D120" s="3">
        <v>10.0</v>
      </c>
      <c r="E120" s="3">
        <v>10.0</v>
      </c>
      <c r="F120" s="3">
        <f t="shared" si="1"/>
        <v>2</v>
      </c>
      <c r="G120" s="5" t="str">
        <f>IFERROR(__xludf.DUMMYFUNCTION("""COMPUTED_VALUE"""),"https://github.com/gittymadman/TDS_PROJECT_1")</f>
        <v>https://github.com/gittymadman/TDS_PROJECT_1</v>
      </c>
      <c r="H120" s="3">
        <f t="shared" si="2"/>
        <v>9</v>
      </c>
      <c r="I120" s="3">
        <f t="shared" si="3"/>
        <v>8</v>
      </c>
      <c r="J120" s="3">
        <f t="shared" si="4"/>
        <v>3</v>
      </c>
      <c r="K120" s="3">
        <f t="shared" si="5"/>
        <v>10</v>
      </c>
      <c r="L120" s="7">
        <f t="shared" si="6"/>
        <v>6</v>
      </c>
      <c r="M120" s="7">
        <f t="shared" si="7"/>
        <v>2</v>
      </c>
      <c r="N120" s="7">
        <f t="shared" si="8"/>
        <v>8.5</v>
      </c>
    </row>
    <row r="121" hidden="1">
      <c r="B121" s="3" t="s">
        <v>279</v>
      </c>
      <c r="C121" s="5" t="s">
        <v>280</v>
      </c>
      <c r="D121" s="3">
        <v>9.0</v>
      </c>
      <c r="E121" s="3">
        <v>8.0</v>
      </c>
      <c r="F121" s="3">
        <f t="shared" si="1"/>
        <v>1</v>
      </c>
      <c r="G121" s="5" t="str">
        <f>IFERROR(__xludf.DUMMYFUNCTION("""COMPUTED_VALUE"""),"https://github.com/Avinash94567/tdsp1")</f>
        <v>https://github.com/Avinash94567/tdsp1</v>
      </c>
      <c r="H121" s="3">
        <f t="shared" si="2"/>
        <v>9</v>
      </c>
      <c r="I121" s="3">
        <f t="shared" si="3"/>
        <v>9</v>
      </c>
      <c r="J121" s="3" t="str">
        <f t="shared" si="4"/>
        <v>No reviews</v>
      </c>
      <c r="K121" s="3" t="str">
        <f t="shared" si="5"/>
        <v>No reviews</v>
      </c>
      <c r="L121" s="7" t="str">
        <f t="shared" si="6"/>
        <v> </v>
      </c>
      <c r="M121" s="7" t="str">
        <f t="shared" si="7"/>
        <v> </v>
      </c>
      <c r="N121" s="7">
        <f t="shared" si="8"/>
        <v>9</v>
      </c>
    </row>
    <row r="122" hidden="1">
      <c r="B122" s="3" t="s">
        <v>281</v>
      </c>
      <c r="C122" s="5" t="s">
        <v>282</v>
      </c>
      <c r="D122" s="3">
        <v>8.0</v>
      </c>
      <c r="E122" s="3">
        <v>0.0</v>
      </c>
      <c r="F122" s="3">
        <f t="shared" si="1"/>
        <v>2</v>
      </c>
      <c r="G122" s="5" t="str">
        <f>IFERROR(__xludf.DUMMYFUNCTION("""COMPUTED_VALUE"""),"https://github.com/21f2001136/tds_1")</f>
        <v>https://github.com/21f2001136/tds_1</v>
      </c>
      <c r="H122" s="3">
        <f t="shared" si="2"/>
        <v>8</v>
      </c>
      <c r="I122" s="3">
        <f t="shared" si="3"/>
        <v>9</v>
      </c>
      <c r="J122" s="3">
        <f t="shared" si="4"/>
        <v>8</v>
      </c>
      <c r="K122" s="3">
        <f t="shared" si="5"/>
        <v>10</v>
      </c>
      <c r="L122" s="7">
        <f t="shared" si="6"/>
        <v>0</v>
      </c>
      <c r="M122" s="7">
        <f t="shared" si="7"/>
        <v>1</v>
      </c>
      <c r="N122" s="7">
        <f t="shared" si="8"/>
        <v>9</v>
      </c>
    </row>
    <row r="123" hidden="1">
      <c r="B123" s="3" t="s">
        <v>283</v>
      </c>
      <c r="C123" s="5" t="s">
        <v>284</v>
      </c>
      <c r="D123" s="3">
        <v>9.0</v>
      </c>
      <c r="E123" s="3">
        <v>10.0</v>
      </c>
      <c r="F123" s="3">
        <f t="shared" si="1"/>
        <v>2</v>
      </c>
      <c r="G123" s="5" t="str">
        <f>IFERROR(__xludf.DUMMYFUNCTION("""COMPUTED_VALUE"""),"https://github.com/Amarks14/TDS_P1")</f>
        <v>https://github.com/Amarks14/TDS_P1</v>
      </c>
      <c r="H123" s="3">
        <f t="shared" si="2"/>
        <v>10</v>
      </c>
      <c r="I123" s="3">
        <f t="shared" si="3"/>
        <v>10</v>
      </c>
      <c r="J123" s="3">
        <f t="shared" si="4"/>
        <v>10</v>
      </c>
      <c r="K123" s="3">
        <f t="shared" si="5"/>
        <v>8</v>
      </c>
      <c r="L123" s="7">
        <f t="shared" si="6"/>
        <v>0</v>
      </c>
      <c r="M123" s="7">
        <f t="shared" si="7"/>
        <v>2</v>
      </c>
      <c r="N123" s="7">
        <f t="shared" si="8"/>
        <v>10</v>
      </c>
    </row>
    <row r="124" hidden="1">
      <c r="B124" s="3" t="s">
        <v>285</v>
      </c>
      <c r="C124" s="5" t="s">
        <v>286</v>
      </c>
      <c r="D124" s="3">
        <v>9.0</v>
      </c>
      <c r="E124" s="3">
        <v>10.0</v>
      </c>
      <c r="F124" s="3">
        <f t="shared" si="1"/>
        <v>2</v>
      </c>
      <c r="G124" s="5" t="str">
        <f>IFERROR(__xludf.DUMMYFUNCTION("""COMPUTED_VALUE"""),"https://github.com/iitmanshi/tdsp1")</f>
        <v>https://github.com/iitmanshi/tdsp1</v>
      </c>
      <c r="H124" s="3">
        <f t="shared" si="2"/>
        <v>4</v>
      </c>
      <c r="I124" s="3">
        <f t="shared" si="3"/>
        <v>6</v>
      </c>
      <c r="J124" s="3">
        <f t="shared" si="4"/>
        <v>10</v>
      </c>
      <c r="K124" s="3">
        <f t="shared" si="5"/>
        <v>0</v>
      </c>
      <c r="L124" s="7">
        <f t="shared" si="6"/>
        <v>6</v>
      </c>
      <c r="M124" s="7">
        <f t="shared" si="7"/>
        <v>6</v>
      </c>
      <c r="N124" s="7">
        <f t="shared" si="8"/>
        <v>5</v>
      </c>
    </row>
    <row r="125" hidden="1">
      <c r="B125" s="3" t="s">
        <v>287</v>
      </c>
      <c r="C125" s="5" t="s">
        <v>288</v>
      </c>
      <c r="D125" s="3">
        <v>10.0</v>
      </c>
      <c r="E125" s="3">
        <v>10.0</v>
      </c>
      <c r="F125" s="3">
        <f t="shared" si="1"/>
        <v>2</v>
      </c>
      <c r="G125" s="5" t="str">
        <f>IFERROR(__xludf.DUMMYFUNCTION("""COMPUTED_VALUE"""),"https://github.com/Rivansh-Illika/TDS-ASSIGNMENT-P-1")</f>
        <v>https://github.com/Rivansh-Illika/TDS-ASSIGNMENT-P-1</v>
      </c>
      <c r="H125" s="3">
        <f t="shared" si="2"/>
        <v>2</v>
      </c>
      <c r="I125" s="3">
        <f t="shared" si="3"/>
        <v>0</v>
      </c>
      <c r="J125" s="3">
        <f t="shared" si="4"/>
        <v>8</v>
      </c>
      <c r="K125" s="3">
        <f t="shared" si="5"/>
        <v>6</v>
      </c>
      <c r="L125" s="7">
        <f t="shared" si="6"/>
        <v>6</v>
      </c>
      <c r="M125" s="7">
        <f t="shared" si="7"/>
        <v>6</v>
      </c>
      <c r="N125" s="7">
        <f t="shared" si="8"/>
        <v>7</v>
      </c>
    </row>
    <row r="126" hidden="1">
      <c r="B126" s="3" t="s">
        <v>289</v>
      </c>
      <c r="C126" s="5" t="s">
        <v>290</v>
      </c>
      <c r="D126" s="3">
        <v>1.0</v>
      </c>
      <c r="E126" s="3">
        <v>9.0</v>
      </c>
      <c r="F126" s="3">
        <f t="shared" si="1"/>
        <v>2</v>
      </c>
      <c r="G126" s="5" t="str">
        <f>IFERROR(__xludf.DUMMYFUNCTION("""COMPUTED_VALUE"""),"https://github.com/hsnak2245/tds_p1")</f>
        <v>https://github.com/hsnak2245/tds_p1</v>
      </c>
      <c r="H126" s="3">
        <f t="shared" si="2"/>
        <v>0</v>
      </c>
      <c r="I126" s="3">
        <f t="shared" si="3"/>
        <v>0</v>
      </c>
      <c r="J126" s="3">
        <f t="shared" si="4"/>
        <v>0</v>
      </c>
      <c r="K126" s="3">
        <f t="shared" si="5"/>
        <v>0</v>
      </c>
      <c r="L126" s="7">
        <f t="shared" si="6"/>
        <v>0</v>
      </c>
      <c r="M126" s="7">
        <f t="shared" si="7"/>
        <v>0</v>
      </c>
      <c r="N126" s="7">
        <f t="shared" si="8"/>
        <v>0</v>
      </c>
    </row>
    <row r="127" hidden="1">
      <c r="B127" s="3" t="s">
        <v>291</v>
      </c>
      <c r="C127" s="5" t="s">
        <v>292</v>
      </c>
      <c r="D127" s="3">
        <v>10.0</v>
      </c>
      <c r="E127" s="3">
        <v>10.0</v>
      </c>
      <c r="F127" s="3">
        <f t="shared" si="1"/>
        <v>2</v>
      </c>
      <c r="G127" s="5" t="str">
        <f>IFERROR(__xludf.DUMMYFUNCTION("""COMPUTED_VALUE"""),"https://github.com/Mr-GauravKumar/TDS-P1")</f>
        <v>https://github.com/Mr-GauravKumar/TDS-P1</v>
      </c>
      <c r="H127" s="3">
        <f t="shared" si="2"/>
        <v>9</v>
      </c>
      <c r="I127" s="3">
        <f t="shared" si="3"/>
        <v>9</v>
      </c>
      <c r="J127" s="3">
        <f t="shared" si="4"/>
        <v>0</v>
      </c>
      <c r="K127" s="3">
        <f t="shared" si="5"/>
        <v>10</v>
      </c>
      <c r="L127" s="7">
        <f t="shared" si="6"/>
        <v>9</v>
      </c>
      <c r="M127" s="7">
        <f t="shared" si="7"/>
        <v>1</v>
      </c>
      <c r="N127" s="7">
        <f t="shared" si="8"/>
        <v>9</v>
      </c>
    </row>
    <row r="128" hidden="1">
      <c r="B128" s="3" t="s">
        <v>293</v>
      </c>
      <c r="C128" s="5" t="s">
        <v>294</v>
      </c>
      <c r="D128" s="3">
        <v>9.0</v>
      </c>
      <c r="E128" s="3">
        <v>10.0</v>
      </c>
      <c r="F128" s="3">
        <f t="shared" si="1"/>
        <v>1</v>
      </c>
      <c r="G128" s="5" t="str">
        <f>IFERROR(__xludf.DUMMYFUNCTION("""COMPUTED_VALUE"""),"https://github.com/ro-jc/tds-proj-1")</f>
        <v>https://github.com/ro-jc/tds-proj-1</v>
      </c>
      <c r="H128" s="3">
        <f t="shared" si="2"/>
        <v>5</v>
      </c>
      <c r="I128" s="3">
        <f t="shared" si="3"/>
        <v>5</v>
      </c>
      <c r="J128" s="3" t="str">
        <f t="shared" si="4"/>
        <v>No reviews</v>
      </c>
      <c r="K128" s="3" t="str">
        <f t="shared" si="5"/>
        <v>No reviews</v>
      </c>
      <c r="L128" s="7" t="str">
        <f t="shared" si="6"/>
        <v> </v>
      </c>
      <c r="M128" s="7" t="str">
        <f t="shared" si="7"/>
        <v> </v>
      </c>
      <c r="N128" s="7">
        <f t="shared" si="8"/>
        <v>5</v>
      </c>
    </row>
    <row r="129" hidden="1">
      <c r="B129" s="3" t="s">
        <v>295</v>
      </c>
      <c r="C129" s="5" t="s">
        <v>296</v>
      </c>
      <c r="D129" s="3">
        <v>9.0</v>
      </c>
      <c r="E129" s="3">
        <v>8.0</v>
      </c>
      <c r="F129" s="3">
        <f t="shared" si="1"/>
        <v>2</v>
      </c>
      <c r="G129" s="5" t="str">
        <f>IFERROR(__xludf.DUMMYFUNCTION("""COMPUTED_VALUE"""),"https://github.com/23f2004527/TDS_Project1")</f>
        <v>https://github.com/23f2004527/TDS_Project1</v>
      </c>
      <c r="H129" s="3">
        <f t="shared" si="2"/>
        <v>6</v>
      </c>
      <c r="I129" s="3">
        <f t="shared" si="3"/>
        <v>7</v>
      </c>
      <c r="J129" s="3">
        <f t="shared" si="4"/>
        <v>9</v>
      </c>
      <c r="K129" s="3">
        <f t="shared" si="5"/>
        <v>9</v>
      </c>
      <c r="L129" s="7">
        <f t="shared" si="6"/>
        <v>3</v>
      </c>
      <c r="M129" s="7">
        <f t="shared" si="7"/>
        <v>2</v>
      </c>
      <c r="N129" s="7">
        <f t="shared" si="8"/>
        <v>9</v>
      </c>
    </row>
    <row r="130" hidden="1">
      <c r="B130" s="3" t="s">
        <v>297</v>
      </c>
      <c r="C130" s="5" t="s">
        <v>298</v>
      </c>
      <c r="D130" s="3">
        <v>9.0</v>
      </c>
      <c r="E130" s="3">
        <v>9.0</v>
      </c>
      <c r="F130" s="3">
        <f t="shared" si="1"/>
        <v>2</v>
      </c>
      <c r="G130" s="5" t="str">
        <f>IFERROR(__xludf.DUMMYFUNCTION("""COMPUTED_VALUE"""),"https://github.com/navuexists/tds-project-1-navya")</f>
        <v>https://github.com/navuexists/tds-project-1-navya</v>
      </c>
      <c r="H130" s="3">
        <f t="shared" si="2"/>
        <v>9</v>
      </c>
      <c r="I130" s="3">
        <f t="shared" si="3"/>
        <v>10</v>
      </c>
      <c r="J130" s="3">
        <f t="shared" si="4"/>
        <v>9</v>
      </c>
      <c r="K130" s="3">
        <f t="shared" si="5"/>
        <v>9</v>
      </c>
      <c r="L130" s="7">
        <f t="shared" si="6"/>
        <v>0</v>
      </c>
      <c r="M130" s="7">
        <f t="shared" si="7"/>
        <v>1</v>
      </c>
      <c r="N130" s="7">
        <f t="shared" si="8"/>
        <v>9.5</v>
      </c>
    </row>
    <row r="131" hidden="1">
      <c r="B131" s="3" t="s">
        <v>299</v>
      </c>
      <c r="C131" s="5" t="s">
        <v>300</v>
      </c>
      <c r="D131" s="3">
        <v>8.0</v>
      </c>
      <c r="E131" s="3">
        <v>9.0</v>
      </c>
      <c r="F131" s="3">
        <f t="shared" si="1"/>
        <v>2</v>
      </c>
      <c r="G131" s="5" t="str">
        <f>IFERROR(__xludf.DUMMYFUNCTION("""COMPUTED_VALUE"""),"https://github.com/22f2000784/basel-github-data-analysis")</f>
        <v>https://github.com/22f2000784/basel-github-data-analysis</v>
      </c>
      <c r="H131" s="3">
        <f t="shared" si="2"/>
        <v>8</v>
      </c>
      <c r="I131" s="3">
        <f t="shared" si="3"/>
        <v>8</v>
      </c>
      <c r="J131" s="3">
        <f t="shared" si="4"/>
        <v>4</v>
      </c>
      <c r="K131" s="3">
        <f t="shared" si="5"/>
        <v>1</v>
      </c>
      <c r="L131" s="7">
        <f t="shared" si="6"/>
        <v>4</v>
      </c>
      <c r="M131" s="7">
        <f t="shared" si="7"/>
        <v>7</v>
      </c>
      <c r="N131" s="7">
        <f t="shared" si="8"/>
        <v>8</v>
      </c>
    </row>
    <row r="132" hidden="1">
      <c r="B132" s="3" t="s">
        <v>301</v>
      </c>
      <c r="C132" s="5" t="s">
        <v>302</v>
      </c>
      <c r="D132" s="3">
        <v>10.0</v>
      </c>
      <c r="E132" s="3">
        <v>10.0</v>
      </c>
      <c r="F132" s="3">
        <f t="shared" si="1"/>
        <v>2</v>
      </c>
      <c r="G132" s="5" t="str">
        <f>IFERROR(__xludf.DUMMYFUNCTION("""COMPUTED_VALUE"""),"https://github.com/bhupendra1008/tds_project_1")</f>
        <v>https://github.com/bhupendra1008/tds_project_1</v>
      </c>
      <c r="H132" s="3">
        <f t="shared" si="2"/>
        <v>10</v>
      </c>
      <c r="I132" s="3">
        <f t="shared" si="3"/>
        <v>9</v>
      </c>
      <c r="J132" s="3">
        <f t="shared" si="4"/>
        <v>5</v>
      </c>
      <c r="K132" s="3">
        <f t="shared" si="5"/>
        <v>8</v>
      </c>
      <c r="L132" s="7">
        <f t="shared" si="6"/>
        <v>5</v>
      </c>
      <c r="M132" s="7">
        <f t="shared" si="7"/>
        <v>1</v>
      </c>
      <c r="N132" s="7">
        <f t="shared" si="8"/>
        <v>9.5</v>
      </c>
    </row>
    <row r="133" hidden="1">
      <c r="B133" s="3" t="s">
        <v>303</v>
      </c>
      <c r="C133" s="5" t="s">
        <v>304</v>
      </c>
      <c r="D133" s="3">
        <v>4.0</v>
      </c>
      <c r="E133" s="3">
        <v>6.0</v>
      </c>
      <c r="F133" s="3">
        <f t="shared" si="1"/>
        <v>2</v>
      </c>
      <c r="G133" s="5" t="str">
        <f>IFERROR(__xludf.DUMMYFUNCTION("""COMPUTED_VALUE"""),"https://github.com/myGreatLoveM/tds-project-1")</f>
        <v>https://github.com/myGreatLoveM/tds-project-1</v>
      </c>
      <c r="H133" s="3">
        <f t="shared" si="2"/>
        <v>10</v>
      </c>
      <c r="I133" s="3">
        <f t="shared" si="3"/>
        <v>10</v>
      </c>
      <c r="J133" s="3">
        <f t="shared" si="4"/>
        <v>9</v>
      </c>
      <c r="K133" s="3">
        <f t="shared" si="5"/>
        <v>9</v>
      </c>
      <c r="L133" s="7">
        <f t="shared" si="6"/>
        <v>1</v>
      </c>
      <c r="M133" s="7">
        <f t="shared" si="7"/>
        <v>1</v>
      </c>
      <c r="N133" s="7">
        <f t="shared" si="8"/>
        <v>10</v>
      </c>
    </row>
    <row r="134" hidden="1">
      <c r="B134" s="3" t="s">
        <v>305</v>
      </c>
      <c r="C134" s="5" t="s">
        <v>306</v>
      </c>
      <c r="D134" s="3">
        <v>2.0</v>
      </c>
      <c r="E134" s="3">
        <v>0.0</v>
      </c>
      <c r="F134" s="3">
        <f t="shared" si="1"/>
        <v>2</v>
      </c>
      <c r="G134" s="5" t="str">
        <f>IFERROR(__xludf.DUMMYFUNCTION("""COMPUTED_VALUE"""),"https://github.com/Param302/TDS-Project1")</f>
        <v>https://github.com/Param302/TDS-Project1</v>
      </c>
      <c r="H134" s="3">
        <f t="shared" si="2"/>
        <v>6</v>
      </c>
      <c r="I134" s="3">
        <f t="shared" si="3"/>
        <v>8</v>
      </c>
      <c r="J134" s="3">
        <f t="shared" si="4"/>
        <v>10</v>
      </c>
      <c r="K134" s="3">
        <f t="shared" si="5"/>
        <v>10</v>
      </c>
      <c r="L134" s="7">
        <f t="shared" si="6"/>
        <v>4</v>
      </c>
      <c r="M134" s="7">
        <f t="shared" si="7"/>
        <v>2</v>
      </c>
      <c r="N134" s="7">
        <f t="shared" si="8"/>
        <v>10</v>
      </c>
    </row>
    <row r="135" hidden="1">
      <c r="B135" s="3" t="s">
        <v>307</v>
      </c>
      <c r="C135" s="5" t="s">
        <v>308</v>
      </c>
      <c r="D135" s="3">
        <v>0.0</v>
      </c>
      <c r="E135" s="3">
        <v>0.0</v>
      </c>
      <c r="F135" s="3">
        <f t="shared" si="1"/>
        <v>2</v>
      </c>
      <c r="G135" s="5" t="str">
        <f>IFERROR(__xludf.DUMMYFUNCTION("""COMPUTED_VALUE"""),"https://github.com/vivek-2028/TDS-Project-1")</f>
        <v>https://github.com/vivek-2028/TDS-Project-1</v>
      </c>
      <c r="H135" s="3">
        <f t="shared" si="2"/>
        <v>8</v>
      </c>
      <c r="I135" s="3">
        <f t="shared" si="3"/>
        <v>9</v>
      </c>
      <c r="J135" s="3">
        <f t="shared" si="4"/>
        <v>10</v>
      </c>
      <c r="K135" s="3">
        <f t="shared" si="5"/>
        <v>10</v>
      </c>
      <c r="L135" s="7">
        <f t="shared" si="6"/>
        <v>2</v>
      </c>
      <c r="M135" s="7">
        <f t="shared" si="7"/>
        <v>1</v>
      </c>
      <c r="N135" s="7">
        <f t="shared" si="8"/>
        <v>10</v>
      </c>
    </row>
    <row r="136" hidden="1">
      <c r="B136" s="3" t="s">
        <v>309</v>
      </c>
      <c r="C136" s="5" t="s">
        <v>310</v>
      </c>
      <c r="D136" s="3">
        <v>9.0</v>
      </c>
      <c r="E136" s="3">
        <v>9.0</v>
      </c>
      <c r="F136" s="3">
        <f t="shared" si="1"/>
        <v>2</v>
      </c>
      <c r="G136" s="5" t="str">
        <f>IFERROR(__xludf.DUMMYFUNCTION("""COMPUTED_VALUE"""),"https://github.com/amitkrajput08/IITM_TDS_PROJECT1")</f>
        <v>https://github.com/amitkrajput08/IITM_TDS_PROJECT1</v>
      </c>
      <c r="H136" s="3">
        <f t="shared" si="2"/>
        <v>6</v>
      </c>
      <c r="I136" s="3">
        <f t="shared" si="3"/>
        <v>7</v>
      </c>
      <c r="J136" s="3">
        <f t="shared" si="4"/>
        <v>7</v>
      </c>
      <c r="K136" s="3">
        <f t="shared" si="5"/>
        <v>7</v>
      </c>
      <c r="L136" s="7">
        <f t="shared" si="6"/>
        <v>1</v>
      </c>
      <c r="M136" s="7">
        <f t="shared" si="7"/>
        <v>0</v>
      </c>
      <c r="N136" s="7">
        <f t="shared" si="8"/>
        <v>7</v>
      </c>
    </row>
    <row r="137" hidden="1">
      <c r="B137" s="3" t="s">
        <v>311</v>
      </c>
      <c r="C137" s="5" t="s">
        <v>179</v>
      </c>
      <c r="D137" s="3">
        <v>8.0</v>
      </c>
      <c r="E137" s="3">
        <v>0.0</v>
      </c>
      <c r="F137" s="3">
        <f t="shared" si="1"/>
        <v>1</v>
      </c>
      <c r="G137" s="5" t="str">
        <f>IFERROR(__xludf.DUMMYFUNCTION("""COMPUTED_VALUE"""),"https://github.com/Gunjan-gif/tds_p1")</f>
        <v>https://github.com/Gunjan-gif/tds_p1</v>
      </c>
      <c r="H137" s="3">
        <f t="shared" si="2"/>
        <v>1</v>
      </c>
      <c r="I137" s="3">
        <f t="shared" si="3"/>
        <v>1</v>
      </c>
      <c r="J137" s="3" t="str">
        <f t="shared" si="4"/>
        <v>No reviews</v>
      </c>
      <c r="K137" s="3" t="str">
        <f t="shared" si="5"/>
        <v>No reviews</v>
      </c>
      <c r="L137" s="7" t="str">
        <f t="shared" si="6"/>
        <v> </v>
      </c>
      <c r="M137" s="7" t="str">
        <f t="shared" si="7"/>
        <v> </v>
      </c>
      <c r="N137" s="7">
        <f t="shared" si="8"/>
        <v>1</v>
      </c>
    </row>
    <row r="138" hidden="1">
      <c r="B138" s="3" t="s">
        <v>312</v>
      </c>
      <c r="C138" s="5" t="s">
        <v>313</v>
      </c>
      <c r="D138" s="3">
        <v>5.0</v>
      </c>
      <c r="E138" s="3">
        <v>5.0</v>
      </c>
      <c r="F138" s="3">
        <f t="shared" si="1"/>
        <v>1</v>
      </c>
      <c r="G138" s="5" t="str">
        <f>IFERROR(__xludf.DUMMYFUNCTION("""COMPUTED_VALUE"""),"https://github.com/GOPIKA178/github-data-london")</f>
        <v>https://github.com/GOPIKA178/github-data-london</v>
      </c>
      <c r="H138" s="3">
        <f t="shared" si="2"/>
        <v>10</v>
      </c>
      <c r="I138" s="3">
        <f t="shared" si="3"/>
        <v>10</v>
      </c>
      <c r="J138" s="3" t="str">
        <f t="shared" si="4"/>
        <v>No reviews</v>
      </c>
      <c r="K138" s="3" t="str">
        <f t="shared" si="5"/>
        <v>No reviews</v>
      </c>
      <c r="L138" s="7" t="str">
        <f t="shared" si="6"/>
        <v> </v>
      </c>
      <c r="M138" s="7" t="str">
        <f t="shared" si="7"/>
        <v> </v>
      </c>
      <c r="N138" s="7">
        <f t="shared" si="8"/>
        <v>10</v>
      </c>
    </row>
    <row r="139" hidden="1">
      <c r="B139" s="3" t="s">
        <v>314</v>
      </c>
      <c r="C139" s="5" t="s">
        <v>315</v>
      </c>
      <c r="D139" s="3">
        <v>6.0</v>
      </c>
      <c r="E139" s="3">
        <v>7.0</v>
      </c>
      <c r="F139" s="3">
        <f t="shared" si="1"/>
        <v>2</v>
      </c>
      <c r="G139" s="5" t="str">
        <f>IFERROR(__xludf.DUMMYFUNCTION("""COMPUTED_VALUE"""),"https://github.com/Sahith200444/github-user-data")</f>
        <v>https://github.com/Sahith200444/github-user-data</v>
      </c>
      <c r="H139" s="3">
        <f t="shared" si="2"/>
        <v>0</v>
      </c>
      <c r="I139" s="3">
        <f t="shared" si="3"/>
        <v>0</v>
      </c>
      <c r="J139" s="3">
        <f t="shared" si="4"/>
        <v>7</v>
      </c>
      <c r="K139" s="3">
        <f t="shared" si="5"/>
        <v>0</v>
      </c>
      <c r="L139" s="7">
        <f t="shared" si="6"/>
        <v>7</v>
      </c>
      <c r="M139" s="7">
        <f t="shared" si="7"/>
        <v>0</v>
      </c>
      <c r="N139" s="7">
        <f t="shared" si="8"/>
        <v>3.5</v>
      </c>
    </row>
    <row r="140" hidden="1">
      <c r="B140" s="3" t="s">
        <v>316</v>
      </c>
      <c r="C140" s="5" t="s">
        <v>317</v>
      </c>
      <c r="D140" s="3">
        <v>9.0</v>
      </c>
      <c r="E140" s="3">
        <v>10.0</v>
      </c>
      <c r="F140" s="3">
        <f t="shared" si="1"/>
        <v>2</v>
      </c>
      <c r="G140" s="5" t="str">
        <f>IFERROR(__xludf.DUMMYFUNCTION("""COMPUTED_VALUE"""),"https://github.com/KSoham-dev/TDS-Project-I")</f>
        <v>https://github.com/KSoham-dev/TDS-Project-I</v>
      </c>
      <c r="H140" s="3">
        <f t="shared" si="2"/>
        <v>10</v>
      </c>
      <c r="I140" s="3">
        <f t="shared" si="3"/>
        <v>10</v>
      </c>
      <c r="J140" s="3">
        <f t="shared" si="4"/>
        <v>10</v>
      </c>
      <c r="K140" s="3">
        <f t="shared" si="5"/>
        <v>10</v>
      </c>
      <c r="L140" s="7">
        <f t="shared" si="6"/>
        <v>0</v>
      </c>
      <c r="M140" s="7">
        <f t="shared" si="7"/>
        <v>0</v>
      </c>
      <c r="N140" s="7">
        <f t="shared" si="8"/>
        <v>10</v>
      </c>
    </row>
    <row r="141" hidden="1">
      <c r="B141" s="3" t="s">
        <v>318</v>
      </c>
      <c r="C141" s="5" t="s">
        <v>319</v>
      </c>
      <c r="D141" s="3">
        <v>8.0</v>
      </c>
      <c r="E141" s="3">
        <v>8.0</v>
      </c>
      <c r="F141" s="3">
        <f t="shared" si="1"/>
        <v>2</v>
      </c>
      <c r="G141" s="5" t="str">
        <f>IFERROR(__xludf.DUMMYFUNCTION("""COMPUTED_VALUE"""),"https://github.com/Rajnish2899/Mynewproject")</f>
        <v>https://github.com/Rajnish2899/Mynewproject</v>
      </c>
      <c r="H141" s="3">
        <f t="shared" si="2"/>
        <v>6</v>
      </c>
      <c r="I141" s="3">
        <f t="shared" si="3"/>
        <v>0</v>
      </c>
      <c r="J141" s="3">
        <f t="shared" si="4"/>
        <v>5</v>
      </c>
      <c r="K141" s="3">
        <f t="shared" si="5"/>
        <v>0</v>
      </c>
      <c r="L141" s="7">
        <f t="shared" si="6"/>
        <v>1</v>
      </c>
      <c r="M141" s="7">
        <f t="shared" si="7"/>
        <v>0</v>
      </c>
      <c r="N141" s="7">
        <f t="shared" si="8"/>
        <v>3</v>
      </c>
    </row>
    <row r="142" hidden="1">
      <c r="B142" s="3" t="s">
        <v>320</v>
      </c>
      <c r="C142" s="5" t="s">
        <v>93</v>
      </c>
      <c r="D142" s="3">
        <v>3.0</v>
      </c>
      <c r="E142" s="3">
        <v>8.0</v>
      </c>
      <c r="F142" s="3">
        <f t="shared" si="1"/>
        <v>2</v>
      </c>
      <c r="G142" s="5" t="str">
        <f>IFERROR(__xludf.DUMMYFUNCTION("""COMPUTED_VALUE"""),"https://github.com/iitm-student/Project1")</f>
        <v>https://github.com/iitm-student/Project1</v>
      </c>
      <c r="H142" s="3">
        <f t="shared" si="2"/>
        <v>3</v>
      </c>
      <c r="I142" s="3">
        <f t="shared" si="3"/>
        <v>0</v>
      </c>
      <c r="J142" s="3">
        <f t="shared" si="4"/>
        <v>5</v>
      </c>
      <c r="K142" s="3">
        <f t="shared" si="5"/>
        <v>0</v>
      </c>
      <c r="L142" s="7">
        <f t="shared" si="6"/>
        <v>2</v>
      </c>
      <c r="M142" s="7">
        <f t="shared" si="7"/>
        <v>0</v>
      </c>
      <c r="N142" s="7">
        <f t="shared" si="8"/>
        <v>2.5</v>
      </c>
    </row>
    <row r="143" hidden="1">
      <c r="B143" s="3" t="s">
        <v>321</v>
      </c>
      <c r="C143" s="5" t="s">
        <v>322</v>
      </c>
      <c r="D143" s="3">
        <v>10.0</v>
      </c>
      <c r="E143" s="3">
        <v>9.0</v>
      </c>
      <c r="F143" s="3">
        <f t="shared" si="1"/>
        <v>1</v>
      </c>
      <c r="G143" s="5" t="str">
        <f>IFERROR(__xludf.DUMMYFUNCTION("""COMPUTED_VALUE"""),"https://github.com/gotherwal/TDS_Project1")</f>
        <v>https://github.com/gotherwal/TDS_Project1</v>
      </c>
      <c r="H143" s="3">
        <f t="shared" si="2"/>
        <v>10</v>
      </c>
      <c r="I143" s="3">
        <f t="shared" si="3"/>
        <v>0</v>
      </c>
      <c r="J143" s="3" t="str">
        <f t="shared" si="4"/>
        <v>No reviews</v>
      </c>
      <c r="K143" s="3" t="str">
        <f t="shared" si="5"/>
        <v>No reviews</v>
      </c>
      <c r="L143" s="7" t="str">
        <f t="shared" si="6"/>
        <v> </v>
      </c>
      <c r="M143" s="7" t="str">
        <f t="shared" si="7"/>
        <v> </v>
      </c>
      <c r="N143" s="7">
        <f t="shared" si="8"/>
        <v>5</v>
      </c>
    </row>
    <row r="144" hidden="1">
      <c r="B144" s="3" t="s">
        <v>323</v>
      </c>
      <c r="C144" s="5" t="s">
        <v>292</v>
      </c>
      <c r="D144" s="3">
        <v>8.0</v>
      </c>
      <c r="E144" s="3">
        <v>10.0</v>
      </c>
      <c r="F144" s="3">
        <f t="shared" si="1"/>
        <v>2</v>
      </c>
      <c r="G144" s="5" t="str">
        <f>IFERROR(__xludf.DUMMYFUNCTION("""COMPUTED_VALUE"""),"https://github.com/abhistjain/Project_tds")</f>
        <v>https://github.com/abhistjain/Project_tds</v>
      </c>
      <c r="H144" s="3">
        <f t="shared" si="2"/>
        <v>10</v>
      </c>
      <c r="I144" s="3">
        <f t="shared" si="3"/>
        <v>10</v>
      </c>
      <c r="J144" s="3">
        <f t="shared" si="4"/>
        <v>7</v>
      </c>
      <c r="K144" s="3">
        <f t="shared" si="5"/>
        <v>8</v>
      </c>
      <c r="L144" s="7">
        <f t="shared" si="6"/>
        <v>3</v>
      </c>
      <c r="M144" s="7">
        <f t="shared" si="7"/>
        <v>2</v>
      </c>
      <c r="N144" s="7">
        <f t="shared" si="8"/>
        <v>10</v>
      </c>
    </row>
    <row r="145" hidden="1">
      <c r="B145" s="3" t="s">
        <v>324</v>
      </c>
      <c r="C145" s="5" t="s">
        <v>325</v>
      </c>
      <c r="D145" s="3">
        <v>10.0</v>
      </c>
      <c r="E145" s="3">
        <v>10.0</v>
      </c>
      <c r="F145" s="3">
        <f t="shared" si="1"/>
        <v>2</v>
      </c>
      <c r="G145" s="5" t="str">
        <f>IFERROR(__xludf.DUMMYFUNCTION("""COMPUTED_VALUE"""),"https://github.com/Pragati2001589/my_repository")</f>
        <v>https://github.com/Pragati2001589/my_repository</v>
      </c>
      <c r="H145" s="3">
        <f t="shared" si="2"/>
        <v>8</v>
      </c>
      <c r="I145" s="3">
        <f t="shared" si="3"/>
        <v>10</v>
      </c>
      <c r="J145" s="3">
        <f t="shared" si="4"/>
        <v>10</v>
      </c>
      <c r="K145" s="3">
        <f t="shared" si="5"/>
        <v>9</v>
      </c>
      <c r="L145" s="7">
        <f t="shared" si="6"/>
        <v>2</v>
      </c>
      <c r="M145" s="7">
        <f t="shared" si="7"/>
        <v>1</v>
      </c>
      <c r="N145" s="7">
        <f t="shared" si="8"/>
        <v>9.5</v>
      </c>
    </row>
    <row r="146" hidden="1">
      <c r="B146" s="3" t="s">
        <v>326</v>
      </c>
      <c r="C146" s="5" t="s">
        <v>327</v>
      </c>
      <c r="D146" s="3">
        <v>6.0</v>
      </c>
      <c r="E146" s="3">
        <v>8.0</v>
      </c>
      <c r="F146" s="3">
        <f t="shared" si="1"/>
        <v>2</v>
      </c>
      <c r="G146" s="5" t="str">
        <f>IFERROR(__xludf.DUMMYFUNCTION("""COMPUTED_VALUE"""),"https://github.com/Bhavana2639/tds-proj-1")</f>
        <v>https://github.com/Bhavana2639/tds-proj-1</v>
      </c>
      <c r="H146" s="3">
        <f t="shared" si="2"/>
        <v>10</v>
      </c>
      <c r="I146" s="3">
        <f t="shared" si="3"/>
        <v>10</v>
      </c>
      <c r="J146" s="3">
        <f t="shared" si="4"/>
        <v>9</v>
      </c>
      <c r="K146" s="3">
        <f t="shared" si="5"/>
        <v>10</v>
      </c>
      <c r="L146" s="7">
        <f t="shared" si="6"/>
        <v>1</v>
      </c>
      <c r="M146" s="7">
        <f t="shared" si="7"/>
        <v>0</v>
      </c>
      <c r="N146" s="7">
        <f t="shared" si="8"/>
        <v>10</v>
      </c>
    </row>
    <row r="147" hidden="1">
      <c r="B147" s="3" t="s">
        <v>328</v>
      </c>
      <c r="C147" s="5" t="s">
        <v>51</v>
      </c>
      <c r="D147" s="3">
        <v>7.0</v>
      </c>
      <c r="E147" s="3">
        <v>9.0</v>
      </c>
      <c r="F147" s="3">
        <f t="shared" si="1"/>
        <v>2</v>
      </c>
      <c r="G147" s="5" t="str">
        <f>IFERROR(__xludf.DUMMYFUNCTION("""COMPUTED_VALUE"""),"https://github.com/infamous-01/TDS-Project-1")</f>
        <v>https://github.com/infamous-01/TDS-Project-1</v>
      </c>
      <c r="H147" s="3">
        <f t="shared" si="2"/>
        <v>10</v>
      </c>
      <c r="I147" s="3">
        <f t="shared" si="3"/>
        <v>0</v>
      </c>
      <c r="J147" s="3">
        <f t="shared" si="4"/>
        <v>10</v>
      </c>
      <c r="K147" s="3">
        <f t="shared" si="5"/>
        <v>10</v>
      </c>
      <c r="L147" s="7">
        <f t="shared" si="6"/>
        <v>0</v>
      </c>
      <c r="M147" s="7">
        <f t="shared" si="7"/>
        <v>10</v>
      </c>
      <c r="N147" s="7">
        <f t="shared" si="8"/>
        <v>10</v>
      </c>
    </row>
    <row r="148" hidden="1">
      <c r="B148" s="3" t="s">
        <v>329</v>
      </c>
      <c r="C148" s="5" t="s">
        <v>330</v>
      </c>
      <c r="D148" s="3">
        <v>8.0</v>
      </c>
      <c r="E148" s="3">
        <v>9.0</v>
      </c>
      <c r="F148" s="3">
        <f t="shared" si="1"/>
        <v>2</v>
      </c>
      <c r="G148" s="5" t="str">
        <f>IFERROR(__xludf.DUMMYFUNCTION("""COMPUTED_VALUE"""),"https://github.com/shekharkshitij/TDS_Project")</f>
        <v>https://github.com/shekharkshitij/TDS_Project</v>
      </c>
      <c r="H148" s="3">
        <f t="shared" si="2"/>
        <v>10</v>
      </c>
      <c r="I148" s="3">
        <f t="shared" si="3"/>
        <v>10</v>
      </c>
      <c r="J148" s="3">
        <f t="shared" si="4"/>
        <v>10</v>
      </c>
      <c r="K148" s="3">
        <f t="shared" si="5"/>
        <v>10</v>
      </c>
      <c r="L148" s="7">
        <f t="shared" si="6"/>
        <v>0</v>
      </c>
      <c r="M148" s="7">
        <f t="shared" si="7"/>
        <v>0</v>
      </c>
      <c r="N148" s="7">
        <f t="shared" si="8"/>
        <v>10</v>
      </c>
    </row>
    <row r="149" hidden="1">
      <c r="B149" s="3" t="s">
        <v>331</v>
      </c>
      <c r="C149" s="5" t="s">
        <v>332</v>
      </c>
      <c r="D149" s="3">
        <v>6.0</v>
      </c>
      <c r="E149" s="3">
        <v>7.0</v>
      </c>
      <c r="F149" s="3">
        <f t="shared" si="1"/>
        <v>1</v>
      </c>
      <c r="G149" s="5" t="str">
        <f>IFERROR(__xludf.DUMMYFUNCTION("""COMPUTED_VALUE"""),"https://github.com/Stephen-iitm/Melbourne-100")</f>
        <v>https://github.com/Stephen-iitm/Melbourne-100</v>
      </c>
      <c r="H149" s="3">
        <f t="shared" si="2"/>
        <v>8</v>
      </c>
      <c r="I149" s="3">
        <f t="shared" si="3"/>
        <v>8</v>
      </c>
      <c r="J149" s="3" t="str">
        <f t="shared" si="4"/>
        <v>No reviews</v>
      </c>
      <c r="K149" s="3" t="str">
        <f t="shared" si="5"/>
        <v>No reviews</v>
      </c>
      <c r="L149" s="7" t="str">
        <f t="shared" si="6"/>
        <v> </v>
      </c>
      <c r="M149" s="7" t="str">
        <f t="shared" si="7"/>
        <v> </v>
      </c>
      <c r="N149" s="7">
        <f t="shared" si="8"/>
        <v>8</v>
      </c>
    </row>
    <row r="150" hidden="1">
      <c r="B150" s="3" t="s">
        <v>333</v>
      </c>
      <c r="C150" s="5" t="s">
        <v>334</v>
      </c>
      <c r="D150" s="3">
        <v>1.0</v>
      </c>
      <c r="E150" s="3">
        <v>1.0</v>
      </c>
      <c r="F150" s="3">
        <f t="shared" si="1"/>
        <v>2</v>
      </c>
      <c r="G150" s="5" t="str">
        <f>IFERROR(__xludf.DUMMYFUNCTION("""COMPUTED_VALUE"""),"https://github.com/BriIITM/Project1-TDS")</f>
        <v>https://github.com/BriIITM/Project1-TDS</v>
      </c>
      <c r="H150" s="3">
        <f t="shared" si="2"/>
        <v>9</v>
      </c>
      <c r="I150" s="3">
        <f t="shared" si="3"/>
        <v>9</v>
      </c>
      <c r="J150" s="3">
        <f t="shared" si="4"/>
        <v>10</v>
      </c>
      <c r="K150" s="3">
        <f t="shared" si="5"/>
        <v>10</v>
      </c>
      <c r="L150" s="7">
        <f t="shared" si="6"/>
        <v>1</v>
      </c>
      <c r="M150" s="7">
        <f t="shared" si="7"/>
        <v>1</v>
      </c>
      <c r="N150" s="7">
        <f t="shared" si="8"/>
        <v>10</v>
      </c>
    </row>
    <row r="151" hidden="1">
      <c r="B151" s="3" t="s">
        <v>335</v>
      </c>
      <c r="C151" s="5" t="s">
        <v>336</v>
      </c>
      <c r="D151" s="3">
        <v>10.0</v>
      </c>
      <c r="E151" s="3">
        <v>10.0</v>
      </c>
      <c r="F151" s="3">
        <f t="shared" si="1"/>
        <v>2</v>
      </c>
      <c r="G151" s="5" t="str">
        <f>IFERROR(__xludf.DUMMYFUNCTION("""COMPUTED_VALUE"""),"https://github.com/uma1979/github-api-analysis")</f>
        <v>https://github.com/uma1979/github-api-analysis</v>
      </c>
      <c r="H151" s="3">
        <f t="shared" si="2"/>
        <v>10</v>
      </c>
      <c r="I151" s="3">
        <f t="shared" si="3"/>
        <v>10</v>
      </c>
      <c r="J151" s="3">
        <f t="shared" si="4"/>
        <v>10</v>
      </c>
      <c r="K151" s="3">
        <f t="shared" si="5"/>
        <v>10</v>
      </c>
      <c r="L151" s="7">
        <f t="shared" si="6"/>
        <v>0</v>
      </c>
      <c r="M151" s="7">
        <f t="shared" si="7"/>
        <v>0</v>
      </c>
      <c r="N151" s="7">
        <f t="shared" si="8"/>
        <v>10</v>
      </c>
    </row>
    <row r="152" hidden="1">
      <c r="B152" s="3" t="s">
        <v>337</v>
      </c>
      <c r="C152" s="5" t="s">
        <v>338</v>
      </c>
      <c r="D152" s="3">
        <v>0.0</v>
      </c>
      <c r="E152" s="3">
        <v>0.0</v>
      </c>
      <c r="F152" s="3">
        <f t="shared" si="1"/>
        <v>2</v>
      </c>
      <c r="G152" s="5" t="str">
        <f>IFERROR(__xludf.DUMMYFUNCTION("""COMPUTED_VALUE"""),"https://github.com/Rajalakshmi12/IITM_Tds_Project1")</f>
        <v>https://github.com/Rajalakshmi12/IITM_Tds_Project1</v>
      </c>
      <c r="H152" s="3">
        <f t="shared" si="2"/>
        <v>10</v>
      </c>
      <c r="I152" s="3">
        <f t="shared" si="3"/>
        <v>10</v>
      </c>
      <c r="J152" s="3">
        <f t="shared" si="4"/>
        <v>10</v>
      </c>
      <c r="K152" s="3">
        <f t="shared" si="5"/>
        <v>10</v>
      </c>
      <c r="L152" s="7">
        <f t="shared" si="6"/>
        <v>0</v>
      </c>
      <c r="M152" s="7">
        <f t="shared" si="7"/>
        <v>0</v>
      </c>
      <c r="N152" s="7">
        <f t="shared" si="8"/>
        <v>10</v>
      </c>
    </row>
    <row r="153" hidden="1">
      <c r="B153" s="3" t="s">
        <v>339</v>
      </c>
      <c r="C153" s="5" t="s">
        <v>340</v>
      </c>
      <c r="D153" s="3">
        <v>10.0</v>
      </c>
      <c r="E153" s="3">
        <v>10.0</v>
      </c>
      <c r="F153" s="3">
        <f t="shared" si="1"/>
        <v>2</v>
      </c>
      <c r="G153" s="5" t="str">
        <f>IFERROR(__xludf.DUMMYFUNCTION("""COMPUTED_VALUE"""),"https://github.com/Lakshay777s/TDS-project")</f>
        <v>https://github.com/Lakshay777s/TDS-project</v>
      </c>
      <c r="H153" s="3">
        <f t="shared" si="2"/>
        <v>10</v>
      </c>
      <c r="I153" s="3">
        <f t="shared" si="3"/>
        <v>10</v>
      </c>
      <c r="J153" s="3">
        <f t="shared" si="4"/>
        <v>8</v>
      </c>
      <c r="K153" s="3">
        <f t="shared" si="5"/>
        <v>9</v>
      </c>
      <c r="L153" s="7">
        <f t="shared" si="6"/>
        <v>2</v>
      </c>
      <c r="M153" s="7">
        <f t="shared" si="7"/>
        <v>1</v>
      </c>
      <c r="N153" s="7">
        <f t="shared" si="8"/>
        <v>10</v>
      </c>
    </row>
    <row r="154" hidden="1">
      <c r="B154" s="3" t="s">
        <v>341</v>
      </c>
      <c r="C154" s="5" t="s">
        <v>342</v>
      </c>
      <c r="D154" s="3">
        <v>6.0</v>
      </c>
      <c r="E154" s="3">
        <v>0.0</v>
      </c>
      <c r="F154" s="3">
        <f t="shared" si="1"/>
        <v>1</v>
      </c>
      <c r="G154" s="5" t="str">
        <f>IFERROR(__xludf.DUMMYFUNCTION("""COMPUTED_VALUE"""),"https://github.com/Giri-Subrahmanya/23f2000573-TDS-P1/tree/main")</f>
        <v>https://github.com/Giri-Subrahmanya/23f2000573-TDS-P1/tree/main</v>
      </c>
      <c r="H154" s="3">
        <f t="shared" si="2"/>
        <v>9</v>
      </c>
      <c r="I154" s="3">
        <f t="shared" si="3"/>
        <v>9</v>
      </c>
      <c r="J154" s="3" t="str">
        <f t="shared" si="4"/>
        <v>No reviews</v>
      </c>
      <c r="K154" s="3" t="str">
        <f t="shared" si="5"/>
        <v>No reviews</v>
      </c>
      <c r="L154" s="7" t="str">
        <f t="shared" si="6"/>
        <v> </v>
      </c>
      <c r="M154" s="7" t="str">
        <f t="shared" si="7"/>
        <v> </v>
      </c>
      <c r="N154" s="7">
        <f t="shared" si="8"/>
        <v>9</v>
      </c>
    </row>
    <row r="155" hidden="1">
      <c r="B155" s="3" t="s">
        <v>343</v>
      </c>
      <c r="C155" s="5" t="s">
        <v>160</v>
      </c>
      <c r="D155" s="3">
        <v>10.0</v>
      </c>
      <c r="E155" s="3">
        <v>10.0</v>
      </c>
      <c r="F155" s="3">
        <f t="shared" si="1"/>
        <v>2</v>
      </c>
      <c r="G155" s="5" t="str">
        <f>IFERROR(__xludf.DUMMYFUNCTION("""COMPUTED_VALUE"""),"https://github.com/karthikeyan456/tdsproject1")</f>
        <v>https://github.com/karthikeyan456/tdsproject1</v>
      </c>
      <c r="H155" s="3">
        <f t="shared" si="2"/>
        <v>10</v>
      </c>
      <c r="I155" s="3">
        <f t="shared" si="3"/>
        <v>10</v>
      </c>
      <c r="J155" s="3">
        <f t="shared" si="4"/>
        <v>10</v>
      </c>
      <c r="K155" s="3">
        <f t="shared" si="5"/>
        <v>10</v>
      </c>
      <c r="L155" s="7">
        <f t="shared" si="6"/>
        <v>0</v>
      </c>
      <c r="M155" s="7">
        <f t="shared" si="7"/>
        <v>0</v>
      </c>
      <c r="N155" s="7">
        <f t="shared" si="8"/>
        <v>10</v>
      </c>
    </row>
    <row r="156" hidden="1">
      <c r="B156" s="3" t="s">
        <v>344</v>
      </c>
      <c r="C156" s="5" t="s">
        <v>345</v>
      </c>
      <c r="D156" s="3">
        <v>3.0</v>
      </c>
      <c r="E156" s="3">
        <v>0.0</v>
      </c>
      <c r="F156" s="3">
        <f t="shared" si="1"/>
        <v>2</v>
      </c>
      <c r="G156" s="5" t="str">
        <f>IFERROR(__xludf.DUMMYFUNCTION("""COMPUTED_VALUE"""),"https://github.com/PavanKumar-KN/TDS_Project_1")</f>
        <v>https://github.com/PavanKumar-KN/TDS_Project_1</v>
      </c>
      <c r="H156" s="3">
        <f t="shared" si="2"/>
        <v>10</v>
      </c>
      <c r="I156" s="3">
        <f t="shared" si="3"/>
        <v>10</v>
      </c>
      <c r="J156" s="3">
        <f t="shared" si="4"/>
        <v>9</v>
      </c>
      <c r="K156" s="3">
        <f t="shared" si="5"/>
        <v>9</v>
      </c>
      <c r="L156" s="7">
        <f t="shared" si="6"/>
        <v>1</v>
      </c>
      <c r="M156" s="7">
        <f t="shared" si="7"/>
        <v>1</v>
      </c>
      <c r="N156" s="7">
        <f t="shared" si="8"/>
        <v>10</v>
      </c>
    </row>
    <row r="157" hidden="1">
      <c r="B157" s="3" t="s">
        <v>346</v>
      </c>
      <c r="C157" s="5" t="s">
        <v>347</v>
      </c>
      <c r="D157" s="3">
        <v>10.0</v>
      </c>
      <c r="E157" s="3">
        <v>0.0</v>
      </c>
      <c r="F157" s="3">
        <f t="shared" si="1"/>
        <v>1</v>
      </c>
      <c r="G157" s="5" t="str">
        <f>IFERROR(__xludf.DUMMYFUNCTION("""COMPUTED_VALUE"""),"https://github.com/antareep18-geek/TDS-project1")</f>
        <v>https://github.com/antareep18-geek/TDS-project1</v>
      </c>
      <c r="H157" s="3">
        <f t="shared" si="2"/>
        <v>10</v>
      </c>
      <c r="I157" s="3">
        <f t="shared" si="3"/>
        <v>10</v>
      </c>
      <c r="J157" s="3" t="str">
        <f t="shared" si="4"/>
        <v>No reviews</v>
      </c>
      <c r="K157" s="3" t="str">
        <f t="shared" si="5"/>
        <v>No reviews</v>
      </c>
      <c r="L157" s="7" t="str">
        <f t="shared" si="6"/>
        <v> </v>
      </c>
      <c r="M157" s="7" t="str">
        <f t="shared" si="7"/>
        <v> </v>
      </c>
      <c r="N157" s="7">
        <f t="shared" si="8"/>
        <v>10</v>
      </c>
    </row>
    <row r="158" hidden="1">
      <c r="B158" s="3" t="s">
        <v>348</v>
      </c>
      <c r="C158" s="5" t="s">
        <v>349</v>
      </c>
      <c r="D158" s="3">
        <v>10.0</v>
      </c>
      <c r="E158" s="3">
        <v>10.0</v>
      </c>
      <c r="F158" s="3">
        <f t="shared" si="1"/>
        <v>2</v>
      </c>
      <c r="G158" s="5" t="str">
        <f>IFERROR(__xludf.DUMMYFUNCTION("""COMPUTED_VALUE"""),"https://github.com/Jatendra/iitm_project1")</f>
        <v>https://github.com/Jatendra/iitm_project1</v>
      </c>
      <c r="H158" s="3">
        <f t="shared" si="2"/>
        <v>8</v>
      </c>
      <c r="I158" s="3">
        <f t="shared" si="3"/>
        <v>10</v>
      </c>
      <c r="J158" s="3">
        <f t="shared" si="4"/>
        <v>10</v>
      </c>
      <c r="K158" s="3">
        <f t="shared" si="5"/>
        <v>9</v>
      </c>
      <c r="L158" s="7">
        <f t="shared" si="6"/>
        <v>2</v>
      </c>
      <c r="M158" s="7">
        <f t="shared" si="7"/>
        <v>1</v>
      </c>
      <c r="N158" s="7">
        <f t="shared" si="8"/>
        <v>9.5</v>
      </c>
    </row>
    <row r="159" hidden="1">
      <c r="B159" s="3" t="s">
        <v>350</v>
      </c>
      <c r="C159" s="5" t="s">
        <v>351</v>
      </c>
      <c r="D159" s="3">
        <v>8.0</v>
      </c>
      <c r="E159" s="3">
        <v>10.0</v>
      </c>
      <c r="F159" s="3">
        <f t="shared" si="1"/>
        <v>1</v>
      </c>
      <c r="G159" s="5" t="str">
        <f>IFERROR(__xludf.DUMMYFUNCTION("""COMPUTED_VALUE"""),"https://github.com/Ayushman-mukherjee/TDS-Project1")</f>
        <v>https://github.com/Ayushman-mukherjee/TDS-Project1</v>
      </c>
      <c r="H159" s="3">
        <f t="shared" si="2"/>
        <v>10</v>
      </c>
      <c r="I159" s="3">
        <f t="shared" si="3"/>
        <v>10</v>
      </c>
      <c r="J159" s="3" t="str">
        <f t="shared" si="4"/>
        <v>No reviews</v>
      </c>
      <c r="K159" s="3" t="str">
        <f t="shared" si="5"/>
        <v>No reviews</v>
      </c>
      <c r="L159" s="7" t="str">
        <f t="shared" si="6"/>
        <v> </v>
      </c>
      <c r="M159" s="7" t="str">
        <f t="shared" si="7"/>
        <v> </v>
      </c>
      <c r="N159" s="7">
        <f t="shared" si="8"/>
        <v>10</v>
      </c>
    </row>
    <row r="160" hidden="1">
      <c r="B160" s="3" t="s">
        <v>352</v>
      </c>
      <c r="C160" s="5" t="s">
        <v>353</v>
      </c>
      <c r="D160" s="3">
        <v>10.0</v>
      </c>
      <c r="E160" s="3">
        <v>10.0</v>
      </c>
      <c r="F160" s="3">
        <f t="shared" si="1"/>
        <v>2</v>
      </c>
      <c r="G160" s="5" t="str">
        <f>IFERROR(__xludf.DUMMYFUNCTION("""COMPUTED_VALUE"""),"https://github.com/22f1000998/TDS-Project-1")</f>
        <v>https://github.com/22f1000998/TDS-Project-1</v>
      </c>
      <c r="H160" s="3">
        <f t="shared" si="2"/>
        <v>7</v>
      </c>
      <c r="I160" s="3">
        <f t="shared" si="3"/>
        <v>9</v>
      </c>
      <c r="J160" s="3">
        <f t="shared" si="4"/>
        <v>10</v>
      </c>
      <c r="K160" s="3">
        <f t="shared" si="5"/>
        <v>10</v>
      </c>
      <c r="L160" s="7">
        <f t="shared" si="6"/>
        <v>3</v>
      </c>
      <c r="M160" s="7">
        <f t="shared" si="7"/>
        <v>1</v>
      </c>
      <c r="N160" s="7">
        <f t="shared" si="8"/>
        <v>10</v>
      </c>
    </row>
    <row r="161" hidden="1">
      <c r="B161" s="3" t="s">
        <v>354</v>
      </c>
      <c r="C161" s="5" t="s">
        <v>355</v>
      </c>
      <c r="D161" s="3">
        <v>10.0</v>
      </c>
      <c r="E161" s="3">
        <v>0.0</v>
      </c>
      <c r="F161" s="3">
        <f t="shared" si="1"/>
        <v>2</v>
      </c>
      <c r="G161" s="5" t="str">
        <f>IFERROR(__xludf.DUMMYFUNCTION("""COMPUTED_VALUE"""),"https://github.com/VishwasSaini2006/pro")</f>
        <v>https://github.com/VishwasSaini2006/pro</v>
      </c>
      <c r="H161" s="3">
        <f t="shared" si="2"/>
        <v>5</v>
      </c>
      <c r="I161" s="3">
        <f t="shared" si="3"/>
        <v>10</v>
      </c>
      <c r="J161" s="3">
        <f t="shared" si="4"/>
        <v>10</v>
      </c>
      <c r="K161" s="3">
        <f t="shared" si="5"/>
        <v>10</v>
      </c>
      <c r="L161" s="7">
        <f t="shared" si="6"/>
        <v>5</v>
      </c>
      <c r="M161" s="7">
        <f t="shared" si="7"/>
        <v>0</v>
      </c>
      <c r="N161" s="7">
        <f t="shared" si="8"/>
        <v>10</v>
      </c>
    </row>
    <row r="162" hidden="1">
      <c r="B162" s="3" t="s">
        <v>356</v>
      </c>
      <c r="C162" s="5" t="s">
        <v>357</v>
      </c>
      <c r="D162" s="3">
        <v>10.0</v>
      </c>
      <c r="E162" s="3">
        <v>10.0</v>
      </c>
      <c r="F162" s="3">
        <f t="shared" si="1"/>
        <v>2</v>
      </c>
      <c r="G162" s="5" t="str">
        <f>IFERROR(__xludf.DUMMYFUNCTION("""COMPUTED_VALUE"""),"https://github.com/kanha-00001/project-1-final")</f>
        <v>https://github.com/kanha-00001/project-1-final</v>
      </c>
      <c r="H162" s="3">
        <f t="shared" si="2"/>
        <v>5</v>
      </c>
      <c r="I162" s="3">
        <f t="shared" si="3"/>
        <v>0</v>
      </c>
      <c r="J162" s="3">
        <f t="shared" si="4"/>
        <v>8</v>
      </c>
      <c r="K162" s="3">
        <f t="shared" si="5"/>
        <v>0</v>
      </c>
      <c r="L162" s="7">
        <f t="shared" si="6"/>
        <v>3</v>
      </c>
      <c r="M162" s="7">
        <f t="shared" si="7"/>
        <v>0</v>
      </c>
      <c r="N162" s="7">
        <f t="shared" si="8"/>
        <v>4</v>
      </c>
    </row>
    <row r="163" hidden="1">
      <c r="B163" s="3" t="s">
        <v>358</v>
      </c>
      <c r="C163" s="5" t="s">
        <v>359</v>
      </c>
      <c r="D163" s="3">
        <v>8.0</v>
      </c>
      <c r="E163" s="3">
        <v>8.0</v>
      </c>
      <c r="F163" s="3">
        <f t="shared" si="1"/>
        <v>2</v>
      </c>
      <c r="G163" s="5" t="str">
        <f>IFERROR(__xludf.DUMMYFUNCTION("""COMPUTED_VALUE"""),"https://github.com/Ankit972-dotcom/sydney-github-users")</f>
        <v>https://github.com/Ankit972-dotcom/sydney-github-users</v>
      </c>
      <c r="H163" s="3">
        <f t="shared" si="2"/>
        <v>7</v>
      </c>
      <c r="I163" s="3">
        <f t="shared" si="3"/>
        <v>0</v>
      </c>
      <c r="J163" s="3">
        <f t="shared" si="4"/>
        <v>0</v>
      </c>
      <c r="K163" s="3">
        <f t="shared" si="5"/>
        <v>0</v>
      </c>
      <c r="L163" s="7">
        <f t="shared" si="6"/>
        <v>7</v>
      </c>
      <c r="M163" s="7">
        <f t="shared" si="7"/>
        <v>0</v>
      </c>
      <c r="N163" s="7">
        <f t="shared" si="8"/>
        <v>3.5</v>
      </c>
    </row>
    <row r="164" hidden="1">
      <c r="B164" s="3" t="s">
        <v>360</v>
      </c>
      <c r="C164" s="5" t="s">
        <v>173</v>
      </c>
      <c r="D164" s="3">
        <v>5.0</v>
      </c>
      <c r="E164" s="3">
        <v>10.0</v>
      </c>
      <c r="F164" s="3">
        <f t="shared" si="1"/>
        <v>2</v>
      </c>
      <c r="G164" s="5" t="str">
        <f>IFERROR(__xludf.DUMMYFUNCTION("""COMPUTED_VALUE"""),"https://github.com/iitmadvaith/tds")</f>
        <v>https://github.com/iitmadvaith/tds</v>
      </c>
      <c r="H164" s="3">
        <f t="shared" si="2"/>
        <v>8</v>
      </c>
      <c r="I164" s="3">
        <f t="shared" si="3"/>
        <v>7</v>
      </c>
      <c r="J164" s="3">
        <f t="shared" si="4"/>
        <v>8</v>
      </c>
      <c r="K164" s="3">
        <f t="shared" si="5"/>
        <v>7</v>
      </c>
      <c r="L164" s="7">
        <f t="shared" si="6"/>
        <v>0</v>
      </c>
      <c r="M164" s="7">
        <f t="shared" si="7"/>
        <v>0</v>
      </c>
      <c r="N164" s="7">
        <f t="shared" si="8"/>
        <v>7.5</v>
      </c>
    </row>
    <row r="165" hidden="1">
      <c r="B165" s="3" t="s">
        <v>361</v>
      </c>
      <c r="C165" s="5" t="s">
        <v>209</v>
      </c>
      <c r="D165" s="3">
        <v>10.0</v>
      </c>
      <c r="E165" s="3">
        <v>10.0</v>
      </c>
      <c r="F165" s="3">
        <f t="shared" si="1"/>
        <v>2</v>
      </c>
      <c r="G165" s="5" t="str">
        <f>IFERROR(__xludf.DUMMYFUNCTION("""COMPUTED_VALUE"""),"https://github.com/hdsawscloud/project1")</f>
        <v>https://github.com/hdsawscloud/project1</v>
      </c>
      <c r="H165" s="3">
        <f t="shared" si="2"/>
        <v>10</v>
      </c>
      <c r="I165" s="3">
        <f t="shared" si="3"/>
        <v>10</v>
      </c>
      <c r="J165" s="3">
        <f t="shared" si="4"/>
        <v>2</v>
      </c>
      <c r="K165" s="3">
        <f t="shared" si="5"/>
        <v>7</v>
      </c>
      <c r="L165" s="7">
        <f t="shared" si="6"/>
        <v>8</v>
      </c>
      <c r="M165" s="7">
        <f t="shared" si="7"/>
        <v>3</v>
      </c>
      <c r="N165" s="7">
        <f t="shared" si="8"/>
        <v>10</v>
      </c>
    </row>
    <row r="166" hidden="1">
      <c r="B166" s="3" t="s">
        <v>362</v>
      </c>
      <c r="C166" s="5" t="s">
        <v>363</v>
      </c>
      <c r="D166" s="3">
        <v>9.0</v>
      </c>
      <c r="E166" s="3">
        <v>9.0</v>
      </c>
      <c r="F166" s="3">
        <f t="shared" si="1"/>
        <v>1</v>
      </c>
      <c r="G166" s="5" t="str">
        <f>IFERROR(__xludf.DUMMYFUNCTION("""COMPUTED_VALUE"""),"https://github.com/deepika4786/tools-for-data-science-project---1")</f>
        <v>https://github.com/deepika4786/tools-for-data-science-project---1</v>
      </c>
      <c r="H166" s="3">
        <f t="shared" si="2"/>
        <v>3</v>
      </c>
      <c r="I166" s="3">
        <f t="shared" si="3"/>
        <v>0</v>
      </c>
      <c r="J166" s="3" t="str">
        <f t="shared" si="4"/>
        <v>No reviews</v>
      </c>
      <c r="K166" s="3" t="str">
        <f t="shared" si="5"/>
        <v>No reviews</v>
      </c>
      <c r="L166" s="7" t="str">
        <f t="shared" si="6"/>
        <v> </v>
      </c>
      <c r="M166" s="7" t="str">
        <f t="shared" si="7"/>
        <v> </v>
      </c>
      <c r="N166" s="7">
        <f t="shared" si="8"/>
        <v>1.5</v>
      </c>
    </row>
    <row r="167" hidden="1">
      <c r="B167" s="3" t="s">
        <v>364</v>
      </c>
      <c r="C167" s="5" t="s">
        <v>156</v>
      </c>
      <c r="D167" s="3">
        <v>10.0</v>
      </c>
      <c r="E167" s="3">
        <v>10.0</v>
      </c>
      <c r="F167" s="3">
        <f t="shared" si="1"/>
        <v>1</v>
      </c>
      <c r="G167" s="5" t="str">
        <f>IFERROR(__xludf.DUMMYFUNCTION("""COMPUTED_VALUE"""),"https://github.com/r4mbhardwaj/toronto100")</f>
        <v>https://github.com/r4mbhardwaj/toronto100</v>
      </c>
      <c r="H167" s="3">
        <f t="shared" si="2"/>
        <v>10</v>
      </c>
      <c r="I167" s="3">
        <f t="shared" si="3"/>
        <v>10</v>
      </c>
      <c r="J167" s="3" t="str">
        <f t="shared" si="4"/>
        <v>No reviews</v>
      </c>
      <c r="K167" s="3" t="str">
        <f t="shared" si="5"/>
        <v>No reviews</v>
      </c>
      <c r="L167" s="7" t="str">
        <f t="shared" si="6"/>
        <v> </v>
      </c>
      <c r="M167" s="7" t="str">
        <f t="shared" si="7"/>
        <v> </v>
      </c>
      <c r="N167" s="7">
        <f t="shared" si="8"/>
        <v>10</v>
      </c>
    </row>
    <row r="168" hidden="1">
      <c r="B168" s="3" t="s">
        <v>365</v>
      </c>
      <c r="C168" s="5" t="s">
        <v>148</v>
      </c>
      <c r="D168" s="3">
        <v>7.0</v>
      </c>
      <c r="E168" s="3">
        <v>9.0</v>
      </c>
      <c r="F168" s="3">
        <f t="shared" si="1"/>
        <v>1</v>
      </c>
      <c r="G168" s="5" t="str">
        <f>IFERROR(__xludf.DUMMYFUNCTION("""COMPUTED_VALUE"""),"https://github.com/umeshrai01/web_scraping")</f>
        <v>https://github.com/umeshrai01/web_scraping</v>
      </c>
      <c r="H168" s="3">
        <f t="shared" si="2"/>
        <v>8</v>
      </c>
      <c r="I168" s="3">
        <f t="shared" si="3"/>
        <v>10</v>
      </c>
      <c r="J168" s="3" t="str">
        <f t="shared" si="4"/>
        <v>No reviews</v>
      </c>
      <c r="K168" s="3" t="str">
        <f t="shared" si="5"/>
        <v>No reviews</v>
      </c>
      <c r="L168" s="7" t="str">
        <f t="shared" si="6"/>
        <v> </v>
      </c>
      <c r="M168" s="7" t="str">
        <f t="shared" si="7"/>
        <v> </v>
      </c>
      <c r="N168" s="7">
        <f t="shared" si="8"/>
        <v>9</v>
      </c>
    </row>
    <row r="169" hidden="1">
      <c r="B169" s="3" t="s">
        <v>366</v>
      </c>
      <c r="C169" s="5" t="s">
        <v>367</v>
      </c>
      <c r="D169" s="3">
        <v>10.0</v>
      </c>
      <c r="E169" s="3">
        <v>10.0</v>
      </c>
      <c r="F169" s="3">
        <f t="shared" si="1"/>
        <v>2</v>
      </c>
      <c r="G169" s="5" t="str">
        <f>IFERROR(__xludf.DUMMYFUNCTION("""COMPUTED_VALUE"""),"https://github.com/Danniiiaaaa/TDS-proj-1")</f>
        <v>https://github.com/Danniiiaaaa/TDS-proj-1</v>
      </c>
      <c r="H169" s="3">
        <f t="shared" si="2"/>
        <v>10</v>
      </c>
      <c r="I169" s="3">
        <f t="shared" si="3"/>
        <v>10</v>
      </c>
      <c r="J169" s="3">
        <f t="shared" si="4"/>
        <v>10</v>
      </c>
      <c r="K169" s="3">
        <f t="shared" si="5"/>
        <v>10</v>
      </c>
      <c r="L169" s="7">
        <f t="shared" si="6"/>
        <v>0</v>
      </c>
      <c r="M169" s="7">
        <f t="shared" si="7"/>
        <v>0</v>
      </c>
      <c r="N169" s="7">
        <f t="shared" si="8"/>
        <v>10</v>
      </c>
    </row>
    <row r="170" hidden="1">
      <c r="B170" s="3" t="s">
        <v>368</v>
      </c>
      <c r="C170" s="5" t="s">
        <v>369</v>
      </c>
      <c r="D170" s="3">
        <v>10.0</v>
      </c>
      <c r="E170" s="3">
        <v>10.0</v>
      </c>
      <c r="F170" s="3">
        <f t="shared" si="1"/>
        <v>1</v>
      </c>
      <c r="G170" s="5" t="str">
        <f>IFERROR(__xludf.DUMMYFUNCTION("""COMPUTED_VALUE"""),"https://github.com/gotherwal/TDS_Project1/blob/main/README.md")</f>
        <v>https://github.com/gotherwal/TDS_Project1/blob/main/README.md</v>
      </c>
      <c r="H170" s="3">
        <f t="shared" si="2"/>
        <v>4</v>
      </c>
      <c r="I170" s="3">
        <f t="shared" si="3"/>
        <v>10</v>
      </c>
      <c r="J170" s="3" t="str">
        <f t="shared" si="4"/>
        <v>No reviews</v>
      </c>
      <c r="K170" s="3" t="str">
        <f t="shared" si="5"/>
        <v>No reviews</v>
      </c>
      <c r="L170" s="7" t="str">
        <f t="shared" si="6"/>
        <v> </v>
      </c>
      <c r="M170" s="7" t="str">
        <f t="shared" si="7"/>
        <v> </v>
      </c>
      <c r="N170" s="7">
        <f t="shared" si="8"/>
        <v>7</v>
      </c>
    </row>
    <row r="171" hidden="1">
      <c r="B171" s="3" t="s">
        <v>370</v>
      </c>
      <c r="C171" s="5" t="s">
        <v>272</v>
      </c>
      <c r="D171" s="3">
        <v>7.0</v>
      </c>
      <c r="E171" s="3">
        <v>0.0</v>
      </c>
      <c r="F171" s="3">
        <f t="shared" si="1"/>
        <v>2</v>
      </c>
      <c r="G171" s="5" t="str">
        <f>IFERROR(__xludf.DUMMYFUNCTION("""COMPUTED_VALUE"""),"https://github.com/21f3000105/Basel-10_TDS-Project-1/")</f>
        <v>https://github.com/21f3000105/Basel-10_TDS-Project-1/</v>
      </c>
      <c r="H171" s="3">
        <f t="shared" si="2"/>
        <v>8</v>
      </c>
      <c r="I171" s="3">
        <f t="shared" si="3"/>
        <v>10</v>
      </c>
      <c r="J171" s="3">
        <f t="shared" si="4"/>
        <v>8</v>
      </c>
      <c r="K171" s="3">
        <f t="shared" si="5"/>
        <v>10</v>
      </c>
      <c r="L171" s="7">
        <f t="shared" si="6"/>
        <v>0</v>
      </c>
      <c r="M171" s="7">
        <f t="shared" si="7"/>
        <v>0</v>
      </c>
      <c r="N171" s="7">
        <f t="shared" si="8"/>
        <v>9</v>
      </c>
    </row>
    <row r="172" hidden="1">
      <c r="B172" s="3" t="s">
        <v>371</v>
      </c>
      <c r="C172" s="5" t="s">
        <v>372</v>
      </c>
      <c r="D172" s="3">
        <v>10.0</v>
      </c>
      <c r="E172" s="3">
        <v>10.0</v>
      </c>
      <c r="F172" s="3">
        <f t="shared" si="1"/>
        <v>1</v>
      </c>
      <c r="G172" s="5" t="str">
        <f>IFERROR(__xludf.DUMMYFUNCTION("""COMPUTED_VALUE"""),"https://github.com/srch887/tds_sep2024_project1")</f>
        <v>https://github.com/srch887/tds_sep2024_project1</v>
      </c>
      <c r="H172" s="3">
        <f t="shared" si="2"/>
        <v>8</v>
      </c>
      <c r="I172" s="3">
        <f t="shared" si="3"/>
        <v>8</v>
      </c>
      <c r="J172" s="3" t="str">
        <f t="shared" si="4"/>
        <v>No reviews</v>
      </c>
      <c r="K172" s="3" t="str">
        <f t="shared" si="5"/>
        <v>No reviews</v>
      </c>
      <c r="L172" s="7" t="str">
        <f t="shared" si="6"/>
        <v> </v>
      </c>
      <c r="M172" s="7" t="str">
        <f t="shared" si="7"/>
        <v> </v>
      </c>
      <c r="N172" s="7">
        <f t="shared" si="8"/>
        <v>8</v>
      </c>
    </row>
    <row r="173" hidden="1">
      <c r="B173" s="3" t="s">
        <v>373</v>
      </c>
      <c r="C173" s="5" t="s">
        <v>213</v>
      </c>
      <c r="D173" s="3">
        <v>7.0</v>
      </c>
      <c r="E173" s="3">
        <v>6.0</v>
      </c>
      <c r="F173" s="3">
        <f t="shared" si="1"/>
        <v>2</v>
      </c>
      <c r="G173" s="5" t="str">
        <f>IFERROR(__xludf.DUMMYFUNCTION("""COMPUTED_VALUE"""),"https://github.com/Atharva-Garajkar/TDS")</f>
        <v>https://github.com/Atharva-Garajkar/TDS</v>
      </c>
      <c r="H173" s="3">
        <f t="shared" si="2"/>
        <v>10</v>
      </c>
      <c r="I173" s="3">
        <f t="shared" si="3"/>
        <v>10</v>
      </c>
      <c r="J173" s="3">
        <f t="shared" si="4"/>
        <v>10</v>
      </c>
      <c r="K173" s="3">
        <f t="shared" si="5"/>
        <v>9</v>
      </c>
      <c r="L173" s="7">
        <f t="shared" si="6"/>
        <v>0</v>
      </c>
      <c r="M173" s="7">
        <f t="shared" si="7"/>
        <v>1</v>
      </c>
      <c r="N173" s="7">
        <f t="shared" si="8"/>
        <v>10</v>
      </c>
    </row>
    <row r="174" hidden="1">
      <c r="B174" s="3" t="s">
        <v>374</v>
      </c>
      <c r="C174" s="5" t="s">
        <v>375</v>
      </c>
      <c r="D174" s="3">
        <v>9.0</v>
      </c>
      <c r="E174" s="3">
        <v>9.0</v>
      </c>
      <c r="F174" s="3">
        <f t="shared" si="1"/>
        <v>2</v>
      </c>
      <c r="G174" s="5" t="str">
        <f>IFERROR(__xludf.DUMMYFUNCTION("""COMPUTED_VALUE"""),"https://github.com/MeenakshiIIT/Project1")</f>
        <v>https://github.com/MeenakshiIIT/Project1</v>
      </c>
      <c r="H174" s="3">
        <f t="shared" si="2"/>
        <v>10</v>
      </c>
      <c r="I174" s="3">
        <f t="shared" si="3"/>
        <v>8</v>
      </c>
      <c r="J174" s="3">
        <f t="shared" si="4"/>
        <v>10</v>
      </c>
      <c r="K174" s="3">
        <f t="shared" si="5"/>
        <v>10</v>
      </c>
      <c r="L174" s="7">
        <f t="shared" si="6"/>
        <v>0</v>
      </c>
      <c r="M174" s="7">
        <f t="shared" si="7"/>
        <v>2</v>
      </c>
      <c r="N174" s="7">
        <f t="shared" si="8"/>
        <v>10</v>
      </c>
    </row>
    <row r="175" hidden="1">
      <c r="B175" s="3" t="s">
        <v>376</v>
      </c>
      <c r="C175" s="5" t="s">
        <v>377</v>
      </c>
      <c r="D175" s="3">
        <v>10.0</v>
      </c>
      <c r="E175" s="3">
        <v>10.0</v>
      </c>
      <c r="F175" s="3">
        <f t="shared" si="1"/>
        <v>1</v>
      </c>
      <c r="G175" s="3" t="str">
        <f>IFERROR(__xludf.DUMMYFUNCTION("""COMPUTED_VALUE"""),"All the files needed are in the repo.")</f>
        <v>All the files needed are in the repo.</v>
      </c>
      <c r="H175" s="3">
        <f t="shared" si="2"/>
        <v>8</v>
      </c>
      <c r="I175" s="3">
        <f t="shared" si="3"/>
        <v>8</v>
      </c>
      <c r="J175" s="3" t="str">
        <f t="shared" si="4"/>
        <v>No reviews</v>
      </c>
      <c r="K175" s="3" t="str">
        <f t="shared" si="5"/>
        <v>No reviews</v>
      </c>
      <c r="L175" s="7" t="str">
        <f t="shared" si="6"/>
        <v> </v>
      </c>
      <c r="M175" s="7" t="str">
        <f t="shared" si="7"/>
        <v> </v>
      </c>
      <c r="N175" s="7">
        <f t="shared" si="8"/>
        <v>8</v>
      </c>
    </row>
    <row r="176">
      <c r="B176" s="3" t="s">
        <v>378</v>
      </c>
      <c r="C176" s="5" t="s">
        <v>379</v>
      </c>
      <c r="D176" s="3">
        <v>10.0</v>
      </c>
      <c r="E176" s="3">
        <v>10.0</v>
      </c>
      <c r="F176" s="3">
        <f t="shared" si="1"/>
        <v>4</v>
      </c>
      <c r="G176" s="3" t="str">
        <f>IFERROR(__xludf.DUMMYFUNCTION("""COMPUTED_VALUE"""),"yes")</f>
        <v>yes</v>
      </c>
      <c r="H176" s="3">
        <f t="shared" si="2"/>
        <v>10</v>
      </c>
      <c r="I176" s="3">
        <f t="shared" si="3"/>
        <v>10</v>
      </c>
      <c r="J176" s="3" t="str">
        <f t="shared" si="4"/>
        <v>No reviews</v>
      </c>
      <c r="K176" s="3" t="str">
        <f t="shared" si="5"/>
        <v>No reviews</v>
      </c>
      <c r="L176" s="7" t="str">
        <f t="shared" si="6"/>
        <v> </v>
      </c>
      <c r="M176" s="7" t="str">
        <f t="shared" si="7"/>
        <v> </v>
      </c>
      <c r="N176" s="7" t="str">
        <f t="shared" si="8"/>
        <v>No Reviews</v>
      </c>
    </row>
    <row r="177" hidden="1">
      <c r="B177" s="3" t="s">
        <v>380</v>
      </c>
      <c r="C177" s="5" t="s">
        <v>381</v>
      </c>
      <c r="D177" s="3">
        <v>10.0</v>
      </c>
      <c r="E177" s="3">
        <v>10.0</v>
      </c>
      <c r="F177" s="3">
        <f t="shared" si="1"/>
        <v>2</v>
      </c>
      <c r="G177" s="5" t="str">
        <f>IFERROR(__xludf.DUMMYFUNCTION("""COMPUTED_VALUE"""),"https://github.com/jeevan-yohan-varghese/tds-project1")</f>
        <v>https://github.com/jeevan-yohan-varghese/tds-project1</v>
      </c>
      <c r="H177" s="3">
        <f t="shared" si="2"/>
        <v>10</v>
      </c>
      <c r="I177" s="3">
        <f t="shared" si="3"/>
        <v>6</v>
      </c>
      <c r="J177" s="3">
        <f t="shared" si="4"/>
        <v>7</v>
      </c>
      <c r="K177" s="3">
        <f t="shared" si="5"/>
        <v>7</v>
      </c>
      <c r="L177" s="7">
        <f t="shared" si="6"/>
        <v>3</v>
      </c>
      <c r="M177" s="7">
        <f t="shared" si="7"/>
        <v>1</v>
      </c>
      <c r="N177" s="7">
        <f t="shared" si="8"/>
        <v>8</v>
      </c>
    </row>
    <row r="178" hidden="1">
      <c r="B178" s="3" t="s">
        <v>382</v>
      </c>
      <c r="C178" s="5" t="s">
        <v>383</v>
      </c>
      <c r="D178" s="3">
        <v>8.0</v>
      </c>
      <c r="E178" s="3">
        <v>10.0</v>
      </c>
      <c r="F178" s="3">
        <f t="shared" si="1"/>
        <v>1</v>
      </c>
      <c r="G178" s="5" t="str">
        <f>IFERROR(__xludf.DUMMYFUNCTION("""COMPUTED_VALUE"""),"https://github.com/StuteeP/Project_1")</f>
        <v>https://github.com/StuteeP/Project_1</v>
      </c>
      <c r="H178" s="3">
        <f t="shared" si="2"/>
        <v>10</v>
      </c>
      <c r="I178" s="3">
        <f t="shared" si="3"/>
        <v>10</v>
      </c>
      <c r="J178" s="3" t="str">
        <f t="shared" si="4"/>
        <v>No reviews</v>
      </c>
      <c r="K178" s="3" t="str">
        <f t="shared" si="5"/>
        <v>No reviews</v>
      </c>
      <c r="L178" s="7" t="str">
        <f t="shared" si="6"/>
        <v> </v>
      </c>
      <c r="M178" s="7" t="str">
        <f t="shared" si="7"/>
        <v> </v>
      </c>
      <c r="N178" s="7">
        <f t="shared" si="8"/>
        <v>10</v>
      </c>
    </row>
    <row r="179" hidden="1">
      <c r="B179" s="3" t="s">
        <v>384</v>
      </c>
      <c r="C179" s="5" t="s">
        <v>338</v>
      </c>
      <c r="D179" s="3">
        <v>7.0</v>
      </c>
      <c r="E179" s="3">
        <v>0.0</v>
      </c>
      <c r="F179" s="3">
        <f t="shared" si="1"/>
        <v>1</v>
      </c>
      <c r="G179" s="5" t="str">
        <f>IFERROR(__xludf.DUMMYFUNCTION("""COMPUTED_VALUE"""),"https://github.com/pulkitsharmads/github-hyderabad-users-project")</f>
        <v>https://github.com/pulkitsharmads/github-hyderabad-users-project</v>
      </c>
      <c r="H179" s="3">
        <f t="shared" si="2"/>
        <v>9</v>
      </c>
      <c r="I179" s="3">
        <f t="shared" si="3"/>
        <v>2</v>
      </c>
      <c r="J179" s="3" t="str">
        <f t="shared" si="4"/>
        <v>No reviews</v>
      </c>
      <c r="K179" s="3" t="str">
        <f t="shared" si="5"/>
        <v>No reviews</v>
      </c>
      <c r="L179" s="7" t="str">
        <f t="shared" si="6"/>
        <v> </v>
      </c>
      <c r="M179" s="7" t="str">
        <f t="shared" si="7"/>
        <v> </v>
      </c>
      <c r="N179" s="7">
        <f t="shared" si="8"/>
        <v>5.5</v>
      </c>
    </row>
    <row r="180" hidden="1">
      <c r="B180" s="3" t="s">
        <v>385</v>
      </c>
      <c r="C180" s="5" t="s">
        <v>386</v>
      </c>
      <c r="D180" s="3">
        <v>10.0</v>
      </c>
      <c r="E180" s="3">
        <v>10.0</v>
      </c>
      <c r="F180" s="3">
        <f t="shared" si="1"/>
        <v>2</v>
      </c>
      <c r="G180" s="5" t="str">
        <f>IFERROR(__xludf.DUMMYFUNCTION("""COMPUTED_VALUE"""),"https://github.com/23ds3000059/tds_project_1")</f>
        <v>https://github.com/23ds3000059/tds_project_1</v>
      </c>
      <c r="H180" s="3">
        <f t="shared" si="2"/>
        <v>10</v>
      </c>
      <c r="I180" s="3">
        <f t="shared" si="3"/>
        <v>10</v>
      </c>
      <c r="J180" s="3">
        <f t="shared" si="4"/>
        <v>10</v>
      </c>
      <c r="K180" s="3">
        <f t="shared" si="5"/>
        <v>10</v>
      </c>
      <c r="L180" s="7">
        <f t="shared" si="6"/>
        <v>0</v>
      </c>
      <c r="M180" s="7">
        <f t="shared" si="7"/>
        <v>0</v>
      </c>
      <c r="N180" s="7">
        <f t="shared" si="8"/>
        <v>10</v>
      </c>
    </row>
    <row r="181" hidden="1">
      <c r="B181" s="3" t="s">
        <v>387</v>
      </c>
      <c r="C181" s="5" t="s">
        <v>388</v>
      </c>
      <c r="D181" s="3">
        <v>7.0</v>
      </c>
      <c r="E181" s="3">
        <v>9.0</v>
      </c>
      <c r="F181" s="3">
        <f t="shared" si="1"/>
        <v>1</v>
      </c>
      <c r="G181" s="5" t="str">
        <f>IFERROR(__xludf.DUMMYFUNCTION("""COMPUTED_VALUE"""),"https://github.com/randomuser438/TDS_proj")</f>
        <v>https://github.com/randomuser438/TDS_proj</v>
      </c>
      <c r="H181" s="3">
        <f t="shared" si="2"/>
        <v>10</v>
      </c>
      <c r="I181" s="3">
        <f t="shared" si="3"/>
        <v>10</v>
      </c>
      <c r="J181" s="3" t="str">
        <f t="shared" si="4"/>
        <v>No reviews</v>
      </c>
      <c r="K181" s="3" t="str">
        <f t="shared" si="5"/>
        <v>No reviews</v>
      </c>
      <c r="L181" s="7" t="str">
        <f t="shared" si="6"/>
        <v> </v>
      </c>
      <c r="M181" s="7" t="str">
        <f t="shared" si="7"/>
        <v> </v>
      </c>
      <c r="N181" s="7">
        <f t="shared" si="8"/>
        <v>10</v>
      </c>
    </row>
    <row r="182" hidden="1">
      <c r="B182" s="3" t="s">
        <v>389</v>
      </c>
      <c r="C182" s="5" t="s">
        <v>276</v>
      </c>
      <c r="D182" s="3">
        <v>5.0</v>
      </c>
      <c r="E182" s="3">
        <v>4.0</v>
      </c>
      <c r="F182" s="3">
        <f t="shared" si="1"/>
        <v>1</v>
      </c>
      <c r="G182" s="5" t="str">
        <f>IFERROR(__xludf.DUMMYFUNCTION("""COMPUTED_VALUE"""),"https://github.com/ShashanksriIITM/MLT_Project1")</f>
        <v>https://github.com/ShashanksriIITM/MLT_Project1</v>
      </c>
      <c r="H182" s="3">
        <f t="shared" si="2"/>
        <v>0</v>
      </c>
      <c r="I182" s="3">
        <f t="shared" si="3"/>
        <v>0</v>
      </c>
      <c r="J182" s="3" t="str">
        <f t="shared" si="4"/>
        <v>No reviews</v>
      </c>
      <c r="K182" s="3" t="str">
        <f t="shared" si="5"/>
        <v>No reviews</v>
      </c>
      <c r="L182" s="7" t="str">
        <f t="shared" si="6"/>
        <v> </v>
      </c>
      <c r="M182" s="7" t="str">
        <f t="shared" si="7"/>
        <v> </v>
      </c>
      <c r="N182" s="7">
        <f t="shared" si="8"/>
        <v>0</v>
      </c>
    </row>
    <row r="183" hidden="1">
      <c r="B183" s="3" t="s">
        <v>390</v>
      </c>
      <c r="C183" s="5" t="s">
        <v>391</v>
      </c>
      <c r="D183" s="3">
        <v>5.0</v>
      </c>
      <c r="E183" s="3">
        <v>10.0</v>
      </c>
      <c r="F183" s="3">
        <f t="shared" si="1"/>
        <v>2</v>
      </c>
      <c r="G183" s="5" t="str">
        <f>IFERROR(__xludf.DUMMYFUNCTION("""COMPUTED_VALUE"""),"https://github.com/21f3000177/tds_project1")</f>
        <v>https://github.com/21f3000177/tds_project1</v>
      </c>
      <c r="H183" s="3">
        <f t="shared" si="2"/>
        <v>10</v>
      </c>
      <c r="I183" s="3">
        <f t="shared" si="3"/>
        <v>10</v>
      </c>
      <c r="J183" s="3">
        <f t="shared" si="4"/>
        <v>7</v>
      </c>
      <c r="K183" s="3">
        <f t="shared" si="5"/>
        <v>6</v>
      </c>
      <c r="L183" s="7">
        <f t="shared" si="6"/>
        <v>3</v>
      </c>
      <c r="M183" s="7">
        <f t="shared" si="7"/>
        <v>4</v>
      </c>
      <c r="N183" s="7">
        <f t="shared" si="8"/>
        <v>10</v>
      </c>
    </row>
    <row r="184" hidden="1">
      <c r="B184" s="3" t="s">
        <v>392</v>
      </c>
      <c r="C184" s="5" t="s">
        <v>393</v>
      </c>
      <c r="D184" s="3">
        <v>5.0</v>
      </c>
      <c r="E184" s="3">
        <v>0.0</v>
      </c>
      <c r="F184" s="3">
        <f t="shared" si="1"/>
        <v>1</v>
      </c>
      <c r="G184" s="5" t="str">
        <f>IFERROR(__xludf.DUMMYFUNCTION("""COMPUTED_VALUE"""),"https://github.com/veenas2024/TdsGA1")</f>
        <v>https://github.com/veenas2024/TdsGA1</v>
      </c>
      <c r="H184" s="3">
        <f t="shared" si="2"/>
        <v>10</v>
      </c>
      <c r="I184" s="3">
        <f t="shared" si="3"/>
        <v>0</v>
      </c>
      <c r="J184" s="3" t="str">
        <f t="shared" si="4"/>
        <v>No reviews</v>
      </c>
      <c r="K184" s="3" t="str">
        <f t="shared" si="5"/>
        <v>No reviews</v>
      </c>
      <c r="L184" s="7" t="str">
        <f t="shared" si="6"/>
        <v> </v>
      </c>
      <c r="M184" s="7" t="str">
        <f t="shared" si="7"/>
        <v> </v>
      </c>
      <c r="N184" s="7">
        <f t="shared" si="8"/>
        <v>5</v>
      </c>
    </row>
    <row r="185" hidden="1">
      <c r="B185" s="3" t="s">
        <v>394</v>
      </c>
      <c r="C185" s="5" t="s">
        <v>395</v>
      </c>
      <c r="D185" s="3">
        <v>7.0</v>
      </c>
      <c r="E185" s="3">
        <v>0.0</v>
      </c>
      <c r="F185" s="3">
        <f t="shared" si="1"/>
        <v>1</v>
      </c>
      <c r="G185" s="5" t="str">
        <f>IFERROR(__xludf.DUMMYFUNCTION("""COMPUTED_VALUE"""),"https://github.com/Gajanan09/GithubAustinUsers")</f>
        <v>https://github.com/Gajanan09/GithubAustinUsers</v>
      </c>
      <c r="H185" s="3">
        <f t="shared" si="2"/>
        <v>1</v>
      </c>
      <c r="I185" s="3">
        <f t="shared" si="3"/>
        <v>9</v>
      </c>
      <c r="J185" s="3" t="str">
        <f t="shared" si="4"/>
        <v>No reviews</v>
      </c>
      <c r="K185" s="3" t="str">
        <f t="shared" si="5"/>
        <v>No reviews</v>
      </c>
      <c r="L185" s="7" t="str">
        <f t="shared" si="6"/>
        <v> </v>
      </c>
      <c r="M185" s="7" t="str">
        <f t="shared" si="7"/>
        <v> </v>
      </c>
      <c r="N185" s="7">
        <f t="shared" si="8"/>
        <v>5</v>
      </c>
    </row>
    <row r="186" hidden="1">
      <c r="B186" s="3" t="s">
        <v>396</v>
      </c>
      <c r="C186" s="5" t="s">
        <v>397</v>
      </c>
      <c r="D186" s="3">
        <v>8.0</v>
      </c>
      <c r="E186" s="3">
        <v>7.0</v>
      </c>
      <c r="F186" s="3">
        <f t="shared" si="1"/>
        <v>2</v>
      </c>
      <c r="G186" s="5" t="str">
        <f>IFERROR(__xludf.DUMMYFUNCTION("""COMPUTED_VALUE"""),"https://github.com/ak5h1ta/tds-project1")</f>
        <v>https://github.com/ak5h1ta/tds-project1</v>
      </c>
      <c r="H186" s="3">
        <f t="shared" si="2"/>
        <v>9</v>
      </c>
      <c r="I186" s="3">
        <f t="shared" si="3"/>
        <v>10</v>
      </c>
      <c r="J186" s="3">
        <f t="shared" si="4"/>
        <v>10</v>
      </c>
      <c r="K186" s="3">
        <f t="shared" si="5"/>
        <v>10</v>
      </c>
      <c r="L186" s="7">
        <f t="shared" si="6"/>
        <v>1</v>
      </c>
      <c r="M186" s="7">
        <f t="shared" si="7"/>
        <v>0</v>
      </c>
      <c r="N186" s="7">
        <f t="shared" si="8"/>
        <v>10</v>
      </c>
    </row>
    <row r="187" hidden="1">
      <c r="B187" s="3" t="s">
        <v>398</v>
      </c>
      <c r="C187" s="5" t="s">
        <v>399</v>
      </c>
      <c r="D187" s="3">
        <v>10.0</v>
      </c>
      <c r="E187" s="3">
        <v>10.0</v>
      </c>
      <c r="F187" s="3">
        <f t="shared" si="1"/>
        <v>2</v>
      </c>
      <c r="G187" s="5" t="str">
        <f>IFERROR(__xludf.DUMMYFUNCTION("""COMPUTED_VALUE"""),"https://github.com/22f3000803/tds-project-1")</f>
        <v>https://github.com/22f3000803/tds-project-1</v>
      </c>
      <c r="H187" s="3">
        <f t="shared" si="2"/>
        <v>0</v>
      </c>
      <c r="I187" s="3">
        <f t="shared" si="3"/>
        <v>0</v>
      </c>
      <c r="J187" s="3">
        <f t="shared" si="4"/>
        <v>2</v>
      </c>
      <c r="K187" s="3">
        <f t="shared" si="5"/>
        <v>2</v>
      </c>
      <c r="L187" s="7">
        <f t="shared" si="6"/>
        <v>2</v>
      </c>
      <c r="M187" s="7">
        <f t="shared" si="7"/>
        <v>2</v>
      </c>
      <c r="N187" s="7">
        <f t="shared" si="8"/>
        <v>2</v>
      </c>
    </row>
    <row r="188" hidden="1">
      <c r="B188" s="3" t="s">
        <v>400</v>
      </c>
      <c r="C188" s="5" t="s">
        <v>388</v>
      </c>
      <c r="D188" s="3">
        <v>10.0</v>
      </c>
      <c r="E188" s="3">
        <v>10.0</v>
      </c>
      <c r="F188" s="3">
        <f t="shared" si="1"/>
        <v>2</v>
      </c>
      <c r="G188" s="5" t="str">
        <f>IFERROR(__xludf.DUMMYFUNCTION("""COMPUTED_VALUE"""),"https://github.com/Wamikmk/My-tds-Project-1")</f>
        <v>https://github.com/Wamikmk/My-tds-Project-1</v>
      </c>
      <c r="H188" s="3">
        <f t="shared" si="2"/>
        <v>8</v>
      </c>
      <c r="I188" s="3">
        <f t="shared" si="3"/>
        <v>7</v>
      </c>
      <c r="J188" s="3">
        <f t="shared" si="4"/>
        <v>6</v>
      </c>
      <c r="K188" s="3">
        <f t="shared" si="5"/>
        <v>10</v>
      </c>
      <c r="L188" s="7">
        <f t="shared" si="6"/>
        <v>2</v>
      </c>
      <c r="M188" s="7">
        <f t="shared" si="7"/>
        <v>3</v>
      </c>
      <c r="N188" s="7">
        <f t="shared" si="8"/>
        <v>8</v>
      </c>
    </row>
    <row r="189" hidden="1">
      <c r="B189" s="3" t="s">
        <v>401</v>
      </c>
      <c r="C189" s="5" t="s">
        <v>402</v>
      </c>
      <c r="D189" s="3">
        <v>3.0</v>
      </c>
      <c r="E189" s="3">
        <v>0.0</v>
      </c>
      <c r="F189" s="3">
        <f t="shared" si="1"/>
        <v>1</v>
      </c>
      <c r="G189" s="5" t="str">
        <f>IFERROR(__xludf.DUMMYFUNCTION("""COMPUTED_VALUE"""),"https://github.com/ritikjha7")</f>
        <v>https://github.com/ritikjha7</v>
      </c>
      <c r="H189" s="3">
        <f t="shared" si="2"/>
        <v>9</v>
      </c>
      <c r="I189" s="3">
        <f t="shared" si="3"/>
        <v>10</v>
      </c>
      <c r="J189" s="3" t="str">
        <f t="shared" si="4"/>
        <v>No reviews</v>
      </c>
      <c r="K189" s="3" t="str">
        <f t="shared" si="5"/>
        <v>No reviews</v>
      </c>
      <c r="L189" s="7" t="str">
        <f t="shared" si="6"/>
        <v> </v>
      </c>
      <c r="M189" s="7" t="str">
        <f t="shared" si="7"/>
        <v> </v>
      </c>
      <c r="N189" s="7">
        <f t="shared" si="8"/>
        <v>9.5</v>
      </c>
    </row>
    <row r="190" hidden="1">
      <c r="B190" s="3" t="s">
        <v>403</v>
      </c>
      <c r="C190" s="5" t="s">
        <v>404</v>
      </c>
      <c r="D190" s="3">
        <v>10.0</v>
      </c>
      <c r="E190" s="3">
        <v>10.0</v>
      </c>
      <c r="F190" s="3">
        <f t="shared" si="1"/>
        <v>1</v>
      </c>
      <c r="G190" s="5" t="str">
        <f>IFERROR(__xludf.DUMMYFUNCTION("""COMPUTED_VALUE"""),"https://github.com/RAGHAV-0202/TDS-IITM")</f>
        <v>https://github.com/RAGHAV-0202/TDS-IITM</v>
      </c>
      <c r="H190" s="3">
        <f t="shared" si="2"/>
        <v>0</v>
      </c>
      <c r="I190" s="3">
        <f t="shared" si="3"/>
        <v>0</v>
      </c>
      <c r="J190" s="3" t="str">
        <f t="shared" si="4"/>
        <v>No reviews</v>
      </c>
      <c r="K190" s="3" t="str">
        <f t="shared" si="5"/>
        <v>No reviews</v>
      </c>
      <c r="L190" s="7" t="str">
        <f t="shared" si="6"/>
        <v> </v>
      </c>
      <c r="M190" s="7" t="str">
        <f t="shared" si="7"/>
        <v> </v>
      </c>
      <c r="N190" s="7">
        <f t="shared" si="8"/>
        <v>0</v>
      </c>
    </row>
    <row r="191" hidden="1">
      <c r="B191" s="3" t="s">
        <v>405</v>
      </c>
      <c r="C191" s="5" t="s">
        <v>406</v>
      </c>
      <c r="D191" s="3">
        <v>8.0</v>
      </c>
      <c r="E191" s="3">
        <v>10.0</v>
      </c>
      <c r="F191" s="3">
        <f t="shared" si="1"/>
        <v>1</v>
      </c>
      <c r="G191" s="5" t="str">
        <f>IFERROR(__xludf.DUMMYFUNCTION("""COMPUTED_VALUE"""),"https://github.com/Shanu48/TDS_Project1")</f>
        <v>https://github.com/Shanu48/TDS_Project1</v>
      </c>
      <c r="H191" s="3">
        <f t="shared" si="2"/>
        <v>10</v>
      </c>
      <c r="I191" s="3">
        <f t="shared" si="3"/>
        <v>10</v>
      </c>
      <c r="J191" s="3" t="str">
        <f t="shared" si="4"/>
        <v>No reviews</v>
      </c>
      <c r="K191" s="3" t="str">
        <f t="shared" si="5"/>
        <v>No reviews</v>
      </c>
      <c r="L191" s="7" t="str">
        <f t="shared" si="6"/>
        <v> </v>
      </c>
      <c r="M191" s="7" t="str">
        <f t="shared" si="7"/>
        <v> </v>
      </c>
      <c r="N191" s="7">
        <f t="shared" si="8"/>
        <v>10</v>
      </c>
    </row>
    <row r="192" hidden="1">
      <c r="B192" s="3" t="s">
        <v>407</v>
      </c>
      <c r="C192" s="5" t="s">
        <v>408</v>
      </c>
      <c r="D192" s="3">
        <v>10.0</v>
      </c>
      <c r="E192" s="3">
        <v>10.0</v>
      </c>
      <c r="F192" s="3">
        <f t="shared" si="1"/>
        <v>1</v>
      </c>
      <c r="G192" s="5" t="str">
        <f>IFERROR(__xludf.DUMMYFUNCTION("""COMPUTED_VALUE"""),"https://github.com/Giri-Subrahmanya/23f2000573-TDS-P1")</f>
        <v>https://github.com/Giri-Subrahmanya/23f2000573-TDS-P1</v>
      </c>
      <c r="H192" s="3">
        <f t="shared" si="2"/>
        <v>8</v>
      </c>
      <c r="I192" s="3">
        <f t="shared" si="3"/>
        <v>10</v>
      </c>
      <c r="J192" s="3" t="str">
        <f t="shared" si="4"/>
        <v>No reviews</v>
      </c>
      <c r="K192" s="3" t="str">
        <f t="shared" si="5"/>
        <v>No reviews</v>
      </c>
      <c r="L192" s="7" t="str">
        <f t="shared" si="6"/>
        <v> </v>
      </c>
      <c r="M192" s="7" t="str">
        <f t="shared" si="7"/>
        <v> </v>
      </c>
      <c r="N192" s="7">
        <f t="shared" si="8"/>
        <v>9</v>
      </c>
    </row>
    <row r="193" hidden="1">
      <c r="B193" s="3" t="s">
        <v>409</v>
      </c>
      <c r="C193" s="5" t="s">
        <v>410</v>
      </c>
      <c r="D193" s="3">
        <v>4.0</v>
      </c>
      <c r="E193" s="3">
        <v>10.0</v>
      </c>
      <c r="F193" s="3">
        <f t="shared" si="1"/>
        <v>2</v>
      </c>
      <c r="G193" s="5" t="str">
        <f>IFERROR(__xludf.DUMMYFUNCTION("""COMPUTED_VALUE"""),"https://github.com/jeelan-ds786/ToolsForDataScience")</f>
        <v>https://github.com/jeelan-ds786/ToolsForDataScience</v>
      </c>
      <c r="H193" s="3">
        <f t="shared" si="2"/>
        <v>10</v>
      </c>
      <c r="I193" s="3">
        <f t="shared" si="3"/>
        <v>7</v>
      </c>
      <c r="J193" s="3">
        <f t="shared" si="4"/>
        <v>7</v>
      </c>
      <c r="K193" s="3">
        <f t="shared" si="5"/>
        <v>9</v>
      </c>
      <c r="L193" s="7">
        <f t="shared" si="6"/>
        <v>3</v>
      </c>
      <c r="M193" s="7">
        <f t="shared" si="7"/>
        <v>2</v>
      </c>
      <c r="N193" s="7">
        <f t="shared" si="8"/>
        <v>8.5</v>
      </c>
    </row>
    <row r="194" hidden="1">
      <c r="B194" s="3" t="s">
        <v>411</v>
      </c>
      <c r="C194" s="5" t="s">
        <v>412</v>
      </c>
      <c r="D194" s="3">
        <v>8.0</v>
      </c>
      <c r="E194" s="3">
        <v>10.0</v>
      </c>
      <c r="F194" s="3">
        <f t="shared" si="1"/>
        <v>1</v>
      </c>
      <c r="G194" s="5" t="str">
        <f>IFERROR(__xludf.DUMMYFUNCTION("""COMPUTED_VALUE"""),"https://github.com/Raksha120799/tds-proj-1")</f>
        <v>https://github.com/Raksha120799/tds-proj-1</v>
      </c>
      <c r="H194" s="3">
        <f t="shared" si="2"/>
        <v>0</v>
      </c>
      <c r="I194" s="3">
        <f t="shared" si="3"/>
        <v>0</v>
      </c>
      <c r="J194" s="3" t="str">
        <f t="shared" si="4"/>
        <v>No reviews</v>
      </c>
      <c r="K194" s="3" t="str">
        <f t="shared" si="5"/>
        <v>No reviews</v>
      </c>
      <c r="L194" s="7" t="str">
        <f t="shared" si="6"/>
        <v> </v>
      </c>
      <c r="M194" s="7" t="str">
        <f t="shared" si="7"/>
        <v> </v>
      </c>
      <c r="N194" s="7">
        <f t="shared" si="8"/>
        <v>0</v>
      </c>
    </row>
    <row r="195" hidden="1">
      <c r="B195" s="3" t="s">
        <v>413</v>
      </c>
      <c r="C195" s="5" t="s">
        <v>414</v>
      </c>
      <c r="D195" s="3">
        <v>8.0</v>
      </c>
      <c r="E195" s="3">
        <v>8.0</v>
      </c>
      <c r="F195" s="3">
        <f t="shared" si="1"/>
        <v>2</v>
      </c>
      <c r="G195" s="5" t="str">
        <f>IFERROR(__xludf.DUMMYFUNCTION("""COMPUTED_VALUE"""),"https://github.com/mohitbakshi04/tds-project-1")</f>
        <v>https://github.com/mohitbakshi04/tds-project-1</v>
      </c>
      <c r="H195" s="3">
        <f t="shared" si="2"/>
        <v>10</v>
      </c>
      <c r="I195" s="3">
        <f t="shared" si="3"/>
        <v>9</v>
      </c>
      <c r="J195" s="3">
        <f t="shared" si="4"/>
        <v>10</v>
      </c>
      <c r="K195" s="3">
        <f t="shared" si="5"/>
        <v>10</v>
      </c>
      <c r="L195" s="7">
        <f t="shared" si="6"/>
        <v>0</v>
      </c>
      <c r="M195" s="7">
        <f t="shared" si="7"/>
        <v>1</v>
      </c>
      <c r="N195" s="7">
        <f t="shared" si="8"/>
        <v>10</v>
      </c>
    </row>
    <row r="196" hidden="1">
      <c r="B196" s="3" t="s">
        <v>415</v>
      </c>
      <c r="C196" s="5" t="s">
        <v>416</v>
      </c>
      <c r="D196" s="3">
        <v>10.0</v>
      </c>
      <c r="E196" s="3">
        <v>10.0</v>
      </c>
      <c r="F196" s="3">
        <f t="shared" si="1"/>
        <v>1</v>
      </c>
      <c r="G196" s="5" t="str">
        <f>IFERROR(__xludf.DUMMYFUNCTION("""COMPUTED_VALUE"""),"https://github.com/IRONalways17/TDS-Project1")</f>
        <v>https://github.com/IRONalways17/TDS-Project1</v>
      </c>
      <c r="H196" s="3">
        <f t="shared" si="2"/>
        <v>4</v>
      </c>
      <c r="I196" s="3">
        <f t="shared" si="3"/>
        <v>2</v>
      </c>
      <c r="J196" s="3" t="str">
        <f t="shared" si="4"/>
        <v>No reviews</v>
      </c>
      <c r="K196" s="3" t="str">
        <f t="shared" si="5"/>
        <v>No reviews</v>
      </c>
      <c r="L196" s="7" t="str">
        <f t="shared" si="6"/>
        <v> </v>
      </c>
      <c r="M196" s="7" t="str">
        <f t="shared" si="7"/>
        <v> </v>
      </c>
      <c r="N196" s="7">
        <f t="shared" si="8"/>
        <v>3</v>
      </c>
    </row>
    <row r="197" hidden="1">
      <c r="B197" s="3" t="s">
        <v>417</v>
      </c>
      <c r="C197" s="5" t="s">
        <v>418</v>
      </c>
      <c r="D197" s="3">
        <v>10.0</v>
      </c>
      <c r="E197" s="3">
        <v>8.0</v>
      </c>
      <c r="F197" s="3">
        <f t="shared" si="1"/>
        <v>2</v>
      </c>
      <c r="G197" s="5" t="str">
        <f>IFERROR(__xludf.DUMMYFUNCTION("""COMPUTED_VALUE"""),"https://github.com/ramees-thattarath/TDS-proj-1")</f>
        <v>https://github.com/ramees-thattarath/TDS-proj-1</v>
      </c>
      <c r="H197" s="3">
        <f t="shared" si="2"/>
        <v>10</v>
      </c>
      <c r="I197" s="3">
        <f t="shared" si="3"/>
        <v>10</v>
      </c>
      <c r="J197" s="3">
        <f t="shared" si="4"/>
        <v>10</v>
      </c>
      <c r="K197" s="3">
        <f t="shared" si="5"/>
        <v>10</v>
      </c>
      <c r="L197" s="7">
        <f t="shared" si="6"/>
        <v>0</v>
      </c>
      <c r="M197" s="7">
        <f t="shared" si="7"/>
        <v>0</v>
      </c>
      <c r="N197" s="7">
        <f t="shared" si="8"/>
        <v>10</v>
      </c>
    </row>
    <row r="198" hidden="1">
      <c r="B198" s="3" t="s">
        <v>419</v>
      </c>
      <c r="C198" s="3" t="s">
        <v>420</v>
      </c>
      <c r="D198" s="3">
        <v>8.0</v>
      </c>
      <c r="E198" s="3">
        <v>8.0</v>
      </c>
      <c r="F198" s="3">
        <f t="shared" si="1"/>
        <v>2</v>
      </c>
      <c r="G198" s="5" t="str">
        <f>IFERROR(__xludf.DUMMYFUNCTION("""COMPUTED_VALUE"""),"https://github.com/DSharanya07/ZurichUsers")</f>
        <v>https://github.com/DSharanya07/ZurichUsers</v>
      </c>
      <c r="H198" s="3">
        <f t="shared" si="2"/>
        <v>8</v>
      </c>
      <c r="I198" s="3">
        <f t="shared" si="3"/>
        <v>10</v>
      </c>
      <c r="J198" s="3">
        <f t="shared" si="4"/>
        <v>4</v>
      </c>
      <c r="K198" s="3">
        <f t="shared" si="5"/>
        <v>4</v>
      </c>
      <c r="L198" s="7">
        <f t="shared" si="6"/>
        <v>4</v>
      </c>
      <c r="M198" s="7">
        <f t="shared" si="7"/>
        <v>6</v>
      </c>
      <c r="N198" s="7">
        <f t="shared" si="8"/>
        <v>9</v>
      </c>
    </row>
    <row r="199" hidden="1">
      <c r="B199" s="3" t="s">
        <v>421</v>
      </c>
      <c r="C199" s="5" t="s">
        <v>367</v>
      </c>
      <c r="D199" s="3">
        <v>10.0</v>
      </c>
      <c r="E199" s="3">
        <v>10.0</v>
      </c>
      <c r="F199" s="3">
        <f t="shared" si="1"/>
        <v>1</v>
      </c>
      <c r="G199" s="5" t="str">
        <f>IFERROR(__xludf.DUMMYFUNCTION("""COMPUTED_VALUE"""),"https://github.com/KK17811/Github-repo")</f>
        <v>https://github.com/KK17811/Github-repo</v>
      </c>
      <c r="H199" s="3">
        <f t="shared" si="2"/>
        <v>0</v>
      </c>
      <c r="I199" s="3">
        <f t="shared" si="3"/>
        <v>0</v>
      </c>
      <c r="J199" s="3" t="str">
        <f t="shared" si="4"/>
        <v>No reviews</v>
      </c>
      <c r="K199" s="3" t="str">
        <f t="shared" si="5"/>
        <v>No reviews</v>
      </c>
      <c r="L199" s="7" t="str">
        <f t="shared" si="6"/>
        <v> </v>
      </c>
      <c r="M199" s="7" t="str">
        <f t="shared" si="7"/>
        <v> </v>
      </c>
      <c r="N199" s="7">
        <f t="shared" si="8"/>
        <v>0</v>
      </c>
    </row>
    <row r="200" hidden="1">
      <c r="B200" s="3" t="s">
        <v>422</v>
      </c>
      <c r="C200" s="3" t="s">
        <v>423</v>
      </c>
      <c r="D200" s="3">
        <v>9.0</v>
      </c>
      <c r="E200" s="3">
        <v>10.0</v>
      </c>
      <c r="F200" s="3">
        <f t="shared" si="1"/>
        <v>2</v>
      </c>
      <c r="G200" s="5" t="str">
        <f>IFERROR(__xludf.DUMMYFUNCTION("""COMPUTED_VALUE"""),"https://github.com/21f1004430/TDS-Project_1")</f>
        <v>https://github.com/21f1004430/TDS-Project_1</v>
      </c>
      <c r="H200" s="3">
        <f t="shared" si="2"/>
        <v>10</v>
      </c>
      <c r="I200" s="3">
        <f t="shared" si="3"/>
        <v>0</v>
      </c>
      <c r="J200" s="3">
        <f t="shared" si="4"/>
        <v>6</v>
      </c>
      <c r="K200" s="3">
        <f t="shared" si="5"/>
        <v>0</v>
      </c>
      <c r="L200" s="7">
        <f t="shared" si="6"/>
        <v>4</v>
      </c>
      <c r="M200" s="7">
        <f t="shared" si="7"/>
        <v>0</v>
      </c>
      <c r="N200" s="7">
        <f t="shared" si="8"/>
        <v>5</v>
      </c>
    </row>
    <row r="201" hidden="1">
      <c r="B201" s="3" t="s">
        <v>424</v>
      </c>
      <c r="C201" s="5" t="s">
        <v>425</v>
      </c>
      <c r="D201" s="3">
        <v>10.0</v>
      </c>
      <c r="E201" s="3">
        <v>6.0</v>
      </c>
      <c r="F201" s="3">
        <f t="shared" si="1"/>
        <v>1</v>
      </c>
      <c r="G201" s="5" t="str">
        <f>IFERROR(__xludf.DUMMYFUNCTION("""COMPUTED_VALUE"""),"https://github.com/satya140519/TDS_project_1")</f>
        <v>https://github.com/satya140519/TDS_project_1</v>
      </c>
      <c r="H201" s="3">
        <f t="shared" si="2"/>
        <v>10</v>
      </c>
      <c r="I201" s="3">
        <f t="shared" si="3"/>
        <v>0</v>
      </c>
      <c r="J201" s="3" t="str">
        <f t="shared" si="4"/>
        <v>No reviews</v>
      </c>
      <c r="K201" s="3" t="str">
        <f t="shared" si="5"/>
        <v>No reviews</v>
      </c>
      <c r="L201" s="7" t="str">
        <f t="shared" si="6"/>
        <v> </v>
      </c>
      <c r="M201" s="7" t="str">
        <f t="shared" si="7"/>
        <v> </v>
      </c>
      <c r="N201" s="7">
        <f t="shared" si="8"/>
        <v>5</v>
      </c>
    </row>
    <row r="202" hidden="1">
      <c r="B202" s="3" t="s">
        <v>426</v>
      </c>
      <c r="C202" s="5" t="s">
        <v>427</v>
      </c>
      <c r="D202" s="3">
        <v>10.0</v>
      </c>
      <c r="E202" s="3">
        <v>10.0</v>
      </c>
      <c r="F202" s="3">
        <f t="shared" si="1"/>
        <v>1</v>
      </c>
      <c r="G202" s="5" t="str">
        <f>IFERROR(__xludf.DUMMYFUNCTION("""COMPUTED_VALUE"""),"https://github.com/Ayushsinha106/TDSProject1")</f>
        <v>https://github.com/Ayushsinha106/TDSProject1</v>
      </c>
      <c r="H202" s="3">
        <f t="shared" si="2"/>
        <v>8</v>
      </c>
      <c r="I202" s="3">
        <f t="shared" si="3"/>
        <v>10</v>
      </c>
      <c r="J202" s="3" t="str">
        <f t="shared" si="4"/>
        <v>No reviews</v>
      </c>
      <c r="K202" s="3" t="str">
        <f t="shared" si="5"/>
        <v>No reviews</v>
      </c>
      <c r="L202" s="7" t="str">
        <f t="shared" si="6"/>
        <v> </v>
      </c>
      <c r="M202" s="7" t="str">
        <f t="shared" si="7"/>
        <v> </v>
      </c>
      <c r="N202" s="7">
        <f t="shared" si="8"/>
        <v>9</v>
      </c>
    </row>
    <row r="203" hidden="1">
      <c r="B203" s="3" t="s">
        <v>428</v>
      </c>
      <c r="C203" s="5" t="s">
        <v>412</v>
      </c>
      <c r="D203" s="3">
        <v>8.0</v>
      </c>
      <c r="E203" s="3">
        <v>10.0</v>
      </c>
      <c r="F203" s="3">
        <f t="shared" si="1"/>
        <v>1</v>
      </c>
      <c r="G203" s="5" t="str">
        <f>IFERROR(__xludf.DUMMYFUNCTION("""COMPUTED_VALUE"""),"https://github.com/Yasaswini117/Project_1")</f>
        <v>https://github.com/Yasaswini117/Project_1</v>
      </c>
      <c r="H203" s="3">
        <f t="shared" si="2"/>
        <v>10</v>
      </c>
      <c r="I203" s="3">
        <f t="shared" si="3"/>
        <v>10</v>
      </c>
      <c r="J203" s="3" t="str">
        <f t="shared" si="4"/>
        <v>No reviews</v>
      </c>
      <c r="K203" s="3" t="str">
        <f t="shared" si="5"/>
        <v>No reviews</v>
      </c>
      <c r="L203" s="7" t="str">
        <f t="shared" si="6"/>
        <v> </v>
      </c>
      <c r="M203" s="7" t="str">
        <f t="shared" si="7"/>
        <v> </v>
      </c>
      <c r="N203" s="7">
        <f t="shared" si="8"/>
        <v>10</v>
      </c>
    </row>
    <row r="204" hidden="1">
      <c r="B204" s="3" t="s">
        <v>429</v>
      </c>
      <c r="C204" s="5" t="s">
        <v>430</v>
      </c>
      <c r="D204" s="3">
        <v>9.0</v>
      </c>
      <c r="E204" s="3">
        <v>2.0</v>
      </c>
      <c r="F204" s="3">
        <f t="shared" si="1"/>
        <v>2</v>
      </c>
      <c r="G204" s="5" t="str">
        <f>IFERROR(__xludf.DUMMYFUNCTION("""COMPUTED_VALUE"""),"https://github.com/kuldeepchavda/tds_project_1")</f>
        <v>https://github.com/kuldeepchavda/tds_project_1</v>
      </c>
      <c r="H204" s="3">
        <f t="shared" si="2"/>
        <v>2</v>
      </c>
      <c r="I204" s="3">
        <f t="shared" si="3"/>
        <v>2</v>
      </c>
      <c r="J204" s="3">
        <f t="shared" si="4"/>
        <v>6</v>
      </c>
      <c r="K204" s="3">
        <f t="shared" si="5"/>
        <v>8</v>
      </c>
      <c r="L204" s="7">
        <f t="shared" si="6"/>
        <v>4</v>
      </c>
      <c r="M204" s="7">
        <f t="shared" si="7"/>
        <v>6</v>
      </c>
      <c r="N204" s="7">
        <f t="shared" si="8"/>
        <v>7</v>
      </c>
    </row>
    <row r="205" hidden="1">
      <c r="B205" s="3" t="s">
        <v>431</v>
      </c>
      <c r="C205" s="5" t="s">
        <v>432</v>
      </c>
      <c r="D205" s="3">
        <v>10.0</v>
      </c>
      <c r="E205" s="3">
        <v>10.0</v>
      </c>
      <c r="F205" s="3">
        <f t="shared" si="1"/>
        <v>1</v>
      </c>
      <c r="G205" s="5" t="str">
        <f>IFERROR(__xludf.DUMMYFUNCTION("""COMPUTED_VALUE"""),"https://github.com/subhash2IIT/tds-project1-scrapping/")</f>
        <v>https://github.com/subhash2IIT/tds-project1-scrapping/</v>
      </c>
      <c r="H205" s="3">
        <f t="shared" si="2"/>
        <v>9</v>
      </c>
      <c r="I205" s="3">
        <f t="shared" si="3"/>
        <v>10</v>
      </c>
      <c r="J205" s="3" t="str">
        <f t="shared" si="4"/>
        <v>No reviews</v>
      </c>
      <c r="K205" s="3" t="str">
        <f t="shared" si="5"/>
        <v>No reviews</v>
      </c>
      <c r="L205" s="7" t="str">
        <f t="shared" si="6"/>
        <v> </v>
      </c>
      <c r="M205" s="7" t="str">
        <f t="shared" si="7"/>
        <v> </v>
      </c>
      <c r="N205" s="7">
        <f t="shared" si="8"/>
        <v>9.5</v>
      </c>
    </row>
    <row r="206" hidden="1">
      <c r="B206" s="3" t="s">
        <v>433</v>
      </c>
      <c r="C206" s="5" t="s">
        <v>434</v>
      </c>
      <c r="D206" s="3">
        <v>10.0</v>
      </c>
      <c r="E206" s="3">
        <v>10.0</v>
      </c>
      <c r="F206" s="3">
        <f t="shared" si="1"/>
        <v>2</v>
      </c>
      <c r="G206" s="5" t="str">
        <f>IFERROR(__xludf.DUMMYFUNCTION("""COMPUTED_VALUE"""),"https://github.com/IITMSAPNA/Sapna_tds_proj_1")</f>
        <v>https://github.com/IITMSAPNA/Sapna_tds_proj_1</v>
      </c>
      <c r="H206" s="3">
        <f t="shared" si="2"/>
        <v>10</v>
      </c>
      <c r="I206" s="3">
        <f t="shared" si="3"/>
        <v>10</v>
      </c>
      <c r="J206" s="3">
        <f t="shared" si="4"/>
        <v>9</v>
      </c>
      <c r="K206" s="3">
        <f t="shared" si="5"/>
        <v>9</v>
      </c>
      <c r="L206" s="7">
        <f t="shared" si="6"/>
        <v>1</v>
      </c>
      <c r="M206" s="7">
        <f t="shared" si="7"/>
        <v>1</v>
      </c>
      <c r="N206" s="7">
        <f t="shared" si="8"/>
        <v>10</v>
      </c>
    </row>
    <row r="207" hidden="1">
      <c r="B207" s="3" t="s">
        <v>435</v>
      </c>
      <c r="C207" s="5" t="s">
        <v>436</v>
      </c>
      <c r="D207" s="3">
        <v>0.0</v>
      </c>
      <c r="E207" s="3">
        <v>0.0</v>
      </c>
      <c r="F207" s="3">
        <f t="shared" si="1"/>
        <v>2</v>
      </c>
      <c r="G207" s="5" t="str">
        <f>IFERROR(__xludf.DUMMYFUNCTION("""COMPUTED_VALUE"""),"https://github.com/Biray143/Project-1")</f>
        <v>https://github.com/Biray143/Project-1</v>
      </c>
      <c r="H207" s="3">
        <f t="shared" si="2"/>
        <v>10</v>
      </c>
      <c r="I207" s="3">
        <f t="shared" si="3"/>
        <v>10</v>
      </c>
      <c r="J207" s="3">
        <f t="shared" si="4"/>
        <v>10</v>
      </c>
      <c r="K207" s="3">
        <f t="shared" si="5"/>
        <v>0</v>
      </c>
      <c r="L207" s="7">
        <f t="shared" si="6"/>
        <v>0</v>
      </c>
      <c r="M207" s="7">
        <f t="shared" si="7"/>
        <v>10</v>
      </c>
      <c r="N207" s="7">
        <f t="shared" si="8"/>
        <v>10</v>
      </c>
    </row>
    <row r="208" hidden="1">
      <c r="B208" s="3" t="s">
        <v>437</v>
      </c>
      <c r="C208" s="5" t="s">
        <v>438</v>
      </c>
      <c r="D208" s="3">
        <v>10.0</v>
      </c>
      <c r="E208" s="3">
        <v>10.0</v>
      </c>
      <c r="F208" s="3">
        <f t="shared" si="1"/>
        <v>2</v>
      </c>
      <c r="G208" s="5" t="str">
        <f>IFERROR(__xludf.DUMMYFUNCTION("""COMPUTED_VALUE"""),"https://github.com/vasanth-svb-1/iitm-syscmd-project-1")</f>
        <v>https://github.com/vasanth-svb-1/iitm-syscmd-project-1</v>
      </c>
      <c r="H208" s="3">
        <f t="shared" si="2"/>
        <v>10</v>
      </c>
      <c r="I208" s="3">
        <f t="shared" si="3"/>
        <v>10</v>
      </c>
      <c r="J208" s="3">
        <f t="shared" si="4"/>
        <v>8</v>
      </c>
      <c r="K208" s="3">
        <f t="shared" si="5"/>
        <v>1</v>
      </c>
      <c r="L208" s="7">
        <f t="shared" si="6"/>
        <v>2</v>
      </c>
      <c r="M208" s="7">
        <f t="shared" si="7"/>
        <v>9</v>
      </c>
      <c r="N208" s="7">
        <f t="shared" si="8"/>
        <v>10</v>
      </c>
    </row>
    <row r="209" hidden="1">
      <c r="B209" s="3" t="s">
        <v>439</v>
      </c>
      <c r="C209" s="5" t="s">
        <v>440</v>
      </c>
      <c r="D209" s="3">
        <v>10.0</v>
      </c>
      <c r="E209" s="3">
        <v>0.0</v>
      </c>
      <c r="F209" s="3">
        <f t="shared" si="1"/>
        <v>2</v>
      </c>
      <c r="G209" s="5" t="str">
        <f>IFERROR(__xludf.DUMMYFUNCTION("""COMPUTED_VALUE"""),"https://github.com/SonaliDuvesh/project1")</f>
        <v>https://github.com/SonaliDuvesh/project1</v>
      </c>
      <c r="H209" s="3">
        <f t="shared" si="2"/>
        <v>10</v>
      </c>
      <c r="I209" s="3">
        <f t="shared" si="3"/>
        <v>10</v>
      </c>
      <c r="J209" s="3">
        <f t="shared" si="4"/>
        <v>10</v>
      </c>
      <c r="K209" s="3">
        <f t="shared" si="5"/>
        <v>10</v>
      </c>
      <c r="L209" s="7">
        <f t="shared" si="6"/>
        <v>0</v>
      </c>
      <c r="M209" s="7">
        <f t="shared" si="7"/>
        <v>0</v>
      </c>
      <c r="N209" s="7">
        <f t="shared" si="8"/>
        <v>10</v>
      </c>
    </row>
    <row r="210" hidden="1">
      <c r="B210" s="3" t="s">
        <v>441</v>
      </c>
      <c r="C210" s="5" t="s">
        <v>442</v>
      </c>
      <c r="D210" s="3">
        <v>1.0</v>
      </c>
      <c r="E210" s="3">
        <v>9.0</v>
      </c>
      <c r="F210" s="3">
        <f t="shared" si="1"/>
        <v>1</v>
      </c>
      <c r="G210" s="5" t="str">
        <f>IFERROR(__xludf.DUMMYFUNCTION("""COMPUTED_VALUE"""),"https://github.com/22f1000144/TDS_project_1")</f>
        <v>https://github.com/22f1000144/TDS_project_1</v>
      </c>
      <c r="H210" s="3">
        <f t="shared" si="2"/>
        <v>8</v>
      </c>
      <c r="I210" s="3">
        <f t="shared" si="3"/>
        <v>7</v>
      </c>
      <c r="J210" s="3" t="str">
        <f t="shared" si="4"/>
        <v>No reviews</v>
      </c>
      <c r="K210" s="3" t="str">
        <f t="shared" si="5"/>
        <v>No reviews</v>
      </c>
      <c r="L210" s="7" t="str">
        <f t="shared" si="6"/>
        <v> </v>
      </c>
      <c r="M210" s="7" t="str">
        <f t="shared" si="7"/>
        <v> </v>
      </c>
      <c r="N210" s="7">
        <f t="shared" si="8"/>
        <v>7.5</v>
      </c>
    </row>
    <row r="211" hidden="1">
      <c r="B211" s="3" t="s">
        <v>443</v>
      </c>
      <c r="C211" s="5" t="s">
        <v>444</v>
      </c>
      <c r="D211" s="3">
        <v>9.0</v>
      </c>
      <c r="E211" s="3">
        <v>10.0</v>
      </c>
      <c r="F211" s="3">
        <f t="shared" si="1"/>
        <v>1</v>
      </c>
      <c r="G211" s="5" t="str">
        <f>IFERROR(__xludf.DUMMYFUNCTION("""COMPUTED_VALUE"""),"https://github.com/UrielKAlistair/TDS_P1")</f>
        <v>https://github.com/UrielKAlistair/TDS_P1</v>
      </c>
      <c r="H211" s="3">
        <f t="shared" si="2"/>
        <v>10</v>
      </c>
      <c r="I211" s="3">
        <f t="shared" si="3"/>
        <v>0</v>
      </c>
      <c r="J211" s="3" t="str">
        <f t="shared" si="4"/>
        <v>No reviews</v>
      </c>
      <c r="K211" s="3" t="str">
        <f t="shared" si="5"/>
        <v>No reviews</v>
      </c>
      <c r="L211" s="7" t="str">
        <f t="shared" si="6"/>
        <v> </v>
      </c>
      <c r="M211" s="7" t="str">
        <f t="shared" si="7"/>
        <v> </v>
      </c>
      <c r="N211" s="7">
        <f t="shared" si="8"/>
        <v>5</v>
      </c>
    </row>
    <row r="212" hidden="1">
      <c r="B212" s="3" t="s">
        <v>445</v>
      </c>
      <c r="C212" s="5" t="s">
        <v>446</v>
      </c>
      <c r="D212" s="3">
        <v>0.0</v>
      </c>
      <c r="E212" s="3">
        <v>0.0</v>
      </c>
      <c r="F212" s="3">
        <f t="shared" si="1"/>
        <v>1</v>
      </c>
      <c r="G212" s="5" t="str">
        <f>IFERROR(__xludf.DUMMYFUNCTION("""COMPUTED_VALUE"""),"https://github.com/Naveenkumaar/Project1_TDS")</f>
        <v>https://github.com/Naveenkumaar/Project1_TDS</v>
      </c>
      <c r="H212" s="3">
        <f t="shared" si="2"/>
        <v>4</v>
      </c>
      <c r="I212" s="3">
        <f t="shared" si="3"/>
        <v>10</v>
      </c>
      <c r="J212" s="3" t="str">
        <f t="shared" si="4"/>
        <v>No reviews</v>
      </c>
      <c r="K212" s="3" t="str">
        <f t="shared" si="5"/>
        <v>No reviews</v>
      </c>
      <c r="L212" s="7" t="str">
        <f t="shared" si="6"/>
        <v> </v>
      </c>
      <c r="M212" s="7" t="str">
        <f t="shared" si="7"/>
        <v> </v>
      </c>
      <c r="N212" s="7">
        <f t="shared" si="8"/>
        <v>7</v>
      </c>
    </row>
    <row r="213" hidden="1">
      <c r="B213" s="3" t="s">
        <v>447</v>
      </c>
      <c r="C213" s="5" t="s">
        <v>448</v>
      </c>
      <c r="D213" s="3">
        <v>8.0</v>
      </c>
      <c r="E213" s="3">
        <v>7.0</v>
      </c>
      <c r="F213" s="3">
        <f t="shared" si="1"/>
        <v>1</v>
      </c>
      <c r="G213" s="5" t="str">
        <f>IFERROR(__xludf.DUMMYFUNCTION("""COMPUTED_VALUE"""),"https://github.com/ManjulaVK/TDS_P1")</f>
        <v>https://github.com/ManjulaVK/TDS_P1</v>
      </c>
      <c r="H213" s="3">
        <f t="shared" si="2"/>
        <v>10</v>
      </c>
      <c r="I213" s="3">
        <f t="shared" si="3"/>
        <v>10</v>
      </c>
      <c r="J213" s="3" t="str">
        <f t="shared" si="4"/>
        <v>No reviews</v>
      </c>
      <c r="K213" s="3" t="str">
        <f t="shared" si="5"/>
        <v>No reviews</v>
      </c>
      <c r="L213" s="7" t="str">
        <f t="shared" si="6"/>
        <v> </v>
      </c>
      <c r="M213" s="7" t="str">
        <f t="shared" si="7"/>
        <v> </v>
      </c>
      <c r="N213" s="7">
        <f t="shared" si="8"/>
        <v>10</v>
      </c>
    </row>
    <row r="214" hidden="1">
      <c r="B214" s="3" t="s">
        <v>449</v>
      </c>
      <c r="C214" s="5" t="s">
        <v>450</v>
      </c>
      <c r="D214" s="3">
        <v>9.0</v>
      </c>
      <c r="E214" s="3">
        <v>10.0</v>
      </c>
      <c r="F214" s="3">
        <f t="shared" si="1"/>
        <v>2</v>
      </c>
      <c r="G214" s="5" t="str">
        <f>IFERROR(__xludf.DUMMYFUNCTION("""COMPUTED_VALUE"""),"https://github.com/Rishitahazra/berlin200")</f>
        <v>https://github.com/Rishitahazra/berlin200</v>
      </c>
      <c r="H214" s="3">
        <f t="shared" si="2"/>
        <v>3</v>
      </c>
      <c r="I214" s="3">
        <f t="shared" si="3"/>
        <v>7</v>
      </c>
      <c r="J214" s="3">
        <f t="shared" si="4"/>
        <v>8</v>
      </c>
      <c r="K214" s="3">
        <f t="shared" si="5"/>
        <v>8</v>
      </c>
      <c r="L214" s="7">
        <f t="shared" si="6"/>
        <v>5</v>
      </c>
      <c r="M214" s="7">
        <f t="shared" si="7"/>
        <v>1</v>
      </c>
      <c r="N214" s="7">
        <f t="shared" si="8"/>
        <v>8</v>
      </c>
    </row>
    <row r="215" hidden="1">
      <c r="B215" s="3" t="s">
        <v>451</v>
      </c>
      <c r="C215" s="5" t="s">
        <v>397</v>
      </c>
      <c r="D215" s="3">
        <v>8.0</v>
      </c>
      <c r="E215" s="3">
        <v>7.0</v>
      </c>
      <c r="F215" s="3">
        <f t="shared" si="1"/>
        <v>1</v>
      </c>
      <c r="G215" s="3" t="str">
        <f>IFERROR(__xludf.DUMMYFUNCTION("""COMPUTED_VALUE"""),"subhash2IIT / tds-project1-scrapping")</f>
        <v>subhash2IIT / tds-project1-scrapping</v>
      </c>
      <c r="H215" s="3">
        <f t="shared" si="2"/>
        <v>10</v>
      </c>
      <c r="I215" s="3">
        <f t="shared" si="3"/>
        <v>10</v>
      </c>
      <c r="J215" s="3" t="str">
        <f t="shared" si="4"/>
        <v>No reviews</v>
      </c>
      <c r="K215" s="3" t="str">
        <f t="shared" si="5"/>
        <v>No reviews</v>
      </c>
      <c r="L215" s="7" t="str">
        <f t="shared" si="6"/>
        <v> </v>
      </c>
      <c r="M215" s="7" t="str">
        <f t="shared" si="7"/>
        <v> </v>
      </c>
      <c r="N215" s="7">
        <f t="shared" si="8"/>
        <v>10</v>
      </c>
    </row>
    <row r="216" hidden="1">
      <c r="B216" s="3" t="s">
        <v>452</v>
      </c>
      <c r="C216" s="5" t="s">
        <v>150</v>
      </c>
      <c r="D216" s="3">
        <v>8.0</v>
      </c>
      <c r="E216" s="3">
        <v>5.0</v>
      </c>
      <c r="F216" s="3">
        <f t="shared" si="1"/>
        <v>1</v>
      </c>
      <c r="G216" s="5" t="str">
        <f>IFERROR(__xludf.DUMMYFUNCTION("""COMPUTED_VALUE"""),"https://github.com/r02ajat08/projtds")</f>
        <v>https://github.com/r02ajat08/projtds</v>
      </c>
      <c r="H216" s="3">
        <f t="shared" si="2"/>
        <v>5</v>
      </c>
      <c r="I216" s="3">
        <f t="shared" si="3"/>
        <v>5</v>
      </c>
      <c r="J216" s="3" t="str">
        <f t="shared" si="4"/>
        <v>No reviews</v>
      </c>
      <c r="K216" s="3" t="str">
        <f t="shared" si="5"/>
        <v>No reviews</v>
      </c>
      <c r="L216" s="7" t="str">
        <f t="shared" si="6"/>
        <v> </v>
      </c>
      <c r="M216" s="7" t="str">
        <f t="shared" si="7"/>
        <v> </v>
      </c>
      <c r="N216" s="7">
        <f t="shared" si="8"/>
        <v>5</v>
      </c>
    </row>
    <row r="217" hidden="1">
      <c r="B217" s="3" t="s">
        <v>453</v>
      </c>
      <c r="C217" s="5" t="s">
        <v>454</v>
      </c>
      <c r="D217" s="3">
        <v>0.0</v>
      </c>
      <c r="E217" s="3">
        <v>0.0</v>
      </c>
      <c r="F217" s="3">
        <f t="shared" si="1"/>
        <v>1</v>
      </c>
      <c r="G217" s="5" t="str">
        <f>IFERROR(__xludf.DUMMYFUNCTION("""COMPUTED_VALUE"""),"https://github.com/Kavya792/boston-github-users")</f>
        <v>https://github.com/Kavya792/boston-github-users</v>
      </c>
      <c r="H217" s="3">
        <f t="shared" si="2"/>
        <v>10</v>
      </c>
      <c r="I217" s="3">
        <f t="shared" si="3"/>
        <v>10</v>
      </c>
      <c r="J217" s="3" t="str">
        <f t="shared" si="4"/>
        <v>No reviews</v>
      </c>
      <c r="K217" s="3" t="str">
        <f t="shared" si="5"/>
        <v>No reviews</v>
      </c>
      <c r="L217" s="7" t="str">
        <f t="shared" si="6"/>
        <v> </v>
      </c>
      <c r="M217" s="7" t="str">
        <f t="shared" si="7"/>
        <v> </v>
      </c>
      <c r="N217" s="7">
        <f t="shared" si="8"/>
        <v>10</v>
      </c>
    </row>
    <row r="218" hidden="1">
      <c r="B218" s="3" t="s">
        <v>455</v>
      </c>
      <c r="C218" s="5" t="s">
        <v>456</v>
      </c>
      <c r="D218" s="3">
        <v>10.0</v>
      </c>
      <c r="E218" s="3">
        <v>10.0</v>
      </c>
      <c r="F218" s="3">
        <f t="shared" si="1"/>
        <v>2</v>
      </c>
      <c r="G218" s="5" t="str">
        <f>IFERROR(__xludf.DUMMYFUNCTION("""COMPUTED_VALUE"""),"https://github.com/SidharthDahiya/Toronto-Analysis")</f>
        <v>https://github.com/SidharthDahiya/Toronto-Analysis</v>
      </c>
      <c r="H218" s="3">
        <f t="shared" si="2"/>
        <v>5</v>
      </c>
      <c r="I218" s="3">
        <f t="shared" si="3"/>
        <v>4</v>
      </c>
      <c r="J218" s="3">
        <f t="shared" si="4"/>
        <v>10</v>
      </c>
      <c r="K218" s="3">
        <f t="shared" si="5"/>
        <v>10</v>
      </c>
      <c r="L218" s="7">
        <f t="shared" si="6"/>
        <v>5</v>
      </c>
      <c r="M218" s="7">
        <f t="shared" si="7"/>
        <v>6</v>
      </c>
      <c r="N218" s="7">
        <f t="shared" si="8"/>
        <v>10</v>
      </c>
    </row>
    <row r="219" hidden="1">
      <c r="B219" s="3" t="s">
        <v>457</v>
      </c>
      <c r="C219" s="5" t="s">
        <v>458</v>
      </c>
      <c r="D219" s="3">
        <v>8.0</v>
      </c>
      <c r="E219" s="3">
        <v>10.0</v>
      </c>
      <c r="F219" s="3">
        <f t="shared" si="1"/>
        <v>2</v>
      </c>
      <c r="G219" s="5" t="str">
        <f>IFERROR(__xludf.DUMMYFUNCTION("""COMPUTED_VALUE"""),"https://github.com/23f1003016/TDS-Project1")</f>
        <v>https://github.com/23f1003016/TDS-Project1</v>
      </c>
      <c r="H219" s="3">
        <f t="shared" si="2"/>
        <v>10</v>
      </c>
      <c r="I219" s="3">
        <f t="shared" si="3"/>
        <v>10</v>
      </c>
      <c r="J219" s="3">
        <f t="shared" si="4"/>
        <v>8</v>
      </c>
      <c r="K219" s="3">
        <f t="shared" si="5"/>
        <v>10</v>
      </c>
      <c r="L219" s="7">
        <f t="shared" si="6"/>
        <v>2</v>
      </c>
      <c r="M219" s="7">
        <f t="shared" si="7"/>
        <v>0</v>
      </c>
      <c r="N219" s="7">
        <f t="shared" si="8"/>
        <v>10</v>
      </c>
    </row>
    <row r="220" hidden="1">
      <c r="B220" s="3" t="s">
        <v>459</v>
      </c>
      <c r="C220" s="5" t="s">
        <v>322</v>
      </c>
      <c r="D220" s="3">
        <v>5.0</v>
      </c>
      <c r="E220" s="3">
        <v>8.0</v>
      </c>
      <c r="F220" s="3">
        <f t="shared" si="1"/>
        <v>2</v>
      </c>
      <c r="G220" s="5" t="str">
        <f>IFERROR(__xludf.DUMMYFUNCTION("""COMPUTED_VALUE"""),"https://github.com/sadiq1402/TDS-Project-1")</f>
        <v>https://github.com/sadiq1402/TDS-Project-1</v>
      </c>
      <c r="H220" s="3">
        <f t="shared" si="2"/>
        <v>6</v>
      </c>
      <c r="I220" s="3">
        <f t="shared" si="3"/>
        <v>6</v>
      </c>
      <c r="J220" s="3">
        <f t="shared" si="4"/>
        <v>10</v>
      </c>
      <c r="K220" s="3">
        <f t="shared" si="5"/>
        <v>10</v>
      </c>
      <c r="L220" s="7">
        <f t="shared" si="6"/>
        <v>4</v>
      </c>
      <c r="M220" s="7">
        <f t="shared" si="7"/>
        <v>4</v>
      </c>
      <c r="N220" s="7">
        <f t="shared" si="8"/>
        <v>10</v>
      </c>
    </row>
    <row r="221" hidden="1">
      <c r="B221" s="3" t="s">
        <v>460</v>
      </c>
      <c r="C221" s="5" t="s">
        <v>461</v>
      </c>
      <c r="D221" s="3">
        <v>10.0</v>
      </c>
      <c r="E221" s="3">
        <v>7.0</v>
      </c>
      <c r="F221" s="3">
        <f t="shared" si="1"/>
        <v>1</v>
      </c>
      <c r="G221" s="5" t="str">
        <f>IFERROR(__xludf.DUMMYFUNCTION("""COMPUTED_VALUE"""),"https://github.com/dhimantks/tdsproject1")</f>
        <v>https://github.com/dhimantks/tdsproject1</v>
      </c>
      <c r="H221" s="3">
        <f t="shared" si="2"/>
        <v>10</v>
      </c>
      <c r="I221" s="3">
        <f t="shared" si="3"/>
        <v>10</v>
      </c>
      <c r="J221" s="3" t="str">
        <f t="shared" si="4"/>
        <v>No reviews</v>
      </c>
      <c r="K221" s="3" t="str">
        <f t="shared" si="5"/>
        <v>No reviews</v>
      </c>
      <c r="L221" s="7" t="str">
        <f t="shared" si="6"/>
        <v> </v>
      </c>
      <c r="M221" s="7" t="str">
        <f t="shared" si="7"/>
        <v> </v>
      </c>
      <c r="N221" s="7">
        <f t="shared" si="8"/>
        <v>10</v>
      </c>
    </row>
    <row r="222" hidden="1">
      <c r="B222" s="3" t="s">
        <v>462</v>
      </c>
      <c r="C222" s="5" t="s">
        <v>463</v>
      </c>
      <c r="D222" s="3">
        <v>0.0</v>
      </c>
      <c r="E222" s="3">
        <v>0.0</v>
      </c>
      <c r="F222" s="3">
        <f t="shared" si="1"/>
        <v>1</v>
      </c>
      <c r="G222" s="5" t="str">
        <f>IFERROR(__xludf.DUMMYFUNCTION("""COMPUTED_VALUE"""),"https://github.com/23f3004236/TDS-Project-1/tree/main")</f>
        <v>https://github.com/23f3004236/TDS-Project-1/tree/main</v>
      </c>
      <c r="H222" s="3">
        <f t="shared" si="2"/>
        <v>8</v>
      </c>
      <c r="I222" s="3">
        <f t="shared" si="3"/>
        <v>10</v>
      </c>
      <c r="J222" s="3" t="str">
        <f t="shared" si="4"/>
        <v>No reviews</v>
      </c>
      <c r="K222" s="3" t="str">
        <f t="shared" si="5"/>
        <v>No reviews</v>
      </c>
      <c r="L222" s="7" t="str">
        <f t="shared" si="6"/>
        <v> </v>
      </c>
      <c r="M222" s="7" t="str">
        <f t="shared" si="7"/>
        <v> </v>
      </c>
      <c r="N222" s="7">
        <f t="shared" si="8"/>
        <v>9</v>
      </c>
    </row>
    <row r="223" hidden="1">
      <c r="B223" s="3" t="s">
        <v>464</v>
      </c>
      <c r="C223" s="5" t="s">
        <v>465</v>
      </c>
      <c r="D223" s="3">
        <v>10.0</v>
      </c>
      <c r="E223" s="3">
        <v>9.0</v>
      </c>
      <c r="F223" s="3">
        <f t="shared" si="1"/>
        <v>2</v>
      </c>
      <c r="G223" s="5" t="str">
        <f>IFERROR(__xludf.DUMMYFUNCTION("""COMPUTED_VALUE"""),"https://github.com/perceptron-01/project-1")</f>
        <v>https://github.com/perceptron-01/project-1</v>
      </c>
      <c r="H223" s="3">
        <f t="shared" si="2"/>
        <v>10</v>
      </c>
      <c r="I223" s="3">
        <f t="shared" si="3"/>
        <v>10</v>
      </c>
      <c r="J223" s="3">
        <f t="shared" si="4"/>
        <v>2</v>
      </c>
      <c r="K223" s="3">
        <f t="shared" si="5"/>
        <v>7</v>
      </c>
      <c r="L223" s="7">
        <f t="shared" si="6"/>
        <v>8</v>
      </c>
      <c r="M223" s="7">
        <f t="shared" si="7"/>
        <v>3</v>
      </c>
      <c r="N223" s="7">
        <f t="shared" si="8"/>
        <v>10</v>
      </c>
    </row>
    <row r="224" hidden="1">
      <c r="B224" s="3" t="s">
        <v>466</v>
      </c>
      <c r="C224" s="5" t="s">
        <v>467</v>
      </c>
      <c r="D224" s="3">
        <v>4.0</v>
      </c>
      <c r="E224" s="3">
        <v>2.0</v>
      </c>
      <c r="F224" s="3">
        <f t="shared" si="1"/>
        <v>2</v>
      </c>
      <c r="G224" s="5" t="str">
        <f>IFERROR(__xludf.DUMMYFUNCTION("""COMPUTED_VALUE"""),"https://github.com/Allen-Josu/TDS_Project")</f>
        <v>https://github.com/Allen-Josu/TDS_Project</v>
      </c>
      <c r="H224" s="3">
        <f t="shared" si="2"/>
        <v>7</v>
      </c>
      <c r="I224" s="3">
        <f t="shared" si="3"/>
        <v>9</v>
      </c>
      <c r="J224" s="3">
        <f t="shared" si="4"/>
        <v>5</v>
      </c>
      <c r="K224" s="3">
        <f t="shared" si="5"/>
        <v>9</v>
      </c>
      <c r="L224" s="7">
        <f t="shared" si="6"/>
        <v>2</v>
      </c>
      <c r="M224" s="7">
        <f t="shared" si="7"/>
        <v>0</v>
      </c>
      <c r="N224" s="7">
        <f t="shared" si="8"/>
        <v>8</v>
      </c>
    </row>
    <row r="225" hidden="1">
      <c r="B225" s="3" t="s">
        <v>468</v>
      </c>
      <c r="C225" s="5" t="s">
        <v>469</v>
      </c>
      <c r="D225" s="3">
        <v>10.0</v>
      </c>
      <c r="E225" s="3">
        <v>10.0</v>
      </c>
      <c r="F225" s="3">
        <f t="shared" si="1"/>
        <v>1</v>
      </c>
      <c r="G225" s="5" t="str">
        <f>IFERROR(__xludf.DUMMYFUNCTION("""COMPUTED_VALUE"""),"https://github.com/27-Swastik/tds_project_1")</f>
        <v>https://github.com/27-Swastik/tds_project_1</v>
      </c>
      <c r="H225" s="3">
        <f t="shared" si="2"/>
        <v>10</v>
      </c>
      <c r="I225" s="3">
        <f t="shared" si="3"/>
        <v>9</v>
      </c>
      <c r="J225" s="3" t="str">
        <f t="shared" si="4"/>
        <v>No reviews</v>
      </c>
      <c r="K225" s="3" t="str">
        <f t="shared" si="5"/>
        <v>No reviews</v>
      </c>
      <c r="L225" s="7" t="str">
        <f t="shared" si="6"/>
        <v> </v>
      </c>
      <c r="M225" s="7" t="str">
        <f t="shared" si="7"/>
        <v> </v>
      </c>
      <c r="N225" s="7">
        <f t="shared" si="8"/>
        <v>9.5</v>
      </c>
    </row>
    <row r="226" hidden="1">
      <c r="B226" s="3" t="s">
        <v>470</v>
      </c>
      <c r="C226" s="5" t="s">
        <v>330</v>
      </c>
      <c r="D226" s="3">
        <v>10.0</v>
      </c>
      <c r="E226" s="3">
        <v>10.0</v>
      </c>
      <c r="F226" s="3">
        <f t="shared" si="1"/>
        <v>2</v>
      </c>
      <c r="G226" s="5" t="str">
        <f>IFERROR(__xludf.DUMMYFUNCTION("""COMPUTED_VALUE"""),"https://github.com/AdityaGuptaVarshney/tds-project1-iitm")</f>
        <v>https://github.com/AdityaGuptaVarshney/tds-project1-iitm</v>
      </c>
      <c r="H226" s="3">
        <f t="shared" si="2"/>
        <v>10</v>
      </c>
      <c r="I226" s="3">
        <f t="shared" si="3"/>
        <v>10</v>
      </c>
      <c r="J226" s="3">
        <f t="shared" si="4"/>
        <v>6</v>
      </c>
      <c r="K226" s="3">
        <f t="shared" si="5"/>
        <v>10</v>
      </c>
      <c r="L226" s="7">
        <f t="shared" si="6"/>
        <v>4</v>
      </c>
      <c r="M226" s="7">
        <f t="shared" si="7"/>
        <v>0</v>
      </c>
      <c r="N226" s="7">
        <f t="shared" si="8"/>
        <v>10</v>
      </c>
    </row>
    <row r="227" hidden="1">
      <c r="B227" s="3" t="s">
        <v>471</v>
      </c>
      <c r="C227" s="5" t="s">
        <v>284</v>
      </c>
      <c r="D227" s="3">
        <v>4.0</v>
      </c>
      <c r="E227" s="3">
        <v>7.0</v>
      </c>
      <c r="F227" s="3">
        <f t="shared" si="1"/>
        <v>1</v>
      </c>
      <c r="G227" s="5" t="str">
        <f>IFERROR(__xludf.DUMMYFUNCTION("""COMPUTED_VALUE"""),"https://github.com/AMOL-023/main")</f>
        <v>https://github.com/AMOL-023/main</v>
      </c>
      <c r="H227" s="3">
        <f t="shared" si="2"/>
        <v>9</v>
      </c>
      <c r="I227" s="3">
        <f t="shared" si="3"/>
        <v>0</v>
      </c>
      <c r="J227" s="3" t="str">
        <f t="shared" si="4"/>
        <v>No reviews</v>
      </c>
      <c r="K227" s="3" t="str">
        <f t="shared" si="5"/>
        <v>No reviews</v>
      </c>
      <c r="L227" s="7" t="str">
        <f t="shared" si="6"/>
        <v> </v>
      </c>
      <c r="M227" s="7" t="str">
        <f t="shared" si="7"/>
        <v> </v>
      </c>
      <c r="N227" s="7">
        <f t="shared" si="8"/>
        <v>4.5</v>
      </c>
    </row>
    <row r="228" hidden="1">
      <c r="B228" s="3" t="s">
        <v>472</v>
      </c>
      <c r="C228" s="5" t="s">
        <v>144</v>
      </c>
      <c r="D228" s="3">
        <v>9.0</v>
      </c>
      <c r="E228" s="3">
        <v>8.0</v>
      </c>
      <c r="F228" s="3">
        <f t="shared" si="1"/>
        <v>2</v>
      </c>
      <c r="G228" s="5" t="str">
        <f>IFERROR(__xludf.DUMMYFUNCTION("""COMPUTED_VALUE"""),"https://github.com/Devanshshukla090705/PRJ1_TDS")</f>
        <v>https://github.com/Devanshshukla090705/PRJ1_TDS</v>
      </c>
      <c r="H228" s="3">
        <f t="shared" si="2"/>
        <v>10</v>
      </c>
      <c r="I228" s="3">
        <f t="shared" si="3"/>
        <v>7</v>
      </c>
      <c r="J228" s="3">
        <f t="shared" si="4"/>
        <v>9</v>
      </c>
      <c r="K228" s="3">
        <f t="shared" si="5"/>
        <v>8</v>
      </c>
      <c r="L228" s="7">
        <f t="shared" si="6"/>
        <v>1</v>
      </c>
      <c r="M228" s="7">
        <f t="shared" si="7"/>
        <v>1</v>
      </c>
      <c r="N228" s="7">
        <f t="shared" si="8"/>
        <v>8.5</v>
      </c>
    </row>
    <row r="229" hidden="1">
      <c r="B229" s="3" t="s">
        <v>473</v>
      </c>
      <c r="C229" s="5" t="s">
        <v>432</v>
      </c>
      <c r="D229" s="3">
        <v>10.0</v>
      </c>
      <c r="E229" s="3">
        <v>10.0</v>
      </c>
      <c r="F229" s="3">
        <f t="shared" si="1"/>
        <v>2</v>
      </c>
      <c r="G229" s="5" t="str">
        <f>IFERROR(__xludf.DUMMYFUNCTION("""COMPUTED_VALUE"""),"https://github.com/Anish071105/TDS-project1")</f>
        <v>https://github.com/Anish071105/TDS-project1</v>
      </c>
      <c r="H229" s="3">
        <f t="shared" si="2"/>
        <v>10</v>
      </c>
      <c r="I229" s="3">
        <f t="shared" si="3"/>
        <v>10</v>
      </c>
      <c r="J229" s="3">
        <f t="shared" si="4"/>
        <v>9</v>
      </c>
      <c r="K229" s="3">
        <f t="shared" si="5"/>
        <v>10</v>
      </c>
      <c r="L229" s="7">
        <f t="shared" si="6"/>
        <v>1</v>
      </c>
      <c r="M229" s="7">
        <f t="shared" si="7"/>
        <v>0</v>
      </c>
      <c r="N229" s="7">
        <f t="shared" si="8"/>
        <v>10</v>
      </c>
    </row>
    <row r="230" hidden="1">
      <c r="B230" s="3" t="s">
        <v>474</v>
      </c>
      <c r="C230" s="5" t="s">
        <v>475</v>
      </c>
      <c r="D230" s="3">
        <v>8.0</v>
      </c>
      <c r="E230" s="3">
        <v>10.0</v>
      </c>
      <c r="F230" s="3">
        <f t="shared" si="1"/>
        <v>2</v>
      </c>
      <c r="G230" s="5" t="str">
        <f>IFERROR(__xludf.DUMMYFUNCTION("""COMPUTED_VALUE"""),"https://github.com/ratantiwaridev/tds_project1")</f>
        <v>https://github.com/ratantiwaridev/tds_project1</v>
      </c>
      <c r="H230" s="3">
        <f t="shared" si="2"/>
        <v>8</v>
      </c>
      <c r="I230" s="3">
        <f t="shared" si="3"/>
        <v>9</v>
      </c>
      <c r="J230" s="3">
        <f t="shared" si="4"/>
        <v>10</v>
      </c>
      <c r="K230" s="3">
        <f t="shared" si="5"/>
        <v>10</v>
      </c>
      <c r="L230" s="7">
        <f t="shared" si="6"/>
        <v>2</v>
      </c>
      <c r="M230" s="7">
        <f t="shared" si="7"/>
        <v>1</v>
      </c>
      <c r="N230" s="7">
        <f t="shared" si="8"/>
        <v>10</v>
      </c>
    </row>
    <row r="231" hidden="1">
      <c r="B231" s="3" t="s">
        <v>476</v>
      </c>
      <c r="C231" s="5" t="s">
        <v>477</v>
      </c>
      <c r="D231" s="3">
        <v>0.0</v>
      </c>
      <c r="E231" s="3">
        <v>0.0</v>
      </c>
      <c r="F231" s="3">
        <f t="shared" si="1"/>
        <v>2</v>
      </c>
      <c r="G231" s="5" t="str">
        <f>IFERROR(__xludf.DUMMYFUNCTION("""COMPUTED_VALUE"""),"https://github.com/Abimanyu-A-J/TDSProj1/tree/main")</f>
        <v>https://github.com/Abimanyu-A-J/TDSProj1/tree/main</v>
      </c>
      <c r="H231" s="3">
        <f t="shared" si="2"/>
        <v>4</v>
      </c>
      <c r="I231" s="3">
        <f t="shared" si="3"/>
        <v>9</v>
      </c>
      <c r="J231" s="3">
        <f t="shared" si="4"/>
        <v>2</v>
      </c>
      <c r="K231" s="3">
        <f t="shared" si="5"/>
        <v>5</v>
      </c>
      <c r="L231" s="7">
        <f t="shared" si="6"/>
        <v>2</v>
      </c>
      <c r="M231" s="7">
        <f t="shared" si="7"/>
        <v>4</v>
      </c>
      <c r="N231" s="7">
        <f t="shared" si="8"/>
        <v>6.5</v>
      </c>
    </row>
    <row r="232" hidden="1">
      <c r="B232" s="3" t="s">
        <v>478</v>
      </c>
      <c r="C232" s="5" t="s">
        <v>479</v>
      </c>
      <c r="D232" s="3">
        <v>10.0</v>
      </c>
      <c r="E232" s="3">
        <v>0.0</v>
      </c>
      <c r="F232" s="3">
        <f t="shared" si="1"/>
        <v>2</v>
      </c>
      <c r="G232" s="5" t="str">
        <f>IFERROR(__xludf.DUMMYFUNCTION("""COMPUTED_VALUE"""),"https://github.com/22f2000894/tds-project-1")</f>
        <v>https://github.com/22f2000894/tds-project-1</v>
      </c>
      <c r="H232" s="3">
        <f t="shared" si="2"/>
        <v>9</v>
      </c>
      <c r="I232" s="3">
        <f t="shared" si="3"/>
        <v>10</v>
      </c>
      <c r="J232" s="3">
        <f t="shared" si="4"/>
        <v>6</v>
      </c>
      <c r="K232" s="3">
        <f t="shared" si="5"/>
        <v>7</v>
      </c>
      <c r="L232" s="7">
        <f t="shared" si="6"/>
        <v>3</v>
      </c>
      <c r="M232" s="7">
        <f t="shared" si="7"/>
        <v>3</v>
      </c>
      <c r="N232" s="7">
        <f t="shared" si="8"/>
        <v>9.5</v>
      </c>
    </row>
    <row r="233" hidden="1">
      <c r="B233" s="3" t="s">
        <v>480</v>
      </c>
      <c r="C233" s="5" t="s">
        <v>481</v>
      </c>
      <c r="D233" s="3">
        <v>10.0</v>
      </c>
      <c r="E233" s="3">
        <v>0.0</v>
      </c>
      <c r="F233" s="3">
        <f t="shared" si="1"/>
        <v>2</v>
      </c>
      <c r="G233" s="5" t="str">
        <f>IFERROR(__xludf.DUMMYFUNCTION("""COMPUTED_VALUE"""),"https://github.com/JAISUBIKSHA/TDS_PROJECT1")</f>
        <v>https://github.com/JAISUBIKSHA/TDS_PROJECT1</v>
      </c>
      <c r="H233" s="3">
        <f t="shared" si="2"/>
        <v>7</v>
      </c>
      <c r="I233" s="3">
        <f t="shared" si="3"/>
        <v>6</v>
      </c>
      <c r="J233" s="3">
        <f t="shared" si="4"/>
        <v>9</v>
      </c>
      <c r="K233" s="3">
        <f t="shared" si="5"/>
        <v>10</v>
      </c>
      <c r="L233" s="7">
        <f t="shared" si="6"/>
        <v>2</v>
      </c>
      <c r="M233" s="7">
        <f t="shared" si="7"/>
        <v>4</v>
      </c>
      <c r="N233" s="7">
        <f t="shared" si="8"/>
        <v>9.5</v>
      </c>
    </row>
    <row r="234" hidden="1">
      <c r="B234" s="3" t="s">
        <v>482</v>
      </c>
      <c r="C234" s="5" t="s">
        <v>469</v>
      </c>
      <c r="D234" s="3">
        <v>10.0</v>
      </c>
      <c r="E234" s="3">
        <v>10.0</v>
      </c>
      <c r="F234" s="3">
        <f t="shared" si="1"/>
        <v>2</v>
      </c>
      <c r="G234" s="5" t="str">
        <f>IFERROR(__xludf.DUMMYFUNCTION("""COMPUTED_VALUE"""),"https://github.com/SakshamBindal07/github_sydney_users")</f>
        <v>https://github.com/SakshamBindal07/github_sydney_users</v>
      </c>
      <c r="H234" s="3">
        <f t="shared" si="2"/>
        <v>8</v>
      </c>
      <c r="I234" s="3">
        <f t="shared" si="3"/>
        <v>10</v>
      </c>
      <c r="J234" s="3">
        <f t="shared" si="4"/>
        <v>9</v>
      </c>
      <c r="K234" s="3">
        <f t="shared" si="5"/>
        <v>10</v>
      </c>
      <c r="L234" s="7">
        <f t="shared" si="6"/>
        <v>1</v>
      </c>
      <c r="M234" s="7">
        <f t="shared" si="7"/>
        <v>0</v>
      </c>
      <c r="N234" s="7">
        <f t="shared" si="8"/>
        <v>9.5</v>
      </c>
    </row>
    <row r="235" hidden="1">
      <c r="B235" s="3" t="s">
        <v>483</v>
      </c>
      <c r="C235" s="5" t="s">
        <v>484</v>
      </c>
      <c r="D235" s="3">
        <v>8.0</v>
      </c>
      <c r="E235" s="3">
        <v>10.0</v>
      </c>
      <c r="F235" s="3">
        <f t="shared" si="1"/>
        <v>2</v>
      </c>
      <c r="G235" s="5" t="str">
        <f>IFERROR(__xludf.DUMMYFUNCTION("""COMPUTED_VALUE"""),"https://github.com/raj-jaiswal/TDS_Github_API")</f>
        <v>https://github.com/raj-jaiswal/TDS_Github_API</v>
      </c>
      <c r="H235" s="3">
        <f t="shared" si="2"/>
        <v>10</v>
      </c>
      <c r="I235" s="3">
        <f t="shared" si="3"/>
        <v>10</v>
      </c>
      <c r="J235" s="3">
        <f t="shared" si="4"/>
        <v>9</v>
      </c>
      <c r="K235" s="3">
        <f t="shared" si="5"/>
        <v>8</v>
      </c>
      <c r="L235" s="7">
        <f t="shared" si="6"/>
        <v>1</v>
      </c>
      <c r="M235" s="7">
        <f t="shared" si="7"/>
        <v>2</v>
      </c>
      <c r="N235" s="7">
        <f t="shared" si="8"/>
        <v>10</v>
      </c>
    </row>
    <row r="236" hidden="1">
      <c r="B236" s="3" t="s">
        <v>485</v>
      </c>
      <c r="C236" s="5" t="s">
        <v>486</v>
      </c>
      <c r="D236" s="3">
        <v>10.0</v>
      </c>
      <c r="E236" s="3">
        <v>10.0</v>
      </c>
      <c r="F236" s="3">
        <f t="shared" si="1"/>
        <v>2</v>
      </c>
      <c r="G236" s="5" t="str">
        <f>IFERROR(__xludf.DUMMYFUNCTION("""COMPUTED_VALUE"""),"https://github.com/siddhant-bapna/TDSP1")</f>
        <v>https://github.com/siddhant-bapna/TDSP1</v>
      </c>
      <c r="H236" s="3">
        <f t="shared" si="2"/>
        <v>10</v>
      </c>
      <c r="I236" s="3">
        <f t="shared" si="3"/>
        <v>9</v>
      </c>
      <c r="J236" s="3">
        <f t="shared" si="4"/>
        <v>8</v>
      </c>
      <c r="K236" s="3">
        <f t="shared" si="5"/>
        <v>8</v>
      </c>
      <c r="L236" s="7">
        <f t="shared" si="6"/>
        <v>2</v>
      </c>
      <c r="M236" s="7">
        <f t="shared" si="7"/>
        <v>1</v>
      </c>
      <c r="N236" s="7">
        <f t="shared" si="8"/>
        <v>9.5</v>
      </c>
    </row>
    <row r="237" hidden="1">
      <c r="B237" s="3" t="s">
        <v>487</v>
      </c>
      <c r="C237" s="5" t="s">
        <v>488</v>
      </c>
      <c r="D237" s="3">
        <v>2.0</v>
      </c>
      <c r="E237" s="3">
        <v>2.0</v>
      </c>
      <c r="F237" s="3">
        <f t="shared" si="1"/>
        <v>2</v>
      </c>
      <c r="G237" s="5" t="str">
        <f>IFERROR(__xludf.DUMMYFUNCTION("""COMPUTED_VALUE"""),"https://github.com/Nupur-learns/Project1")</f>
        <v>https://github.com/Nupur-learns/Project1</v>
      </c>
      <c r="H237" s="3">
        <f t="shared" si="2"/>
        <v>10</v>
      </c>
      <c r="I237" s="3">
        <f t="shared" si="3"/>
        <v>10</v>
      </c>
      <c r="J237" s="3">
        <f t="shared" si="4"/>
        <v>10</v>
      </c>
      <c r="K237" s="3">
        <f t="shared" si="5"/>
        <v>10</v>
      </c>
      <c r="L237" s="7">
        <f t="shared" si="6"/>
        <v>0</v>
      </c>
      <c r="M237" s="7">
        <f t="shared" si="7"/>
        <v>0</v>
      </c>
      <c r="N237" s="7">
        <f t="shared" si="8"/>
        <v>10</v>
      </c>
    </row>
    <row r="238" hidden="1">
      <c r="B238" s="3" t="s">
        <v>489</v>
      </c>
      <c r="C238" s="5" t="s">
        <v>490</v>
      </c>
      <c r="D238" s="3">
        <v>9.0</v>
      </c>
      <c r="E238" s="3">
        <v>10.0</v>
      </c>
      <c r="F238" s="3">
        <f t="shared" si="1"/>
        <v>2</v>
      </c>
      <c r="G238" s="5" t="str">
        <f>IFERROR(__xludf.DUMMYFUNCTION("""COMPUTED_VALUE"""),"https://github.com/22f2000809/project_1")</f>
        <v>https://github.com/22f2000809/project_1</v>
      </c>
      <c r="H238" s="3">
        <f t="shared" si="2"/>
        <v>9</v>
      </c>
      <c r="I238" s="3">
        <f t="shared" si="3"/>
        <v>9</v>
      </c>
      <c r="J238" s="3">
        <f t="shared" si="4"/>
        <v>6</v>
      </c>
      <c r="K238" s="3">
        <f t="shared" si="5"/>
        <v>0</v>
      </c>
      <c r="L238" s="7">
        <f t="shared" si="6"/>
        <v>3</v>
      </c>
      <c r="M238" s="7">
        <f t="shared" si="7"/>
        <v>9</v>
      </c>
      <c r="N238" s="7">
        <f t="shared" si="8"/>
        <v>9</v>
      </c>
    </row>
    <row r="239" hidden="1">
      <c r="B239" s="3" t="s">
        <v>491</v>
      </c>
      <c r="C239" s="5" t="s">
        <v>492</v>
      </c>
      <c r="D239" s="3">
        <v>10.0</v>
      </c>
      <c r="E239" s="3">
        <v>10.0</v>
      </c>
      <c r="F239" s="3">
        <f t="shared" si="1"/>
        <v>2</v>
      </c>
      <c r="G239" s="5" t="str">
        <f>IFERROR(__xludf.DUMMYFUNCTION("""COMPUTED_VALUE"""),"https://github.com/Vanshika-tiwari98/Beijing-GitHub-Users")</f>
        <v>https://github.com/Vanshika-tiwari98/Beijing-GitHub-Users</v>
      </c>
      <c r="H239" s="3">
        <f t="shared" si="2"/>
        <v>8</v>
      </c>
      <c r="I239" s="3">
        <f t="shared" si="3"/>
        <v>9</v>
      </c>
      <c r="J239" s="3">
        <f t="shared" si="4"/>
        <v>5</v>
      </c>
      <c r="K239" s="3">
        <f t="shared" si="5"/>
        <v>7</v>
      </c>
      <c r="L239" s="7">
        <f t="shared" si="6"/>
        <v>3</v>
      </c>
      <c r="M239" s="7">
        <f t="shared" si="7"/>
        <v>2</v>
      </c>
      <c r="N239" s="7">
        <f t="shared" si="8"/>
        <v>8.5</v>
      </c>
    </row>
    <row r="240" hidden="1">
      <c r="B240" s="3" t="s">
        <v>493</v>
      </c>
      <c r="C240" s="5" t="s">
        <v>340</v>
      </c>
      <c r="D240" s="3">
        <v>10.0</v>
      </c>
      <c r="E240" s="3">
        <v>10.0</v>
      </c>
      <c r="F240" s="3">
        <f t="shared" si="1"/>
        <v>1</v>
      </c>
      <c r="G240" s="5" t="str">
        <f>IFERROR(__xludf.DUMMYFUNCTION("""COMPUTED_VALUE"""),"https://github.com/ShijuPJohn/tds_p1")</f>
        <v>https://github.com/ShijuPJohn/tds_p1</v>
      </c>
      <c r="H240" s="3">
        <f t="shared" si="2"/>
        <v>9</v>
      </c>
      <c r="I240" s="3">
        <f t="shared" si="3"/>
        <v>9</v>
      </c>
      <c r="J240" s="3" t="str">
        <f t="shared" si="4"/>
        <v>No reviews</v>
      </c>
      <c r="K240" s="3" t="str">
        <f t="shared" si="5"/>
        <v>No reviews</v>
      </c>
      <c r="L240" s="7" t="str">
        <f t="shared" si="6"/>
        <v> </v>
      </c>
      <c r="M240" s="7" t="str">
        <f t="shared" si="7"/>
        <v> </v>
      </c>
      <c r="N240" s="7">
        <f t="shared" si="8"/>
        <v>9</v>
      </c>
    </row>
    <row r="241" hidden="1">
      <c r="B241" s="3" t="s">
        <v>494</v>
      </c>
      <c r="C241" s="5" t="s">
        <v>495</v>
      </c>
      <c r="D241" s="3">
        <v>10.0</v>
      </c>
      <c r="E241" s="3">
        <v>10.0</v>
      </c>
      <c r="F241" s="3">
        <f t="shared" si="1"/>
        <v>1</v>
      </c>
      <c r="G241" s="5" t="str">
        <f>IFERROR(__xludf.DUMMYFUNCTION("""COMPUTED_VALUE"""),"https://github.com/PoornimaIITm/Tds_barcelona100")</f>
        <v>https://github.com/PoornimaIITm/Tds_barcelona100</v>
      </c>
      <c r="H241" s="3">
        <f t="shared" si="2"/>
        <v>9</v>
      </c>
      <c r="I241" s="3">
        <f t="shared" si="3"/>
        <v>10</v>
      </c>
      <c r="J241" s="3" t="str">
        <f t="shared" si="4"/>
        <v>No reviews</v>
      </c>
      <c r="K241" s="3" t="str">
        <f t="shared" si="5"/>
        <v>No reviews</v>
      </c>
      <c r="L241" s="7" t="str">
        <f t="shared" si="6"/>
        <v> </v>
      </c>
      <c r="M241" s="7" t="str">
        <f t="shared" si="7"/>
        <v> </v>
      </c>
      <c r="N241" s="7">
        <f t="shared" si="8"/>
        <v>9.5</v>
      </c>
    </row>
    <row r="242" hidden="1">
      <c r="B242" s="3" t="s">
        <v>496</v>
      </c>
      <c r="C242" s="5" t="s">
        <v>497</v>
      </c>
      <c r="D242" s="3">
        <v>10.0</v>
      </c>
      <c r="E242" s="3">
        <v>10.0</v>
      </c>
      <c r="F242" s="3">
        <f t="shared" si="1"/>
        <v>2</v>
      </c>
      <c r="G242" s="5" t="str">
        <f>IFERROR(__xludf.DUMMYFUNCTION("""COMPUTED_VALUE"""),"https://github.com/vilas-007/TDS-project1")</f>
        <v>https://github.com/vilas-007/TDS-project1</v>
      </c>
      <c r="H242" s="3">
        <f t="shared" si="2"/>
        <v>2</v>
      </c>
      <c r="I242" s="3">
        <f t="shared" si="3"/>
        <v>0</v>
      </c>
      <c r="J242" s="3">
        <f t="shared" si="4"/>
        <v>2</v>
      </c>
      <c r="K242" s="3">
        <f t="shared" si="5"/>
        <v>0</v>
      </c>
      <c r="L242" s="7">
        <f t="shared" si="6"/>
        <v>0</v>
      </c>
      <c r="M242" s="7">
        <f t="shared" si="7"/>
        <v>0</v>
      </c>
      <c r="N242" s="7">
        <f t="shared" si="8"/>
        <v>1</v>
      </c>
    </row>
    <row r="243" hidden="1">
      <c r="B243" s="3" t="s">
        <v>498</v>
      </c>
      <c r="C243" s="5" t="s">
        <v>499</v>
      </c>
      <c r="D243" s="3">
        <v>10.0</v>
      </c>
      <c r="E243" s="3">
        <v>10.0</v>
      </c>
      <c r="F243" s="3">
        <f t="shared" si="1"/>
        <v>1</v>
      </c>
      <c r="G243" s="5" t="str">
        <f>IFERROR(__xludf.DUMMYFUNCTION("""COMPUTED_VALUE"""),"https://github.com/Omkar-pawar1/TDS-PROJECT-1")</f>
        <v>https://github.com/Omkar-pawar1/TDS-PROJECT-1</v>
      </c>
      <c r="H243" s="3">
        <f t="shared" si="2"/>
        <v>1</v>
      </c>
      <c r="I243" s="3">
        <f t="shared" si="3"/>
        <v>0</v>
      </c>
      <c r="J243" s="3" t="str">
        <f t="shared" si="4"/>
        <v>No reviews</v>
      </c>
      <c r="K243" s="3" t="str">
        <f t="shared" si="5"/>
        <v>No reviews</v>
      </c>
      <c r="L243" s="7" t="str">
        <f t="shared" si="6"/>
        <v> </v>
      </c>
      <c r="M243" s="7" t="str">
        <f t="shared" si="7"/>
        <v> </v>
      </c>
      <c r="N243" s="7">
        <f t="shared" si="8"/>
        <v>0.5</v>
      </c>
    </row>
    <row r="244" hidden="1">
      <c r="B244" s="3" t="s">
        <v>500</v>
      </c>
      <c r="C244" s="5" t="s">
        <v>501</v>
      </c>
      <c r="D244" s="3">
        <v>8.0</v>
      </c>
      <c r="E244" s="3">
        <v>7.0</v>
      </c>
      <c r="F244" s="3">
        <f t="shared" si="1"/>
        <v>1</v>
      </c>
      <c r="G244" s="5" t="str">
        <f>IFERROR(__xludf.DUMMYFUNCTION("""COMPUTED_VALUE"""),"https://github.com/sameer2799/tds_project_1")</f>
        <v>https://github.com/sameer2799/tds_project_1</v>
      </c>
      <c r="H244" s="3">
        <f t="shared" si="2"/>
        <v>10</v>
      </c>
      <c r="I244" s="3">
        <f t="shared" si="3"/>
        <v>10</v>
      </c>
      <c r="J244" s="3" t="str">
        <f t="shared" si="4"/>
        <v>No reviews</v>
      </c>
      <c r="K244" s="3" t="str">
        <f t="shared" si="5"/>
        <v>No reviews</v>
      </c>
      <c r="L244" s="7" t="str">
        <f t="shared" si="6"/>
        <v> </v>
      </c>
      <c r="M244" s="7" t="str">
        <f t="shared" si="7"/>
        <v> </v>
      </c>
      <c r="N244" s="7">
        <f t="shared" si="8"/>
        <v>10</v>
      </c>
    </row>
    <row r="245" hidden="1">
      <c r="B245" s="3" t="s">
        <v>502</v>
      </c>
      <c r="C245" s="5" t="s">
        <v>503</v>
      </c>
      <c r="D245" s="3">
        <v>10.0</v>
      </c>
      <c r="E245" s="3">
        <v>0.0</v>
      </c>
      <c r="F245" s="3">
        <f t="shared" si="1"/>
        <v>1</v>
      </c>
      <c r="G245" s="5" t="str">
        <f>IFERROR(__xludf.DUMMYFUNCTION("""COMPUTED_VALUE"""),"https://github.com/zerx1307/TDS_project_1")</f>
        <v>https://github.com/zerx1307/TDS_project_1</v>
      </c>
      <c r="H245" s="3">
        <f t="shared" si="2"/>
        <v>7</v>
      </c>
      <c r="I245" s="3">
        <f t="shared" si="3"/>
        <v>8</v>
      </c>
      <c r="J245" s="3" t="str">
        <f t="shared" si="4"/>
        <v>No reviews</v>
      </c>
      <c r="K245" s="3" t="str">
        <f t="shared" si="5"/>
        <v>No reviews</v>
      </c>
      <c r="L245" s="7" t="str">
        <f t="shared" si="6"/>
        <v> </v>
      </c>
      <c r="M245" s="7" t="str">
        <f t="shared" si="7"/>
        <v> </v>
      </c>
      <c r="N245" s="7">
        <f t="shared" si="8"/>
        <v>7.5</v>
      </c>
    </row>
    <row r="246" hidden="1">
      <c r="B246" s="3" t="s">
        <v>504</v>
      </c>
      <c r="C246" s="5" t="s">
        <v>465</v>
      </c>
      <c r="D246" s="3">
        <v>10.0</v>
      </c>
      <c r="E246" s="3">
        <v>10.0</v>
      </c>
      <c r="F246" s="3">
        <f t="shared" si="1"/>
        <v>2</v>
      </c>
      <c r="G246" s="5" t="str">
        <f>IFERROR(__xludf.DUMMYFUNCTION("""COMPUTED_VALUE"""),"https://github.com/UJJWALg-08/TDS-Project1")</f>
        <v>https://github.com/UJJWALg-08/TDS-Project1</v>
      </c>
      <c r="H246" s="3">
        <f t="shared" si="2"/>
        <v>10</v>
      </c>
      <c r="I246" s="3">
        <f t="shared" si="3"/>
        <v>10</v>
      </c>
      <c r="J246" s="3">
        <f t="shared" si="4"/>
        <v>9</v>
      </c>
      <c r="K246" s="3">
        <f t="shared" si="5"/>
        <v>9</v>
      </c>
      <c r="L246" s="7">
        <f t="shared" si="6"/>
        <v>1</v>
      </c>
      <c r="M246" s="7">
        <f t="shared" si="7"/>
        <v>1</v>
      </c>
      <c r="N246" s="7">
        <f t="shared" si="8"/>
        <v>10</v>
      </c>
    </row>
    <row r="247" hidden="1">
      <c r="B247" s="3" t="s">
        <v>505</v>
      </c>
      <c r="C247" s="5" t="s">
        <v>506</v>
      </c>
      <c r="D247" s="3">
        <v>4.0</v>
      </c>
      <c r="E247" s="3">
        <v>10.0</v>
      </c>
      <c r="F247" s="3">
        <f t="shared" si="1"/>
        <v>2</v>
      </c>
      <c r="G247" s="5" t="str">
        <f>IFERROR(__xludf.DUMMYFUNCTION("""COMPUTED_VALUE"""),"https://github.com/NandhaaKishore-10/TDS-PROJECT-1")</f>
        <v>https://github.com/NandhaaKishore-10/TDS-PROJECT-1</v>
      </c>
      <c r="H247" s="3">
        <f t="shared" si="2"/>
        <v>10</v>
      </c>
      <c r="I247" s="3">
        <f t="shared" si="3"/>
        <v>10</v>
      </c>
      <c r="J247" s="3">
        <f t="shared" si="4"/>
        <v>10</v>
      </c>
      <c r="K247" s="3">
        <f t="shared" si="5"/>
        <v>10</v>
      </c>
      <c r="L247" s="7">
        <f t="shared" si="6"/>
        <v>0</v>
      </c>
      <c r="M247" s="7">
        <f t="shared" si="7"/>
        <v>0</v>
      </c>
      <c r="N247" s="7">
        <f t="shared" si="8"/>
        <v>10</v>
      </c>
    </row>
    <row r="248" hidden="1">
      <c r="B248" s="3" t="s">
        <v>507</v>
      </c>
      <c r="C248" s="5" t="s">
        <v>508</v>
      </c>
      <c r="D248" s="3">
        <v>10.0</v>
      </c>
      <c r="E248" s="3">
        <v>10.0</v>
      </c>
      <c r="F248" s="3">
        <f t="shared" si="1"/>
        <v>1</v>
      </c>
      <c r="G248" s="5" t="str">
        <f>IFERROR(__xludf.DUMMYFUNCTION("""COMPUTED_VALUE"""),"https://github.com/tanmayi-iitm/Tanmayi_project_1")</f>
        <v>https://github.com/tanmayi-iitm/Tanmayi_project_1</v>
      </c>
      <c r="H248" s="3">
        <f t="shared" si="2"/>
        <v>7</v>
      </c>
      <c r="I248" s="3">
        <f t="shared" si="3"/>
        <v>9</v>
      </c>
      <c r="J248" s="3" t="str">
        <f t="shared" si="4"/>
        <v>No reviews</v>
      </c>
      <c r="K248" s="3" t="str">
        <f t="shared" si="5"/>
        <v>No reviews</v>
      </c>
      <c r="L248" s="7" t="str">
        <f t="shared" si="6"/>
        <v> </v>
      </c>
      <c r="M248" s="7" t="str">
        <f t="shared" si="7"/>
        <v> </v>
      </c>
      <c r="N248" s="7">
        <f t="shared" si="8"/>
        <v>8</v>
      </c>
    </row>
    <row r="249" hidden="1">
      <c r="B249" s="3" t="s">
        <v>509</v>
      </c>
      <c r="C249" s="5" t="s">
        <v>510</v>
      </c>
      <c r="D249" s="3">
        <v>3.0</v>
      </c>
      <c r="E249" s="3">
        <v>7.0</v>
      </c>
      <c r="F249" s="3">
        <f t="shared" si="1"/>
        <v>2</v>
      </c>
      <c r="G249" s="5" t="str">
        <f>IFERROR(__xludf.DUMMYFUNCTION("""COMPUTED_VALUE"""),"https://github.com/salmanulfaris/tds-project")</f>
        <v>https://github.com/salmanulfaris/tds-project</v>
      </c>
      <c r="H249" s="3">
        <f t="shared" si="2"/>
        <v>10</v>
      </c>
      <c r="I249" s="3">
        <f t="shared" si="3"/>
        <v>10</v>
      </c>
      <c r="J249" s="3">
        <f t="shared" si="4"/>
        <v>10</v>
      </c>
      <c r="K249" s="3">
        <f t="shared" si="5"/>
        <v>8</v>
      </c>
      <c r="L249" s="7">
        <f t="shared" si="6"/>
        <v>0</v>
      </c>
      <c r="M249" s="7">
        <f t="shared" si="7"/>
        <v>2</v>
      </c>
      <c r="N249" s="7">
        <f t="shared" si="8"/>
        <v>10</v>
      </c>
    </row>
    <row r="250" hidden="1">
      <c r="B250" s="3" t="s">
        <v>511</v>
      </c>
      <c r="C250" s="3" t="s">
        <v>512</v>
      </c>
      <c r="D250" s="3">
        <v>10.0</v>
      </c>
      <c r="E250" s="3">
        <v>10.0</v>
      </c>
      <c r="F250" s="3">
        <f t="shared" si="1"/>
        <v>1</v>
      </c>
      <c r="G250" s="5" t="str">
        <f>IFERROR(__xludf.DUMMYFUNCTION("""COMPUTED_VALUE"""),"https://github.com/Kratikavarshney-16/Mumbai50")</f>
        <v>https://github.com/Kratikavarshney-16/Mumbai50</v>
      </c>
      <c r="H250" s="3">
        <f t="shared" si="2"/>
        <v>8</v>
      </c>
      <c r="I250" s="3">
        <f t="shared" si="3"/>
        <v>0</v>
      </c>
      <c r="J250" s="3" t="str">
        <f t="shared" si="4"/>
        <v>No reviews</v>
      </c>
      <c r="K250" s="3" t="str">
        <f t="shared" si="5"/>
        <v>No reviews</v>
      </c>
      <c r="L250" s="7" t="str">
        <f t="shared" si="6"/>
        <v> </v>
      </c>
      <c r="M250" s="7" t="str">
        <f t="shared" si="7"/>
        <v> </v>
      </c>
      <c r="N250" s="7">
        <f t="shared" si="8"/>
        <v>4</v>
      </c>
    </row>
    <row r="251" hidden="1">
      <c r="B251" s="3" t="s">
        <v>513</v>
      </c>
      <c r="C251" s="5" t="s">
        <v>514</v>
      </c>
      <c r="D251" s="3">
        <v>5.0</v>
      </c>
      <c r="E251" s="3">
        <v>5.0</v>
      </c>
      <c r="F251" s="3">
        <f t="shared" si="1"/>
        <v>1</v>
      </c>
      <c r="G251" s="5" t="str">
        <f>IFERROR(__xludf.DUMMYFUNCTION("""COMPUTED_VALUE"""),"https://github.com/DivyamShaiv/TDS_project1")</f>
        <v>https://github.com/DivyamShaiv/TDS_project1</v>
      </c>
      <c r="H251" s="3">
        <f t="shared" si="2"/>
        <v>10</v>
      </c>
      <c r="I251" s="3">
        <f t="shared" si="3"/>
        <v>10</v>
      </c>
      <c r="J251" s="3" t="str">
        <f t="shared" si="4"/>
        <v>No reviews</v>
      </c>
      <c r="K251" s="3" t="str">
        <f t="shared" si="5"/>
        <v>No reviews</v>
      </c>
      <c r="L251" s="7" t="str">
        <f t="shared" si="6"/>
        <v> </v>
      </c>
      <c r="M251" s="7" t="str">
        <f t="shared" si="7"/>
        <v> </v>
      </c>
      <c r="N251" s="7">
        <f t="shared" si="8"/>
        <v>10</v>
      </c>
    </row>
    <row r="252" hidden="1">
      <c r="B252" s="3" t="s">
        <v>515</v>
      </c>
      <c r="C252" s="5" t="s">
        <v>516</v>
      </c>
      <c r="D252" s="3">
        <v>10.0</v>
      </c>
      <c r="E252" s="3">
        <v>10.0</v>
      </c>
      <c r="F252" s="3">
        <f t="shared" si="1"/>
        <v>2</v>
      </c>
      <c r="G252" s="5" t="str">
        <f>IFERROR(__xludf.DUMMYFUNCTION("""COMPUTED_VALUE"""),"https://github.com/manjuiitm/Dublin1")</f>
        <v>https://github.com/manjuiitm/Dublin1</v>
      </c>
      <c r="H252" s="3">
        <f t="shared" si="2"/>
        <v>10</v>
      </c>
      <c r="I252" s="3">
        <f t="shared" si="3"/>
        <v>10</v>
      </c>
      <c r="J252" s="3">
        <f t="shared" si="4"/>
        <v>10</v>
      </c>
      <c r="K252" s="3">
        <f t="shared" si="5"/>
        <v>10</v>
      </c>
      <c r="L252" s="7">
        <f t="shared" si="6"/>
        <v>0</v>
      </c>
      <c r="M252" s="7">
        <f t="shared" si="7"/>
        <v>0</v>
      </c>
      <c r="N252" s="7">
        <f t="shared" si="8"/>
        <v>10</v>
      </c>
    </row>
    <row r="253" hidden="1">
      <c r="B253" s="3" t="s">
        <v>517</v>
      </c>
      <c r="C253" s="5" t="s">
        <v>518</v>
      </c>
      <c r="D253" s="3">
        <v>5.0</v>
      </c>
      <c r="E253" s="3">
        <v>4.0</v>
      </c>
      <c r="F253" s="3">
        <f t="shared" si="1"/>
        <v>1</v>
      </c>
      <c r="G253" s="5" t="str">
        <f>IFERROR(__xludf.DUMMYFUNCTION("""COMPUTED_VALUE"""),"https://github.com/Hitachi006/TDS_Proj_2455_Basel10")</f>
        <v>https://github.com/Hitachi006/TDS_Proj_2455_Basel10</v>
      </c>
      <c r="H253" s="3">
        <f t="shared" si="2"/>
        <v>10</v>
      </c>
      <c r="I253" s="3">
        <f t="shared" si="3"/>
        <v>9</v>
      </c>
      <c r="J253" s="3" t="str">
        <f t="shared" si="4"/>
        <v>No reviews</v>
      </c>
      <c r="K253" s="3" t="str">
        <f t="shared" si="5"/>
        <v>No reviews</v>
      </c>
      <c r="L253" s="7" t="str">
        <f t="shared" si="6"/>
        <v> </v>
      </c>
      <c r="M253" s="7" t="str">
        <f t="shared" si="7"/>
        <v> </v>
      </c>
      <c r="N253" s="7">
        <f t="shared" si="8"/>
        <v>9.5</v>
      </c>
    </row>
    <row r="254" hidden="1">
      <c r="B254" s="3" t="s">
        <v>519</v>
      </c>
      <c r="C254" s="5" t="s">
        <v>520</v>
      </c>
      <c r="D254" s="3">
        <v>10.0</v>
      </c>
      <c r="E254" s="3">
        <v>10.0</v>
      </c>
      <c r="F254" s="3">
        <f t="shared" si="1"/>
        <v>2</v>
      </c>
      <c r="G254" s="5" t="str">
        <f>IFERROR(__xludf.DUMMYFUNCTION("""COMPUTED_VALUE"""),"https://github.com/saksham5555/project")</f>
        <v>https://github.com/saksham5555/project</v>
      </c>
      <c r="H254" s="3">
        <f t="shared" si="2"/>
        <v>9</v>
      </c>
      <c r="I254" s="3">
        <f t="shared" si="3"/>
        <v>10</v>
      </c>
      <c r="J254" s="3">
        <f t="shared" si="4"/>
        <v>9</v>
      </c>
      <c r="K254" s="3">
        <f t="shared" si="5"/>
        <v>9</v>
      </c>
      <c r="L254" s="7">
        <f t="shared" si="6"/>
        <v>0</v>
      </c>
      <c r="M254" s="7">
        <f t="shared" si="7"/>
        <v>1</v>
      </c>
      <c r="N254" s="7">
        <f t="shared" si="8"/>
        <v>9.5</v>
      </c>
    </row>
    <row r="255" hidden="1">
      <c r="B255" s="3" t="s">
        <v>521</v>
      </c>
      <c r="C255" s="5" t="s">
        <v>520</v>
      </c>
      <c r="D255" s="3">
        <v>8.0</v>
      </c>
      <c r="E255" s="3">
        <v>10.0</v>
      </c>
      <c r="F255" s="3">
        <f t="shared" si="1"/>
        <v>1</v>
      </c>
      <c r="G255" s="5" t="str">
        <f>IFERROR(__xludf.DUMMYFUNCTION("""COMPUTED_VALUE"""),"https://github.com/harinivas21/tds")</f>
        <v>https://github.com/harinivas21/tds</v>
      </c>
      <c r="H255" s="3">
        <f t="shared" si="2"/>
        <v>6</v>
      </c>
      <c r="I255" s="3">
        <f t="shared" si="3"/>
        <v>5</v>
      </c>
      <c r="J255" s="3" t="str">
        <f t="shared" si="4"/>
        <v>No reviews</v>
      </c>
      <c r="K255" s="3" t="str">
        <f t="shared" si="5"/>
        <v>No reviews</v>
      </c>
      <c r="L255" s="7" t="str">
        <f t="shared" si="6"/>
        <v> </v>
      </c>
      <c r="M255" s="7" t="str">
        <f t="shared" si="7"/>
        <v> </v>
      </c>
      <c r="N255" s="7">
        <f t="shared" si="8"/>
        <v>5.5</v>
      </c>
    </row>
    <row r="256" hidden="1">
      <c r="B256" s="3" t="s">
        <v>522</v>
      </c>
      <c r="C256" s="5" t="s">
        <v>523</v>
      </c>
      <c r="D256" s="3">
        <v>6.0</v>
      </c>
      <c r="E256" s="3">
        <v>6.0</v>
      </c>
      <c r="F256" s="3">
        <f t="shared" si="1"/>
        <v>2</v>
      </c>
      <c r="G256" s="5" t="str">
        <f>IFERROR(__xludf.DUMMYFUNCTION("""COMPUTED_VALUE"""),"https://github.com/k121mayur/TDA_PROJECT_1")</f>
        <v>https://github.com/k121mayur/TDA_PROJECT_1</v>
      </c>
      <c r="H256" s="3">
        <f t="shared" si="2"/>
        <v>10</v>
      </c>
      <c r="I256" s="3">
        <f t="shared" si="3"/>
        <v>10</v>
      </c>
      <c r="J256" s="3">
        <f t="shared" si="4"/>
        <v>10</v>
      </c>
      <c r="K256" s="3">
        <f t="shared" si="5"/>
        <v>10</v>
      </c>
      <c r="L256" s="7">
        <f t="shared" si="6"/>
        <v>0</v>
      </c>
      <c r="M256" s="7">
        <f t="shared" si="7"/>
        <v>0</v>
      </c>
      <c r="N256" s="7">
        <f t="shared" si="8"/>
        <v>10</v>
      </c>
    </row>
    <row r="257" hidden="1">
      <c r="B257" s="3" t="s">
        <v>524</v>
      </c>
      <c r="C257" s="5" t="s">
        <v>525</v>
      </c>
      <c r="D257" s="3">
        <v>10.0</v>
      </c>
      <c r="E257" s="3">
        <v>10.0</v>
      </c>
      <c r="F257" s="3">
        <f t="shared" si="1"/>
        <v>1</v>
      </c>
      <c r="G257" s="5" t="str">
        <f>IFERROR(__xludf.DUMMYFUNCTION("""COMPUTED_VALUE"""),"https://github.com/bhavikasharma999/project1-tokyo-follower")</f>
        <v>https://github.com/bhavikasharma999/project1-tokyo-follower</v>
      </c>
      <c r="H257" s="3">
        <f t="shared" si="2"/>
        <v>9</v>
      </c>
      <c r="I257" s="3">
        <f t="shared" si="3"/>
        <v>10</v>
      </c>
      <c r="J257" s="3" t="str">
        <f t="shared" si="4"/>
        <v>No reviews</v>
      </c>
      <c r="K257" s="3" t="str">
        <f t="shared" si="5"/>
        <v>No reviews</v>
      </c>
      <c r="L257" s="7" t="str">
        <f t="shared" si="6"/>
        <v> </v>
      </c>
      <c r="M257" s="7" t="str">
        <f t="shared" si="7"/>
        <v> </v>
      </c>
      <c r="N257" s="7">
        <f t="shared" si="8"/>
        <v>9.5</v>
      </c>
    </row>
    <row r="258" hidden="1">
      <c r="B258" s="3" t="s">
        <v>526</v>
      </c>
      <c r="C258" s="5" t="s">
        <v>527</v>
      </c>
      <c r="D258" s="3">
        <v>8.0</v>
      </c>
      <c r="E258" s="3">
        <v>10.0</v>
      </c>
      <c r="F258" s="3">
        <f t="shared" si="1"/>
        <v>2</v>
      </c>
      <c r="G258" s="5" t="str">
        <f>IFERROR(__xludf.DUMMYFUNCTION("""COMPUTED_VALUE"""),"https://github.com/ManuIITM-Coder/MOSCOW-50")</f>
        <v>https://github.com/ManuIITM-Coder/MOSCOW-50</v>
      </c>
      <c r="H258" s="3">
        <f t="shared" si="2"/>
        <v>0</v>
      </c>
      <c r="I258" s="3">
        <f t="shared" si="3"/>
        <v>0</v>
      </c>
      <c r="J258" s="3">
        <f t="shared" si="4"/>
        <v>3</v>
      </c>
      <c r="K258" s="3">
        <f t="shared" si="5"/>
        <v>0</v>
      </c>
      <c r="L258" s="7">
        <f t="shared" si="6"/>
        <v>3</v>
      </c>
      <c r="M258" s="7">
        <f t="shared" si="7"/>
        <v>0</v>
      </c>
      <c r="N258" s="7">
        <f t="shared" si="8"/>
        <v>1.5</v>
      </c>
    </row>
    <row r="259" hidden="1">
      <c r="B259" s="3" t="s">
        <v>528</v>
      </c>
      <c r="C259" s="5" t="s">
        <v>529</v>
      </c>
      <c r="D259" s="3">
        <v>10.0</v>
      </c>
      <c r="E259" s="3">
        <v>10.0</v>
      </c>
      <c r="F259" s="3">
        <f t="shared" si="1"/>
        <v>2</v>
      </c>
      <c r="G259" s="5" t="str">
        <f>IFERROR(__xludf.DUMMYFUNCTION("""COMPUTED_VALUE"""),"https://github.com/KaustubhaRam/London_GitHub_Users")</f>
        <v>https://github.com/KaustubhaRam/London_GitHub_Users</v>
      </c>
      <c r="H259" s="3">
        <f t="shared" si="2"/>
        <v>10</v>
      </c>
      <c r="I259" s="3">
        <f t="shared" si="3"/>
        <v>10</v>
      </c>
      <c r="J259" s="3">
        <f t="shared" si="4"/>
        <v>0</v>
      </c>
      <c r="K259" s="3">
        <f t="shared" si="5"/>
        <v>10</v>
      </c>
      <c r="L259" s="7">
        <f t="shared" si="6"/>
        <v>10</v>
      </c>
      <c r="M259" s="7">
        <f t="shared" si="7"/>
        <v>0</v>
      </c>
      <c r="N259" s="7">
        <f t="shared" si="8"/>
        <v>10</v>
      </c>
    </row>
    <row r="260" hidden="1">
      <c r="B260" s="3" t="s">
        <v>530</v>
      </c>
      <c r="C260" s="5" t="s">
        <v>531</v>
      </c>
      <c r="D260" s="3">
        <v>7.0</v>
      </c>
      <c r="E260" s="3">
        <v>9.0</v>
      </c>
      <c r="F260" s="3">
        <f t="shared" si="1"/>
        <v>1</v>
      </c>
      <c r="G260" s="5" t="str">
        <f>IFERROR(__xludf.DUMMYFUNCTION("""COMPUTED_VALUE"""),"https://github.com/21f1002976/tds_project_1")</f>
        <v>https://github.com/21f1002976/tds_project_1</v>
      </c>
      <c r="H260" s="3">
        <f t="shared" si="2"/>
        <v>10</v>
      </c>
      <c r="I260" s="3">
        <f t="shared" si="3"/>
        <v>0</v>
      </c>
      <c r="J260" s="3" t="str">
        <f t="shared" si="4"/>
        <v>No reviews</v>
      </c>
      <c r="K260" s="3" t="str">
        <f t="shared" si="5"/>
        <v>No reviews</v>
      </c>
      <c r="L260" s="7" t="str">
        <f t="shared" si="6"/>
        <v> </v>
      </c>
      <c r="M260" s="7" t="str">
        <f t="shared" si="7"/>
        <v> </v>
      </c>
      <c r="N260" s="7">
        <f t="shared" si="8"/>
        <v>5</v>
      </c>
    </row>
    <row r="261" hidden="1">
      <c r="B261" s="3" t="s">
        <v>532</v>
      </c>
      <c r="C261" s="5" t="s">
        <v>533</v>
      </c>
      <c r="D261" s="3">
        <v>10.0</v>
      </c>
      <c r="E261" s="3">
        <v>9.0</v>
      </c>
      <c r="F261" s="3">
        <f t="shared" si="1"/>
        <v>1</v>
      </c>
      <c r="G261" s="5" t="str">
        <f>IFERROR(__xludf.DUMMYFUNCTION("""COMPUTED_VALUE"""),"https://github.com/bhumi-gupta2201/Austin100.git")</f>
        <v>https://github.com/bhumi-gupta2201/Austin100.git</v>
      </c>
      <c r="H261" s="3">
        <f t="shared" si="2"/>
        <v>9</v>
      </c>
      <c r="I261" s="3">
        <f t="shared" si="3"/>
        <v>5</v>
      </c>
      <c r="J261" s="3" t="str">
        <f t="shared" si="4"/>
        <v>No reviews</v>
      </c>
      <c r="K261" s="3" t="str">
        <f t="shared" si="5"/>
        <v>No reviews</v>
      </c>
      <c r="L261" s="7" t="str">
        <f t="shared" si="6"/>
        <v> </v>
      </c>
      <c r="M261" s="7" t="str">
        <f t="shared" si="7"/>
        <v> </v>
      </c>
      <c r="N261" s="7">
        <f t="shared" si="8"/>
        <v>7</v>
      </c>
    </row>
    <row r="262" hidden="1">
      <c r="B262" s="3" t="s">
        <v>534</v>
      </c>
      <c r="C262" s="5" t="s">
        <v>535</v>
      </c>
      <c r="D262" s="3">
        <v>10.0</v>
      </c>
      <c r="E262" s="3">
        <v>10.0</v>
      </c>
      <c r="F262" s="3">
        <f t="shared" si="1"/>
        <v>1</v>
      </c>
      <c r="G262" s="5" t="str">
        <f>IFERROR(__xludf.DUMMYFUNCTION("""COMPUTED_VALUE"""),"https://github.com/jalajverma007/tds-pj1")</f>
        <v>https://github.com/jalajverma007/tds-pj1</v>
      </c>
      <c r="H262" s="3">
        <f t="shared" si="2"/>
        <v>10</v>
      </c>
      <c r="I262" s="3">
        <f t="shared" si="3"/>
        <v>10</v>
      </c>
      <c r="J262" s="3" t="str">
        <f t="shared" si="4"/>
        <v>No reviews</v>
      </c>
      <c r="K262" s="3" t="str">
        <f t="shared" si="5"/>
        <v>No reviews</v>
      </c>
      <c r="L262" s="7" t="str">
        <f t="shared" si="6"/>
        <v> </v>
      </c>
      <c r="M262" s="7" t="str">
        <f t="shared" si="7"/>
        <v> </v>
      </c>
      <c r="N262" s="7">
        <f t="shared" si="8"/>
        <v>10</v>
      </c>
    </row>
    <row r="263" hidden="1">
      <c r="B263" s="3" t="s">
        <v>536</v>
      </c>
      <c r="C263" s="5" t="s">
        <v>537</v>
      </c>
      <c r="D263" s="3">
        <v>9.0</v>
      </c>
      <c r="E263" s="3">
        <v>0.0</v>
      </c>
      <c r="F263" s="3">
        <f t="shared" si="1"/>
        <v>2</v>
      </c>
      <c r="G263" s="5" t="str">
        <f>IFERROR(__xludf.DUMMYFUNCTION("""COMPUTED_VALUE"""),"https://github.com/Saagar-22/Hyderabad_50")</f>
        <v>https://github.com/Saagar-22/Hyderabad_50</v>
      </c>
      <c r="H263" s="3">
        <f t="shared" si="2"/>
        <v>10</v>
      </c>
      <c r="I263" s="3">
        <f t="shared" si="3"/>
        <v>8</v>
      </c>
      <c r="J263" s="3">
        <f t="shared" si="4"/>
        <v>9</v>
      </c>
      <c r="K263" s="3">
        <f t="shared" si="5"/>
        <v>9</v>
      </c>
      <c r="L263" s="7">
        <f t="shared" si="6"/>
        <v>1</v>
      </c>
      <c r="M263" s="7">
        <f t="shared" si="7"/>
        <v>1</v>
      </c>
      <c r="N263" s="7">
        <f t="shared" si="8"/>
        <v>9</v>
      </c>
    </row>
    <row r="264" hidden="1">
      <c r="B264" s="3" t="s">
        <v>538</v>
      </c>
      <c r="C264" s="5" t="s">
        <v>539</v>
      </c>
      <c r="D264" s="3">
        <v>10.0</v>
      </c>
      <c r="E264" s="3">
        <v>7.0</v>
      </c>
      <c r="F264" s="3">
        <f t="shared" si="1"/>
        <v>1</v>
      </c>
      <c r="G264" s="5" t="str">
        <f>IFERROR(__xludf.DUMMYFUNCTION("""COMPUTED_VALUE"""),"https://github.com/vikashkj2024/tds-project-1")</f>
        <v>https://github.com/vikashkj2024/tds-project-1</v>
      </c>
      <c r="H264" s="3">
        <f t="shared" si="2"/>
        <v>7</v>
      </c>
      <c r="I264" s="3">
        <f t="shared" si="3"/>
        <v>7</v>
      </c>
      <c r="J264" s="3" t="str">
        <f t="shared" si="4"/>
        <v>No reviews</v>
      </c>
      <c r="K264" s="3" t="str">
        <f t="shared" si="5"/>
        <v>No reviews</v>
      </c>
      <c r="L264" s="7" t="str">
        <f t="shared" si="6"/>
        <v> </v>
      </c>
      <c r="M264" s="7" t="str">
        <f t="shared" si="7"/>
        <v> </v>
      </c>
      <c r="N264" s="7">
        <f t="shared" si="8"/>
        <v>7</v>
      </c>
    </row>
    <row r="265" hidden="1">
      <c r="B265" s="3" t="s">
        <v>540</v>
      </c>
      <c r="C265" s="5" t="s">
        <v>444</v>
      </c>
      <c r="D265" s="3">
        <v>10.0</v>
      </c>
      <c r="E265" s="3">
        <v>10.0</v>
      </c>
      <c r="F265" s="3">
        <f t="shared" si="1"/>
        <v>2</v>
      </c>
      <c r="G265" s="5" t="str">
        <f>IFERROR(__xludf.DUMMYFUNCTION("""COMPUTED_VALUE"""),"https://github.com/sneh2105/tds_proj1")</f>
        <v>https://github.com/sneh2105/tds_proj1</v>
      </c>
      <c r="H265" s="3">
        <f t="shared" si="2"/>
        <v>6</v>
      </c>
      <c r="I265" s="3">
        <f t="shared" si="3"/>
        <v>4</v>
      </c>
      <c r="J265" s="3">
        <f t="shared" si="4"/>
        <v>9</v>
      </c>
      <c r="K265" s="3">
        <f t="shared" si="5"/>
        <v>8</v>
      </c>
      <c r="L265" s="7">
        <f t="shared" si="6"/>
        <v>3</v>
      </c>
      <c r="M265" s="7">
        <f t="shared" si="7"/>
        <v>4</v>
      </c>
      <c r="N265" s="7">
        <f t="shared" si="8"/>
        <v>8.5</v>
      </c>
    </row>
    <row r="266" hidden="1">
      <c r="B266" s="3" t="s">
        <v>541</v>
      </c>
      <c r="C266" s="5" t="s">
        <v>542</v>
      </c>
      <c r="D266" s="3">
        <v>10.0</v>
      </c>
      <c r="E266" s="3">
        <v>10.0</v>
      </c>
      <c r="F266" s="3">
        <f t="shared" si="1"/>
        <v>2</v>
      </c>
      <c r="G266" s="5" t="str">
        <f>IFERROR(__xludf.DUMMYFUNCTION("""COMPUTED_VALUE"""),"https://github.com/Rxhit1/TDSproj1/tree/main")</f>
        <v>https://github.com/Rxhit1/TDSproj1/tree/main</v>
      </c>
      <c r="H266" s="3">
        <f t="shared" si="2"/>
        <v>8</v>
      </c>
      <c r="I266" s="3">
        <f t="shared" si="3"/>
        <v>0</v>
      </c>
      <c r="J266" s="3">
        <f t="shared" si="4"/>
        <v>5</v>
      </c>
      <c r="K266" s="3">
        <f t="shared" si="5"/>
        <v>0</v>
      </c>
      <c r="L266" s="7">
        <f t="shared" si="6"/>
        <v>3</v>
      </c>
      <c r="M266" s="7">
        <f t="shared" si="7"/>
        <v>0</v>
      </c>
      <c r="N266" s="7">
        <f t="shared" si="8"/>
        <v>4</v>
      </c>
    </row>
    <row r="267" hidden="1">
      <c r="B267" s="3" t="s">
        <v>543</v>
      </c>
      <c r="C267" s="5" t="s">
        <v>142</v>
      </c>
      <c r="D267" s="3">
        <v>8.0</v>
      </c>
      <c r="E267" s="3">
        <v>0.0</v>
      </c>
      <c r="F267" s="3">
        <f t="shared" si="1"/>
        <v>1</v>
      </c>
      <c r="G267" s="5" t="str">
        <f>IFERROR(__xludf.DUMMYFUNCTION("""COMPUTED_VALUE"""),"https://github.com/vaibhavgupta-iitm/TDS-Project-1")</f>
        <v>https://github.com/vaibhavgupta-iitm/TDS-Project-1</v>
      </c>
      <c r="H267" s="3">
        <f t="shared" si="2"/>
        <v>0</v>
      </c>
      <c r="I267" s="3">
        <f t="shared" si="3"/>
        <v>5</v>
      </c>
      <c r="J267" s="3" t="str">
        <f t="shared" si="4"/>
        <v>No reviews</v>
      </c>
      <c r="K267" s="3" t="str">
        <f t="shared" si="5"/>
        <v>No reviews</v>
      </c>
      <c r="L267" s="7" t="str">
        <f t="shared" si="6"/>
        <v> </v>
      </c>
      <c r="M267" s="7" t="str">
        <f t="shared" si="7"/>
        <v> </v>
      </c>
      <c r="N267" s="7">
        <f t="shared" si="8"/>
        <v>2.5</v>
      </c>
    </row>
    <row r="268" hidden="1">
      <c r="B268" s="3" t="s">
        <v>544</v>
      </c>
      <c r="C268" s="5" t="s">
        <v>545</v>
      </c>
      <c r="D268" s="3">
        <v>8.0</v>
      </c>
      <c r="E268" s="3">
        <v>9.0</v>
      </c>
      <c r="F268" s="3">
        <f t="shared" si="1"/>
        <v>1</v>
      </c>
      <c r="G268" s="5" t="str">
        <f>IFERROR(__xludf.DUMMYFUNCTION("""COMPUTED_VALUE"""),"https://github.com/Prajwalit-Tiwari/TDS_Project1")</f>
        <v>https://github.com/Prajwalit-Tiwari/TDS_Project1</v>
      </c>
      <c r="H268" s="3">
        <f t="shared" si="2"/>
        <v>1</v>
      </c>
      <c r="I268" s="3">
        <f t="shared" si="3"/>
        <v>8</v>
      </c>
      <c r="J268" s="3" t="str">
        <f t="shared" si="4"/>
        <v>No reviews</v>
      </c>
      <c r="K268" s="3" t="str">
        <f t="shared" si="5"/>
        <v>No reviews</v>
      </c>
      <c r="L268" s="7" t="str">
        <f t="shared" si="6"/>
        <v> </v>
      </c>
      <c r="M268" s="7" t="str">
        <f t="shared" si="7"/>
        <v> </v>
      </c>
      <c r="N268" s="7">
        <f t="shared" si="8"/>
        <v>4.5</v>
      </c>
    </row>
    <row r="269" hidden="1">
      <c r="B269" s="3" t="s">
        <v>546</v>
      </c>
      <c r="C269" s="5" t="s">
        <v>547</v>
      </c>
      <c r="D269" s="3">
        <v>4.0</v>
      </c>
      <c r="E269" s="3">
        <v>9.0</v>
      </c>
      <c r="F269" s="3">
        <f t="shared" si="1"/>
        <v>2</v>
      </c>
      <c r="G269" s="5" t="str">
        <f>IFERROR(__xludf.DUMMYFUNCTION("""COMPUTED_VALUE"""),"https://github.com/regisprabha/TDS-Project1")</f>
        <v>https://github.com/regisprabha/TDS-Project1</v>
      </c>
      <c r="H269" s="3">
        <f t="shared" si="2"/>
        <v>8</v>
      </c>
      <c r="I269" s="3">
        <f t="shared" si="3"/>
        <v>8</v>
      </c>
      <c r="J269" s="3">
        <f t="shared" si="4"/>
        <v>5</v>
      </c>
      <c r="K269" s="3">
        <f t="shared" si="5"/>
        <v>8</v>
      </c>
      <c r="L269" s="7">
        <f t="shared" si="6"/>
        <v>3</v>
      </c>
      <c r="M269" s="7">
        <f t="shared" si="7"/>
        <v>0</v>
      </c>
      <c r="N269" s="7">
        <f t="shared" si="8"/>
        <v>8</v>
      </c>
    </row>
    <row r="270" hidden="1">
      <c r="B270" s="3" t="s">
        <v>548</v>
      </c>
      <c r="C270" s="5" t="s">
        <v>549</v>
      </c>
      <c r="D270" s="3">
        <v>9.0</v>
      </c>
      <c r="E270" s="3">
        <v>10.0</v>
      </c>
      <c r="F270" s="3">
        <f t="shared" si="1"/>
        <v>2</v>
      </c>
      <c r="G270" s="5" t="str">
        <f>IFERROR(__xludf.DUMMYFUNCTION("""COMPUTED_VALUE"""),"https://github.com/23ds1000051/tds_project_1")</f>
        <v>https://github.com/23ds1000051/tds_project_1</v>
      </c>
      <c r="H270" s="3">
        <f t="shared" si="2"/>
        <v>5</v>
      </c>
      <c r="I270" s="3">
        <f t="shared" si="3"/>
        <v>9</v>
      </c>
      <c r="J270" s="3">
        <f t="shared" si="4"/>
        <v>10</v>
      </c>
      <c r="K270" s="3">
        <f t="shared" si="5"/>
        <v>10</v>
      </c>
      <c r="L270" s="7">
        <f t="shared" si="6"/>
        <v>5</v>
      </c>
      <c r="M270" s="7">
        <f t="shared" si="7"/>
        <v>1</v>
      </c>
      <c r="N270" s="7">
        <f t="shared" si="8"/>
        <v>10</v>
      </c>
    </row>
    <row r="271" hidden="1">
      <c r="B271" s="3" t="s">
        <v>550</v>
      </c>
      <c r="C271" s="5" t="s">
        <v>551</v>
      </c>
      <c r="D271" s="3">
        <v>7.0</v>
      </c>
      <c r="E271" s="3">
        <v>6.0</v>
      </c>
      <c r="F271" s="3">
        <f t="shared" si="1"/>
        <v>2</v>
      </c>
      <c r="G271" s="5" t="str">
        <f>IFERROR(__xludf.DUMMYFUNCTION("""COMPUTED_VALUE"""),"https://github.com/himanesh21/GithubUserDataAnalysis")</f>
        <v>https://github.com/himanesh21/GithubUserDataAnalysis</v>
      </c>
      <c r="H271" s="3">
        <f t="shared" si="2"/>
        <v>8</v>
      </c>
      <c r="I271" s="3">
        <f t="shared" si="3"/>
        <v>8</v>
      </c>
      <c r="J271" s="3">
        <f t="shared" si="4"/>
        <v>10</v>
      </c>
      <c r="K271" s="3">
        <f t="shared" si="5"/>
        <v>9</v>
      </c>
      <c r="L271" s="7">
        <f t="shared" si="6"/>
        <v>2</v>
      </c>
      <c r="M271" s="7">
        <f t="shared" si="7"/>
        <v>1</v>
      </c>
      <c r="N271" s="7">
        <f t="shared" si="8"/>
        <v>9.5</v>
      </c>
    </row>
    <row r="272" hidden="1">
      <c r="B272" s="3" t="s">
        <v>552</v>
      </c>
      <c r="C272" s="5" t="s">
        <v>553</v>
      </c>
      <c r="D272" s="3">
        <v>8.0</v>
      </c>
      <c r="E272" s="3">
        <v>10.0</v>
      </c>
      <c r="F272" s="3">
        <f t="shared" si="1"/>
        <v>2</v>
      </c>
      <c r="G272" s="5" t="str">
        <f>IFERROR(__xludf.DUMMYFUNCTION("""COMPUTED_VALUE"""),"https://github.com/ayushiprajapti/TDS-PROJECT")</f>
        <v>https://github.com/ayushiprajapti/TDS-PROJECT</v>
      </c>
      <c r="H272" s="3">
        <f t="shared" si="2"/>
        <v>9</v>
      </c>
      <c r="I272" s="3">
        <f t="shared" si="3"/>
        <v>10</v>
      </c>
      <c r="J272" s="3">
        <f t="shared" si="4"/>
        <v>10</v>
      </c>
      <c r="K272" s="3">
        <f t="shared" si="5"/>
        <v>10</v>
      </c>
      <c r="L272" s="7">
        <f t="shared" si="6"/>
        <v>1</v>
      </c>
      <c r="M272" s="7">
        <f t="shared" si="7"/>
        <v>0</v>
      </c>
      <c r="N272" s="7">
        <f t="shared" si="8"/>
        <v>10</v>
      </c>
    </row>
    <row r="273" hidden="1">
      <c r="B273" s="3" t="s">
        <v>554</v>
      </c>
      <c r="C273" s="5" t="s">
        <v>416</v>
      </c>
      <c r="D273" s="3">
        <v>10.0</v>
      </c>
      <c r="E273" s="3">
        <v>9.0</v>
      </c>
      <c r="F273" s="3">
        <f t="shared" si="1"/>
        <v>1</v>
      </c>
      <c r="G273" s="5" t="str">
        <f>IFERROR(__xludf.DUMMYFUNCTION("""COMPUTED_VALUE"""),"https://github.com/Utkarsh002-winner/TDS_P1")</f>
        <v>https://github.com/Utkarsh002-winner/TDS_P1</v>
      </c>
      <c r="H273" s="3">
        <f t="shared" si="2"/>
        <v>0</v>
      </c>
      <c r="I273" s="3">
        <f t="shared" si="3"/>
        <v>0</v>
      </c>
      <c r="J273" s="3" t="str">
        <f t="shared" si="4"/>
        <v>No reviews</v>
      </c>
      <c r="K273" s="3" t="str">
        <f t="shared" si="5"/>
        <v>No reviews</v>
      </c>
      <c r="L273" s="7" t="str">
        <f t="shared" si="6"/>
        <v> </v>
      </c>
      <c r="M273" s="7" t="str">
        <f t="shared" si="7"/>
        <v> </v>
      </c>
      <c r="N273" s="7">
        <f t="shared" si="8"/>
        <v>0</v>
      </c>
    </row>
    <row r="274" hidden="1">
      <c r="B274" s="3" t="s">
        <v>555</v>
      </c>
      <c r="C274" s="5" t="s">
        <v>556</v>
      </c>
      <c r="D274" s="3">
        <v>10.0</v>
      </c>
      <c r="E274" s="3">
        <v>10.0</v>
      </c>
      <c r="F274" s="3">
        <f t="shared" si="1"/>
        <v>2</v>
      </c>
      <c r="G274" s="5" t="str">
        <f>IFERROR(__xludf.DUMMYFUNCTION("""COMPUTED_VALUE"""),"https://github.com/Shiya-23/Project_-Stockholm")</f>
        <v>https://github.com/Shiya-23/Project_-Stockholm</v>
      </c>
      <c r="H274" s="3">
        <f t="shared" si="2"/>
        <v>8</v>
      </c>
      <c r="I274" s="3">
        <f t="shared" si="3"/>
        <v>8</v>
      </c>
      <c r="J274" s="3">
        <f t="shared" si="4"/>
        <v>10</v>
      </c>
      <c r="K274" s="3">
        <f t="shared" si="5"/>
        <v>10</v>
      </c>
      <c r="L274" s="7">
        <f t="shared" si="6"/>
        <v>2</v>
      </c>
      <c r="M274" s="7">
        <f t="shared" si="7"/>
        <v>2</v>
      </c>
      <c r="N274" s="7">
        <f t="shared" si="8"/>
        <v>10</v>
      </c>
    </row>
    <row r="275" hidden="1">
      <c r="B275" s="3" t="s">
        <v>557</v>
      </c>
      <c r="C275" s="5" t="s">
        <v>558</v>
      </c>
      <c r="D275" s="3">
        <v>10.0</v>
      </c>
      <c r="E275" s="3">
        <v>9.0</v>
      </c>
      <c r="F275" s="3">
        <f t="shared" si="1"/>
        <v>1</v>
      </c>
      <c r="G275" s="5" t="str">
        <f>IFERROR(__xludf.DUMMYFUNCTION("""COMPUTED_VALUE"""),"https://github.com/51Hypers/TDS_Project_1")</f>
        <v>https://github.com/51Hypers/TDS_Project_1</v>
      </c>
      <c r="H275" s="3">
        <f t="shared" si="2"/>
        <v>10</v>
      </c>
      <c r="I275" s="3">
        <f t="shared" si="3"/>
        <v>10</v>
      </c>
      <c r="J275" s="3" t="str">
        <f t="shared" si="4"/>
        <v>No reviews</v>
      </c>
      <c r="K275" s="3" t="str">
        <f t="shared" si="5"/>
        <v>No reviews</v>
      </c>
      <c r="L275" s="7" t="str">
        <f t="shared" si="6"/>
        <v> </v>
      </c>
      <c r="M275" s="7" t="str">
        <f t="shared" si="7"/>
        <v> </v>
      </c>
      <c r="N275" s="7">
        <f t="shared" si="8"/>
        <v>10</v>
      </c>
    </row>
    <row r="276" hidden="1">
      <c r="B276" s="3" t="s">
        <v>559</v>
      </c>
      <c r="C276" s="5" t="s">
        <v>560</v>
      </c>
      <c r="D276" s="3">
        <v>10.0</v>
      </c>
      <c r="E276" s="3">
        <v>10.0</v>
      </c>
      <c r="F276" s="3">
        <f t="shared" si="1"/>
        <v>2</v>
      </c>
      <c r="G276" s="5" t="str">
        <f>IFERROR(__xludf.DUMMYFUNCTION("""COMPUTED_VALUE"""),"https://github.com/anshuraj007/22f3000757_TDS_Proj1")</f>
        <v>https://github.com/anshuraj007/22f3000757_TDS_Proj1</v>
      </c>
      <c r="H276" s="3">
        <f t="shared" si="2"/>
        <v>8</v>
      </c>
      <c r="I276" s="3">
        <f t="shared" si="3"/>
        <v>9</v>
      </c>
      <c r="J276" s="3">
        <f t="shared" si="4"/>
        <v>10</v>
      </c>
      <c r="K276" s="3">
        <f t="shared" si="5"/>
        <v>7</v>
      </c>
      <c r="L276" s="7">
        <f t="shared" si="6"/>
        <v>2</v>
      </c>
      <c r="M276" s="7">
        <f t="shared" si="7"/>
        <v>2</v>
      </c>
      <c r="N276" s="7">
        <f t="shared" si="8"/>
        <v>8.5</v>
      </c>
    </row>
    <row r="277" hidden="1">
      <c r="B277" s="3" t="s">
        <v>561</v>
      </c>
      <c r="C277" s="5" t="s">
        <v>562</v>
      </c>
      <c r="D277" s="3">
        <v>9.0</v>
      </c>
      <c r="E277" s="3">
        <v>9.0</v>
      </c>
      <c r="F277" s="3">
        <f t="shared" si="1"/>
        <v>2</v>
      </c>
      <c r="G277" s="5" t="str">
        <f>IFERROR(__xludf.DUMMYFUNCTION("""COMPUTED_VALUE"""),"https://github.com/Thanhanoorudheen/proj1")</f>
        <v>https://github.com/Thanhanoorudheen/proj1</v>
      </c>
      <c r="H277" s="3">
        <f t="shared" si="2"/>
        <v>0</v>
      </c>
      <c r="I277" s="3">
        <f t="shared" si="3"/>
        <v>0</v>
      </c>
      <c r="J277" s="3">
        <f t="shared" si="4"/>
        <v>5</v>
      </c>
      <c r="K277" s="3">
        <f t="shared" si="5"/>
        <v>0</v>
      </c>
      <c r="L277" s="7">
        <f t="shared" si="6"/>
        <v>5</v>
      </c>
      <c r="M277" s="7">
        <f t="shared" si="7"/>
        <v>0</v>
      </c>
      <c r="N277" s="7">
        <f t="shared" si="8"/>
        <v>2.5</v>
      </c>
    </row>
    <row r="278" hidden="1">
      <c r="B278" s="3" t="s">
        <v>563</v>
      </c>
      <c r="C278" s="5" t="s">
        <v>308</v>
      </c>
      <c r="D278" s="3">
        <v>0.0</v>
      </c>
      <c r="E278" s="3">
        <v>0.0</v>
      </c>
      <c r="F278" s="3">
        <f t="shared" si="1"/>
        <v>2</v>
      </c>
      <c r="G278" s="5" t="str">
        <f>IFERROR(__xludf.DUMMYFUNCTION("""COMPUTED_VALUE"""),"https://github.com/Harini-RAJ/tdsproj")</f>
        <v>https://github.com/Harini-RAJ/tdsproj</v>
      </c>
      <c r="H278" s="3">
        <f t="shared" si="2"/>
        <v>8</v>
      </c>
      <c r="I278" s="3">
        <f t="shared" si="3"/>
        <v>9</v>
      </c>
      <c r="J278" s="3">
        <f t="shared" si="4"/>
        <v>9</v>
      </c>
      <c r="K278" s="3">
        <f t="shared" si="5"/>
        <v>3</v>
      </c>
      <c r="L278" s="7">
        <f t="shared" si="6"/>
        <v>1</v>
      </c>
      <c r="M278" s="7">
        <f t="shared" si="7"/>
        <v>6</v>
      </c>
      <c r="N278" s="7">
        <f t="shared" si="8"/>
        <v>8.5</v>
      </c>
    </row>
    <row r="279" hidden="1">
      <c r="B279" s="3" t="s">
        <v>564</v>
      </c>
      <c r="C279" s="5" t="s">
        <v>233</v>
      </c>
      <c r="D279" s="3">
        <v>8.0</v>
      </c>
      <c r="E279" s="3">
        <v>10.0</v>
      </c>
      <c r="F279" s="3">
        <f t="shared" si="1"/>
        <v>1</v>
      </c>
      <c r="G279" s="5" t="str">
        <f>IFERROR(__xludf.DUMMYFUNCTION("""COMPUTED_VALUE"""),"https://github.com/dsenthilkumar95/TDS_P1_Barcelona100")</f>
        <v>https://github.com/dsenthilkumar95/TDS_P1_Barcelona100</v>
      </c>
      <c r="H279" s="3">
        <f t="shared" si="2"/>
        <v>0</v>
      </c>
      <c r="I279" s="3">
        <f t="shared" si="3"/>
        <v>4</v>
      </c>
      <c r="J279" s="3" t="str">
        <f t="shared" si="4"/>
        <v>No reviews</v>
      </c>
      <c r="K279" s="3" t="str">
        <f t="shared" si="5"/>
        <v>No reviews</v>
      </c>
      <c r="L279" s="7" t="str">
        <f t="shared" si="6"/>
        <v> </v>
      </c>
      <c r="M279" s="7" t="str">
        <f t="shared" si="7"/>
        <v> </v>
      </c>
      <c r="N279" s="7">
        <f t="shared" si="8"/>
        <v>2</v>
      </c>
    </row>
    <row r="280" hidden="1">
      <c r="B280" s="3" t="s">
        <v>565</v>
      </c>
      <c r="C280" s="5" t="s">
        <v>566</v>
      </c>
      <c r="D280" s="3">
        <v>8.0</v>
      </c>
      <c r="E280" s="3">
        <v>9.0</v>
      </c>
      <c r="F280" s="3">
        <f t="shared" si="1"/>
        <v>2</v>
      </c>
      <c r="G280" s="5" t="str">
        <f>IFERROR(__xludf.DUMMYFUNCTION("""COMPUTED_VALUE"""),"https://github.com/sky-m1618/TDS_project_1")</f>
        <v>https://github.com/sky-m1618/TDS_project_1</v>
      </c>
      <c r="H280" s="3">
        <f t="shared" si="2"/>
        <v>5</v>
      </c>
      <c r="I280" s="3">
        <f t="shared" si="3"/>
        <v>0</v>
      </c>
      <c r="J280" s="3">
        <f t="shared" si="4"/>
        <v>10</v>
      </c>
      <c r="K280" s="3">
        <f t="shared" si="5"/>
        <v>0</v>
      </c>
      <c r="L280" s="7">
        <f t="shared" si="6"/>
        <v>5</v>
      </c>
      <c r="M280" s="7">
        <f t="shared" si="7"/>
        <v>0</v>
      </c>
      <c r="N280" s="7">
        <f t="shared" si="8"/>
        <v>5</v>
      </c>
    </row>
    <row r="281" hidden="1">
      <c r="B281" s="3" t="s">
        <v>567</v>
      </c>
      <c r="C281" s="5" t="s">
        <v>568</v>
      </c>
      <c r="D281" s="3">
        <v>9.0</v>
      </c>
      <c r="E281" s="3">
        <v>9.0</v>
      </c>
      <c r="F281" s="3">
        <f t="shared" si="1"/>
        <v>2</v>
      </c>
      <c r="G281" s="5" t="str">
        <f>IFERROR(__xludf.DUMMYFUNCTION("""COMPUTED_VALUE"""),"https://github.com/AllyNav/tds_project_1")</f>
        <v>https://github.com/AllyNav/tds_project_1</v>
      </c>
      <c r="H281" s="3">
        <f t="shared" si="2"/>
        <v>9</v>
      </c>
      <c r="I281" s="3">
        <f t="shared" si="3"/>
        <v>10</v>
      </c>
      <c r="J281" s="3">
        <f t="shared" si="4"/>
        <v>7</v>
      </c>
      <c r="K281" s="3">
        <f t="shared" si="5"/>
        <v>7</v>
      </c>
      <c r="L281" s="7">
        <f t="shared" si="6"/>
        <v>2</v>
      </c>
      <c r="M281" s="7">
        <f t="shared" si="7"/>
        <v>3</v>
      </c>
      <c r="N281" s="7">
        <f t="shared" si="8"/>
        <v>9.5</v>
      </c>
    </row>
    <row r="282" hidden="1">
      <c r="B282" s="3" t="s">
        <v>569</v>
      </c>
      <c r="C282" s="5" t="s">
        <v>570</v>
      </c>
      <c r="D282" s="3">
        <v>9.0</v>
      </c>
      <c r="E282" s="3">
        <v>10.0</v>
      </c>
      <c r="F282" s="3">
        <f t="shared" si="1"/>
        <v>2</v>
      </c>
      <c r="G282" s="5" t="str">
        <f>IFERROR(__xludf.DUMMYFUNCTION("""COMPUTED_VALUE"""),"https://github.com/rahul-jha-2001/TDS")</f>
        <v>https://github.com/rahul-jha-2001/TDS</v>
      </c>
      <c r="H282" s="3">
        <f t="shared" si="2"/>
        <v>10</v>
      </c>
      <c r="I282" s="3">
        <f t="shared" si="3"/>
        <v>10</v>
      </c>
      <c r="J282" s="3">
        <f t="shared" si="4"/>
        <v>10</v>
      </c>
      <c r="K282" s="3">
        <f t="shared" si="5"/>
        <v>10</v>
      </c>
      <c r="L282" s="7">
        <f t="shared" si="6"/>
        <v>0</v>
      </c>
      <c r="M282" s="7">
        <f t="shared" si="7"/>
        <v>0</v>
      </c>
      <c r="N282" s="7">
        <f t="shared" si="8"/>
        <v>10</v>
      </c>
    </row>
    <row r="283" hidden="1">
      <c r="B283" s="3" t="s">
        <v>571</v>
      </c>
      <c r="C283" s="5" t="s">
        <v>177</v>
      </c>
      <c r="D283" s="3">
        <v>5.0</v>
      </c>
      <c r="E283" s="3">
        <v>5.0</v>
      </c>
      <c r="F283" s="3">
        <f t="shared" si="1"/>
        <v>2</v>
      </c>
      <c r="G283" s="5" t="str">
        <f>IFERROR(__xludf.DUMMYFUNCTION("""COMPUTED_VALUE"""),"https://github.com/SV-03/TDS-P1")</f>
        <v>https://github.com/SV-03/TDS-P1</v>
      </c>
      <c r="H283" s="3">
        <f t="shared" si="2"/>
        <v>10</v>
      </c>
      <c r="I283" s="3">
        <f t="shared" si="3"/>
        <v>9</v>
      </c>
      <c r="J283" s="3">
        <f t="shared" si="4"/>
        <v>9</v>
      </c>
      <c r="K283" s="3">
        <f t="shared" si="5"/>
        <v>7</v>
      </c>
      <c r="L283" s="7">
        <f t="shared" si="6"/>
        <v>1</v>
      </c>
      <c r="M283" s="7">
        <f t="shared" si="7"/>
        <v>2</v>
      </c>
      <c r="N283" s="7">
        <f t="shared" si="8"/>
        <v>9.5</v>
      </c>
    </row>
    <row r="284" hidden="1">
      <c r="B284" s="3" t="s">
        <v>572</v>
      </c>
      <c r="C284" s="5" t="s">
        <v>573</v>
      </c>
      <c r="D284" s="3">
        <v>2.0</v>
      </c>
      <c r="E284" s="3">
        <v>0.0</v>
      </c>
      <c r="F284" s="3">
        <f t="shared" si="1"/>
        <v>2</v>
      </c>
      <c r="G284" s="5" t="str">
        <f>IFERROR(__xludf.DUMMYFUNCTION("""COMPUTED_VALUE"""),"https://github.com/rajakumari-sp/TDS_project1")</f>
        <v>https://github.com/rajakumari-sp/TDS_project1</v>
      </c>
      <c r="H284" s="3">
        <f t="shared" si="2"/>
        <v>7</v>
      </c>
      <c r="I284" s="3">
        <f t="shared" si="3"/>
        <v>6</v>
      </c>
      <c r="J284" s="3">
        <f t="shared" si="4"/>
        <v>8</v>
      </c>
      <c r="K284" s="3">
        <f t="shared" si="5"/>
        <v>8</v>
      </c>
      <c r="L284" s="7">
        <f t="shared" si="6"/>
        <v>1</v>
      </c>
      <c r="M284" s="7">
        <f t="shared" si="7"/>
        <v>2</v>
      </c>
      <c r="N284" s="7">
        <f t="shared" si="8"/>
        <v>8</v>
      </c>
    </row>
    <row r="285" hidden="1">
      <c r="B285" s="3" t="s">
        <v>574</v>
      </c>
      <c r="C285" s="5" t="s">
        <v>575</v>
      </c>
      <c r="D285" s="3">
        <v>1.0</v>
      </c>
      <c r="E285" s="3">
        <v>0.0</v>
      </c>
      <c r="F285" s="3">
        <f t="shared" si="1"/>
        <v>1</v>
      </c>
      <c r="G285" s="5" t="str">
        <f>IFERROR(__xludf.DUMMYFUNCTION("""COMPUTED_VALUE"""),"https://github.com/Aryan0550p/LondonUsersRepo")</f>
        <v>https://github.com/Aryan0550p/LondonUsersRepo</v>
      </c>
      <c r="H285" s="3">
        <f t="shared" si="2"/>
        <v>6</v>
      </c>
      <c r="I285" s="3">
        <f t="shared" si="3"/>
        <v>6</v>
      </c>
      <c r="J285" s="3" t="str">
        <f t="shared" si="4"/>
        <v>No reviews</v>
      </c>
      <c r="K285" s="3" t="str">
        <f t="shared" si="5"/>
        <v>No reviews</v>
      </c>
      <c r="L285" s="7" t="str">
        <f t="shared" si="6"/>
        <v> </v>
      </c>
      <c r="M285" s="7" t="str">
        <f t="shared" si="7"/>
        <v> </v>
      </c>
      <c r="N285" s="7">
        <f t="shared" si="8"/>
        <v>6</v>
      </c>
    </row>
    <row r="286" hidden="1">
      <c r="B286" s="3" t="s">
        <v>576</v>
      </c>
      <c r="C286" s="5" t="s">
        <v>577</v>
      </c>
      <c r="D286" s="3">
        <v>10.0</v>
      </c>
      <c r="E286" s="3">
        <v>10.0</v>
      </c>
      <c r="F286" s="3">
        <f t="shared" si="1"/>
        <v>2</v>
      </c>
      <c r="G286" s="5" t="str">
        <f>IFERROR(__xludf.DUMMYFUNCTION("""COMPUTED_VALUE"""),"https://github.com/techshad/TDS-Project")</f>
        <v>https://github.com/techshad/TDS-Project</v>
      </c>
      <c r="H286" s="3">
        <f t="shared" si="2"/>
        <v>9</v>
      </c>
      <c r="I286" s="3">
        <f t="shared" si="3"/>
        <v>8</v>
      </c>
      <c r="J286" s="3">
        <f t="shared" si="4"/>
        <v>10</v>
      </c>
      <c r="K286" s="3">
        <f t="shared" si="5"/>
        <v>10</v>
      </c>
      <c r="L286" s="7">
        <f t="shared" si="6"/>
        <v>1</v>
      </c>
      <c r="M286" s="7">
        <f t="shared" si="7"/>
        <v>2</v>
      </c>
      <c r="N286" s="7">
        <f t="shared" si="8"/>
        <v>10</v>
      </c>
    </row>
    <row r="287" hidden="1">
      <c r="B287" s="3" t="s">
        <v>578</v>
      </c>
      <c r="C287" s="5" t="s">
        <v>579</v>
      </c>
      <c r="D287" s="3">
        <v>7.0</v>
      </c>
      <c r="E287" s="3">
        <v>8.0</v>
      </c>
      <c r="F287" s="3">
        <f t="shared" si="1"/>
        <v>2</v>
      </c>
      <c r="G287" s="5" t="str">
        <f>IFERROR(__xludf.DUMMYFUNCTION("""COMPUTED_VALUE"""),"https://github.com/Akif29/TDS-Project-1")</f>
        <v>https://github.com/Akif29/TDS-Project-1</v>
      </c>
      <c r="H287" s="3">
        <f t="shared" si="2"/>
        <v>8</v>
      </c>
      <c r="I287" s="3">
        <f t="shared" si="3"/>
        <v>8</v>
      </c>
      <c r="J287" s="3">
        <f t="shared" si="4"/>
        <v>6</v>
      </c>
      <c r="K287" s="3">
        <f t="shared" si="5"/>
        <v>7</v>
      </c>
      <c r="L287" s="7">
        <f t="shared" si="6"/>
        <v>2</v>
      </c>
      <c r="M287" s="7">
        <f t="shared" si="7"/>
        <v>1</v>
      </c>
      <c r="N287" s="7">
        <f t="shared" si="8"/>
        <v>8</v>
      </c>
    </row>
    <row r="288" hidden="1">
      <c r="B288" s="3" t="s">
        <v>580</v>
      </c>
      <c r="C288" s="5" t="s">
        <v>111</v>
      </c>
      <c r="D288" s="3">
        <v>0.0</v>
      </c>
      <c r="E288" s="3">
        <v>0.0</v>
      </c>
      <c r="F288" s="3">
        <f t="shared" si="1"/>
        <v>1</v>
      </c>
      <c r="G288" s="5" t="str">
        <f>IFERROR(__xludf.DUMMYFUNCTION("""COMPUTED_VALUE"""),"https://github.com/titan-adi/Zurich-data-analysis")</f>
        <v>https://github.com/titan-adi/Zurich-data-analysis</v>
      </c>
      <c r="H288" s="3">
        <f t="shared" si="2"/>
        <v>7</v>
      </c>
      <c r="I288" s="3">
        <f t="shared" si="3"/>
        <v>7</v>
      </c>
      <c r="J288" s="3" t="str">
        <f t="shared" si="4"/>
        <v>No reviews</v>
      </c>
      <c r="K288" s="3" t="str">
        <f t="shared" si="5"/>
        <v>No reviews</v>
      </c>
      <c r="L288" s="7" t="str">
        <f t="shared" si="6"/>
        <v> </v>
      </c>
      <c r="M288" s="7" t="str">
        <f t="shared" si="7"/>
        <v> </v>
      </c>
      <c r="N288" s="7">
        <f t="shared" si="8"/>
        <v>7</v>
      </c>
    </row>
    <row r="289" hidden="1">
      <c r="B289" s="3" t="s">
        <v>581</v>
      </c>
      <c r="C289" s="5" t="s">
        <v>582</v>
      </c>
      <c r="D289" s="3">
        <v>10.0</v>
      </c>
      <c r="E289" s="3">
        <v>10.0</v>
      </c>
      <c r="F289" s="3">
        <f t="shared" si="1"/>
        <v>1</v>
      </c>
      <c r="G289" s="5" t="str">
        <f>IFERROR(__xludf.DUMMYFUNCTION("""COMPUTED_VALUE"""),"https://github.com/Anustup24/TDS/blob/main/README.md")</f>
        <v>https://github.com/Anustup24/TDS/blob/main/README.md</v>
      </c>
      <c r="H289" s="3">
        <f t="shared" si="2"/>
        <v>7</v>
      </c>
      <c r="I289" s="3">
        <f t="shared" si="3"/>
        <v>7</v>
      </c>
      <c r="J289" s="3" t="str">
        <f t="shared" si="4"/>
        <v>No reviews</v>
      </c>
      <c r="K289" s="3" t="str">
        <f t="shared" si="5"/>
        <v>No reviews</v>
      </c>
      <c r="L289" s="7" t="str">
        <f t="shared" si="6"/>
        <v> </v>
      </c>
      <c r="M289" s="7" t="str">
        <f t="shared" si="7"/>
        <v> </v>
      </c>
      <c r="N289" s="7">
        <f t="shared" si="8"/>
        <v>7</v>
      </c>
    </row>
    <row r="290" hidden="1">
      <c r="B290" s="3" t="s">
        <v>583</v>
      </c>
      <c r="C290" s="5" t="s">
        <v>75</v>
      </c>
      <c r="D290" s="3">
        <v>1.0</v>
      </c>
      <c r="E290" s="3">
        <v>0.0</v>
      </c>
      <c r="F290" s="3">
        <f t="shared" si="1"/>
        <v>2</v>
      </c>
      <c r="G290" s="5" t="str">
        <f>IFERROR(__xludf.DUMMYFUNCTION("""COMPUTED_VALUE"""),"https://github.com/yuviiitm26/TDS_PRO_1")</f>
        <v>https://github.com/yuviiitm26/TDS_PRO_1</v>
      </c>
      <c r="H290" s="3">
        <f t="shared" si="2"/>
        <v>9</v>
      </c>
      <c r="I290" s="3">
        <f t="shared" si="3"/>
        <v>9</v>
      </c>
      <c r="J290" s="3">
        <f t="shared" si="4"/>
        <v>7</v>
      </c>
      <c r="K290" s="3">
        <f t="shared" si="5"/>
        <v>8</v>
      </c>
      <c r="L290" s="7">
        <f t="shared" si="6"/>
        <v>2</v>
      </c>
      <c r="M290" s="7">
        <f t="shared" si="7"/>
        <v>1</v>
      </c>
      <c r="N290" s="7">
        <f t="shared" si="8"/>
        <v>9</v>
      </c>
    </row>
    <row r="291" hidden="1">
      <c r="B291" s="3" t="s">
        <v>584</v>
      </c>
      <c r="C291" s="5" t="s">
        <v>262</v>
      </c>
      <c r="D291" s="3">
        <v>10.0</v>
      </c>
      <c r="E291" s="3">
        <v>10.0</v>
      </c>
      <c r="F291" s="3">
        <f t="shared" si="1"/>
        <v>2</v>
      </c>
      <c r="G291" s="5" t="str">
        <f>IFERROR(__xludf.DUMMYFUNCTION("""COMPUTED_VALUE"""),"https://github.com/keertidamani/TorontoAnalysisProject")</f>
        <v>https://github.com/keertidamani/TorontoAnalysisProject</v>
      </c>
      <c r="H291" s="3">
        <f t="shared" si="2"/>
        <v>9</v>
      </c>
      <c r="I291" s="3">
        <f t="shared" si="3"/>
        <v>10</v>
      </c>
      <c r="J291" s="3">
        <f t="shared" si="4"/>
        <v>9</v>
      </c>
      <c r="K291" s="3">
        <f t="shared" si="5"/>
        <v>9</v>
      </c>
      <c r="L291" s="7">
        <f t="shared" si="6"/>
        <v>0</v>
      </c>
      <c r="M291" s="7">
        <f t="shared" si="7"/>
        <v>1</v>
      </c>
      <c r="N291" s="7">
        <f t="shared" si="8"/>
        <v>9.5</v>
      </c>
    </row>
    <row r="292" hidden="1">
      <c r="B292" s="3" t="s">
        <v>585</v>
      </c>
      <c r="C292" s="5" t="s">
        <v>586</v>
      </c>
      <c r="D292" s="3">
        <v>10.0</v>
      </c>
      <c r="E292" s="3">
        <v>10.0</v>
      </c>
      <c r="F292" s="3">
        <f t="shared" si="1"/>
        <v>2</v>
      </c>
      <c r="G292" s="5" t="str">
        <f>IFERROR(__xludf.DUMMYFUNCTION("""COMPUTED_VALUE"""),"https://github.com/Chinni1904/TDS_Proj1")</f>
        <v>https://github.com/Chinni1904/TDS_Proj1</v>
      </c>
      <c r="H292" s="3">
        <f t="shared" si="2"/>
        <v>5</v>
      </c>
      <c r="I292" s="3">
        <f t="shared" si="3"/>
        <v>0</v>
      </c>
      <c r="J292" s="3">
        <f t="shared" si="4"/>
        <v>6</v>
      </c>
      <c r="K292" s="3">
        <f t="shared" si="5"/>
        <v>4</v>
      </c>
      <c r="L292" s="7">
        <f t="shared" si="6"/>
        <v>1</v>
      </c>
      <c r="M292" s="7">
        <f t="shared" si="7"/>
        <v>4</v>
      </c>
      <c r="N292" s="7">
        <f t="shared" si="8"/>
        <v>5</v>
      </c>
    </row>
    <row r="293" hidden="1">
      <c r="B293" s="3" t="s">
        <v>587</v>
      </c>
      <c r="C293" s="5" t="s">
        <v>588</v>
      </c>
      <c r="D293" s="3">
        <v>7.0</v>
      </c>
      <c r="E293" s="3">
        <v>9.0</v>
      </c>
      <c r="F293" s="3">
        <f t="shared" si="1"/>
        <v>2</v>
      </c>
      <c r="G293" s="5" t="str">
        <f>IFERROR(__xludf.DUMMYFUNCTION("""COMPUTED_VALUE"""),"https://github.com/pkala7968/TDS-PROJECT-1-IITM")</f>
        <v>https://github.com/pkala7968/TDS-PROJECT-1-IITM</v>
      </c>
      <c r="H293" s="3">
        <f t="shared" si="2"/>
        <v>6</v>
      </c>
      <c r="I293" s="3">
        <f t="shared" si="3"/>
        <v>7</v>
      </c>
      <c r="J293" s="3">
        <f t="shared" si="4"/>
        <v>10</v>
      </c>
      <c r="K293" s="3">
        <f t="shared" si="5"/>
        <v>10</v>
      </c>
      <c r="L293" s="7">
        <f t="shared" si="6"/>
        <v>4</v>
      </c>
      <c r="M293" s="7">
        <f t="shared" si="7"/>
        <v>3</v>
      </c>
      <c r="N293" s="7">
        <f t="shared" si="8"/>
        <v>10</v>
      </c>
    </row>
    <row r="294" hidden="1">
      <c r="B294" s="3" t="s">
        <v>589</v>
      </c>
      <c r="C294" s="5" t="s">
        <v>590</v>
      </c>
      <c r="D294" s="3">
        <v>10.0</v>
      </c>
      <c r="E294" s="3">
        <v>10.0</v>
      </c>
      <c r="F294" s="3">
        <f t="shared" si="1"/>
        <v>2</v>
      </c>
      <c r="G294" s="5" t="str">
        <f>IFERROR(__xludf.DUMMYFUNCTION("""COMPUTED_VALUE"""),"https://github.com/RealFalseGod/Project1")</f>
        <v>https://github.com/RealFalseGod/Project1</v>
      </c>
      <c r="H294" s="3">
        <f t="shared" si="2"/>
        <v>5</v>
      </c>
      <c r="I294" s="3">
        <f t="shared" si="3"/>
        <v>0</v>
      </c>
      <c r="J294" s="3">
        <f t="shared" si="4"/>
        <v>10</v>
      </c>
      <c r="K294" s="3">
        <f t="shared" si="5"/>
        <v>0</v>
      </c>
      <c r="L294" s="7">
        <f t="shared" si="6"/>
        <v>5</v>
      </c>
      <c r="M294" s="7">
        <f t="shared" si="7"/>
        <v>0</v>
      </c>
      <c r="N294" s="7">
        <f t="shared" si="8"/>
        <v>5</v>
      </c>
    </row>
    <row r="295" hidden="1">
      <c r="B295" s="3" t="s">
        <v>591</v>
      </c>
      <c r="C295" s="5" t="s">
        <v>560</v>
      </c>
      <c r="D295" s="3">
        <v>10.0</v>
      </c>
      <c r="E295" s="3">
        <v>10.0</v>
      </c>
      <c r="F295" s="3">
        <f t="shared" si="1"/>
        <v>1</v>
      </c>
      <c r="G295" s="5" t="str">
        <f>IFERROR(__xludf.DUMMYFUNCTION("""COMPUTED_VALUE"""),"https://github.com/ojast22/tds_proj1")</f>
        <v>https://github.com/ojast22/tds_proj1</v>
      </c>
      <c r="H295" s="3">
        <f t="shared" si="2"/>
        <v>8</v>
      </c>
      <c r="I295" s="3">
        <f t="shared" si="3"/>
        <v>9</v>
      </c>
      <c r="J295" s="3" t="str">
        <f t="shared" si="4"/>
        <v>No reviews</v>
      </c>
      <c r="K295" s="3" t="str">
        <f t="shared" si="5"/>
        <v>No reviews</v>
      </c>
      <c r="L295" s="7" t="str">
        <f t="shared" si="6"/>
        <v> </v>
      </c>
      <c r="M295" s="7" t="str">
        <f t="shared" si="7"/>
        <v> </v>
      </c>
      <c r="N295" s="7">
        <f t="shared" si="8"/>
        <v>8.5</v>
      </c>
    </row>
    <row r="296" hidden="1">
      <c r="B296" s="3" t="s">
        <v>592</v>
      </c>
      <c r="C296" s="5" t="s">
        <v>593</v>
      </c>
      <c r="D296" s="3">
        <v>8.0</v>
      </c>
      <c r="E296" s="3">
        <v>0.0</v>
      </c>
      <c r="F296" s="3">
        <f t="shared" si="1"/>
        <v>1</v>
      </c>
      <c r="G296" s="5" t="str">
        <f>IFERROR(__xludf.DUMMYFUNCTION("""COMPUTED_VALUE"""),"https://github.com/231fiitm/tdsproject")</f>
        <v>https://github.com/231fiitm/tdsproject</v>
      </c>
      <c r="H296" s="3">
        <f t="shared" si="2"/>
        <v>10</v>
      </c>
      <c r="I296" s="3">
        <f t="shared" si="3"/>
        <v>10</v>
      </c>
      <c r="J296" s="3" t="str">
        <f t="shared" si="4"/>
        <v>No reviews</v>
      </c>
      <c r="K296" s="3" t="str">
        <f t="shared" si="5"/>
        <v>No reviews</v>
      </c>
      <c r="L296" s="7" t="str">
        <f t="shared" si="6"/>
        <v> </v>
      </c>
      <c r="M296" s="7" t="str">
        <f t="shared" si="7"/>
        <v> </v>
      </c>
      <c r="N296" s="7">
        <f t="shared" si="8"/>
        <v>10</v>
      </c>
    </row>
    <row r="297" hidden="1">
      <c r="B297" s="3" t="s">
        <v>594</v>
      </c>
      <c r="C297" s="5" t="s">
        <v>523</v>
      </c>
      <c r="D297" s="3">
        <v>10.0</v>
      </c>
      <c r="E297" s="3">
        <v>10.0</v>
      </c>
      <c r="F297" s="3">
        <f t="shared" si="1"/>
        <v>1</v>
      </c>
      <c r="G297" s="5" t="str">
        <f>IFERROR(__xludf.DUMMYFUNCTION("""COMPUTED_VALUE"""),"https://github.com/bhumi-gupta2201/Austin100")</f>
        <v>https://github.com/bhumi-gupta2201/Austin100</v>
      </c>
      <c r="H297" s="3">
        <f t="shared" si="2"/>
        <v>2</v>
      </c>
      <c r="I297" s="3">
        <f t="shared" si="3"/>
        <v>10</v>
      </c>
      <c r="J297" s="3" t="str">
        <f t="shared" si="4"/>
        <v>No reviews</v>
      </c>
      <c r="K297" s="3" t="str">
        <f t="shared" si="5"/>
        <v>No reviews</v>
      </c>
      <c r="L297" s="7" t="str">
        <f t="shared" si="6"/>
        <v> </v>
      </c>
      <c r="M297" s="7" t="str">
        <f t="shared" si="7"/>
        <v> </v>
      </c>
      <c r="N297" s="7">
        <f t="shared" si="8"/>
        <v>6</v>
      </c>
    </row>
    <row r="298" hidden="1">
      <c r="B298" s="3" t="s">
        <v>595</v>
      </c>
      <c r="C298" s="5" t="s">
        <v>280</v>
      </c>
      <c r="D298" s="3">
        <v>9.0</v>
      </c>
      <c r="E298" s="3">
        <v>9.0</v>
      </c>
      <c r="F298" s="3">
        <f t="shared" si="1"/>
        <v>1</v>
      </c>
      <c r="G298" s="5" t="str">
        <f>IFERROR(__xludf.DUMMYFUNCTION("""COMPUTED_VALUE"""),"https://github.com/gokuls23f2001566/TDSpj1")</f>
        <v>https://github.com/gokuls23f2001566/TDSpj1</v>
      </c>
      <c r="H298" s="3">
        <f t="shared" si="2"/>
        <v>10</v>
      </c>
      <c r="I298" s="3">
        <f t="shared" si="3"/>
        <v>8</v>
      </c>
      <c r="J298" s="3" t="str">
        <f t="shared" si="4"/>
        <v>No reviews</v>
      </c>
      <c r="K298" s="3" t="str">
        <f t="shared" si="5"/>
        <v>No reviews</v>
      </c>
      <c r="L298" s="7" t="str">
        <f t="shared" si="6"/>
        <v> </v>
      </c>
      <c r="M298" s="7" t="str">
        <f t="shared" si="7"/>
        <v> </v>
      </c>
      <c r="N298" s="7">
        <f t="shared" si="8"/>
        <v>9</v>
      </c>
    </row>
    <row r="299" hidden="1">
      <c r="B299" s="3" t="s">
        <v>596</v>
      </c>
      <c r="C299" s="5" t="s">
        <v>363</v>
      </c>
      <c r="D299" s="3">
        <v>10.0</v>
      </c>
      <c r="E299" s="3">
        <v>10.0</v>
      </c>
      <c r="F299" s="3">
        <f t="shared" si="1"/>
        <v>2</v>
      </c>
      <c r="G299" s="5" t="str">
        <f>IFERROR(__xludf.DUMMYFUNCTION("""COMPUTED_VALUE"""),"https://github.com/pranay2k3/iitpro")</f>
        <v>https://github.com/pranay2k3/iitpro</v>
      </c>
      <c r="H299" s="3">
        <f t="shared" si="2"/>
        <v>0</v>
      </c>
      <c r="I299" s="3">
        <f t="shared" si="3"/>
        <v>0</v>
      </c>
      <c r="J299" s="3">
        <f t="shared" si="4"/>
        <v>0</v>
      </c>
      <c r="K299" s="3">
        <f t="shared" si="5"/>
        <v>0</v>
      </c>
      <c r="L299" s="7">
        <f t="shared" si="6"/>
        <v>0</v>
      </c>
      <c r="M299" s="7">
        <f t="shared" si="7"/>
        <v>0</v>
      </c>
      <c r="N299" s="7">
        <f t="shared" si="8"/>
        <v>0</v>
      </c>
    </row>
    <row r="300" hidden="1">
      <c r="B300" s="3" t="s">
        <v>597</v>
      </c>
      <c r="C300" s="5" t="s">
        <v>598</v>
      </c>
      <c r="D300" s="3">
        <v>10.0</v>
      </c>
      <c r="E300" s="3">
        <v>10.0</v>
      </c>
      <c r="F300" s="3">
        <f t="shared" si="1"/>
        <v>2</v>
      </c>
      <c r="G300" s="5" t="str">
        <f>IFERROR(__xludf.DUMMYFUNCTION("""COMPUTED_VALUE"""),"https://github.com/Akash7190/TDS-Project-1")</f>
        <v>https://github.com/Akash7190/TDS-Project-1</v>
      </c>
      <c r="H300" s="3">
        <f t="shared" si="2"/>
        <v>10</v>
      </c>
      <c r="I300" s="3">
        <f t="shared" si="3"/>
        <v>8</v>
      </c>
      <c r="J300" s="3">
        <f t="shared" si="4"/>
        <v>9</v>
      </c>
      <c r="K300" s="3">
        <f t="shared" si="5"/>
        <v>10</v>
      </c>
      <c r="L300" s="7">
        <f t="shared" si="6"/>
        <v>1</v>
      </c>
      <c r="M300" s="7">
        <f t="shared" si="7"/>
        <v>2</v>
      </c>
      <c r="N300" s="7">
        <f t="shared" si="8"/>
        <v>9.5</v>
      </c>
    </row>
    <row r="301" hidden="1">
      <c r="B301" s="3" t="s">
        <v>599</v>
      </c>
      <c r="C301" s="5" t="s">
        <v>600</v>
      </c>
      <c r="D301" s="3">
        <v>10.0</v>
      </c>
      <c r="E301" s="3">
        <v>10.0</v>
      </c>
      <c r="F301" s="3">
        <f t="shared" si="1"/>
        <v>1</v>
      </c>
      <c r="G301" s="5" t="str">
        <f>IFERROR(__xludf.DUMMYFUNCTION("""COMPUTED_VALUE"""),"https://github.com/Preetham15092004/Hyderabad-GitHub-Users")</f>
        <v>https://github.com/Preetham15092004/Hyderabad-GitHub-Users</v>
      </c>
      <c r="H301" s="3">
        <f t="shared" si="2"/>
        <v>5</v>
      </c>
      <c r="I301" s="3">
        <f t="shared" si="3"/>
        <v>0</v>
      </c>
      <c r="J301" s="3" t="str">
        <f t="shared" si="4"/>
        <v>No reviews</v>
      </c>
      <c r="K301" s="3" t="str">
        <f t="shared" si="5"/>
        <v>No reviews</v>
      </c>
      <c r="L301" s="7" t="str">
        <f t="shared" si="6"/>
        <v> </v>
      </c>
      <c r="M301" s="7" t="str">
        <f t="shared" si="7"/>
        <v> </v>
      </c>
      <c r="N301" s="7">
        <f t="shared" si="8"/>
        <v>2.5</v>
      </c>
    </row>
    <row r="302" hidden="1">
      <c r="B302" s="3" t="s">
        <v>601</v>
      </c>
      <c r="C302" s="5" t="s">
        <v>332</v>
      </c>
      <c r="D302" s="3">
        <v>7.0</v>
      </c>
      <c r="E302" s="3">
        <v>7.0</v>
      </c>
      <c r="F302" s="3">
        <f t="shared" si="1"/>
        <v>2</v>
      </c>
      <c r="G302" s="5" t="str">
        <f>IFERROR(__xludf.DUMMYFUNCTION("""COMPUTED_VALUE"""),"https://github.com/23f1002051/TDS_Project_1")</f>
        <v>https://github.com/23f1002051/TDS_Project_1</v>
      </c>
      <c r="H302" s="3">
        <f t="shared" si="2"/>
        <v>7</v>
      </c>
      <c r="I302" s="3">
        <f t="shared" si="3"/>
        <v>7</v>
      </c>
      <c r="J302" s="3">
        <f t="shared" si="4"/>
        <v>10</v>
      </c>
      <c r="K302" s="3">
        <f t="shared" si="5"/>
        <v>10</v>
      </c>
      <c r="L302" s="7">
        <f t="shared" si="6"/>
        <v>3</v>
      </c>
      <c r="M302" s="7">
        <f t="shared" si="7"/>
        <v>3</v>
      </c>
      <c r="N302" s="7">
        <f t="shared" si="8"/>
        <v>10</v>
      </c>
    </row>
    <row r="303" hidden="1">
      <c r="B303" s="3" t="s">
        <v>602</v>
      </c>
      <c r="C303" s="5" t="s">
        <v>603</v>
      </c>
      <c r="D303" s="3">
        <v>10.0</v>
      </c>
      <c r="E303" s="3">
        <v>9.0</v>
      </c>
      <c r="F303" s="3">
        <f t="shared" si="1"/>
        <v>2</v>
      </c>
      <c r="G303" s="5" t="str">
        <f>IFERROR(__xludf.DUMMYFUNCTION("""COMPUTED_VALUE"""),"https://github.com/ranashakti7/Sydney_users")</f>
        <v>https://github.com/ranashakti7/Sydney_users</v>
      </c>
      <c r="H303" s="3">
        <f t="shared" si="2"/>
        <v>9</v>
      </c>
      <c r="I303" s="3">
        <f t="shared" si="3"/>
        <v>9</v>
      </c>
      <c r="J303" s="3">
        <f t="shared" si="4"/>
        <v>10</v>
      </c>
      <c r="K303" s="3">
        <f t="shared" si="5"/>
        <v>10</v>
      </c>
      <c r="L303" s="7">
        <f t="shared" si="6"/>
        <v>1</v>
      </c>
      <c r="M303" s="7">
        <f t="shared" si="7"/>
        <v>1</v>
      </c>
      <c r="N303" s="7">
        <f t="shared" si="8"/>
        <v>10</v>
      </c>
    </row>
    <row r="304" hidden="1">
      <c r="B304" s="3" t="s">
        <v>604</v>
      </c>
      <c r="C304" s="5" t="s">
        <v>418</v>
      </c>
      <c r="D304" s="3">
        <v>10.0</v>
      </c>
      <c r="E304" s="3">
        <v>10.0</v>
      </c>
      <c r="F304" s="3">
        <f t="shared" si="1"/>
        <v>2</v>
      </c>
      <c r="G304" s="5" t="str">
        <f>IFERROR(__xludf.DUMMYFUNCTION("""COMPUTED_VALUE"""),"https://github.com/jagrutiitm/tdsproject1")</f>
        <v>https://github.com/jagrutiitm/tdsproject1</v>
      </c>
      <c r="H304" s="3">
        <f t="shared" si="2"/>
        <v>0</v>
      </c>
      <c r="I304" s="3">
        <f t="shared" si="3"/>
        <v>0</v>
      </c>
      <c r="J304" s="3">
        <f t="shared" si="4"/>
        <v>0</v>
      </c>
      <c r="K304" s="3">
        <f t="shared" si="5"/>
        <v>0</v>
      </c>
      <c r="L304" s="7">
        <f t="shared" si="6"/>
        <v>0</v>
      </c>
      <c r="M304" s="7">
        <f t="shared" si="7"/>
        <v>0</v>
      </c>
      <c r="N304" s="7">
        <f t="shared" si="8"/>
        <v>0</v>
      </c>
    </row>
    <row r="305" hidden="1">
      <c r="B305" s="3" t="s">
        <v>605</v>
      </c>
      <c r="C305" s="5" t="s">
        <v>606</v>
      </c>
      <c r="D305" s="3">
        <v>9.0</v>
      </c>
      <c r="E305" s="3">
        <v>10.0</v>
      </c>
      <c r="F305" s="3">
        <f t="shared" si="1"/>
        <v>2</v>
      </c>
      <c r="G305" s="5" t="str">
        <f>IFERROR(__xludf.DUMMYFUNCTION("""COMPUTED_VALUE"""),"https://github.com/narendrabissu/TDS_21F1000753_P1")</f>
        <v>https://github.com/narendrabissu/TDS_21F1000753_P1</v>
      </c>
      <c r="H305" s="3">
        <f t="shared" si="2"/>
        <v>10</v>
      </c>
      <c r="I305" s="3">
        <f t="shared" si="3"/>
        <v>9</v>
      </c>
      <c r="J305" s="3">
        <f t="shared" si="4"/>
        <v>10</v>
      </c>
      <c r="K305" s="3">
        <f t="shared" si="5"/>
        <v>9</v>
      </c>
      <c r="L305" s="7">
        <f t="shared" si="6"/>
        <v>0</v>
      </c>
      <c r="M305" s="7">
        <f t="shared" si="7"/>
        <v>0</v>
      </c>
      <c r="N305" s="7">
        <f t="shared" si="8"/>
        <v>9.5</v>
      </c>
    </row>
    <row r="306" hidden="1">
      <c r="B306" s="3" t="s">
        <v>607</v>
      </c>
      <c r="C306" s="5" t="s">
        <v>608</v>
      </c>
      <c r="D306" s="3">
        <v>6.0</v>
      </c>
      <c r="E306" s="3">
        <v>5.0</v>
      </c>
      <c r="F306" s="3">
        <f t="shared" si="1"/>
        <v>2</v>
      </c>
      <c r="G306" s="5" t="str">
        <f>IFERROR(__xludf.DUMMYFUNCTION("""COMPUTED_VALUE"""),"https://github.com/Kushagra-IITM/TDS1_23f1001963")</f>
        <v>https://github.com/Kushagra-IITM/TDS1_23f1001963</v>
      </c>
      <c r="H306" s="3">
        <f t="shared" si="2"/>
        <v>7</v>
      </c>
      <c r="I306" s="3">
        <f t="shared" si="3"/>
        <v>9</v>
      </c>
      <c r="J306" s="3">
        <f t="shared" si="4"/>
        <v>8</v>
      </c>
      <c r="K306" s="3">
        <f t="shared" si="5"/>
        <v>8</v>
      </c>
      <c r="L306" s="7">
        <f t="shared" si="6"/>
        <v>1</v>
      </c>
      <c r="M306" s="7">
        <f t="shared" si="7"/>
        <v>1</v>
      </c>
      <c r="N306" s="7">
        <f t="shared" si="8"/>
        <v>8</v>
      </c>
    </row>
    <row r="307" hidden="1">
      <c r="B307" s="3" t="s">
        <v>609</v>
      </c>
      <c r="C307" s="5" t="s">
        <v>610</v>
      </c>
      <c r="D307" s="3">
        <v>10.0</v>
      </c>
      <c r="E307" s="3">
        <v>10.0</v>
      </c>
      <c r="F307" s="3">
        <f t="shared" si="1"/>
        <v>2</v>
      </c>
      <c r="G307" s="5" t="str">
        <f>IFERROR(__xludf.DUMMYFUNCTION("""COMPUTED_VALUE"""),"https://github.com/22f1000952/basel-users-analysis")</f>
        <v>https://github.com/22f1000952/basel-users-analysis</v>
      </c>
      <c r="H307" s="3">
        <f t="shared" si="2"/>
        <v>9</v>
      </c>
      <c r="I307" s="3">
        <f t="shared" si="3"/>
        <v>10</v>
      </c>
      <c r="J307" s="3">
        <f t="shared" si="4"/>
        <v>10</v>
      </c>
      <c r="K307" s="3">
        <f t="shared" si="5"/>
        <v>10</v>
      </c>
      <c r="L307" s="7">
        <f t="shared" si="6"/>
        <v>1</v>
      </c>
      <c r="M307" s="7">
        <f t="shared" si="7"/>
        <v>0</v>
      </c>
      <c r="N307" s="7">
        <f t="shared" si="8"/>
        <v>10</v>
      </c>
    </row>
    <row r="308" hidden="1">
      <c r="B308" s="3" t="s">
        <v>611</v>
      </c>
      <c r="C308" s="5" t="s">
        <v>425</v>
      </c>
      <c r="D308" s="3">
        <v>7.0</v>
      </c>
      <c r="E308" s="3">
        <v>7.0</v>
      </c>
      <c r="F308" s="3">
        <f t="shared" si="1"/>
        <v>1</v>
      </c>
      <c r="G308" s="5" t="str">
        <f>IFERROR(__xludf.DUMMYFUNCTION("""COMPUTED_VALUE"""),"https://github.com/harshx45/tdsproj1")</f>
        <v>https://github.com/harshx45/tdsproj1</v>
      </c>
      <c r="H308" s="3">
        <f t="shared" si="2"/>
        <v>10</v>
      </c>
      <c r="I308" s="3">
        <f t="shared" si="3"/>
        <v>10</v>
      </c>
      <c r="J308" s="3" t="str">
        <f t="shared" si="4"/>
        <v>No reviews</v>
      </c>
      <c r="K308" s="3" t="str">
        <f t="shared" si="5"/>
        <v>No reviews</v>
      </c>
      <c r="L308" s="7" t="str">
        <f t="shared" si="6"/>
        <v> </v>
      </c>
      <c r="M308" s="7" t="str">
        <f t="shared" si="7"/>
        <v> </v>
      </c>
      <c r="N308" s="7">
        <f t="shared" si="8"/>
        <v>10</v>
      </c>
    </row>
    <row r="309" hidden="1">
      <c r="B309" s="3" t="s">
        <v>612</v>
      </c>
      <c r="C309" s="5" t="s">
        <v>286</v>
      </c>
      <c r="D309" s="3">
        <v>10.0</v>
      </c>
      <c r="E309" s="3">
        <v>10.0</v>
      </c>
      <c r="F309" s="3">
        <f t="shared" si="1"/>
        <v>2</v>
      </c>
      <c r="G309" s="5" t="str">
        <f>IFERROR(__xludf.DUMMYFUNCTION("""COMPUTED_VALUE"""),"https://github.com/AbdulHadiCreator/TDSproject1")</f>
        <v>https://github.com/AbdulHadiCreator/TDSproject1</v>
      </c>
      <c r="H309" s="3">
        <f t="shared" si="2"/>
        <v>9</v>
      </c>
      <c r="I309" s="3">
        <f t="shared" si="3"/>
        <v>4</v>
      </c>
      <c r="J309" s="3">
        <f t="shared" si="4"/>
        <v>10</v>
      </c>
      <c r="K309" s="3">
        <f t="shared" si="5"/>
        <v>10</v>
      </c>
      <c r="L309" s="7">
        <f t="shared" si="6"/>
        <v>1</v>
      </c>
      <c r="M309" s="7">
        <f t="shared" si="7"/>
        <v>6</v>
      </c>
      <c r="N309" s="7">
        <f t="shared" si="8"/>
        <v>10</v>
      </c>
    </row>
    <row r="310" hidden="1">
      <c r="B310" s="3" t="s">
        <v>613</v>
      </c>
      <c r="C310" s="5" t="s">
        <v>614</v>
      </c>
      <c r="D310" s="3">
        <v>9.0</v>
      </c>
      <c r="E310" s="3">
        <v>10.0</v>
      </c>
      <c r="F310" s="3">
        <f t="shared" si="1"/>
        <v>2</v>
      </c>
      <c r="G310" s="5" t="str">
        <f>IFERROR(__xludf.DUMMYFUNCTION("""COMPUTED_VALUE"""),"https://github.com/Avisiingh/tdsproject1/tree/main")</f>
        <v>https://github.com/Avisiingh/tdsproject1/tree/main</v>
      </c>
      <c r="H310" s="3">
        <f t="shared" si="2"/>
        <v>10</v>
      </c>
      <c r="I310" s="3">
        <f t="shared" si="3"/>
        <v>0</v>
      </c>
      <c r="J310" s="3">
        <f t="shared" si="4"/>
        <v>10</v>
      </c>
      <c r="K310" s="3">
        <f t="shared" si="5"/>
        <v>10</v>
      </c>
      <c r="L310" s="7">
        <f t="shared" si="6"/>
        <v>0</v>
      </c>
      <c r="M310" s="7">
        <f t="shared" si="7"/>
        <v>10</v>
      </c>
      <c r="N310" s="7">
        <f t="shared" si="8"/>
        <v>10</v>
      </c>
    </row>
    <row r="311" hidden="1">
      <c r="B311" s="3" t="s">
        <v>615</v>
      </c>
      <c r="C311" s="5" t="s">
        <v>616</v>
      </c>
      <c r="D311" s="3">
        <v>0.0</v>
      </c>
      <c r="E311" s="3">
        <v>0.0</v>
      </c>
      <c r="F311" s="3">
        <f t="shared" si="1"/>
        <v>2</v>
      </c>
      <c r="G311" s="5" t="str">
        <f>IFERROR(__xludf.DUMMYFUNCTION("""COMPUTED_VALUE"""),"https://github.com/Saravanan1508/IITM_TDS_Project_1")</f>
        <v>https://github.com/Saravanan1508/IITM_TDS_Project_1</v>
      </c>
      <c r="H311" s="3">
        <f t="shared" si="2"/>
        <v>9</v>
      </c>
      <c r="I311" s="3">
        <f t="shared" si="3"/>
        <v>8</v>
      </c>
      <c r="J311" s="3">
        <f t="shared" si="4"/>
        <v>8</v>
      </c>
      <c r="K311" s="3">
        <f t="shared" si="5"/>
        <v>9</v>
      </c>
      <c r="L311" s="7">
        <f t="shared" si="6"/>
        <v>1</v>
      </c>
      <c r="M311" s="7">
        <f t="shared" si="7"/>
        <v>1</v>
      </c>
      <c r="N311" s="7">
        <f t="shared" si="8"/>
        <v>8.5</v>
      </c>
    </row>
    <row r="312" hidden="1">
      <c r="B312" s="3" t="s">
        <v>617</v>
      </c>
      <c r="C312" s="5" t="s">
        <v>377</v>
      </c>
      <c r="D312" s="3">
        <v>10.0</v>
      </c>
      <c r="E312" s="3">
        <v>10.0</v>
      </c>
      <c r="F312" s="3">
        <f t="shared" si="1"/>
        <v>1</v>
      </c>
      <c r="G312" s="5" t="str">
        <f>IFERROR(__xludf.DUMMYFUNCTION("""COMPUTED_VALUE"""),"https://github.com/deepika4786/tools-for-data-science-project---1/blob/main/repositories.csv")</f>
        <v>https://github.com/deepika4786/tools-for-data-science-project---1/blob/main/repositories.csv</v>
      </c>
      <c r="H312" s="3">
        <f t="shared" si="2"/>
        <v>10</v>
      </c>
      <c r="I312" s="3">
        <f t="shared" si="3"/>
        <v>5</v>
      </c>
      <c r="J312" s="3" t="str">
        <f t="shared" si="4"/>
        <v>No reviews</v>
      </c>
      <c r="K312" s="3" t="str">
        <f t="shared" si="5"/>
        <v>No reviews</v>
      </c>
      <c r="L312" s="7" t="str">
        <f t="shared" si="6"/>
        <v> </v>
      </c>
      <c r="M312" s="7" t="str">
        <f t="shared" si="7"/>
        <v> </v>
      </c>
      <c r="N312" s="7">
        <f t="shared" si="8"/>
        <v>7.5</v>
      </c>
    </row>
    <row r="313" hidden="1">
      <c r="B313" s="3" t="s">
        <v>618</v>
      </c>
      <c r="C313" s="5" t="s">
        <v>619</v>
      </c>
      <c r="D313" s="3">
        <v>10.0</v>
      </c>
      <c r="E313" s="3">
        <v>10.0</v>
      </c>
      <c r="F313" s="3">
        <f t="shared" si="1"/>
        <v>2</v>
      </c>
      <c r="G313" s="5" t="str">
        <f>IFERROR(__xludf.DUMMYFUNCTION("""COMPUTED_VALUE"""),"https://github.com/bl00m-byte/TDS-Project-1")</f>
        <v>https://github.com/bl00m-byte/TDS-Project-1</v>
      </c>
      <c r="H313" s="3">
        <f t="shared" si="2"/>
        <v>8</v>
      </c>
      <c r="I313" s="3">
        <f t="shared" si="3"/>
        <v>0</v>
      </c>
      <c r="J313" s="3">
        <f t="shared" si="4"/>
        <v>6</v>
      </c>
      <c r="K313" s="3">
        <f t="shared" si="5"/>
        <v>0</v>
      </c>
      <c r="L313" s="7">
        <f t="shared" si="6"/>
        <v>2</v>
      </c>
      <c r="M313" s="7">
        <f t="shared" si="7"/>
        <v>0</v>
      </c>
      <c r="N313" s="7">
        <f t="shared" si="8"/>
        <v>4</v>
      </c>
    </row>
    <row r="314" hidden="1">
      <c r="B314" s="3" t="s">
        <v>620</v>
      </c>
      <c r="C314" s="5" t="s">
        <v>621</v>
      </c>
      <c r="D314" s="3">
        <v>10.0</v>
      </c>
      <c r="E314" s="3">
        <v>0.0</v>
      </c>
      <c r="F314" s="3">
        <f t="shared" si="1"/>
        <v>2</v>
      </c>
      <c r="G314" s="5" t="str">
        <f>IFERROR(__xludf.DUMMYFUNCTION("""COMPUTED_VALUE"""),"https://github.com/23f2004839/TDS-Project-1")</f>
        <v>https://github.com/23f2004839/TDS-Project-1</v>
      </c>
      <c r="H314" s="3">
        <f t="shared" si="2"/>
        <v>9</v>
      </c>
      <c r="I314" s="3">
        <f t="shared" si="3"/>
        <v>9</v>
      </c>
      <c r="J314" s="3">
        <f t="shared" si="4"/>
        <v>10</v>
      </c>
      <c r="K314" s="3">
        <f t="shared" si="5"/>
        <v>7</v>
      </c>
      <c r="L314" s="7">
        <f t="shared" si="6"/>
        <v>1</v>
      </c>
      <c r="M314" s="7">
        <f t="shared" si="7"/>
        <v>2</v>
      </c>
      <c r="N314" s="7">
        <f t="shared" si="8"/>
        <v>9</v>
      </c>
    </row>
    <row r="315" hidden="1">
      <c r="B315" s="3" t="s">
        <v>622</v>
      </c>
      <c r="C315" s="5" t="s">
        <v>529</v>
      </c>
      <c r="D315" s="3">
        <v>2.0</v>
      </c>
      <c r="E315" s="3">
        <v>7.0</v>
      </c>
      <c r="F315" s="3">
        <f t="shared" si="1"/>
        <v>1</v>
      </c>
      <c r="G315" s="5" t="str">
        <f>IFERROR(__xludf.DUMMYFUNCTION("""COMPUTED_VALUE"""),"https://github.com/mailkharshvardhan/chicago-developers-data")</f>
        <v>https://github.com/mailkharshvardhan/chicago-developers-data</v>
      </c>
      <c r="H315" s="3">
        <f t="shared" si="2"/>
        <v>5</v>
      </c>
      <c r="I315" s="3">
        <f t="shared" si="3"/>
        <v>0</v>
      </c>
      <c r="J315" s="3" t="str">
        <f t="shared" si="4"/>
        <v>No reviews</v>
      </c>
      <c r="K315" s="3" t="str">
        <f t="shared" si="5"/>
        <v>No reviews</v>
      </c>
      <c r="L315" s="7" t="str">
        <f t="shared" si="6"/>
        <v> </v>
      </c>
      <c r="M315" s="7" t="str">
        <f t="shared" si="7"/>
        <v> </v>
      </c>
      <c r="N315" s="7">
        <f t="shared" si="8"/>
        <v>2.5</v>
      </c>
    </row>
    <row r="316" hidden="1">
      <c r="B316" s="3" t="s">
        <v>623</v>
      </c>
      <c r="C316" s="5" t="s">
        <v>624</v>
      </c>
      <c r="D316" s="3">
        <v>9.0</v>
      </c>
      <c r="E316" s="3">
        <v>5.0</v>
      </c>
      <c r="F316" s="3">
        <f t="shared" si="1"/>
        <v>2</v>
      </c>
      <c r="G316" s="5" t="str">
        <f>IFERROR(__xludf.DUMMYFUNCTION("""COMPUTED_VALUE"""),"https://github.com/anjupbse91/TDS-Project1")</f>
        <v>https://github.com/anjupbse91/TDS-Project1</v>
      </c>
      <c r="H316" s="3">
        <f t="shared" si="2"/>
        <v>10</v>
      </c>
      <c r="I316" s="3">
        <f t="shared" si="3"/>
        <v>0</v>
      </c>
      <c r="J316" s="3">
        <f t="shared" si="4"/>
        <v>10</v>
      </c>
      <c r="K316" s="3">
        <f t="shared" si="5"/>
        <v>9</v>
      </c>
      <c r="L316" s="7">
        <f t="shared" si="6"/>
        <v>0</v>
      </c>
      <c r="M316" s="7">
        <f t="shared" si="7"/>
        <v>9</v>
      </c>
      <c r="N316" s="7">
        <f t="shared" si="8"/>
        <v>9.5</v>
      </c>
    </row>
    <row r="317" hidden="1">
      <c r="B317" s="3" t="s">
        <v>625</v>
      </c>
      <c r="C317" s="5" t="s">
        <v>184</v>
      </c>
      <c r="D317" s="3">
        <v>7.0</v>
      </c>
      <c r="E317" s="3">
        <v>9.0</v>
      </c>
      <c r="F317" s="3">
        <f t="shared" si="1"/>
        <v>2</v>
      </c>
      <c r="G317" s="5" t="str">
        <f>IFERROR(__xludf.DUMMYFUNCTION("""COMPUTED_VALUE"""),"https://github.com/Yashi-code/dublin-developer-data/tree/main")</f>
        <v>https://github.com/Yashi-code/dublin-developer-data/tree/main</v>
      </c>
      <c r="H317" s="3">
        <f t="shared" si="2"/>
        <v>7</v>
      </c>
      <c r="I317" s="3">
        <f t="shared" si="3"/>
        <v>10</v>
      </c>
      <c r="J317" s="3">
        <f t="shared" si="4"/>
        <v>6</v>
      </c>
      <c r="K317" s="3">
        <f t="shared" si="5"/>
        <v>9</v>
      </c>
      <c r="L317" s="7">
        <f t="shared" si="6"/>
        <v>1</v>
      </c>
      <c r="M317" s="7">
        <f t="shared" si="7"/>
        <v>1</v>
      </c>
      <c r="N317" s="7">
        <f t="shared" si="8"/>
        <v>8.5</v>
      </c>
    </row>
    <row r="318" hidden="1">
      <c r="B318" s="3" t="s">
        <v>626</v>
      </c>
      <c r="C318" s="5" t="s">
        <v>627</v>
      </c>
      <c r="D318" s="3">
        <v>10.0</v>
      </c>
      <c r="E318" s="3">
        <v>10.0</v>
      </c>
      <c r="F318" s="3">
        <f t="shared" si="1"/>
        <v>2</v>
      </c>
      <c r="G318" s="5" t="str">
        <f>IFERROR(__xludf.DUMMYFUNCTION("""COMPUTED_VALUE"""),"https://github.com/harrycode54/Stockholm100")</f>
        <v>https://github.com/harrycode54/Stockholm100</v>
      </c>
      <c r="H318" s="3">
        <f t="shared" si="2"/>
        <v>10</v>
      </c>
      <c r="I318" s="3">
        <f t="shared" si="3"/>
        <v>10</v>
      </c>
      <c r="J318" s="3">
        <f t="shared" si="4"/>
        <v>5</v>
      </c>
      <c r="K318" s="3">
        <f t="shared" si="5"/>
        <v>10</v>
      </c>
      <c r="L318" s="7">
        <f t="shared" si="6"/>
        <v>5</v>
      </c>
      <c r="M318" s="7">
        <f t="shared" si="7"/>
        <v>0</v>
      </c>
      <c r="N318" s="7">
        <f t="shared" si="8"/>
        <v>10</v>
      </c>
    </row>
    <row r="319" hidden="1">
      <c r="B319" s="3" t="s">
        <v>628</v>
      </c>
      <c r="C319" s="5" t="s">
        <v>629</v>
      </c>
      <c r="D319" s="3">
        <v>10.0</v>
      </c>
      <c r="E319" s="3">
        <v>8.0</v>
      </c>
      <c r="F319" s="3">
        <f t="shared" si="1"/>
        <v>2</v>
      </c>
      <c r="G319" s="5" t="str">
        <f>IFERROR(__xludf.DUMMYFUNCTION("""COMPUTED_VALUE"""),"https://github.com/Keshav22f2001196/TDS-project1")</f>
        <v>https://github.com/Keshav22f2001196/TDS-project1</v>
      </c>
      <c r="H319" s="3">
        <f t="shared" si="2"/>
        <v>4</v>
      </c>
      <c r="I319" s="3">
        <f t="shared" si="3"/>
        <v>4</v>
      </c>
      <c r="J319" s="3">
        <f t="shared" si="4"/>
        <v>8</v>
      </c>
      <c r="K319" s="3">
        <f t="shared" si="5"/>
        <v>9</v>
      </c>
      <c r="L319" s="7">
        <f t="shared" si="6"/>
        <v>4</v>
      </c>
      <c r="M319" s="7">
        <f t="shared" si="7"/>
        <v>5</v>
      </c>
      <c r="N319" s="7">
        <f t="shared" si="8"/>
        <v>8.5</v>
      </c>
    </row>
    <row r="320" hidden="1">
      <c r="B320" s="3" t="s">
        <v>630</v>
      </c>
      <c r="C320" s="5" t="s">
        <v>631</v>
      </c>
      <c r="D320" s="3">
        <v>7.0</v>
      </c>
      <c r="E320" s="3">
        <v>7.0</v>
      </c>
      <c r="F320" s="3">
        <f t="shared" si="1"/>
        <v>2</v>
      </c>
      <c r="G320" s="5" t="str">
        <f>IFERROR(__xludf.DUMMYFUNCTION("""COMPUTED_VALUE"""),"https://github.com/22f2001730/TDS_P1")</f>
        <v>https://github.com/22f2001730/TDS_P1</v>
      </c>
      <c r="H320" s="3">
        <f t="shared" si="2"/>
        <v>10</v>
      </c>
      <c r="I320" s="3">
        <f t="shared" si="3"/>
        <v>10</v>
      </c>
      <c r="J320" s="3">
        <f t="shared" si="4"/>
        <v>7</v>
      </c>
      <c r="K320" s="3">
        <f t="shared" si="5"/>
        <v>9</v>
      </c>
      <c r="L320" s="7">
        <f t="shared" si="6"/>
        <v>3</v>
      </c>
      <c r="M320" s="7">
        <f t="shared" si="7"/>
        <v>1</v>
      </c>
      <c r="N320" s="7">
        <f t="shared" si="8"/>
        <v>10</v>
      </c>
    </row>
    <row r="321" hidden="1">
      <c r="B321" s="3" t="s">
        <v>632</v>
      </c>
      <c r="C321" s="5" t="s">
        <v>633</v>
      </c>
      <c r="D321" s="3">
        <v>6.0</v>
      </c>
      <c r="E321" s="3">
        <v>4.0</v>
      </c>
      <c r="F321" s="3">
        <f t="shared" si="1"/>
        <v>1</v>
      </c>
      <c r="G321" s="5" t="str">
        <f>IFERROR(__xludf.DUMMYFUNCTION("""COMPUTED_VALUE"""),"https://github.com/shobhit8948/TDA-Project1")</f>
        <v>https://github.com/shobhit8948/TDA-Project1</v>
      </c>
      <c r="H321" s="3">
        <f t="shared" si="2"/>
        <v>9</v>
      </c>
      <c r="I321" s="3">
        <f t="shared" si="3"/>
        <v>10</v>
      </c>
      <c r="J321" s="3" t="str">
        <f t="shared" si="4"/>
        <v>No reviews</v>
      </c>
      <c r="K321" s="3" t="str">
        <f t="shared" si="5"/>
        <v>No reviews</v>
      </c>
      <c r="L321" s="7" t="str">
        <f t="shared" si="6"/>
        <v> </v>
      </c>
      <c r="M321" s="7" t="str">
        <f t="shared" si="7"/>
        <v> </v>
      </c>
      <c r="N321" s="7">
        <f t="shared" si="8"/>
        <v>9.5</v>
      </c>
    </row>
    <row r="322" hidden="1">
      <c r="B322" s="3" t="s">
        <v>634</v>
      </c>
      <c r="C322" s="5" t="s">
        <v>355</v>
      </c>
      <c r="D322" s="3">
        <v>10.0</v>
      </c>
      <c r="E322" s="3">
        <v>10.0</v>
      </c>
      <c r="F322" s="3">
        <f t="shared" si="1"/>
        <v>1</v>
      </c>
      <c r="G322" s="5" t="str">
        <f>IFERROR(__xludf.DUMMYFUNCTION("""COMPUTED_VALUE"""),"https://github.com/KanishkarIITM/Proj1")</f>
        <v>https://github.com/KanishkarIITM/Proj1</v>
      </c>
      <c r="H322" s="3">
        <f t="shared" si="2"/>
        <v>9</v>
      </c>
      <c r="I322" s="3">
        <f t="shared" si="3"/>
        <v>0</v>
      </c>
      <c r="J322" s="3" t="str">
        <f t="shared" si="4"/>
        <v>No reviews</v>
      </c>
      <c r="K322" s="3" t="str">
        <f t="shared" si="5"/>
        <v>No reviews</v>
      </c>
      <c r="L322" s="7" t="str">
        <f t="shared" si="6"/>
        <v> </v>
      </c>
      <c r="M322" s="7" t="str">
        <f t="shared" si="7"/>
        <v> </v>
      </c>
      <c r="N322" s="7">
        <f t="shared" si="8"/>
        <v>4.5</v>
      </c>
    </row>
    <row r="323" hidden="1">
      <c r="B323" s="3" t="s">
        <v>635</v>
      </c>
      <c r="C323" s="5" t="s">
        <v>636</v>
      </c>
      <c r="D323" s="3">
        <v>8.0</v>
      </c>
      <c r="E323" s="3">
        <v>0.0</v>
      </c>
      <c r="F323" s="3">
        <f t="shared" si="1"/>
        <v>1</v>
      </c>
      <c r="G323" s="5" t="str">
        <f>IFERROR(__xludf.DUMMYFUNCTION("""COMPUTED_VALUE"""),"https://github.com/Harshachowdary2012/Berlin-200-Analysis-TDS")</f>
        <v>https://github.com/Harshachowdary2012/Berlin-200-Analysis-TDS</v>
      </c>
      <c r="H323" s="3">
        <f t="shared" si="2"/>
        <v>9</v>
      </c>
      <c r="I323" s="3">
        <f t="shared" si="3"/>
        <v>8</v>
      </c>
      <c r="J323" s="3" t="str">
        <f t="shared" si="4"/>
        <v>No reviews</v>
      </c>
      <c r="K323" s="3" t="str">
        <f t="shared" si="5"/>
        <v>No reviews</v>
      </c>
      <c r="L323" s="7" t="str">
        <f t="shared" si="6"/>
        <v> </v>
      </c>
      <c r="M323" s="7" t="str">
        <f t="shared" si="7"/>
        <v> </v>
      </c>
      <c r="N323" s="7">
        <f t="shared" si="8"/>
        <v>8.5</v>
      </c>
    </row>
    <row r="324" hidden="1">
      <c r="B324" s="3" t="s">
        <v>637</v>
      </c>
      <c r="C324" s="5" t="s">
        <v>638</v>
      </c>
      <c r="D324" s="3">
        <v>0.0</v>
      </c>
      <c r="E324" s="3">
        <v>5.0</v>
      </c>
      <c r="F324" s="3">
        <f t="shared" si="1"/>
        <v>1</v>
      </c>
      <c r="G324" s="5" t="str">
        <f>IFERROR(__xludf.DUMMYFUNCTION("""COMPUTED_VALUE"""),"https://github.com/Bhaargavi29/Moscow-50-repo")</f>
        <v>https://github.com/Bhaargavi29/Moscow-50-repo</v>
      </c>
      <c r="H324" s="3">
        <f t="shared" si="2"/>
        <v>3</v>
      </c>
      <c r="I324" s="3">
        <f t="shared" si="3"/>
        <v>8</v>
      </c>
      <c r="J324" s="3" t="str">
        <f t="shared" si="4"/>
        <v>No reviews</v>
      </c>
      <c r="K324" s="3" t="str">
        <f t="shared" si="5"/>
        <v>No reviews</v>
      </c>
      <c r="L324" s="7" t="str">
        <f t="shared" si="6"/>
        <v> </v>
      </c>
      <c r="M324" s="7" t="str">
        <f t="shared" si="7"/>
        <v> </v>
      </c>
      <c r="N324" s="7">
        <f t="shared" si="8"/>
        <v>5.5</v>
      </c>
    </row>
    <row r="325" hidden="1">
      <c r="B325" s="3" t="s">
        <v>639</v>
      </c>
      <c r="C325" s="5" t="s">
        <v>640</v>
      </c>
      <c r="D325" s="3">
        <v>1.0</v>
      </c>
      <c r="E325" s="3">
        <v>8.0</v>
      </c>
      <c r="F325" s="3">
        <f t="shared" si="1"/>
        <v>1</v>
      </c>
      <c r="G325" s="5" t="str">
        <f>IFERROR(__xludf.DUMMYFUNCTION("""COMPUTED_VALUE"""),"https://github.com/SharmilSrivathsa/TDS-Project-1")</f>
        <v>https://github.com/SharmilSrivathsa/TDS-Project-1</v>
      </c>
      <c r="H325" s="3">
        <f t="shared" si="2"/>
        <v>10</v>
      </c>
      <c r="I325" s="3">
        <f t="shared" si="3"/>
        <v>10</v>
      </c>
      <c r="J325" s="3" t="str">
        <f t="shared" si="4"/>
        <v>No reviews</v>
      </c>
      <c r="K325" s="3" t="str">
        <f t="shared" si="5"/>
        <v>No reviews</v>
      </c>
      <c r="L325" s="7" t="str">
        <f t="shared" si="6"/>
        <v> </v>
      </c>
      <c r="M325" s="7" t="str">
        <f t="shared" si="7"/>
        <v> </v>
      </c>
      <c r="N325" s="7">
        <f t="shared" si="8"/>
        <v>10</v>
      </c>
    </row>
    <row r="326" hidden="1">
      <c r="B326" s="3" t="s">
        <v>641</v>
      </c>
      <c r="C326" s="5" t="s">
        <v>181</v>
      </c>
      <c r="D326" s="3">
        <v>9.0</v>
      </c>
      <c r="E326" s="3">
        <v>10.0</v>
      </c>
      <c r="F326" s="3">
        <f t="shared" si="1"/>
        <v>1</v>
      </c>
      <c r="G326" s="5" t="str">
        <f>IFERROR(__xludf.DUMMYFUNCTION("""COMPUTED_VALUE"""),"https://github.com/Reena-Ydv/TDS")</f>
        <v>https://github.com/Reena-Ydv/TDS</v>
      </c>
      <c r="H326" s="3">
        <f t="shared" si="2"/>
        <v>10</v>
      </c>
      <c r="I326" s="3">
        <f t="shared" si="3"/>
        <v>10</v>
      </c>
      <c r="J326" s="3" t="str">
        <f t="shared" si="4"/>
        <v>No reviews</v>
      </c>
      <c r="K326" s="3" t="str">
        <f t="shared" si="5"/>
        <v>No reviews</v>
      </c>
      <c r="L326" s="7" t="str">
        <f t="shared" si="6"/>
        <v> </v>
      </c>
      <c r="M326" s="7" t="str">
        <f t="shared" si="7"/>
        <v> </v>
      </c>
      <c r="N326" s="7">
        <f t="shared" si="8"/>
        <v>10</v>
      </c>
    </row>
    <row r="327" hidden="1">
      <c r="B327" s="3" t="s">
        <v>642</v>
      </c>
      <c r="C327" s="5" t="s">
        <v>251</v>
      </c>
      <c r="D327" s="3">
        <v>10.0</v>
      </c>
      <c r="E327" s="3">
        <v>10.0</v>
      </c>
      <c r="F327" s="3">
        <f t="shared" si="1"/>
        <v>1</v>
      </c>
      <c r="G327" s="5" t="str">
        <f>IFERROR(__xludf.DUMMYFUNCTION("""COMPUTED_VALUE"""),"https://github.com/ankit-ksh/tds_mini_project_i")</f>
        <v>https://github.com/ankit-ksh/tds_mini_project_i</v>
      </c>
      <c r="H327" s="3">
        <f t="shared" si="2"/>
        <v>2</v>
      </c>
      <c r="I327" s="3">
        <f t="shared" si="3"/>
        <v>0</v>
      </c>
      <c r="J327" s="3" t="str">
        <f t="shared" si="4"/>
        <v>No reviews</v>
      </c>
      <c r="K327" s="3" t="str">
        <f t="shared" si="5"/>
        <v>No reviews</v>
      </c>
      <c r="L327" s="7" t="str">
        <f t="shared" si="6"/>
        <v> </v>
      </c>
      <c r="M327" s="7" t="str">
        <f t="shared" si="7"/>
        <v> </v>
      </c>
      <c r="N327" s="7">
        <f t="shared" si="8"/>
        <v>1</v>
      </c>
    </row>
    <row r="328" hidden="1">
      <c r="B328" s="3" t="s">
        <v>643</v>
      </c>
      <c r="C328" s="5" t="s">
        <v>644</v>
      </c>
      <c r="D328" s="3">
        <v>8.0</v>
      </c>
      <c r="E328" s="3">
        <v>8.0</v>
      </c>
      <c r="F328" s="3">
        <f t="shared" si="1"/>
        <v>2</v>
      </c>
      <c r="G328" s="5" t="str">
        <f>IFERROR(__xludf.DUMMYFUNCTION("""COMPUTED_VALUE"""),"https://github.com/sanskar-gupta206/TDS_P1")</f>
        <v>https://github.com/sanskar-gupta206/TDS_P1</v>
      </c>
      <c r="H328" s="3">
        <f t="shared" si="2"/>
        <v>10</v>
      </c>
      <c r="I328" s="3">
        <f t="shared" si="3"/>
        <v>10</v>
      </c>
      <c r="J328" s="3">
        <f t="shared" si="4"/>
        <v>9</v>
      </c>
      <c r="K328" s="3">
        <f t="shared" si="5"/>
        <v>10</v>
      </c>
      <c r="L328" s="7">
        <f t="shared" si="6"/>
        <v>1</v>
      </c>
      <c r="M328" s="7">
        <f t="shared" si="7"/>
        <v>0</v>
      </c>
      <c r="N328" s="7">
        <f t="shared" si="8"/>
        <v>10</v>
      </c>
    </row>
    <row r="329" hidden="1">
      <c r="B329" s="3" t="s">
        <v>645</v>
      </c>
      <c r="C329" s="5" t="s">
        <v>369</v>
      </c>
      <c r="D329" s="3">
        <v>10.0</v>
      </c>
      <c r="E329" s="3">
        <v>10.0</v>
      </c>
      <c r="F329" s="3">
        <f t="shared" si="1"/>
        <v>2</v>
      </c>
      <c r="G329" s="5" t="str">
        <f>IFERROR(__xludf.DUMMYFUNCTION("""COMPUTED_VALUE"""),"https://github.com/m55d/P1_md")</f>
        <v>https://github.com/m55d/P1_md</v>
      </c>
      <c r="H329" s="3">
        <f t="shared" si="2"/>
        <v>7</v>
      </c>
      <c r="I329" s="3">
        <f t="shared" si="3"/>
        <v>8</v>
      </c>
      <c r="J329" s="3">
        <f t="shared" si="4"/>
        <v>2</v>
      </c>
      <c r="K329" s="3">
        <f t="shared" si="5"/>
        <v>10</v>
      </c>
      <c r="L329" s="7">
        <f t="shared" si="6"/>
        <v>5</v>
      </c>
      <c r="M329" s="7">
        <f t="shared" si="7"/>
        <v>2</v>
      </c>
      <c r="N329" s="7">
        <f t="shared" si="8"/>
        <v>7.5</v>
      </c>
    </row>
    <row r="330" hidden="1">
      <c r="B330" s="3" t="s">
        <v>646</v>
      </c>
      <c r="C330" s="5" t="s">
        <v>573</v>
      </c>
      <c r="D330" s="3">
        <v>2.0</v>
      </c>
      <c r="E330" s="3">
        <v>0.0</v>
      </c>
      <c r="F330" s="3">
        <f t="shared" si="1"/>
        <v>2</v>
      </c>
      <c r="G330" s="5" t="str">
        <f>IFERROR(__xludf.DUMMYFUNCTION("""COMPUTED_VALUE"""),"https://github.com/AbayNandhiga-iitm/tokyo-github-users")</f>
        <v>https://github.com/AbayNandhiga-iitm/tokyo-github-users</v>
      </c>
      <c r="H330" s="3">
        <f t="shared" si="2"/>
        <v>10</v>
      </c>
      <c r="I330" s="3">
        <f t="shared" si="3"/>
        <v>8</v>
      </c>
      <c r="J330" s="3">
        <f t="shared" si="4"/>
        <v>8</v>
      </c>
      <c r="K330" s="3">
        <f t="shared" si="5"/>
        <v>8</v>
      </c>
      <c r="L330" s="7">
        <f t="shared" si="6"/>
        <v>2</v>
      </c>
      <c r="M330" s="7">
        <f t="shared" si="7"/>
        <v>0</v>
      </c>
      <c r="N330" s="7">
        <f t="shared" si="8"/>
        <v>9</v>
      </c>
    </row>
    <row r="331" hidden="1">
      <c r="B331" s="3" t="s">
        <v>647</v>
      </c>
      <c r="C331" s="5" t="s">
        <v>648</v>
      </c>
      <c r="D331" s="3">
        <v>5.0</v>
      </c>
      <c r="E331" s="3">
        <v>9.0</v>
      </c>
      <c r="F331" s="3">
        <f t="shared" si="1"/>
        <v>1</v>
      </c>
      <c r="G331" s="5" t="str">
        <f>IFERROR(__xludf.DUMMYFUNCTION("""COMPUTED_VALUE"""),"https://github.com/Mimansa5227/project1")</f>
        <v>https://github.com/Mimansa5227/project1</v>
      </c>
      <c r="H331" s="3">
        <f t="shared" si="2"/>
        <v>9</v>
      </c>
      <c r="I331" s="3">
        <f t="shared" si="3"/>
        <v>8</v>
      </c>
      <c r="J331" s="3" t="str">
        <f t="shared" si="4"/>
        <v>No reviews</v>
      </c>
      <c r="K331" s="3" t="str">
        <f t="shared" si="5"/>
        <v>No reviews</v>
      </c>
      <c r="L331" s="7" t="str">
        <f t="shared" si="6"/>
        <v> </v>
      </c>
      <c r="M331" s="7" t="str">
        <f t="shared" si="7"/>
        <v> </v>
      </c>
      <c r="N331" s="7">
        <f t="shared" si="8"/>
        <v>8.5</v>
      </c>
    </row>
    <row r="332" hidden="1">
      <c r="B332" s="3" t="s">
        <v>649</v>
      </c>
      <c r="C332" s="5" t="s">
        <v>310</v>
      </c>
      <c r="D332" s="3">
        <v>0.0</v>
      </c>
      <c r="E332" s="3">
        <v>10.0</v>
      </c>
      <c r="F332" s="3">
        <f t="shared" si="1"/>
        <v>1</v>
      </c>
      <c r="G332" s="5" t="str">
        <f>IFERROR(__xludf.DUMMYFUNCTION("""COMPUTED_VALUE"""),"https://github.com/rrawatt/Melbourne-100")</f>
        <v>https://github.com/rrawatt/Melbourne-100</v>
      </c>
      <c r="H332" s="3">
        <f t="shared" si="2"/>
        <v>9</v>
      </c>
      <c r="I332" s="3">
        <f t="shared" si="3"/>
        <v>9</v>
      </c>
      <c r="J332" s="3" t="str">
        <f t="shared" si="4"/>
        <v>No reviews</v>
      </c>
      <c r="K332" s="3" t="str">
        <f t="shared" si="5"/>
        <v>No reviews</v>
      </c>
      <c r="L332" s="7" t="str">
        <f t="shared" si="6"/>
        <v> </v>
      </c>
      <c r="M332" s="7" t="str">
        <f t="shared" si="7"/>
        <v> </v>
      </c>
      <c r="N332" s="7">
        <f t="shared" si="8"/>
        <v>9</v>
      </c>
    </row>
    <row r="333" hidden="1">
      <c r="B333" s="3" t="s">
        <v>650</v>
      </c>
      <c r="C333" s="5" t="s">
        <v>342</v>
      </c>
      <c r="D333" s="3">
        <v>5.0</v>
      </c>
      <c r="E333" s="3">
        <v>0.0</v>
      </c>
      <c r="F333" s="3">
        <f t="shared" si="1"/>
        <v>2</v>
      </c>
      <c r="G333" s="5" t="str">
        <f>IFERROR(__xludf.DUMMYFUNCTION("""COMPUTED_VALUE"""),"https://github.com/Aravindh-18/Project1")</f>
        <v>https://github.com/Aravindh-18/Project1</v>
      </c>
      <c r="H333" s="3">
        <f t="shared" si="2"/>
        <v>6</v>
      </c>
      <c r="I333" s="3">
        <f t="shared" si="3"/>
        <v>9</v>
      </c>
      <c r="J333" s="3">
        <f t="shared" si="4"/>
        <v>9</v>
      </c>
      <c r="K333" s="3">
        <f t="shared" si="5"/>
        <v>10</v>
      </c>
      <c r="L333" s="7">
        <f t="shared" si="6"/>
        <v>3</v>
      </c>
      <c r="M333" s="7">
        <f t="shared" si="7"/>
        <v>1</v>
      </c>
      <c r="N333" s="7">
        <f t="shared" si="8"/>
        <v>9.5</v>
      </c>
    </row>
    <row r="334" hidden="1">
      <c r="B334" s="3" t="s">
        <v>651</v>
      </c>
      <c r="C334" s="5" t="s">
        <v>196</v>
      </c>
      <c r="D334" s="3">
        <v>6.0</v>
      </c>
      <c r="E334" s="3">
        <v>0.0</v>
      </c>
      <c r="F334" s="3">
        <f t="shared" si="1"/>
        <v>1</v>
      </c>
      <c r="G334" s="5" t="str">
        <f>IFERROR(__xludf.DUMMYFUNCTION("""COMPUTED_VALUE"""),"https://github.com/RachitGupta4102/TDS-project")</f>
        <v>https://github.com/RachitGupta4102/TDS-project</v>
      </c>
      <c r="H334" s="3">
        <f t="shared" si="2"/>
        <v>0</v>
      </c>
      <c r="I334" s="3">
        <f t="shared" si="3"/>
        <v>0</v>
      </c>
      <c r="J334" s="3" t="str">
        <f t="shared" si="4"/>
        <v>No reviews</v>
      </c>
      <c r="K334" s="3" t="str">
        <f t="shared" si="5"/>
        <v>No reviews</v>
      </c>
      <c r="L334" s="7" t="str">
        <f t="shared" si="6"/>
        <v> </v>
      </c>
      <c r="M334" s="7" t="str">
        <f t="shared" si="7"/>
        <v> </v>
      </c>
      <c r="N334" s="7">
        <f t="shared" si="8"/>
        <v>0</v>
      </c>
    </row>
    <row r="335" hidden="1">
      <c r="B335" s="3" t="s">
        <v>652</v>
      </c>
      <c r="C335" s="5" t="s">
        <v>653</v>
      </c>
      <c r="D335" s="3">
        <v>8.0</v>
      </c>
      <c r="E335" s="3">
        <v>8.0</v>
      </c>
      <c r="F335" s="3">
        <f t="shared" si="1"/>
        <v>2</v>
      </c>
      <c r="G335" s="5" t="str">
        <f>IFERROR(__xludf.DUMMYFUNCTION("""COMPUTED_VALUE"""),"https://github.com/Gaurangi2712/TDS_proj1")</f>
        <v>https://github.com/Gaurangi2712/TDS_proj1</v>
      </c>
      <c r="H335" s="3">
        <f t="shared" si="2"/>
        <v>7</v>
      </c>
      <c r="I335" s="3">
        <f t="shared" si="3"/>
        <v>8</v>
      </c>
      <c r="J335" s="3">
        <f t="shared" si="4"/>
        <v>8</v>
      </c>
      <c r="K335" s="3">
        <f t="shared" si="5"/>
        <v>8</v>
      </c>
      <c r="L335" s="7">
        <f t="shared" si="6"/>
        <v>1</v>
      </c>
      <c r="M335" s="7">
        <f t="shared" si="7"/>
        <v>0</v>
      </c>
      <c r="N335" s="7">
        <f t="shared" si="8"/>
        <v>8</v>
      </c>
    </row>
    <row r="336" hidden="1">
      <c r="B336" s="3" t="s">
        <v>654</v>
      </c>
      <c r="C336" s="5" t="s">
        <v>495</v>
      </c>
      <c r="D336" s="3">
        <v>10.0</v>
      </c>
      <c r="E336" s="3">
        <v>0.0</v>
      </c>
      <c r="F336" s="3">
        <f t="shared" si="1"/>
        <v>2</v>
      </c>
      <c r="G336" s="5" t="str">
        <f>IFERROR(__xludf.DUMMYFUNCTION("""COMPUTED_VALUE"""),"https://github.com/22f3000350/22f3000350-TDS-Project-1")</f>
        <v>https://github.com/22f3000350/22f3000350-TDS-Project-1</v>
      </c>
      <c r="H336" s="3">
        <f t="shared" si="2"/>
        <v>10</v>
      </c>
      <c r="I336" s="3">
        <f t="shared" si="3"/>
        <v>10</v>
      </c>
      <c r="J336" s="3">
        <f t="shared" si="4"/>
        <v>7</v>
      </c>
      <c r="K336" s="3">
        <f t="shared" si="5"/>
        <v>8</v>
      </c>
      <c r="L336" s="7">
        <f t="shared" si="6"/>
        <v>3</v>
      </c>
      <c r="M336" s="7">
        <f t="shared" si="7"/>
        <v>2</v>
      </c>
      <c r="N336" s="7">
        <f t="shared" si="8"/>
        <v>10</v>
      </c>
    </row>
    <row r="337" hidden="1">
      <c r="B337" s="3" t="s">
        <v>655</v>
      </c>
      <c r="C337" s="5" t="s">
        <v>656</v>
      </c>
      <c r="D337" s="3">
        <v>9.0</v>
      </c>
      <c r="E337" s="3">
        <v>10.0</v>
      </c>
      <c r="F337" s="3">
        <f t="shared" si="1"/>
        <v>1</v>
      </c>
      <c r="G337" s="5" t="str">
        <f>IFERROR(__xludf.DUMMYFUNCTION("""COMPUTED_VALUE"""),"https://github.com/23f1001535/Melbourne_100")</f>
        <v>https://github.com/23f1001535/Melbourne_100</v>
      </c>
      <c r="H337" s="3">
        <f t="shared" si="2"/>
        <v>9</v>
      </c>
      <c r="I337" s="3">
        <f t="shared" si="3"/>
        <v>0</v>
      </c>
      <c r="J337" s="3" t="str">
        <f t="shared" si="4"/>
        <v>No reviews</v>
      </c>
      <c r="K337" s="3" t="str">
        <f t="shared" si="5"/>
        <v>No reviews</v>
      </c>
      <c r="L337" s="7" t="str">
        <f t="shared" si="6"/>
        <v> </v>
      </c>
      <c r="M337" s="7" t="str">
        <f t="shared" si="7"/>
        <v> </v>
      </c>
      <c r="N337" s="7">
        <f t="shared" si="8"/>
        <v>4.5</v>
      </c>
    </row>
    <row r="338" hidden="1">
      <c r="B338" s="3" t="s">
        <v>657</v>
      </c>
      <c r="C338" s="5" t="s">
        <v>658</v>
      </c>
      <c r="D338" s="3">
        <v>0.0</v>
      </c>
      <c r="E338" s="3">
        <v>0.0</v>
      </c>
      <c r="F338" s="3">
        <f t="shared" si="1"/>
        <v>2</v>
      </c>
      <c r="G338" s="5" t="str">
        <f>IFERROR(__xludf.DUMMYFUNCTION("""COMPUTED_VALUE"""),"https://github.com/devansh-dotcom/tdsproject1-")</f>
        <v>https://github.com/devansh-dotcom/tdsproject1-</v>
      </c>
      <c r="H338" s="3">
        <f t="shared" si="2"/>
        <v>10</v>
      </c>
      <c r="I338" s="3">
        <f t="shared" si="3"/>
        <v>10</v>
      </c>
      <c r="J338" s="3">
        <f t="shared" si="4"/>
        <v>8</v>
      </c>
      <c r="K338" s="3">
        <f t="shared" si="5"/>
        <v>8</v>
      </c>
      <c r="L338" s="7">
        <f t="shared" si="6"/>
        <v>2</v>
      </c>
      <c r="M338" s="7">
        <f t="shared" si="7"/>
        <v>2</v>
      </c>
      <c r="N338" s="7">
        <f t="shared" si="8"/>
        <v>10</v>
      </c>
    </row>
    <row r="339" hidden="1">
      <c r="B339" s="3" t="s">
        <v>659</v>
      </c>
      <c r="C339" s="5" t="s">
        <v>99</v>
      </c>
      <c r="D339" s="3">
        <v>10.0</v>
      </c>
      <c r="E339" s="3">
        <v>10.0</v>
      </c>
      <c r="F339" s="3">
        <f t="shared" si="1"/>
        <v>1</v>
      </c>
      <c r="G339" s="5" t="str">
        <f>IFERROR(__xludf.DUMMYFUNCTION("""COMPUTED_VALUE"""),"https://github.com/Akashkunwar/TDS-Project-1")</f>
        <v>https://github.com/Akashkunwar/TDS-Project-1</v>
      </c>
      <c r="H339" s="3">
        <f t="shared" si="2"/>
        <v>0</v>
      </c>
      <c r="I339" s="3">
        <f t="shared" si="3"/>
        <v>5</v>
      </c>
      <c r="J339" s="3" t="str">
        <f t="shared" si="4"/>
        <v>No reviews</v>
      </c>
      <c r="K339" s="3" t="str">
        <f t="shared" si="5"/>
        <v>No reviews</v>
      </c>
      <c r="L339" s="7" t="str">
        <f t="shared" si="6"/>
        <v> </v>
      </c>
      <c r="M339" s="7" t="str">
        <f t="shared" si="7"/>
        <v> </v>
      </c>
      <c r="N339" s="7">
        <f t="shared" si="8"/>
        <v>2.5</v>
      </c>
    </row>
    <row r="340" hidden="1">
      <c r="B340" s="3" t="s">
        <v>660</v>
      </c>
      <c r="C340" s="5" t="s">
        <v>648</v>
      </c>
      <c r="D340" s="3">
        <v>10.0</v>
      </c>
      <c r="E340" s="3">
        <v>10.0</v>
      </c>
      <c r="F340" s="3">
        <f t="shared" si="1"/>
        <v>1</v>
      </c>
      <c r="G340" s="5" t="str">
        <f>IFERROR(__xludf.DUMMYFUNCTION("""COMPUTED_VALUE"""),"https://github.com/adityalearnsdata/Project-1")</f>
        <v>https://github.com/adityalearnsdata/Project-1</v>
      </c>
      <c r="H340" s="3">
        <f t="shared" si="2"/>
        <v>7</v>
      </c>
      <c r="I340" s="3">
        <f t="shared" si="3"/>
        <v>10</v>
      </c>
      <c r="J340" s="3" t="str">
        <f t="shared" si="4"/>
        <v>No reviews</v>
      </c>
      <c r="K340" s="3" t="str">
        <f t="shared" si="5"/>
        <v>No reviews</v>
      </c>
      <c r="L340" s="7" t="str">
        <f t="shared" si="6"/>
        <v> </v>
      </c>
      <c r="M340" s="7" t="str">
        <f t="shared" si="7"/>
        <v> </v>
      </c>
      <c r="N340" s="7">
        <f t="shared" si="8"/>
        <v>8.5</v>
      </c>
    </row>
    <row r="341" hidden="1">
      <c r="B341" s="3" t="s">
        <v>661</v>
      </c>
      <c r="C341" s="5" t="s">
        <v>202</v>
      </c>
      <c r="D341" s="3">
        <v>0.0</v>
      </c>
      <c r="E341" s="3">
        <v>8.0</v>
      </c>
      <c r="F341" s="3">
        <f t="shared" si="1"/>
        <v>2</v>
      </c>
      <c r="G341" s="5" t="str">
        <f>IFERROR(__xludf.DUMMYFUNCTION("""COMPUTED_VALUE"""),"https://github.com/tuxdna/tds-project1")</f>
        <v>https://github.com/tuxdna/tds-project1</v>
      </c>
      <c r="H341" s="3">
        <f t="shared" si="2"/>
        <v>8</v>
      </c>
      <c r="I341" s="3">
        <f t="shared" si="3"/>
        <v>7</v>
      </c>
      <c r="J341" s="3">
        <f t="shared" si="4"/>
        <v>8</v>
      </c>
      <c r="K341" s="3">
        <f t="shared" si="5"/>
        <v>8</v>
      </c>
      <c r="L341" s="7">
        <f t="shared" si="6"/>
        <v>0</v>
      </c>
      <c r="M341" s="7">
        <f t="shared" si="7"/>
        <v>1</v>
      </c>
      <c r="N341" s="7">
        <f t="shared" si="8"/>
        <v>8</v>
      </c>
    </row>
    <row r="342" hidden="1">
      <c r="B342" s="3" t="s">
        <v>662</v>
      </c>
      <c r="C342" s="5" t="s">
        <v>115</v>
      </c>
      <c r="D342" s="3">
        <v>8.0</v>
      </c>
      <c r="E342" s="3">
        <v>9.0</v>
      </c>
      <c r="F342" s="3">
        <f t="shared" si="1"/>
        <v>1</v>
      </c>
      <c r="G342" s="5" t="str">
        <f>IFERROR(__xludf.DUMMYFUNCTION("""COMPUTED_VALUE"""),"https://github.com/AswinBala007/IITM_TDS_PROJECT1")</f>
        <v>https://github.com/AswinBala007/IITM_TDS_PROJECT1</v>
      </c>
      <c r="H342" s="3">
        <f t="shared" si="2"/>
        <v>7</v>
      </c>
      <c r="I342" s="3">
        <f t="shared" si="3"/>
        <v>8</v>
      </c>
      <c r="J342" s="3" t="str">
        <f t="shared" si="4"/>
        <v>No reviews</v>
      </c>
      <c r="K342" s="3" t="str">
        <f t="shared" si="5"/>
        <v>No reviews</v>
      </c>
      <c r="L342" s="7" t="str">
        <f t="shared" si="6"/>
        <v> </v>
      </c>
      <c r="M342" s="7" t="str">
        <f t="shared" si="7"/>
        <v> </v>
      </c>
      <c r="N342" s="7">
        <f t="shared" si="8"/>
        <v>7.5</v>
      </c>
    </row>
    <row r="343" hidden="1">
      <c r="B343" s="3" t="s">
        <v>663</v>
      </c>
      <c r="C343" s="5" t="s">
        <v>664</v>
      </c>
      <c r="D343" s="3">
        <v>8.0</v>
      </c>
      <c r="E343" s="3">
        <v>8.0</v>
      </c>
      <c r="F343" s="3">
        <f t="shared" si="1"/>
        <v>2</v>
      </c>
      <c r="G343" s="5" t="str">
        <f>IFERROR(__xludf.DUMMYFUNCTION("""COMPUTED_VALUE"""),"https://github.com/subhajit2001/TDSProject1")</f>
        <v>https://github.com/subhajit2001/TDSProject1</v>
      </c>
      <c r="H343" s="3">
        <f t="shared" si="2"/>
        <v>9</v>
      </c>
      <c r="I343" s="3">
        <f t="shared" si="3"/>
        <v>10</v>
      </c>
      <c r="J343" s="3">
        <f t="shared" si="4"/>
        <v>9</v>
      </c>
      <c r="K343" s="3">
        <f t="shared" si="5"/>
        <v>9</v>
      </c>
      <c r="L343" s="7">
        <f t="shared" si="6"/>
        <v>0</v>
      </c>
      <c r="M343" s="7">
        <f t="shared" si="7"/>
        <v>1</v>
      </c>
      <c r="N343" s="7">
        <f t="shared" si="8"/>
        <v>9.5</v>
      </c>
    </row>
    <row r="344" hidden="1">
      <c r="B344" s="3" t="s">
        <v>665</v>
      </c>
      <c r="C344" s="5" t="s">
        <v>590</v>
      </c>
      <c r="D344" s="3">
        <v>10.0</v>
      </c>
      <c r="E344" s="3">
        <v>8.0</v>
      </c>
      <c r="F344" s="3">
        <f t="shared" si="1"/>
        <v>2</v>
      </c>
      <c r="G344" s="5" t="str">
        <f>IFERROR(__xludf.DUMMYFUNCTION("""COMPUTED_VALUE"""),"https://github.com/Hritik-Shyam-Gupta/TDS-Project1")</f>
        <v>https://github.com/Hritik-Shyam-Gupta/TDS-Project1</v>
      </c>
      <c r="H344" s="3">
        <f t="shared" si="2"/>
        <v>9</v>
      </c>
      <c r="I344" s="3">
        <f t="shared" si="3"/>
        <v>9</v>
      </c>
      <c r="J344" s="3">
        <f t="shared" si="4"/>
        <v>10</v>
      </c>
      <c r="K344" s="3">
        <f t="shared" si="5"/>
        <v>10</v>
      </c>
      <c r="L344" s="7">
        <f t="shared" si="6"/>
        <v>1</v>
      </c>
      <c r="M344" s="7">
        <f t="shared" si="7"/>
        <v>1</v>
      </c>
      <c r="N344" s="7">
        <f t="shared" si="8"/>
        <v>10</v>
      </c>
    </row>
    <row r="345" hidden="1">
      <c r="B345" s="3" t="s">
        <v>666</v>
      </c>
      <c r="C345" s="5" t="s">
        <v>619</v>
      </c>
      <c r="D345" s="3">
        <v>0.0</v>
      </c>
      <c r="E345" s="3">
        <v>10.0</v>
      </c>
      <c r="F345" s="3">
        <f t="shared" si="1"/>
        <v>1</v>
      </c>
      <c r="G345" s="5" t="str">
        <f>IFERROR(__xludf.DUMMYFUNCTION("""COMPUTED_VALUE"""),"https://github.com/querulous-virgo/GitHubAPI/blob/main/users.csv")</f>
        <v>https://github.com/querulous-virgo/GitHubAPI/blob/main/users.csv</v>
      </c>
      <c r="H345" s="3">
        <f t="shared" si="2"/>
        <v>10</v>
      </c>
      <c r="I345" s="3">
        <f t="shared" si="3"/>
        <v>10</v>
      </c>
      <c r="J345" s="3" t="str">
        <f t="shared" si="4"/>
        <v>No reviews</v>
      </c>
      <c r="K345" s="3" t="str">
        <f t="shared" si="5"/>
        <v>No reviews</v>
      </c>
      <c r="L345" s="7" t="str">
        <f t="shared" si="6"/>
        <v> </v>
      </c>
      <c r="M345" s="7" t="str">
        <f t="shared" si="7"/>
        <v> </v>
      </c>
      <c r="N345" s="7">
        <f t="shared" si="8"/>
        <v>10</v>
      </c>
    </row>
    <row r="346" hidden="1">
      <c r="B346" s="3" t="s">
        <v>667</v>
      </c>
      <c r="C346" s="5" t="s">
        <v>668</v>
      </c>
      <c r="D346" s="3">
        <v>10.0</v>
      </c>
      <c r="E346" s="3">
        <v>10.0</v>
      </c>
      <c r="F346" s="3">
        <f t="shared" si="1"/>
        <v>1</v>
      </c>
      <c r="G346" s="5" t="str">
        <f>IFERROR(__xludf.DUMMYFUNCTION("""COMPUTED_VALUE"""),"https://github.com/1yadavsid/tds-project-1")</f>
        <v>https://github.com/1yadavsid/tds-project-1</v>
      </c>
      <c r="H346" s="3">
        <f t="shared" si="2"/>
        <v>7</v>
      </c>
      <c r="I346" s="3">
        <f t="shared" si="3"/>
        <v>5</v>
      </c>
      <c r="J346" s="3" t="str">
        <f t="shared" si="4"/>
        <v>No reviews</v>
      </c>
      <c r="K346" s="3" t="str">
        <f t="shared" si="5"/>
        <v>No reviews</v>
      </c>
      <c r="L346" s="7" t="str">
        <f t="shared" si="6"/>
        <v> </v>
      </c>
      <c r="M346" s="7" t="str">
        <f t="shared" si="7"/>
        <v> </v>
      </c>
      <c r="N346" s="7">
        <f t="shared" si="8"/>
        <v>6</v>
      </c>
    </row>
    <row r="347" hidden="1">
      <c r="B347" s="3" t="s">
        <v>669</v>
      </c>
      <c r="C347" s="5" t="s">
        <v>610</v>
      </c>
      <c r="D347" s="3">
        <v>10.0</v>
      </c>
      <c r="E347" s="3">
        <v>10.0</v>
      </c>
      <c r="F347" s="3">
        <f t="shared" si="1"/>
        <v>1</v>
      </c>
      <c r="G347" s="5" t="str">
        <f>IFERROR(__xludf.DUMMYFUNCTION("""COMPUTED_VALUE"""),"https://github.com/Kanishk90/Project1")</f>
        <v>https://github.com/Kanishk90/Project1</v>
      </c>
      <c r="H347" s="3">
        <f t="shared" si="2"/>
        <v>10</v>
      </c>
      <c r="I347" s="3">
        <f t="shared" si="3"/>
        <v>8</v>
      </c>
      <c r="J347" s="3" t="str">
        <f t="shared" si="4"/>
        <v>No reviews</v>
      </c>
      <c r="K347" s="3" t="str">
        <f t="shared" si="5"/>
        <v>No reviews</v>
      </c>
      <c r="L347" s="7" t="str">
        <f t="shared" si="6"/>
        <v> </v>
      </c>
      <c r="M347" s="7" t="str">
        <f t="shared" si="7"/>
        <v> </v>
      </c>
      <c r="N347" s="7">
        <f t="shared" si="8"/>
        <v>9</v>
      </c>
    </row>
    <row r="348" hidden="1">
      <c r="B348" s="3" t="s">
        <v>670</v>
      </c>
      <c r="C348" s="5" t="s">
        <v>304</v>
      </c>
      <c r="D348" s="3">
        <v>10.0</v>
      </c>
      <c r="E348" s="3">
        <v>0.0</v>
      </c>
      <c r="F348" s="3">
        <f t="shared" si="1"/>
        <v>1</v>
      </c>
      <c r="G348" s="5" t="str">
        <f>IFERROR(__xludf.DUMMYFUNCTION("""COMPUTED_VALUE"""),"https://github.com/23f1001663/TDS-QUIZ-1")</f>
        <v>https://github.com/23f1001663/TDS-QUIZ-1</v>
      </c>
      <c r="H348" s="3">
        <f t="shared" si="2"/>
        <v>10</v>
      </c>
      <c r="I348" s="3">
        <f t="shared" si="3"/>
        <v>10</v>
      </c>
      <c r="J348" s="3" t="str">
        <f t="shared" si="4"/>
        <v>No reviews</v>
      </c>
      <c r="K348" s="3" t="str">
        <f t="shared" si="5"/>
        <v>No reviews</v>
      </c>
      <c r="L348" s="7" t="str">
        <f t="shared" si="6"/>
        <v> </v>
      </c>
      <c r="M348" s="7" t="str">
        <f t="shared" si="7"/>
        <v> </v>
      </c>
      <c r="N348" s="7">
        <f t="shared" si="8"/>
        <v>10</v>
      </c>
    </row>
    <row r="349" hidden="1">
      <c r="B349" s="3" t="s">
        <v>671</v>
      </c>
      <c r="C349" s="5" t="s">
        <v>97</v>
      </c>
      <c r="D349" s="3">
        <v>9.0</v>
      </c>
      <c r="E349" s="3">
        <v>10.0</v>
      </c>
      <c r="F349" s="3">
        <f t="shared" si="1"/>
        <v>2</v>
      </c>
      <c r="G349" s="5" t="str">
        <f>IFERROR(__xludf.DUMMYFUNCTION("""COMPUTED_VALUE"""),"https://github.com/anshikaatiwari/tdsp1")</f>
        <v>https://github.com/anshikaatiwari/tdsp1</v>
      </c>
      <c r="H349" s="3">
        <f t="shared" si="2"/>
        <v>10</v>
      </c>
      <c r="I349" s="3">
        <f t="shared" si="3"/>
        <v>10</v>
      </c>
      <c r="J349" s="3">
        <f t="shared" si="4"/>
        <v>9</v>
      </c>
      <c r="K349" s="3">
        <f t="shared" si="5"/>
        <v>10</v>
      </c>
      <c r="L349" s="7">
        <f t="shared" si="6"/>
        <v>1</v>
      </c>
      <c r="M349" s="7">
        <f t="shared" si="7"/>
        <v>0</v>
      </c>
      <c r="N349" s="7">
        <f t="shared" si="8"/>
        <v>10</v>
      </c>
    </row>
    <row r="350" hidden="1">
      <c r="B350" s="3" t="s">
        <v>672</v>
      </c>
      <c r="C350" s="5" t="s">
        <v>69</v>
      </c>
      <c r="D350" s="3">
        <v>10.0</v>
      </c>
      <c r="E350" s="3">
        <v>7.0</v>
      </c>
      <c r="F350" s="3">
        <f t="shared" si="1"/>
        <v>2</v>
      </c>
      <c r="G350" s="5" t="str">
        <f>IFERROR(__xludf.DUMMYFUNCTION("""COMPUTED_VALUE"""),"https://github.com/Amrendra-kumar7/API_Melburne")</f>
        <v>https://github.com/Amrendra-kumar7/API_Melburne</v>
      </c>
      <c r="H350" s="3">
        <f t="shared" si="2"/>
        <v>8</v>
      </c>
      <c r="I350" s="3">
        <f t="shared" si="3"/>
        <v>0</v>
      </c>
      <c r="J350" s="3">
        <f t="shared" si="4"/>
        <v>8</v>
      </c>
      <c r="K350" s="3">
        <f t="shared" si="5"/>
        <v>0</v>
      </c>
      <c r="L350" s="7">
        <f t="shared" si="6"/>
        <v>0</v>
      </c>
      <c r="M350" s="7">
        <f t="shared" si="7"/>
        <v>0</v>
      </c>
      <c r="N350" s="7">
        <f t="shared" si="8"/>
        <v>4</v>
      </c>
    </row>
    <row r="351" hidden="1">
      <c r="B351" s="3" t="s">
        <v>673</v>
      </c>
      <c r="C351" s="5" t="s">
        <v>674</v>
      </c>
      <c r="D351" s="3">
        <v>8.0</v>
      </c>
      <c r="E351" s="3">
        <v>9.0</v>
      </c>
      <c r="F351" s="3">
        <f t="shared" si="1"/>
        <v>2</v>
      </c>
      <c r="G351" s="5" t="str">
        <f>IFERROR(__xludf.DUMMYFUNCTION("""COMPUTED_VALUE"""),"https://github.com/raghu5427/TDS_Proj_1")</f>
        <v>https://github.com/raghu5427/TDS_Proj_1</v>
      </c>
      <c r="H351" s="3">
        <f t="shared" si="2"/>
        <v>10</v>
      </c>
      <c r="I351" s="3">
        <f t="shared" si="3"/>
        <v>10</v>
      </c>
      <c r="J351" s="3">
        <f t="shared" si="4"/>
        <v>10</v>
      </c>
      <c r="K351" s="3">
        <f t="shared" si="5"/>
        <v>2</v>
      </c>
      <c r="L351" s="7">
        <f t="shared" si="6"/>
        <v>0</v>
      </c>
      <c r="M351" s="7">
        <f t="shared" si="7"/>
        <v>8</v>
      </c>
      <c r="N351" s="7">
        <f t="shared" si="8"/>
        <v>10</v>
      </c>
    </row>
    <row r="352" hidden="1">
      <c r="B352" s="3" t="s">
        <v>675</v>
      </c>
      <c r="C352" s="5" t="s">
        <v>676</v>
      </c>
      <c r="D352" s="3">
        <v>0.0</v>
      </c>
      <c r="E352" s="3">
        <v>0.0</v>
      </c>
      <c r="F352" s="3">
        <f t="shared" si="1"/>
        <v>1</v>
      </c>
      <c r="G352" s="5" t="str">
        <f>IFERROR(__xludf.DUMMYFUNCTION("""COMPUTED_VALUE"""),"https://github.com/AjithSaiCh/tds_project1")</f>
        <v>https://github.com/AjithSaiCh/tds_project1</v>
      </c>
      <c r="H352" s="3">
        <f t="shared" si="2"/>
        <v>10</v>
      </c>
      <c r="I352" s="3">
        <f t="shared" si="3"/>
        <v>10</v>
      </c>
      <c r="J352" s="3" t="str">
        <f t="shared" si="4"/>
        <v>No reviews</v>
      </c>
      <c r="K352" s="3" t="str">
        <f t="shared" si="5"/>
        <v>No reviews</v>
      </c>
      <c r="L352" s="7" t="str">
        <f t="shared" si="6"/>
        <v> </v>
      </c>
      <c r="M352" s="7" t="str">
        <f t="shared" si="7"/>
        <v> </v>
      </c>
      <c r="N352" s="7">
        <f t="shared" si="8"/>
        <v>10</v>
      </c>
    </row>
    <row r="353" hidden="1">
      <c r="B353" s="3" t="s">
        <v>677</v>
      </c>
      <c r="C353" s="5" t="s">
        <v>600</v>
      </c>
      <c r="D353" s="3">
        <v>10.0</v>
      </c>
      <c r="E353" s="3">
        <v>10.0</v>
      </c>
      <c r="F353" s="3">
        <f t="shared" si="1"/>
        <v>1</v>
      </c>
      <c r="G353" s="5" t="str">
        <f>IFERROR(__xludf.DUMMYFUNCTION("""COMPUTED_VALUE"""),"https://github.com/S-Prasad-M/tds_proj1/")</f>
        <v>https://github.com/S-Prasad-M/tds_proj1/</v>
      </c>
      <c r="H353" s="3">
        <f t="shared" si="2"/>
        <v>9</v>
      </c>
      <c r="I353" s="3">
        <f t="shared" si="3"/>
        <v>9</v>
      </c>
      <c r="J353" s="3" t="str">
        <f t="shared" si="4"/>
        <v>No reviews</v>
      </c>
      <c r="K353" s="3" t="str">
        <f t="shared" si="5"/>
        <v>No reviews</v>
      </c>
      <c r="L353" s="7" t="str">
        <f t="shared" si="6"/>
        <v> </v>
      </c>
      <c r="M353" s="7" t="str">
        <f t="shared" si="7"/>
        <v> </v>
      </c>
      <c r="N353" s="7">
        <f t="shared" si="8"/>
        <v>9</v>
      </c>
    </row>
    <row r="354" hidden="1">
      <c r="B354" s="3" t="s">
        <v>678</v>
      </c>
      <c r="C354" s="5" t="s">
        <v>679</v>
      </c>
      <c r="D354" s="3">
        <v>8.0</v>
      </c>
      <c r="E354" s="3">
        <v>9.0</v>
      </c>
      <c r="F354" s="3">
        <f t="shared" si="1"/>
        <v>2</v>
      </c>
      <c r="G354" s="5" t="str">
        <f>IFERROR(__xludf.DUMMYFUNCTION("""COMPUTED_VALUE"""),"https://github.com/Ankurnathsingh/TDS_P1_MELBOURNE100")</f>
        <v>https://github.com/Ankurnathsingh/TDS_P1_MELBOURNE100</v>
      </c>
      <c r="H354" s="3">
        <f t="shared" si="2"/>
        <v>7</v>
      </c>
      <c r="I354" s="3">
        <f t="shared" si="3"/>
        <v>9</v>
      </c>
      <c r="J354" s="3">
        <f t="shared" si="4"/>
        <v>9</v>
      </c>
      <c r="K354" s="3">
        <f t="shared" si="5"/>
        <v>8</v>
      </c>
      <c r="L354" s="7">
        <f t="shared" si="6"/>
        <v>2</v>
      </c>
      <c r="M354" s="7">
        <f t="shared" si="7"/>
        <v>1</v>
      </c>
      <c r="N354" s="7">
        <f t="shared" si="8"/>
        <v>8.5</v>
      </c>
    </row>
    <row r="355" hidden="1">
      <c r="B355" s="3" t="s">
        <v>680</v>
      </c>
      <c r="C355" s="5" t="s">
        <v>255</v>
      </c>
      <c r="D355" s="3">
        <v>10.0</v>
      </c>
      <c r="E355" s="3">
        <v>0.0</v>
      </c>
      <c r="F355" s="3">
        <f t="shared" si="1"/>
        <v>1</v>
      </c>
      <c r="G355" s="5" t="str">
        <f>IFERROR(__xludf.DUMMYFUNCTION("""COMPUTED_VALUE"""),"https://github.com/BOBandNODDY/SquashDaw")</f>
        <v>https://github.com/BOBandNODDY/SquashDaw</v>
      </c>
      <c r="H355" s="3">
        <f t="shared" si="2"/>
        <v>8</v>
      </c>
      <c r="I355" s="3">
        <f t="shared" si="3"/>
        <v>0</v>
      </c>
      <c r="J355" s="3" t="str">
        <f t="shared" si="4"/>
        <v>No reviews</v>
      </c>
      <c r="K355" s="3" t="str">
        <f t="shared" si="5"/>
        <v>No reviews</v>
      </c>
      <c r="L355" s="7" t="str">
        <f t="shared" si="6"/>
        <v> </v>
      </c>
      <c r="M355" s="7" t="str">
        <f t="shared" si="7"/>
        <v> </v>
      </c>
      <c r="N355" s="7">
        <f t="shared" si="8"/>
        <v>4</v>
      </c>
    </row>
    <row r="356" hidden="1">
      <c r="B356" s="3" t="s">
        <v>681</v>
      </c>
      <c r="C356" s="5" t="s">
        <v>682</v>
      </c>
      <c r="D356" s="3">
        <v>0.0</v>
      </c>
      <c r="E356" s="3">
        <v>4.0</v>
      </c>
      <c r="F356" s="3">
        <f t="shared" si="1"/>
        <v>1</v>
      </c>
      <c r="G356" s="5" t="str">
        <f>IFERROR(__xludf.DUMMYFUNCTION("""COMPUTED_VALUE"""),"https://github.com/Shivam-IITM-DS/banglore-users")</f>
        <v>https://github.com/Shivam-IITM-DS/banglore-users</v>
      </c>
      <c r="H356" s="3">
        <f t="shared" si="2"/>
        <v>6</v>
      </c>
      <c r="I356" s="3">
        <f t="shared" si="3"/>
        <v>8</v>
      </c>
      <c r="J356" s="3" t="str">
        <f t="shared" si="4"/>
        <v>No reviews</v>
      </c>
      <c r="K356" s="3" t="str">
        <f t="shared" si="5"/>
        <v>No reviews</v>
      </c>
      <c r="L356" s="7" t="str">
        <f t="shared" si="6"/>
        <v> </v>
      </c>
      <c r="M356" s="7" t="str">
        <f t="shared" si="7"/>
        <v> </v>
      </c>
      <c r="N356" s="7">
        <f t="shared" si="8"/>
        <v>7</v>
      </c>
    </row>
    <row r="357" hidden="1">
      <c r="B357" s="3" t="s">
        <v>683</v>
      </c>
      <c r="C357" s="5" t="s">
        <v>676</v>
      </c>
      <c r="D357" s="3">
        <v>5.0</v>
      </c>
      <c r="E357" s="3">
        <v>0.0</v>
      </c>
      <c r="F357" s="3">
        <f t="shared" si="1"/>
        <v>2</v>
      </c>
      <c r="G357" s="5" t="str">
        <f>IFERROR(__xludf.DUMMYFUNCTION("""COMPUTED_VALUE"""),"https://github.com/Aakash-Prime/github-users-chennai")</f>
        <v>https://github.com/Aakash-Prime/github-users-chennai</v>
      </c>
      <c r="H357" s="3">
        <f t="shared" si="2"/>
        <v>7</v>
      </c>
      <c r="I357" s="3">
        <f t="shared" si="3"/>
        <v>10</v>
      </c>
      <c r="J357" s="3">
        <f t="shared" si="4"/>
        <v>10</v>
      </c>
      <c r="K357" s="3">
        <f t="shared" si="5"/>
        <v>10</v>
      </c>
      <c r="L357" s="7">
        <f t="shared" si="6"/>
        <v>3</v>
      </c>
      <c r="M357" s="7">
        <f t="shared" si="7"/>
        <v>0</v>
      </c>
      <c r="N357" s="7">
        <f t="shared" si="8"/>
        <v>10</v>
      </c>
    </row>
    <row r="358" hidden="1">
      <c r="B358" s="3" t="s">
        <v>684</v>
      </c>
      <c r="C358" s="5" t="s">
        <v>319</v>
      </c>
      <c r="D358" s="3">
        <v>4.0</v>
      </c>
      <c r="E358" s="3">
        <v>1.0</v>
      </c>
      <c r="F358" s="3">
        <f t="shared" si="1"/>
        <v>2</v>
      </c>
      <c r="G358" s="5" t="str">
        <f>IFERROR(__xludf.DUMMYFUNCTION("""COMPUTED_VALUE"""),"https://github.com/Madras-protagonist/Bangalore-GitHub-Users-Project")</f>
        <v>https://github.com/Madras-protagonist/Bangalore-GitHub-Users-Project</v>
      </c>
      <c r="H358" s="3">
        <f t="shared" si="2"/>
        <v>8</v>
      </c>
      <c r="I358" s="3">
        <f t="shared" si="3"/>
        <v>7</v>
      </c>
      <c r="J358" s="3">
        <f t="shared" si="4"/>
        <v>10</v>
      </c>
      <c r="K358" s="3">
        <f t="shared" si="5"/>
        <v>10</v>
      </c>
      <c r="L358" s="7">
        <f t="shared" si="6"/>
        <v>2</v>
      </c>
      <c r="M358" s="7">
        <f t="shared" si="7"/>
        <v>3</v>
      </c>
      <c r="N358" s="7">
        <f t="shared" si="8"/>
        <v>10</v>
      </c>
    </row>
    <row r="359" hidden="1">
      <c r="B359" s="3" t="s">
        <v>685</v>
      </c>
      <c r="C359" s="5" t="s">
        <v>686</v>
      </c>
      <c r="D359" s="3">
        <v>5.0</v>
      </c>
      <c r="E359" s="3">
        <v>0.0</v>
      </c>
      <c r="F359" s="3">
        <f t="shared" si="1"/>
        <v>1</v>
      </c>
      <c r="G359" s="5" t="str">
        <f>IFERROR(__xludf.DUMMYFUNCTION("""COMPUTED_VALUE"""),"https://github.com/rharini1402/mumbai50")</f>
        <v>https://github.com/rharini1402/mumbai50</v>
      </c>
      <c r="H359" s="3">
        <f t="shared" si="2"/>
        <v>10</v>
      </c>
      <c r="I359" s="3">
        <f t="shared" si="3"/>
        <v>10</v>
      </c>
      <c r="J359" s="3" t="str">
        <f t="shared" si="4"/>
        <v>No reviews</v>
      </c>
      <c r="K359" s="3" t="str">
        <f t="shared" si="5"/>
        <v>No reviews</v>
      </c>
      <c r="L359" s="7" t="str">
        <f t="shared" si="6"/>
        <v> </v>
      </c>
      <c r="M359" s="7" t="str">
        <f t="shared" si="7"/>
        <v> </v>
      </c>
      <c r="N359" s="7">
        <f t="shared" si="8"/>
        <v>10</v>
      </c>
    </row>
    <row r="360" hidden="1">
      <c r="B360" s="3" t="s">
        <v>687</v>
      </c>
      <c r="C360" s="5" t="s">
        <v>547</v>
      </c>
      <c r="D360" s="3">
        <v>2.0</v>
      </c>
      <c r="E360" s="3">
        <v>5.0</v>
      </c>
      <c r="F360" s="3">
        <f t="shared" si="1"/>
        <v>1</v>
      </c>
      <c r="G360" s="5" t="str">
        <f>IFERROR(__xludf.DUMMYFUNCTION("""COMPUTED_VALUE"""),"https://github.com/OmkarShekharRaut/datasciencetoolsproject1")</f>
        <v>https://github.com/OmkarShekharRaut/datasciencetoolsproject1</v>
      </c>
      <c r="H360" s="3">
        <f t="shared" si="2"/>
        <v>5</v>
      </c>
      <c r="I360" s="3">
        <f t="shared" si="3"/>
        <v>10</v>
      </c>
      <c r="J360" s="3" t="str">
        <f t="shared" si="4"/>
        <v>No reviews</v>
      </c>
      <c r="K360" s="3" t="str">
        <f t="shared" si="5"/>
        <v>No reviews</v>
      </c>
      <c r="L360" s="7" t="str">
        <f t="shared" si="6"/>
        <v> </v>
      </c>
      <c r="M360" s="7" t="str">
        <f t="shared" si="7"/>
        <v> </v>
      </c>
      <c r="N360" s="7">
        <f t="shared" si="8"/>
        <v>7.5</v>
      </c>
    </row>
    <row r="361" hidden="1">
      <c r="B361" s="3" t="s">
        <v>688</v>
      </c>
      <c r="C361" s="5" t="s">
        <v>689</v>
      </c>
      <c r="D361" s="3">
        <v>9.0</v>
      </c>
      <c r="E361" s="3">
        <v>10.0</v>
      </c>
      <c r="F361" s="3">
        <f t="shared" si="1"/>
        <v>1</v>
      </c>
      <c r="G361" s="5" t="str">
        <f>IFERROR(__xludf.DUMMYFUNCTION("""COMPUTED_VALUE"""),"https://github.com/23f2004408/tds-p1")</f>
        <v>https://github.com/23f2004408/tds-p1</v>
      </c>
      <c r="H361" s="3">
        <f t="shared" si="2"/>
        <v>9</v>
      </c>
      <c r="I361" s="3">
        <f t="shared" si="3"/>
        <v>10</v>
      </c>
      <c r="J361" s="3" t="str">
        <f t="shared" si="4"/>
        <v>No reviews</v>
      </c>
      <c r="K361" s="3" t="str">
        <f t="shared" si="5"/>
        <v>No reviews</v>
      </c>
      <c r="L361" s="7" t="str">
        <f t="shared" si="6"/>
        <v> </v>
      </c>
      <c r="M361" s="7" t="str">
        <f t="shared" si="7"/>
        <v> </v>
      </c>
      <c r="N361" s="7">
        <f t="shared" si="8"/>
        <v>9.5</v>
      </c>
    </row>
    <row r="362" hidden="1">
      <c r="B362" s="3" t="s">
        <v>690</v>
      </c>
      <c r="C362" s="5" t="s">
        <v>691</v>
      </c>
      <c r="D362" s="3">
        <v>10.0</v>
      </c>
      <c r="E362" s="3">
        <v>10.0</v>
      </c>
      <c r="F362" s="3">
        <f t="shared" si="1"/>
        <v>1</v>
      </c>
      <c r="G362" s="5" t="str">
        <f>IFERROR(__xludf.DUMMYFUNCTION("""COMPUTED_VALUE"""),"https://github.com/venkatsaivikram-iitm/tds-project1/")</f>
        <v>https://github.com/venkatsaivikram-iitm/tds-project1/</v>
      </c>
      <c r="H362" s="3">
        <f t="shared" si="2"/>
        <v>10</v>
      </c>
      <c r="I362" s="3">
        <f t="shared" si="3"/>
        <v>10</v>
      </c>
      <c r="J362" s="3" t="str">
        <f t="shared" si="4"/>
        <v>No reviews</v>
      </c>
      <c r="K362" s="3" t="str">
        <f t="shared" si="5"/>
        <v>No reviews</v>
      </c>
      <c r="L362" s="7" t="str">
        <f t="shared" si="6"/>
        <v> </v>
      </c>
      <c r="M362" s="7" t="str">
        <f t="shared" si="7"/>
        <v> </v>
      </c>
      <c r="N362" s="7">
        <f t="shared" si="8"/>
        <v>10</v>
      </c>
    </row>
    <row r="363" hidden="1">
      <c r="B363" s="3" t="s">
        <v>692</v>
      </c>
      <c r="C363" s="5" t="s">
        <v>606</v>
      </c>
      <c r="D363" s="3">
        <v>9.0</v>
      </c>
      <c r="E363" s="3">
        <v>9.0</v>
      </c>
      <c r="F363" s="3">
        <f t="shared" si="1"/>
        <v>1</v>
      </c>
      <c r="G363" s="5" t="str">
        <f>IFERROR(__xludf.DUMMYFUNCTION("""COMPUTED_VALUE"""),"https://github.com/Thanvish07/TDS_Project-1")</f>
        <v>https://github.com/Thanvish07/TDS_Project-1</v>
      </c>
      <c r="H363" s="3">
        <f t="shared" si="2"/>
        <v>10</v>
      </c>
      <c r="I363" s="3">
        <f t="shared" si="3"/>
        <v>8</v>
      </c>
      <c r="J363" s="3" t="str">
        <f t="shared" si="4"/>
        <v>No reviews</v>
      </c>
      <c r="K363" s="3" t="str">
        <f t="shared" si="5"/>
        <v>No reviews</v>
      </c>
      <c r="L363" s="7" t="str">
        <f t="shared" si="6"/>
        <v> </v>
      </c>
      <c r="M363" s="7" t="str">
        <f t="shared" si="7"/>
        <v> </v>
      </c>
      <c r="N363" s="7">
        <f t="shared" si="8"/>
        <v>9</v>
      </c>
    </row>
    <row r="364" hidden="1">
      <c r="B364" s="3" t="s">
        <v>693</v>
      </c>
      <c r="C364" s="5" t="s">
        <v>393</v>
      </c>
      <c r="D364" s="3">
        <v>8.0</v>
      </c>
      <c r="E364" s="3">
        <v>0.0</v>
      </c>
      <c r="F364" s="3">
        <f t="shared" si="1"/>
        <v>1</v>
      </c>
      <c r="G364" s="5" t="str">
        <f>IFERROR(__xludf.DUMMYFUNCTION("""COMPUTED_VALUE"""),"https://github.com/sourav08nitp/tds-project-1")</f>
        <v>https://github.com/sourav08nitp/tds-project-1</v>
      </c>
      <c r="H364" s="3">
        <f t="shared" si="2"/>
        <v>9</v>
      </c>
      <c r="I364" s="3">
        <f t="shared" si="3"/>
        <v>9</v>
      </c>
      <c r="J364" s="3" t="str">
        <f t="shared" si="4"/>
        <v>No reviews</v>
      </c>
      <c r="K364" s="3" t="str">
        <f t="shared" si="5"/>
        <v>No reviews</v>
      </c>
      <c r="L364" s="7" t="str">
        <f t="shared" si="6"/>
        <v> </v>
      </c>
      <c r="M364" s="7" t="str">
        <f t="shared" si="7"/>
        <v> </v>
      </c>
      <c r="N364" s="7">
        <f t="shared" si="8"/>
        <v>9</v>
      </c>
    </row>
    <row r="365" hidden="1">
      <c r="B365" s="3" t="s">
        <v>694</v>
      </c>
      <c r="C365" s="5" t="s">
        <v>695</v>
      </c>
      <c r="D365" s="3">
        <v>10.0</v>
      </c>
      <c r="E365" s="3">
        <v>9.0</v>
      </c>
      <c r="F365" s="3">
        <f t="shared" si="1"/>
        <v>1</v>
      </c>
      <c r="G365" s="5" t="str">
        <f>IFERROR(__xludf.DUMMYFUNCTION("""COMPUTED_VALUE"""),"https://github.com/Mv98dell/Mv/blob/33999fa40510af74122c53f73c6b8df2b53129c9/repositories.csv")</f>
        <v>https://github.com/Mv98dell/Mv/blob/33999fa40510af74122c53f73c6b8df2b53129c9/repositories.csv</v>
      </c>
      <c r="H365" s="3">
        <f t="shared" si="2"/>
        <v>5</v>
      </c>
      <c r="I365" s="3">
        <f t="shared" si="3"/>
        <v>8</v>
      </c>
      <c r="J365" s="3" t="str">
        <f t="shared" si="4"/>
        <v>No reviews</v>
      </c>
      <c r="K365" s="3" t="str">
        <f t="shared" si="5"/>
        <v>No reviews</v>
      </c>
      <c r="L365" s="7" t="str">
        <f t="shared" si="6"/>
        <v> </v>
      </c>
      <c r="M365" s="7" t="str">
        <f t="shared" si="7"/>
        <v> </v>
      </c>
      <c r="N365" s="7">
        <f t="shared" si="8"/>
        <v>6.5</v>
      </c>
    </row>
    <row r="366" hidden="1">
      <c r="B366" s="3" t="s">
        <v>696</v>
      </c>
      <c r="C366" s="5" t="s">
        <v>697</v>
      </c>
      <c r="D366" s="3">
        <v>7.0</v>
      </c>
      <c r="E366" s="3">
        <v>6.0</v>
      </c>
      <c r="F366" s="3">
        <f t="shared" si="1"/>
        <v>2</v>
      </c>
      <c r="G366" s="5" t="str">
        <f>IFERROR(__xludf.DUMMYFUNCTION("""COMPUTED_VALUE"""),"https://github.com/terminator7x/tds-project/tree/main")</f>
        <v>https://github.com/terminator7x/tds-project/tree/main</v>
      </c>
      <c r="H366" s="3">
        <f t="shared" si="2"/>
        <v>10</v>
      </c>
      <c r="I366" s="3">
        <f t="shared" si="3"/>
        <v>10</v>
      </c>
      <c r="J366" s="3">
        <f t="shared" si="4"/>
        <v>7</v>
      </c>
      <c r="K366" s="3">
        <f t="shared" si="5"/>
        <v>10</v>
      </c>
      <c r="L366" s="7">
        <f t="shared" si="6"/>
        <v>3</v>
      </c>
      <c r="M366" s="7">
        <f t="shared" si="7"/>
        <v>0</v>
      </c>
      <c r="N366" s="7">
        <f t="shared" si="8"/>
        <v>10</v>
      </c>
    </row>
    <row r="367" hidden="1">
      <c r="B367" s="3" t="s">
        <v>698</v>
      </c>
      <c r="C367" s="5" t="s">
        <v>217</v>
      </c>
      <c r="D367" s="3">
        <v>10.0</v>
      </c>
      <c r="E367" s="3">
        <v>10.0</v>
      </c>
      <c r="F367" s="3">
        <f t="shared" si="1"/>
        <v>1</v>
      </c>
      <c r="G367" s="5" t="str">
        <f>IFERROR(__xludf.DUMMYFUNCTION("""COMPUTED_VALUE"""),"https://github.com/Viswa-iitm/TDS-project-1")</f>
        <v>https://github.com/Viswa-iitm/TDS-project-1</v>
      </c>
      <c r="H367" s="3">
        <f t="shared" si="2"/>
        <v>10</v>
      </c>
      <c r="I367" s="3">
        <f t="shared" si="3"/>
        <v>10</v>
      </c>
      <c r="J367" s="3" t="str">
        <f t="shared" si="4"/>
        <v>No reviews</v>
      </c>
      <c r="K367" s="3" t="str">
        <f t="shared" si="5"/>
        <v>No reviews</v>
      </c>
      <c r="L367" s="7" t="str">
        <f t="shared" si="6"/>
        <v> </v>
      </c>
      <c r="M367" s="7" t="str">
        <f t="shared" si="7"/>
        <v> </v>
      </c>
      <c r="N367" s="7">
        <f t="shared" si="8"/>
        <v>10</v>
      </c>
    </row>
    <row r="368" hidden="1">
      <c r="B368" s="3" t="s">
        <v>699</v>
      </c>
      <c r="C368" s="5" t="s">
        <v>327</v>
      </c>
      <c r="D368" s="3">
        <v>10.0</v>
      </c>
      <c r="E368" s="3">
        <v>10.0</v>
      </c>
      <c r="F368" s="3">
        <f t="shared" si="1"/>
        <v>1</v>
      </c>
      <c r="G368" s="5" t="str">
        <f>IFERROR(__xludf.DUMMYFUNCTION("""COMPUTED_VALUE"""),"https://github.com/joshna-dhanokar/Stockholm-100")</f>
        <v>https://github.com/joshna-dhanokar/Stockholm-100</v>
      </c>
      <c r="H368" s="3">
        <f t="shared" si="2"/>
        <v>6</v>
      </c>
      <c r="I368" s="3">
        <f t="shared" si="3"/>
        <v>6</v>
      </c>
      <c r="J368" s="3" t="str">
        <f t="shared" si="4"/>
        <v>No reviews</v>
      </c>
      <c r="K368" s="3" t="str">
        <f t="shared" si="5"/>
        <v>No reviews</v>
      </c>
      <c r="L368" s="7" t="str">
        <f t="shared" si="6"/>
        <v> </v>
      </c>
      <c r="M368" s="7" t="str">
        <f t="shared" si="7"/>
        <v> </v>
      </c>
      <c r="N368" s="7">
        <f t="shared" si="8"/>
        <v>6</v>
      </c>
    </row>
    <row r="369" hidden="1">
      <c r="B369" s="3" t="s">
        <v>700</v>
      </c>
      <c r="C369" s="5" t="s">
        <v>701</v>
      </c>
      <c r="D369" s="3">
        <v>6.0</v>
      </c>
      <c r="E369" s="3">
        <v>6.0</v>
      </c>
      <c r="F369" s="3">
        <f t="shared" si="1"/>
        <v>1</v>
      </c>
      <c r="G369" s="5" t="str">
        <f>IFERROR(__xludf.DUMMYFUNCTION("""COMPUTED_VALUE"""),"https://github.com/Bhaargavi29/Moscow-50-repo ")</f>
        <v>https://github.com/Bhaargavi29/Moscow-50-repo </v>
      </c>
      <c r="H369" s="3">
        <f t="shared" si="2"/>
        <v>10</v>
      </c>
      <c r="I369" s="3">
        <f t="shared" si="3"/>
        <v>10</v>
      </c>
      <c r="J369" s="3" t="str">
        <f t="shared" si="4"/>
        <v>No reviews</v>
      </c>
      <c r="K369" s="3" t="str">
        <f t="shared" si="5"/>
        <v>No reviews</v>
      </c>
      <c r="L369" s="7" t="str">
        <f t="shared" si="6"/>
        <v> </v>
      </c>
      <c r="M369" s="7" t="str">
        <f t="shared" si="7"/>
        <v> </v>
      </c>
      <c r="N369" s="7">
        <f t="shared" si="8"/>
        <v>10</v>
      </c>
    </row>
    <row r="370" hidden="1">
      <c r="B370" s="3" t="s">
        <v>702</v>
      </c>
      <c r="C370" s="5" t="s">
        <v>539</v>
      </c>
      <c r="D370" s="3">
        <v>9.0</v>
      </c>
      <c r="E370" s="3">
        <v>8.0</v>
      </c>
      <c r="F370" s="3">
        <f t="shared" si="1"/>
        <v>2</v>
      </c>
      <c r="G370" s="5" t="str">
        <f>IFERROR(__xludf.DUMMYFUNCTION("""COMPUTED_VALUE"""),"https://github.com/surbhi553/Toronto100")</f>
        <v>https://github.com/surbhi553/Toronto100</v>
      </c>
      <c r="H370" s="3">
        <f t="shared" si="2"/>
        <v>0</v>
      </c>
      <c r="I370" s="3">
        <f t="shared" si="3"/>
        <v>0</v>
      </c>
      <c r="J370" s="3">
        <f t="shared" si="4"/>
        <v>0</v>
      </c>
      <c r="K370" s="3">
        <f t="shared" si="5"/>
        <v>0</v>
      </c>
      <c r="L370" s="7">
        <f t="shared" si="6"/>
        <v>0</v>
      </c>
      <c r="M370" s="7">
        <f t="shared" si="7"/>
        <v>0</v>
      </c>
      <c r="N370" s="7">
        <f t="shared" si="8"/>
        <v>0</v>
      </c>
    </row>
    <row r="371" hidden="1">
      <c r="B371" s="3" t="s">
        <v>703</v>
      </c>
      <c r="C371" s="5" t="s">
        <v>306</v>
      </c>
      <c r="D371" s="3">
        <v>8.0</v>
      </c>
      <c r="E371" s="3">
        <v>6.0</v>
      </c>
      <c r="F371" s="3">
        <f t="shared" si="1"/>
        <v>1</v>
      </c>
      <c r="G371" s="5" t="str">
        <f>IFERROR(__xludf.DUMMYFUNCTION("""COMPUTED_VALUE"""),"https://github.com/Akashkansal/TDS_Project1")</f>
        <v>https://github.com/Akashkansal/TDS_Project1</v>
      </c>
      <c r="H371" s="3">
        <f t="shared" si="2"/>
        <v>10</v>
      </c>
      <c r="I371" s="3">
        <f t="shared" si="3"/>
        <v>10</v>
      </c>
      <c r="J371" s="3" t="str">
        <f t="shared" si="4"/>
        <v>No reviews</v>
      </c>
      <c r="K371" s="3" t="str">
        <f t="shared" si="5"/>
        <v>No reviews</v>
      </c>
      <c r="L371" s="7" t="str">
        <f t="shared" si="6"/>
        <v> </v>
      </c>
      <c r="M371" s="7" t="str">
        <f t="shared" si="7"/>
        <v> </v>
      </c>
      <c r="N371" s="7">
        <f t="shared" si="8"/>
        <v>10</v>
      </c>
    </row>
    <row r="372" hidden="1">
      <c r="B372" s="3" t="s">
        <v>704</v>
      </c>
      <c r="C372" s="5" t="s">
        <v>705</v>
      </c>
      <c r="D372" s="3">
        <v>9.0</v>
      </c>
      <c r="E372" s="3">
        <v>8.0</v>
      </c>
      <c r="F372" s="3">
        <f t="shared" si="1"/>
        <v>1</v>
      </c>
      <c r="G372" s="5" t="str">
        <f>IFERROR(__xludf.DUMMYFUNCTION("""COMPUTED_VALUE"""),"https://github.com/Synchrotron-21/tds-project-1")</f>
        <v>https://github.com/Synchrotron-21/tds-project-1</v>
      </c>
      <c r="H372" s="3">
        <f t="shared" si="2"/>
        <v>10</v>
      </c>
      <c r="I372" s="3">
        <f t="shared" si="3"/>
        <v>0</v>
      </c>
      <c r="J372" s="3" t="str">
        <f t="shared" si="4"/>
        <v>No reviews</v>
      </c>
      <c r="K372" s="3" t="str">
        <f t="shared" si="5"/>
        <v>No reviews</v>
      </c>
      <c r="L372" s="7" t="str">
        <f t="shared" si="6"/>
        <v> </v>
      </c>
      <c r="M372" s="7" t="str">
        <f t="shared" si="7"/>
        <v> </v>
      </c>
      <c r="N372" s="7">
        <f t="shared" si="8"/>
        <v>5</v>
      </c>
    </row>
    <row r="373" hidden="1">
      <c r="B373" s="3" t="s">
        <v>706</v>
      </c>
      <c r="C373" s="5" t="s">
        <v>95</v>
      </c>
      <c r="D373" s="3">
        <v>3.0</v>
      </c>
      <c r="E373" s="3">
        <v>8.0</v>
      </c>
      <c r="F373" s="3">
        <f t="shared" si="1"/>
        <v>1</v>
      </c>
      <c r="G373" s="5" t="str">
        <f>IFERROR(__xludf.DUMMYFUNCTION("""COMPUTED_VALUE"""),"https://github.com/sage-devv/TDS-Project-1")</f>
        <v>https://github.com/sage-devv/TDS-Project-1</v>
      </c>
      <c r="H373" s="3">
        <f t="shared" si="2"/>
        <v>10</v>
      </c>
      <c r="I373" s="3">
        <f t="shared" si="3"/>
        <v>10</v>
      </c>
      <c r="J373" s="3" t="str">
        <f t="shared" si="4"/>
        <v>No reviews</v>
      </c>
      <c r="K373" s="3" t="str">
        <f t="shared" si="5"/>
        <v>No reviews</v>
      </c>
      <c r="L373" s="7" t="str">
        <f t="shared" si="6"/>
        <v> </v>
      </c>
      <c r="M373" s="7" t="str">
        <f t="shared" si="7"/>
        <v> </v>
      </c>
      <c r="N373" s="7">
        <f t="shared" si="8"/>
        <v>10</v>
      </c>
    </row>
    <row r="374" hidden="1">
      <c r="B374" s="3" t="s">
        <v>707</v>
      </c>
      <c r="C374" s="5" t="s">
        <v>686</v>
      </c>
      <c r="D374" s="3">
        <v>10.0</v>
      </c>
      <c r="E374" s="3">
        <v>0.0</v>
      </c>
      <c r="F374" s="3">
        <f t="shared" si="1"/>
        <v>2</v>
      </c>
      <c r="G374" s="5" t="str">
        <f>IFERROR(__xludf.DUMMYFUNCTION("""COMPUTED_VALUE"""),"https://github.com/Prajchin/TDS_P1")</f>
        <v>https://github.com/Prajchin/TDS_P1</v>
      </c>
      <c r="H374" s="3">
        <f t="shared" si="2"/>
        <v>10</v>
      </c>
      <c r="I374" s="3">
        <f t="shared" si="3"/>
        <v>10</v>
      </c>
      <c r="J374" s="3">
        <f t="shared" si="4"/>
        <v>9</v>
      </c>
      <c r="K374" s="3">
        <f t="shared" si="5"/>
        <v>7</v>
      </c>
      <c r="L374" s="7">
        <f t="shared" si="6"/>
        <v>1</v>
      </c>
      <c r="M374" s="7">
        <f t="shared" si="7"/>
        <v>3</v>
      </c>
      <c r="N374" s="7">
        <f t="shared" si="8"/>
        <v>10</v>
      </c>
    </row>
    <row r="375" hidden="1">
      <c r="B375" s="3" t="s">
        <v>708</v>
      </c>
      <c r="C375" s="5" t="s">
        <v>709</v>
      </c>
      <c r="D375" s="3">
        <v>8.0</v>
      </c>
      <c r="E375" s="3">
        <v>8.0</v>
      </c>
      <c r="F375" s="3">
        <f t="shared" si="1"/>
        <v>2</v>
      </c>
      <c r="G375" s="5" t="str">
        <f>IFERROR(__xludf.DUMMYFUNCTION("""COMPUTED_VALUE"""),"https://github.com/anantdev123/Project1")</f>
        <v>https://github.com/anantdev123/Project1</v>
      </c>
      <c r="H375" s="3">
        <f t="shared" si="2"/>
        <v>10</v>
      </c>
      <c r="I375" s="3">
        <f t="shared" si="3"/>
        <v>10</v>
      </c>
      <c r="J375" s="3">
        <f t="shared" si="4"/>
        <v>3</v>
      </c>
      <c r="K375" s="3">
        <f t="shared" si="5"/>
        <v>5</v>
      </c>
      <c r="L375" s="7">
        <f t="shared" si="6"/>
        <v>7</v>
      </c>
      <c r="M375" s="7">
        <f t="shared" si="7"/>
        <v>5</v>
      </c>
      <c r="N375" s="7">
        <f t="shared" si="8"/>
        <v>10</v>
      </c>
    </row>
    <row r="376" hidden="1">
      <c r="B376" s="3" t="s">
        <v>710</v>
      </c>
      <c r="C376" s="5" t="s">
        <v>711</v>
      </c>
      <c r="D376" s="3">
        <v>7.0</v>
      </c>
      <c r="E376" s="3">
        <v>7.0</v>
      </c>
      <c r="F376" s="3">
        <f t="shared" si="1"/>
        <v>2</v>
      </c>
      <c r="G376" s="5" t="str">
        <f>IFERROR(__xludf.DUMMYFUNCTION("""COMPUTED_VALUE"""),"https://github.com/rohit0490/tdsp1")</f>
        <v>https://github.com/rohit0490/tdsp1</v>
      </c>
      <c r="H376" s="3">
        <f t="shared" si="2"/>
        <v>8</v>
      </c>
      <c r="I376" s="3">
        <f t="shared" si="3"/>
        <v>8</v>
      </c>
      <c r="J376" s="3">
        <f t="shared" si="4"/>
        <v>9</v>
      </c>
      <c r="K376" s="3">
        <f t="shared" si="5"/>
        <v>9</v>
      </c>
      <c r="L376" s="7">
        <f t="shared" si="6"/>
        <v>1</v>
      </c>
      <c r="M376" s="7">
        <f t="shared" si="7"/>
        <v>1</v>
      </c>
      <c r="N376" s="7">
        <f t="shared" si="8"/>
        <v>9</v>
      </c>
    </row>
    <row r="377" hidden="1">
      <c r="B377" s="3" t="s">
        <v>712</v>
      </c>
      <c r="C377" s="5" t="s">
        <v>713</v>
      </c>
      <c r="D377" s="3">
        <v>7.0</v>
      </c>
      <c r="E377" s="3">
        <v>7.0</v>
      </c>
      <c r="F377" s="3">
        <f t="shared" si="1"/>
        <v>2</v>
      </c>
      <c r="G377" s="5" t="str">
        <f>IFERROR(__xludf.DUMMYFUNCTION("""COMPUTED_VALUE"""),"https://github.com/shwetavyas12/Zurich-50")</f>
        <v>https://github.com/shwetavyas12/Zurich-50</v>
      </c>
      <c r="H377" s="3">
        <f t="shared" si="2"/>
        <v>10</v>
      </c>
      <c r="I377" s="3">
        <f t="shared" si="3"/>
        <v>10</v>
      </c>
      <c r="J377" s="3">
        <f t="shared" si="4"/>
        <v>9</v>
      </c>
      <c r="K377" s="3">
        <f t="shared" si="5"/>
        <v>10</v>
      </c>
      <c r="L377" s="7">
        <f t="shared" si="6"/>
        <v>1</v>
      </c>
      <c r="M377" s="7">
        <f t="shared" si="7"/>
        <v>0</v>
      </c>
      <c r="N377" s="7">
        <f t="shared" si="8"/>
        <v>10</v>
      </c>
    </row>
    <row r="378" hidden="1">
      <c r="B378" s="3" t="s">
        <v>714</v>
      </c>
      <c r="C378" s="5" t="s">
        <v>715</v>
      </c>
      <c r="D378" s="3">
        <v>9.0</v>
      </c>
      <c r="E378" s="3">
        <v>9.0</v>
      </c>
      <c r="F378" s="3">
        <f t="shared" si="1"/>
        <v>1</v>
      </c>
      <c r="G378" s="5" t="str">
        <f>IFERROR(__xludf.DUMMYFUNCTION("""COMPUTED_VALUE"""),"https://github.com/Anantvats7/Tdsproject1")</f>
        <v>https://github.com/Anantvats7/Tdsproject1</v>
      </c>
      <c r="H378" s="3">
        <f t="shared" si="2"/>
        <v>10</v>
      </c>
      <c r="I378" s="3">
        <f t="shared" si="3"/>
        <v>10</v>
      </c>
      <c r="J378" s="3" t="str">
        <f t="shared" si="4"/>
        <v>No reviews</v>
      </c>
      <c r="K378" s="3" t="str">
        <f t="shared" si="5"/>
        <v>No reviews</v>
      </c>
      <c r="L378" s="7" t="str">
        <f t="shared" si="6"/>
        <v> </v>
      </c>
      <c r="M378" s="7" t="str">
        <f t="shared" si="7"/>
        <v> </v>
      </c>
      <c r="N378" s="7">
        <f t="shared" si="8"/>
        <v>10</v>
      </c>
    </row>
    <row r="379" hidden="1">
      <c r="B379" s="3" t="s">
        <v>716</v>
      </c>
      <c r="C379" s="5" t="s">
        <v>717</v>
      </c>
      <c r="D379" s="3">
        <v>9.0</v>
      </c>
      <c r="E379" s="3">
        <v>10.0</v>
      </c>
      <c r="F379" s="3">
        <f t="shared" si="1"/>
        <v>1</v>
      </c>
      <c r="G379" s="5" t="str">
        <f>IFERROR(__xludf.DUMMYFUNCTION("""COMPUTED_VALUE"""),"https://github.com/SINGHALSAJAL/github_scrapped_iitm")</f>
        <v>https://github.com/SINGHALSAJAL/github_scrapped_iitm</v>
      </c>
      <c r="H379" s="3">
        <f t="shared" si="2"/>
        <v>10</v>
      </c>
      <c r="I379" s="3">
        <f t="shared" si="3"/>
        <v>10</v>
      </c>
      <c r="J379" s="3" t="str">
        <f t="shared" si="4"/>
        <v>No reviews</v>
      </c>
      <c r="K379" s="3" t="str">
        <f t="shared" si="5"/>
        <v>No reviews</v>
      </c>
      <c r="L379" s="7" t="str">
        <f t="shared" si="6"/>
        <v> </v>
      </c>
      <c r="M379" s="7" t="str">
        <f t="shared" si="7"/>
        <v> </v>
      </c>
      <c r="N379" s="7">
        <f t="shared" si="8"/>
        <v>10</v>
      </c>
    </row>
    <row r="380" hidden="1">
      <c r="B380" s="3" t="s">
        <v>718</v>
      </c>
      <c r="C380" s="5" t="s">
        <v>719</v>
      </c>
      <c r="D380" s="3">
        <v>5.0</v>
      </c>
      <c r="E380" s="3">
        <v>0.0</v>
      </c>
      <c r="F380" s="3">
        <f t="shared" si="1"/>
        <v>2</v>
      </c>
      <c r="G380" s="5" t="str">
        <f>IFERROR(__xludf.DUMMYFUNCTION("""COMPUTED_VALUE"""),"https://github.com/pavan-santhosh-iitm/Project1")</f>
        <v>https://github.com/pavan-santhosh-iitm/Project1</v>
      </c>
      <c r="H380" s="3">
        <f t="shared" si="2"/>
        <v>10</v>
      </c>
      <c r="I380" s="3">
        <f t="shared" si="3"/>
        <v>0</v>
      </c>
      <c r="J380" s="3">
        <f t="shared" si="4"/>
        <v>9</v>
      </c>
      <c r="K380" s="3">
        <f t="shared" si="5"/>
        <v>10</v>
      </c>
      <c r="L380" s="7">
        <f t="shared" si="6"/>
        <v>1</v>
      </c>
      <c r="M380" s="7">
        <f t="shared" si="7"/>
        <v>10</v>
      </c>
      <c r="N380" s="7">
        <f t="shared" si="8"/>
        <v>9.5</v>
      </c>
    </row>
    <row r="381" hidden="1">
      <c r="B381" s="3" t="s">
        <v>720</v>
      </c>
      <c r="C381" s="5" t="s">
        <v>717</v>
      </c>
      <c r="D381" s="3">
        <v>9.0</v>
      </c>
      <c r="E381" s="3">
        <v>9.0</v>
      </c>
      <c r="F381" s="3">
        <f t="shared" si="1"/>
        <v>2</v>
      </c>
      <c r="G381" s="5" t="str">
        <f>IFERROR(__xludf.DUMMYFUNCTION("""COMPUTED_VALUE"""),"https://github.com/akshat-shethia/TDS-Project-1-Akshat-Shethia")</f>
        <v>https://github.com/akshat-shethia/TDS-Project-1-Akshat-Shethia</v>
      </c>
      <c r="H381" s="3">
        <f t="shared" si="2"/>
        <v>10</v>
      </c>
      <c r="I381" s="3">
        <f t="shared" si="3"/>
        <v>10</v>
      </c>
      <c r="J381" s="3">
        <f t="shared" si="4"/>
        <v>10</v>
      </c>
      <c r="K381" s="3">
        <f t="shared" si="5"/>
        <v>10</v>
      </c>
      <c r="L381" s="7">
        <f t="shared" si="6"/>
        <v>0</v>
      </c>
      <c r="M381" s="7">
        <f t="shared" si="7"/>
        <v>0</v>
      </c>
      <c r="N381" s="7">
        <f t="shared" si="8"/>
        <v>10</v>
      </c>
    </row>
    <row r="382" hidden="1">
      <c r="B382" s="3" t="s">
        <v>721</v>
      </c>
      <c r="C382" s="5" t="s">
        <v>245</v>
      </c>
      <c r="D382" s="3">
        <v>10.0</v>
      </c>
      <c r="E382" s="3">
        <v>10.0</v>
      </c>
      <c r="F382" s="3">
        <f t="shared" si="1"/>
        <v>1</v>
      </c>
      <c r="G382" s="5" t="str">
        <f>IFERROR(__xludf.DUMMYFUNCTION("""COMPUTED_VALUE"""),"https://github.com/ritikjha7/tds-project-1")</f>
        <v>https://github.com/ritikjha7/tds-project-1</v>
      </c>
      <c r="H382" s="3">
        <f t="shared" si="2"/>
        <v>10</v>
      </c>
      <c r="I382" s="3">
        <f t="shared" si="3"/>
        <v>10</v>
      </c>
      <c r="J382" s="3" t="str">
        <f t="shared" si="4"/>
        <v>No reviews</v>
      </c>
      <c r="K382" s="3" t="str">
        <f t="shared" si="5"/>
        <v>No reviews</v>
      </c>
      <c r="L382" s="7" t="str">
        <f t="shared" si="6"/>
        <v> </v>
      </c>
      <c r="M382" s="7" t="str">
        <f t="shared" si="7"/>
        <v> </v>
      </c>
      <c r="N382" s="7">
        <f t="shared" si="8"/>
        <v>10</v>
      </c>
    </row>
    <row r="383" hidden="1">
      <c r="B383" s="3" t="s">
        <v>722</v>
      </c>
      <c r="C383" s="5" t="s">
        <v>723</v>
      </c>
      <c r="D383" s="3">
        <v>6.0</v>
      </c>
      <c r="E383" s="3">
        <v>7.0</v>
      </c>
      <c r="F383" s="3">
        <f t="shared" si="1"/>
        <v>1</v>
      </c>
      <c r="G383" s="5" t="str">
        <f>IFERROR(__xludf.DUMMYFUNCTION("""COMPUTED_VALUE"""),"https://github.com/404aalu/tds-project1")</f>
        <v>https://github.com/404aalu/tds-project1</v>
      </c>
      <c r="H383" s="3">
        <f t="shared" si="2"/>
        <v>0</v>
      </c>
      <c r="I383" s="3">
        <f t="shared" si="3"/>
        <v>0</v>
      </c>
      <c r="J383" s="3" t="str">
        <f t="shared" si="4"/>
        <v>No reviews</v>
      </c>
      <c r="K383" s="3" t="str">
        <f t="shared" si="5"/>
        <v>No reviews</v>
      </c>
      <c r="L383" s="7" t="str">
        <f t="shared" si="6"/>
        <v> </v>
      </c>
      <c r="M383" s="7" t="str">
        <f t="shared" si="7"/>
        <v> </v>
      </c>
      <c r="N383" s="7">
        <f t="shared" si="8"/>
        <v>0</v>
      </c>
    </row>
    <row r="384" hidden="1">
      <c r="B384" s="3" t="s">
        <v>724</v>
      </c>
      <c r="C384" s="5" t="s">
        <v>357</v>
      </c>
      <c r="D384" s="3">
        <v>10.0</v>
      </c>
      <c r="E384" s="3">
        <v>10.0</v>
      </c>
      <c r="F384" s="3">
        <f t="shared" si="1"/>
        <v>1</v>
      </c>
      <c r="G384" s="5" t="str">
        <f>IFERROR(__xludf.DUMMYFUNCTION("""COMPUTED_VALUE"""),"https://github.com/AlgoPenguin/tds-project-1")</f>
        <v>https://github.com/AlgoPenguin/tds-project-1</v>
      </c>
      <c r="H384" s="3">
        <f t="shared" si="2"/>
        <v>6</v>
      </c>
      <c r="I384" s="3">
        <f t="shared" si="3"/>
        <v>7</v>
      </c>
      <c r="J384" s="3" t="str">
        <f t="shared" si="4"/>
        <v>No reviews</v>
      </c>
      <c r="K384" s="3" t="str">
        <f t="shared" si="5"/>
        <v>No reviews</v>
      </c>
      <c r="L384" s="7" t="str">
        <f t="shared" si="6"/>
        <v> </v>
      </c>
      <c r="M384" s="7" t="str">
        <f t="shared" si="7"/>
        <v> </v>
      </c>
      <c r="N384" s="7">
        <f t="shared" si="8"/>
        <v>6.5</v>
      </c>
    </row>
    <row r="385" hidden="1">
      <c r="B385" s="3" t="s">
        <v>725</v>
      </c>
      <c r="C385" s="5" t="s">
        <v>726</v>
      </c>
      <c r="D385" s="3">
        <v>5.0</v>
      </c>
      <c r="E385" s="3">
        <v>0.0</v>
      </c>
      <c r="F385" s="3">
        <f t="shared" si="1"/>
        <v>2</v>
      </c>
      <c r="G385" s="5" t="str">
        <f>IFERROR(__xludf.DUMMYFUNCTION("""COMPUTED_VALUE"""),"https://github.com/Shilajit04/TDS-Project-1")</f>
        <v>https://github.com/Shilajit04/TDS-Project-1</v>
      </c>
      <c r="H385" s="3">
        <f t="shared" si="2"/>
        <v>8</v>
      </c>
      <c r="I385" s="3">
        <f t="shared" si="3"/>
        <v>9</v>
      </c>
      <c r="J385" s="3">
        <f t="shared" si="4"/>
        <v>8</v>
      </c>
      <c r="K385" s="3">
        <f t="shared" si="5"/>
        <v>10</v>
      </c>
      <c r="L385" s="7">
        <f t="shared" si="6"/>
        <v>0</v>
      </c>
      <c r="M385" s="7">
        <f t="shared" si="7"/>
        <v>1</v>
      </c>
      <c r="N385" s="7">
        <f t="shared" si="8"/>
        <v>9</v>
      </c>
    </row>
    <row r="386" hidden="1">
      <c r="B386" s="3" t="s">
        <v>727</v>
      </c>
      <c r="C386" s="5" t="s">
        <v>728</v>
      </c>
      <c r="D386" s="3">
        <v>8.0</v>
      </c>
      <c r="E386" s="3">
        <v>9.0</v>
      </c>
      <c r="F386" s="3">
        <f t="shared" si="1"/>
        <v>2</v>
      </c>
      <c r="G386" s="5" t="str">
        <f>IFERROR(__xludf.DUMMYFUNCTION("""COMPUTED_VALUE"""),"https://github.com/iambuhari/IITM/")</f>
        <v>https://github.com/iambuhari/IITM/</v>
      </c>
      <c r="H386" s="3">
        <f t="shared" si="2"/>
        <v>9</v>
      </c>
      <c r="I386" s="3">
        <f t="shared" si="3"/>
        <v>8</v>
      </c>
      <c r="J386" s="3">
        <f t="shared" si="4"/>
        <v>10</v>
      </c>
      <c r="K386" s="3">
        <f t="shared" si="5"/>
        <v>8</v>
      </c>
      <c r="L386" s="7">
        <f t="shared" si="6"/>
        <v>1</v>
      </c>
      <c r="M386" s="7">
        <f t="shared" si="7"/>
        <v>0</v>
      </c>
      <c r="N386" s="7">
        <f t="shared" si="8"/>
        <v>9</v>
      </c>
    </row>
    <row r="387" hidden="1">
      <c r="B387" s="3" t="s">
        <v>729</v>
      </c>
      <c r="C387" s="5" t="s">
        <v>553</v>
      </c>
      <c r="D387" s="3">
        <v>9.0</v>
      </c>
      <c r="E387" s="3">
        <v>10.0</v>
      </c>
      <c r="F387" s="3">
        <f t="shared" si="1"/>
        <v>2</v>
      </c>
      <c r="G387" s="5" t="str">
        <f>IFERROR(__xludf.DUMMYFUNCTION("""COMPUTED_VALUE"""),"https://github.com/kdiitm99/tds-project1")</f>
        <v>https://github.com/kdiitm99/tds-project1</v>
      </c>
      <c r="H387" s="3">
        <f t="shared" si="2"/>
        <v>9</v>
      </c>
      <c r="I387" s="3">
        <f t="shared" si="3"/>
        <v>10</v>
      </c>
      <c r="J387" s="3">
        <f t="shared" si="4"/>
        <v>7</v>
      </c>
      <c r="K387" s="3">
        <f t="shared" si="5"/>
        <v>5</v>
      </c>
      <c r="L387" s="7">
        <f t="shared" si="6"/>
        <v>2</v>
      </c>
      <c r="M387" s="7">
        <f t="shared" si="7"/>
        <v>5</v>
      </c>
      <c r="N387" s="7">
        <f t="shared" si="8"/>
        <v>9.5</v>
      </c>
    </row>
    <row r="388" hidden="1">
      <c r="B388" s="3" t="s">
        <v>730</v>
      </c>
      <c r="C388" s="5" t="s">
        <v>731</v>
      </c>
      <c r="D388" s="3">
        <v>10.0</v>
      </c>
      <c r="E388" s="3">
        <v>10.0</v>
      </c>
      <c r="F388" s="3">
        <f t="shared" si="1"/>
        <v>2</v>
      </c>
      <c r="G388" s="5" t="str">
        <f>IFERROR(__xludf.DUMMYFUNCTION("""COMPUTED_VALUE"""),"https://github.com/spideysanjay007/sanjay_tds_project_1")</f>
        <v>https://github.com/spideysanjay007/sanjay_tds_project_1</v>
      </c>
      <c r="H388" s="3">
        <f t="shared" si="2"/>
        <v>9</v>
      </c>
      <c r="I388" s="3">
        <f t="shared" si="3"/>
        <v>10</v>
      </c>
      <c r="J388" s="3">
        <f t="shared" si="4"/>
        <v>3</v>
      </c>
      <c r="K388" s="3">
        <f t="shared" si="5"/>
        <v>8</v>
      </c>
      <c r="L388" s="7">
        <f t="shared" si="6"/>
        <v>6</v>
      </c>
      <c r="M388" s="7">
        <f t="shared" si="7"/>
        <v>2</v>
      </c>
      <c r="N388" s="7">
        <f t="shared" si="8"/>
        <v>9.5</v>
      </c>
    </row>
    <row r="389" hidden="1">
      <c r="B389" s="3" t="s">
        <v>732</v>
      </c>
      <c r="C389" s="5" t="s">
        <v>733</v>
      </c>
      <c r="D389" s="3">
        <v>2.0</v>
      </c>
      <c r="E389" s="3">
        <v>10.0</v>
      </c>
      <c r="F389" s="3">
        <f t="shared" si="1"/>
        <v>2</v>
      </c>
      <c r="G389" s="5" t="str">
        <f>IFERROR(__xludf.DUMMYFUNCTION("""COMPUTED_VALUE"""),"https://github.com/22f3002094/Tds-project-1")</f>
        <v>https://github.com/22f3002094/Tds-project-1</v>
      </c>
      <c r="H389" s="3">
        <f t="shared" si="2"/>
        <v>10</v>
      </c>
      <c r="I389" s="3">
        <f t="shared" si="3"/>
        <v>10</v>
      </c>
      <c r="J389" s="3">
        <f t="shared" si="4"/>
        <v>10</v>
      </c>
      <c r="K389" s="3">
        <f t="shared" si="5"/>
        <v>10</v>
      </c>
      <c r="L389" s="7">
        <f t="shared" si="6"/>
        <v>0</v>
      </c>
      <c r="M389" s="7">
        <f t="shared" si="7"/>
        <v>0</v>
      </c>
      <c r="N389" s="7">
        <f t="shared" si="8"/>
        <v>10</v>
      </c>
    </row>
    <row r="390" hidden="1">
      <c r="B390" s="3" t="s">
        <v>734</v>
      </c>
      <c r="C390" s="5" t="s">
        <v>709</v>
      </c>
      <c r="D390" s="3">
        <v>6.0</v>
      </c>
      <c r="E390" s="3">
        <v>7.0</v>
      </c>
      <c r="F390" s="3">
        <f t="shared" si="1"/>
        <v>2</v>
      </c>
      <c r="G390" s="5" t="str">
        <f>IFERROR(__xludf.DUMMYFUNCTION("""COMPUTED_VALUE"""),"https://github.com/ARUNIMADILEEPK/TDS_Project_1")</f>
        <v>https://github.com/ARUNIMADILEEPK/TDS_Project_1</v>
      </c>
      <c r="H390" s="3">
        <f t="shared" si="2"/>
        <v>0</v>
      </c>
      <c r="I390" s="3">
        <f t="shared" si="3"/>
        <v>0</v>
      </c>
      <c r="J390" s="3">
        <f t="shared" si="4"/>
        <v>10</v>
      </c>
      <c r="K390" s="3">
        <f t="shared" si="5"/>
        <v>10</v>
      </c>
      <c r="L390" s="7">
        <f t="shared" si="6"/>
        <v>10</v>
      </c>
      <c r="M390" s="7">
        <f t="shared" si="7"/>
        <v>10</v>
      </c>
      <c r="N390" s="7">
        <f t="shared" si="8"/>
        <v>10</v>
      </c>
    </row>
    <row r="391" hidden="1">
      <c r="B391" s="3" t="s">
        <v>735</v>
      </c>
      <c r="C391" s="5" t="s">
        <v>162</v>
      </c>
      <c r="D391" s="3">
        <v>10.0</v>
      </c>
      <c r="E391" s="3">
        <v>10.0</v>
      </c>
      <c r="F391" s="3">
        <f t="shared" si="1"/>
        <v>2</v>
      </c>
      <c r="G391" s="5" t="str">
        <f>IFERROR(__xludf.DUMMYFUNCTION("""COMPUTED_VALUE"""),"https://github.com/23f3001726/p1-tds")</f>
        <v>https://github.com/23f3001726/p1-tds</v>
      </c>
      <c r="H391" s="3">
        <f t="shared" si="2"/>
        <v>4</v>
      </c>
      <c r="I391" s="3">
        <f t="shared" si="3"/>
        <v>7</v>
      </c>
      <c r="J391" s="3">
        <f t="shared" si="4"/>
        <v>10</v>
      </c>
      <c r="K391" s="3">
        <f t="shared" si="5"/>
        <v>10</v>
      </c>
      <c r="L391" s="7">
        <f t="shared" si="6"/>
        <v>6</v>
      </c>
      <c r="M391" s="7">
        <f t="shared" si="7"/>
        <v>3</v>
      </c>
      <c r="N391" s="7">
        <f t="shared" si="8"/>
        <v>10</v>
      </c>
    </row>
    <row r="392" hidden="1">
      <c r="B392" s="3" t="s">
        <v>736</v>
      </c>
      <c r="C392" s="5" t="s">
        <v>317</v>
      </c>
      <c r="D392" s="3">
        <v>9.0</v>
      </c>
      <c r="E392" s="3">
        <v>9.0</v>
      </c>
      <c r="F392" s="3">
        <f t="shared" si="1"/>
        <v>1</v>
      </c>
      <c r="G392" s="5" t="str">
        <f>IFERROR(__xludf.DUMMYFUNCTION("""COMPUTED_VALUE"""),"https://github.com/22f3001192/amitkumar")</f>
        <v>https://github.com/22f3001192/amitkumar</v>
      </c>
      <c r="H392" s="3">
        <f t="shared" si="2"/>
        <v>2</v>
      </c>
      <c r="I392" s="3">
        <f t="shared" si="3"/>
        <v>0</v>
      </c>
      <c r="J392" s="3" t="str">
        <f t="shared" si="4"/>
        <v>No reviews</v>
      </c>
      <c r="K392" s="3" t="str">
        <f t="shared" si="5"/>
        <v>No reviews</v>
      </c>
      <c r="L392" s="7" t="str">
        <f t="shared" si="6"/>
        <v> </v>
      </c>
      <c r="M392" s="7" t="str">
        <f t="shared" si="7"/>
        <v> </v>
      </c>
      <c r="N392" s="7">
        <f t="shared" si="8"/>
        <v>1</v>
      </c>
    </row>
    <row r="393" hidden="1">
      <c r="B393" s="3" t="s">
        <v>737</v>
      </c>
      <c r="C393" s="5" t="s">
        <v>556</v>
      </c>
      <c r="D393" s="3">
        <v>9.0</v>
      </c>
      <c r="E393" s="3">
        <v>8.0</v>
      </c>
      <c r="F393" s="3">
        <f t="shared" si="1"/>
        <v>1</v>
      </c>
      <c r="G393" s="5" t="str">
        <f>IFERROR(__xludf.DUMMYFUNCTION("""COMPUTED_VALUE"""),"https://github.com/krishna1rpr/tds-project-1")</f>
        <v>https://github.com/krishna1rpr/tds-project-1</v>
      </c>
      <c r="H393" s="3">
        <f t="shared" si="2"/>
        <v>10</v>
      </c>
      <c r="I393" s="3">
        <f t="shared" si="3"/>
        <v>10</v>
      </c>
      <c r="J393" s="3" t="str">
        <f t="shared" si="4"/>
        <v>No reviews</v>
      </c>
      <c r="K393" s="3" t="str">
        <f t="shared" si="5"/>
        <v>No reviews</v>
      </c>
      <c r="L393" s="7" t="str">
        <f t="shared" si="6"/>
        <v> </v>
      </c>
      <c r="M393" s="7" t="str">
        <f t="shared" si="7"/>
        <v> </v>
      </c>
      <c r="N393" s="7">
        <f t="shared" si="8"/>
        <v>10</v>
      </c>
    </row>
    <row r="394" hidden="1">
      <c r="B394" s="3" t="s">
        <v>738</v>
      </c>
      <c r="C394" s="5" t="s">
        <v>739</v>
      </c>
      <c r="D394" s="3">
        <v>10.0</v>
      </c>
      <c r="E394" s="3">
        <v>8.0</v>
      </c>
      <c r="F394" s="3">
        <f t="shared" si="1"/>
        <v>1</v>
      </c>
      <c r="G394" s="5" t="str">
        <f>IFERROR(__xludf.DUMMYFUNCTION("""COMPUTED_VALUE"""),"https://github.com/Shre-2104/project1tds")</f>
        <v>https://github.com/Shre-2104/project1tds</v>
      </c>
      <c r="H394" s="3">
        <f t="shared" si="2"/>
        <v>10</v>
      </c>
      <c r="I394" s="3">
        <f t="shared" si="3"/>
        <v>0</v>
      </c>
      <c r="J394" s="3" t="str">
        <f t="shared" si="4"/>
        <v>No reviews</v>
      </c>
      <c r="K394" s="3" t="str">
        <f t="shared" si="5"/>
        <v>No reviews</v>
      </c>
      <c r="L394" s="7" t="str">
        <f t="shared" si="6"/>
        <v> </v>
      </c>
      <c r="M394" s="7" t="str">
        <f t="shared" si="7"/>
        <v> </v>
      </c>
      <c r="N394" s="7">
        <f t="shared" si="8"/>
        <v>5</v>
      </c>
    </row>
    <row r="395" hidden="1">
      <c r="B395" s="3" t="s">
        <v>740</v>
      </c>
      <c r="C395" s="5" t="s">
        <v>741</v>
      </c>
      <c r="D395" s="3">
        <v>0.0</v>
      </c>
      <c r="E395" s="3">
        <v>0.0</v>
      </c>
      <c r="F395" s="3">
        <f t="shared" si="1"/>
        <v>2</v>
      </c>
      <c r="G395" s="5" t="str">
        <f>IFERROR(__xludf.DUMMYFUNCTION("""COMPUTED_VALUE"""),"https://github.com/nihalkumar833/tds")</f>
        <v>https://github.com/nihalkumar833/tds</v>
      </c>
      <c r="H395" s="3">
        <f t="shared" si="2"/>
        <v>9</v>
      </c>
      <c r="I395" s="3">
        <f t="shared" si="3"/>
        <v>0</v>
      </c>
      <c r="J395" s="3">
        <f t="shared" si="4"/>
        <v>10</v>
      </c>
      <c r="K395" s="3">
        <f t="shared" si="5"/>
        <v>10</v>
      </c>
      <c r="L395" s="7">
        <f t="shared" si="6"/>
        <v>1</v>
      </c>
      <c r="M395" s="7">
        <f t="shared" si="7"/>
        <v>10</v>
      </c>
      <c r="N395" s="7">
        <f t="shared" si="8"/>
        <v>10</v>
      </c>
    </row>
    <row r="396" hidden="1">
      <c r="B396" s="3" t="s">
        <v>742</v>
      </c>
      <c r="C396" s="5" t="s">
        <v>743</v>
      </c>
      <c r="D396" s="3">
        <v>10.0</v>
      </c>
      <c r="E396" s="3">
        <v>8.0</v>
      </c>
      <c r="F396" s="3">
        <f t="shared" si="1"/>
        <v>2</v>
      </c>
      <c r="G396" s="5" t="str">
        <f>IFERROR(__xludf.DUMMYFUNCTION("""COMPUTED_VALUE"""),"https://github.com/nirmaldeep-p/TDS-Project-1")</f>
        <v>https://github.com/nirmaldeep-p/TDS-Project-1</v>
      </c>
      <c r="H396" s="3">
        <f t="shared" si="2"/>
        <v>2</v>
      </c>
      <c r="I396" s="3">
        <f t="shared" si="3"/>
        <v>0</v>
      </c>
      <c r="J396" s="3">
        <f t="shared" si="4"/>
        <v>6</v>
      </c>
      <c r="K396" s="3">
        <f t="shared" si="5"/>
        <v>0</v>
      </c>
      <c r="L396" s="7">
        <f t="shared" si="6"/>
        <v>4</v>
      </c>
      <c r="M396" s="7">
        <f t="shared" si="7"/>
        <v>0</v>
      </c>
      <c r="N396" s="7">
        <f t="shared" si="8"/>
        <v>3</v>
      </c>
    </row>
    <row r="397" hidden="1">
      <c r="B397" s="3" t="s">
        <v>744</v>
      </c>
      <c r="C397" s="5" t="s">
        <v>353</v>
      </c>
      <c r="D397" s="3">
        <v>9.0</v>
      </c>
      <c r="E397" s="3">
        <v>10.0</v>
      </c>
      <c r="F397" s="3">
        <f t="shared" si="1"/>
        <v>2</v>
      </c>
      <c r="G397" s="5" t="str">
        <f>IFERROR(__xludf.DUMMYFUNCTION("""COMPUTED_VALUE"""),"https://github.com/gyanesh-iitmiimb/TDSProject1/blob")</f>
        <v>https://github.com/gyanesh-iitmiimb/TDSProject1/blob</v>
      </c>
      <c r="H397" s="3">
        <f t="shared" si="2"/>
        <v>0</v>
      </c>
      <c r="I397" s="3">
        <f t="shared" si="3"/>
        <v>0</v>
      </c>
      <c r="J397" s="3">
        <f t="shared" si="4"/>
        <v>0</v>
      </c>
      <c r="K397" s="3">
        <f t="shared" si="5"/>
        <v>0</v>
      </c>
      <c r="L397" s="7">
        <f t="shared" si="6"/>
        <v>0</v>
      </c>
      <c r="M397" s="7">
        <f t="shared" si="7"/>
        <v>0</v>
      </c>
      <c r="N397" s="7">
        <f t="shared" si="8"/>
        <v>0</v>
      </c>
    </row>
    <row r="398" hidden="1">
      <c r="B398" s="3" t="s">
        <v>745</v>
      </c>
      <c r="C398" s="5" t="s">
        <v>636</v>
      </c>
      <c r="D398" s="3">
        <v>5.0</v>
      </c>
      <c r="E398" s="3">
        <v>0.0</v>
      </c>
      <c r="F398" s="3">
        <f t="shared" si="1"/>
        <v>1</v>
      </c>
      <c r="G398" s="5" t="str">
        <f>IFERROR(__xludf.DUMMYFUNCTION("""COMPUTED_VALUE"""),"https://github.com/Viswa-iitm/TDS-project-1/")</f>
        <v>https://github.com/Viswa-iitm/TDS-project-1/</v>
      </c>
      <c r="H398" s="3">
        <f t="shared" si="2"/>
        <v>10</v>
      </c>
      <c r="I398" s="3">
        <f t="shared" si="3"/>
        <v>10</v>
      </c>
      <c r="J398" s="3" t="str">
        <f t="shared" si="4"/>
        <v>No reviews</v>
      </c>
      <c r="K398" s="3" t="str">
        <f t="shared" si="5"/>
        <v>No reviews</v>
      </c>
      <c r="L398" s="7" t="str">
        <f t="shared" si="6"/>
        <v> </v>
      </c>
      <c r="M398" s="7" t="str">
        <f t="shared" si="7"/>
        <v> </v>
      </c>
      <c r="N398" s="7">
        <f t="shared" si="8"/>
        <v>10</v>
      </c>
    </row>
    <row r="399" hidden="1">
      <c r="B399" s="3" t="s">
        <v>746</v>
      </c>
      <c r="C399" s="5" t="s">
        <v>747</v>
      </c>
      <c r="D399" s="3">
        <v>5.0</v>
      </c>
      <c r="E399" s="3">
        <v>0.0</v>
      </c>
      <c r="F399" s="3">
        <f t="shared" si="1"/>
        <v>1</v>
      </c>
      <c r="G399" s="5" t="str">
        <f>IFERROR(__xludf.DUMMYFUNCTION("""COMPUTED_VALUE"""),"https://github.com/devishijain/TDS-Project-1")</f>
        <v>https://github.com/devishijain/TDS-Project-1</v>
      </c>
      <c r="H399" s="3">
        <f t="shared" si="2"/>
        <v>1</v>
      </c>
      <c r="I399" s="3">
        <f t="shared" si="3"/>
        <v>0</v>
      </c>
      <c r="J399" s="3" t="str">
        <f t="shared" si="4"/>
        <v>No reviews</v>
      </c>
      <c r="K399" s="3" t="str">
        <f t="shared" si="5"/>
        <v>No reviews</v>
      </c>
      <c r="L399" s="7" t="str">
        <f t="shared" si="6"/>
        <v> </v>
      </c>
      <c r="M399" s="7" t="str">
        <f t="shared" si="7"/>
        <v> </v>
      </c>
      <c r="N399" s="7">
        <f t="shared" si="8"/>
        <v>0.5</v>
      </c>
    </row>
    <row r="400" hidden="1">
      <c r="B400" s="3" t="s">
        <v>748</v>
      </c>
      <c r="C400" s="5" t="s">
        <v>749</v>
      </c>
      <c r="D400" s="3">
        <v>7.0</v>
      </c>
      <c r="E400" s="3">
        <v>7.0</v>
      </c>
      <c r="F400" s="3">
        <f t="shared" si="1"/>
        <v>1</v>
      </c>
      <c r="G400" s="5" t="str">
        <f>IFERROR(__xludf.DUMMYFUNCTION("""COMPUTED_VALUE"""),"https://github.com/Nishtha65/TDS-Project1")</f>
        <v>https://github.com/Nishtha65/TDS-Project1</v>
      </c>
      <c r="H400" s="3">
        <f t="shared" si="2"/>
        <v>10</v>
      </c>
      <c r="I400" s="3">
        <f t="shared" si="3"/>
        <v>10</v>
      </c>
      <c r="J400" s="3" t="str">
        <f t="shared" si="4"/>
        <v>No reviews</v>
      </c>
      <c r="K400" s="3" t="str">
        <f t="shared" si="5"/>
        <v>No reviews</v>
      </c>
      <c r="L400" s="7" t="str">
        <f t="shared" si="6"/>
        <v> </v>
      </c>
      <c r="M400" s="7" t="str">
        <f t="shared" si="7"/>
        <v> </v>
      </c>
      <c r="N400" s="7">
        <f t="shared" si="8"/>
        <v>10</v>
      </c>
    </row>
    <row r="401" hidden="1">
      <c r="B401" s="3" t="s">
        <v>750</v>
      </c>
      <c r="C401" s="5" t="s">
        <v>296</v>
      </c>
      <c r="D401" s="3">
        <v>3.0</v>
      </c>
      <c r="E401" s="3">
        <v>10.0</v>
      </c>
      <c r="F401" s="3">
        <f t="shared" si="1"/>
        <v>2</v>
      </c>
      <c r="G401" s="5" t="str">
        <f>IFERROR(__xludf.DUMMYFUNCTION("""COMPUTED_VALUE"""),"https://github.com/AmanManiTiwari/Tools-In-Data-Science-Project-1")</f>
        <v>https://github.com/AmanManiTiwari/Tools-In-Data-Science-Project-1</v>
      </c>
      <c r="H401" s="3">
        <f t="shared" si="2"/>
        <v>6</v>
      </c>
      <c r="I401" s="3">
        <f t="shared" si="3"/>
        <v>10</v>
      </c>
      <c r="J401" s="3">
        <f t="shared" si="4"/>
        <v>8</v>
      </c>
      <c r="K401" s="3">
        <f t="shared" si="5"/>
        <v>10</v>
      </c>
      <c r="L401" s="7">
        <f t="shared" si="6"/>
        <v>2</v>
      </c>
      <c r="M401" s="7">
        <f t="shared" si="7"/>
        <v>0</v>
      </c>
      <c r="N401" s="7">
        <f t="shared" si="8"/>
        <v>9</v>
      </c>
    </row>
    <row r="402" hidden="1">
      <c r="B402" s="3" t="s">
        <v>751</v>
      </c>
      <c r="C402" s="5" t="s">
        <v>752</v>
      </c>
      <c r="D402" s="3">
        <v>9.0</v>
      </c>
      <c r="E402" s="3">
        <v>9.0</v>
      </c>
      <c r="F402" s="3">
        <f t="shared" si="1"/>
        <v>1</v>
      </c>
      <c r="G402" s="5" t="str">
        <f>IFERROR(__xludf.DUMMYFUNCTION("""COMPUTED_VALUE"""),"https://github.com/srijan789/tdsproj1")</f>
        <v>https://github.com/srijan789/tdsproj1</v>
      </c>
      <c r="H402" s="3">
        <f t="shared" si="2"/>
        <v>8</v>
      </c>
      <c r="I402" s="3">
        <f t="shared" si="3"/>
        <v>10</v>
      </c>
      <c r="J402" s="3" t="str">
        <f t="shared" si="4"/>
        <v>No reviews</v>
      </c>
      <c r="K402" s="3" t="str">
        <f t="shared" si="5"/>
        <v>No reviews</v>
      </c>
      <c r="L402" s="7" t="str">
        <f t="shared" si="6"/>
        <v> </v>
      </c>
      <c r="M402" s="7" t="str">
        <f t="shared" si="7"/>
        <v> </v>
      </c>
      <c r="N402" s="7">
        <f t="shared" si="8"/>
        <v>9</v>
      </c>
    </row>
    <row r="403" hidden="1">
      <c r="B403" s="3" t="s">
        <v>753</v>
      </c>
      <c r="C403" s="5" t="s">
        <v>582</v>
      </c>
      <c r="D403" s="3">
        <v>9.0</v>
      </c>
      <c r="E403" s="3">
        <v>9.0</v>
      </c>
      <c r="F403" s="3">
        <f t="shared" si="1"/>
        <v>2</v>
      </c>
      <c r="G403" s="5" t="str">
        <f>IFERROR(__xludf.DUMMYFUNCTION("""COMPUTED_VALUE"""),"https://github.com/theduskyrobe/TDS1")</f>
        <v>https://github.com/theduskyrobe/TDS1</v>
      </c>
      <c r="H403" s="3">
        <f t="shared" si="2"/>
        <v>9</v>
      </c>
      <c r="I403" s="3">
        <f t="shared" si="3"/>
        <v>10</v>
      </c>
      <c r="J403" s="3">
        <f t="shared" si="4"/>
        <v>8</v>
      </c>
      <c r="K403" s="3">
        <f t="shared" si="5"/>
        <v>10</v>
      </c>
      <c r="L403" s="7">
        <f t="shared" si="6"/>
        <v>1</v>
      </c>
      <c r="M403" s="7">
        <f t="shared" si="7"/>
        <v>0</v>
      </c>
      <c r="N403" s="7">
        <f t="shared" si="8"/>
        <v>9.5</v>
      </c>
    </row>
    <row r="404" hidden="1">
      <c r="B404" s="3" t="s">
        <v>754</v>
      </c>
      <c r="C404" s="5" t="s">
        <v>755</v>
      </c>
      <c r="D404" s="3">
        <v>0.0</v>
      </c>
      <c r="E404" s="3">
        <v>0.0</v>
      </c>
      <c r="F404" s="3">
        <f t="shared" si="1"/>
        <v>2</v>
      </c>
      <c r="G404" s="5" t="str">
        <f>IFERROR(__xludf.DUMMYFUNCTION("""COMPUTED_VALUE"""),"https://github.com/SiriusOrion0301/TDS-PROJECT-1")</f>
        <v>https://github.com/SiriusOrion0301/TDS-PROJECT-1</v>
      </c>
      <c r="H404" s="3">
        <f t="shared" si="2"/>
        <v>7</v>
      </c>
      <c r="I404" s="3">
        <f t="shared" si="3"/>
        <v>7</v>
      </c>
      <c r="J404" s="3">
        <f t="shared" si="4"/>
        <v>5</v>
      </c>
      <c r="K404" s="3">
        <f t="shared" si="5"/>
        <v>5</v>
      </c>
      <c r="L404" s="7">
        <f t="shared" si="6"/>
        <v>2</v>
      </c>
      <c r="M404" s="7">
        <f t="shared" si="7"/>
        <v>2</v>
      </c>
      <c r="N404" s="7">
        <f t="shared" si="8"/>
        <v>7</v>
      </c>
    </row>
    <row r="405" hidden="1">
      <c r="B405" s="3" t="s">
        <v>756</v>
      </c>
      <c r="C405" s="5" t="s">
        <v>535</v>
      </c>
      <c r="D405" s="3">
        <v>6.0</v>
      </c>
      <c r="E405" s="3">
        <v>10.0</v>
      </c>
      <c r="F405" s="3">
        <f t="shared" si="1"/>
        <v>2</v>
      </c>
      <c r="G405" s="5" t="str">
        <f>IFERROR(__xludf.DUMMYFUNCTION("""COMPUTED_VALUE"""),"https://github.com/mfzlur/tds-iitm-project1")</f>
        <v>https://github.com/mfzlur/tds-iitm-project1</v>
      </c>
      <c r="H405" s="3">
        <f t="shared" si="2"/>
        <v>10</v>
      </c>
      <c r="I405" s="3">
        <f t="shared" si="3"/>
        <v>10</v>
      </c>
      <c r="J405" s="3">
        <f t="shared" si="4"/>
        <v>10</v>
      </c>
      <c r="K405" s="3">
        <f t="shared" si="5"/>
        <v>10</v>
      </c>
      <c r="L405" s="7">
        <f t="shared" si="6"/>
        <v>0</v>
      </c>
      <c r="M405" s="7">
        <f t="shared" si="7"/>
        <v>0</v>
      </c>
      <c r="N405" s="7">
        <f t="shared" si="8"/>
        <v>10</v>
      </c>
    </row>
    <row r="406" hidden="1">
      <c r="B406" s="3" t="s">
        <v>757</v>
      </c>
      <c r="C406" s="5" t="s">
        <v>758</v>
      </c>
      <c r="D406" s="3">
        <v>10.0</v>
      </c>
      <c r="E406" s="3">
        <v>9.0</v>
      </c>
      <c r="F406" s="3">
        <f t="shared" si="1"/>
        <v>1</v>
      </c>
      <c r="G406" s="5" t="str">
        <f>IFERROR(__xludf.DUMMYFUNCTION("""COMPUTED_VALUE"""),"https://forms.gle/qjSEztCfP6oG65gp8")</f>
        <v>https://forms.gle/qjSEztCfP6oG65gp8</v>
      </c>
      <c r="H406" s="3">
        <f t="shared" si="2"/>
        <v>10</v>
      </c>
      <c r="I406" s="3">
        <f t="shared" si="3"/>
        <v>10</v>
      </c>
      <c r="J406" s="3" t="str">
        <f t="shared" si="4"/>
        <v>No reviews</v>
      </c>
      <c r="K406" s="3" t="str">
        <f t="shared" si="5"/>
        <v>No reviews</v>
      </c>
      <c r="L406" s="7" t="str">
        <f t="shared" si="6"/>
        <v> </v>
      </c>
      <c r="M406" s="7" t="str">
        <f t="shared" si="7"/>
        <v> </v>
      </c>
      <c r="N406" s="7">
        <f t="shared" si="8"/>
        <v>10</v>
      </c>
    </row>
    <row r="407" hidden="1">
      <c r="B407" s="3" t="s">
        <v>759</v>
      </c>
      <c r="C407" s="5" t="s">
        <v>760</v>
      </c>
      <c r="D407" s="3">
        <v>7.0</v>
      </c>
      <c r="E407" s="3">
        <v>9.0</v>
      </c>
      <c r="F407" s="3">
        <f t="shared" si="1"/>
        <v>1</v>
      </c>
      <c r="G407" s="5" t="str">
        <f>IFERROR(__xludf.DUMMYFUNCTION("""COMPUTED_VALUE"""),"https://github.com/kamalesh-79/tdsproj/tree/main1")</f>
        <v>https://github.com/kamalesh-79/tdsproj/tree/main1</v>
      </c>
      <c r="H407" s="3">
        <f t="shared" si="2"/>
        <v>1</v>
      </c>
      <c r="I407" s="3">
        <f t="shared" si="3"/>
        <v>7</v>
      </c>
      <c r="J407" s="3" t="str">
        <f t="shared" si="4"/>
        <v>No reviews</v>
      </c>
      <c r="K407" s="3" t="str">
        <f t="shared" si="5"/>
        <v>No reviews</v>
      </c>
      <c r="L407" s="7" t="str">
        <f t="shared" si="6"/>
        <v> </v>
      </c>
      <c r="M407" s="7" t="str">
        <f t="shared" si="7"/>
        <v> </v>
      </c>
      <c r="N407" s="7">
        <f t="shared" si="8"/>
        <v>4</v>
      </c>
    </row>
    <row r="408" hidden="1">
      <c r="B408" s="3" t="s">
        <v>761</v>
      </c>
      <c r="C408" s="5" t="s">
        <v>762</v>
      </c>
      <c r="D408" s="3">
        <v>9.0</v>
      </c>
      <c r="E408" s="3">
        <v>10.0</v>
      </c>
      <c r="F408" s="3">
        <f t="shared" si="1"/>
        <v>2</v>
      </c>
      <c r="G408" s="5" t="str">
        <f>IFERROR(__xludf.DUMMYFUNCTION("""COMPUTED_VALUE"""),"https://github.com/pranjal300799/TDS-proj1")</f>
        <v>https://github.com/pranjal300799/TDS-proj1</v>
      </c>
      <c r="H408" s="3">
        <f t="shared" si="2"/>
        <v>6</v>
      </c>
      <c r="I408" s="3">
        <f t="shared" si="3"/>
        <v>8</v>
      </c>
      <c r="J408" s="3">
        <f t="shared" si="4"/>
        <v>10</v>
      </c>
      <c r="K408" s="3">
        <f t="shared" si="5"/>
        <v>10</v>
      </c>
      <c r="L408" s="7">
        <f t="shared" si="6"/>
        <v>4</v>
      </c>
      <c r="M408" s="7">
        <f t="shared" si="7"/>
        <v>2</v>
      </c>
      <c r="N408" s="7">
        <f t="shared" si="8"/>
        <v>10</v>
      </c>
    </row>
    <row r="409" hidden="1">
      <c r="B409" s="3" t="s">
        <v>763</v>
      </c>
      <c r="C409" s="5" t="s">
        <v>257</v>
      </c>
      <c r="D409" s="3">
        <v>10.0</v>
      </c>
      <c r="E409" s="3">
        <v>10.0</v>
      </c>
      <c r="F409" s="3">
        <f t="shared" si="1"/>
        <v>2</v>
      </c>
      <c r="G409" s="5" t="str">
        <f>IFERROR(__xludf.DUMMYFUNCTION("""COMPUTED_VALUE"""),"https://github.com/saritakumari23/proj1")</f>
        <v>https://github.com/saritakumari23/proj1</v>
      </c>
      <c r="H409" s="3">
        <f t="shared" si="2"/>
        <v>0</v>
      </c>
      <c r="I409" s="3">
        <f t="shared" si="3"/>
        <v>0</v>
      </c>
      <c r="J409" s="3">
        <f t="shared" si="4"/>
        <v>1</v>
      </c>
      <c r="K409" s="3">
        <f t="shared" si="5"/>
        <v>0</v>
      </c>
      <c r="L409" s="7">
        <f t="shared" si="6"/>
        <v>1</v>
      </c>
      <c r="M409" s="7">
        <f t="shared" si="7"/>
        <v>0</v>
      </c>
      <c r="N409" s="7">
        <f t="shared" si="8"/>
        <v>0.5</v>
      </c>
    </row>
    <row r="410" hidden="1">
      <c r="B410" s="3" t="s">
        <v>764</v>
      </c>
      <c r="C410" s="5" t="s">
        <v>758</v>
      </c>
      <c r="D410" s="3">
        <v>10.0</v>
      </c>
      <c r="E410" s="3">
        <v>9.0</v>
      </c>
      <c r="F410" s="3">
        <f t="shared" si="1"/>
        <v>2</v>
      </c>
      <c r="G410" s="5" t="str">
        <f>IFERROR(__xludf.DUMMYFUNCTION("""COMPUTED_VALUE"""),"https://github.com/vanshikaaraisinghani/TDSProjectt")</f>
        <v>https://github.com/vanshikaaraisinghani/TDSProjectt</v>
      </c>
      <c r="H410" s="3">
        <f t="shared" si="2"/>
        <v>0</v>
      </c>
      <c r="I410" s="3">
        <f t="shared" si="3"/>
        <v>0</v>
      </c>
      <c r="J410" s="3">
        <f t="shared" si="4"/>
        <v>0</v>
      </c>
      <c r="K410" s="3">
        <f t="shared" si="5"/>
        <v>0</v>
      </c>
      <c r="L410" s="7">
        <f t="shared" si="6"/>
        <v>0</v>
      </c>
      <c r="M410" s="7">
        <f t="shared" si="7"/>
        <v>0</v>
      </c>
      <c r="N410" s="7">
        <f t="shared" si="8"/>
        <v>0</v>
      </c>
    </row>
    <row r="411" hidden="1">
      <c r="B411" s="3" t="s">
        <v>765</v>
      </c>
      <c r="C411" s="5" t="s">
        <v>294</v>
      </c>
      <c r="D411" s="3">
        <v>9.0</v>
      </c>
      <c r="E411" s="3">
        <v>9.0</v>
      </c>
      <c r="F411" s="3">
        <f t="shared" si="1"/>
        <v>2</v>
      </c>
      <c r="G411" s="5" t="str">
        <f>IFERROR(__xludf.DUMMYFUNCTION("""COMPUTED_VALUE"""),"https://github.com/Vscode918/Moscow-users/")</f>
        <v>https://github.com/Vscode918/Moscow-users/</v>
      </c>
      <c r="H411" s="3">
        <f t="shared" si="2"/>
        <v>9</v>
      </c>
      <c r="I411" s="3">
        <f t="shared" si="3"/>
        <v>7</v>
      </c>
      <c r="J411" s="3">
        <f t="shared" si="4"/>
        <v>10</v>
      </c>
      <c r="K411" s="3">
        <f t="shared" si="5"/>
        <v>9</v>
      </c>
      <c r="L411" s="7">
        <f t="shared" si="6"/>
        <v>1</v>
      </c>
      <c r="M411" s="7">
        <f t="shared" si="7"/>
        <v>2</v>
      </c>
      <c r="N411" s="7">
        <f t="shared" si="8"/>
        <v>9.5</v>
      </c>
    </row>
    <row r="412" hidden="1">
      <c r="B412" s="3" t="s">
        <v>766</v>
      </c>
      <c r="C412" s="5" t="s">
        <v>653</v>
      </c>
      <c r="D412" s="3">
        <v>10.0</v>
      </c>
      <c r="E412" s="3">
        <v>9.0</v>
      </c>
      <c r="F412" s="3">
        <f t="shared" si="1"/>
        <v>2</v>
      </c>
      <c r="G412" s="5" t="str">
        <f>IFERROR(__xludf.DUMMYFUNCTION("""COMPUTED_VALUE"""),"https://github.com/DSAshv/TDS-Project1")</f>
        <v>https://github.com/DSAshv/TDS-Project1</v>
      </c>
      <c r="H412" s="3">
        <f t="shared" si="2"/>
        <v>10</v>
      </c>
      <c r="I412" s="3">
        <f t="shared" si="3"/>
        <v>10</v>
      </c>
      <c r="J412" s="3">
        <f t="shared" si="4"/>
        <v>10</v>
      </c>
      <c r="K412" s="3">
        <f t="shared" si="5"/>
        <v>8</v>
      </c>
      <c r="L412" s="7">
        <f t="shared" si="6"/>
        <v>0</v>
      </c>
      <c r="M412" s="7">
        <f t="shared" si="7"/>
        <v>2</v>
      </c>
      <c r="N412" s="7">
        <f t="shared" si="8"/>
        <v>10</v>
      </c>
    </row>
    <row r="413" hidden="1">
      <c r="B413" s="3" t="s">
        <v>767</v>
      </c>
      <c r="C413" s="5" t="s">
        <v>586</v>
      </c>
      <c r="D413" s="3">
        <v>10.0</v>
      </c>
      <c r="E413" s="3">
        <v>10.0</v>
      </c>
      <c r="F413" s="3">
        <f t="shared" si="1"/>
        <v>2</v>
      </c>
      <c r="G413" s="5" t="str">
        <f>IFERROR(__xludf.DUMMYFUNCTION("""COMPUTED_VALUE"""),"https://github.com/Nachiket-GORE/TDS-project-1")</f>
        <v>https://github.com/Nachiket-GORE/TDS-project-1</v>
      </c>
      <c r="H413" s="3">
        <f t="shared" si="2"/>
        <v>10</v>
      </c>
      <c r="I413" s="3">
        <f t="shared" si="3"/>
        <v>10</v>
      </c>
      <c r="J413" s="3">
        <f t="shared" si="4"/>
        <v>10</v>
      </c>
      <c r="K413" s="3">
        <f t="shared" si="5"/>
        <v>5</v>
      </c>
      <c r="L413" s="7">
        <f t="shared" si="6"/>
        <v>0</v>
      </c>
      <c r="M413" s="7">
        <f t="shared" si="7"/>
        <v>5</v>
      </c>
      <c r="N413" s="7">
        <f t="shared" si="8"/>
        <v>10</v>
      </c>
    </row>
    <row r="414" hidden="1">
      <c r="B414" s="3" t="s">
        <v>768</v>
      </c>
      <c r="C414" s="5" t="s">
        <v>769</v>
      </c>
      <c r="D414" s="3">
        <v>10.0</v>
      </c>
      <c r="E414" s="3">
        <v>10.0</v>
      </c>
      <c r="F414" s="3">
        <f t="shared" si="1"/>
        <v>2</v>
      </c>
      <c r="G414" s="5" t="str">
        <f>IFERROR(__xludf.DUMMYFUNCTION("""COMPUTED_VALUE"""),"https://github.com/IITM-007/Project1/tree/main")</f>
        <v>https://github.com/IITM-007/Project1/tree/main</v>
      </c>
      <c r="H414" s="3">
        <f t="shared" si="2"/>
        <v>10</v>
      </c>
      <c r="I414" s="3">
        <f t="shared" si="3"/>
        <v>10</v>
      </c>
      <c r="J414" s="3">
        <f t="shared" si="4"/>
        <v>9</v>
      </c>
      <c r="K414" s="3">
        <f t="shared" si="5"/>
        <v>9</v>
      </c>
      <c r="L414" s="7">
        <f t="shared" si="6"/>
        <v>1</v>
      </c>
      <c r="M414" s="7">
        <f t="shared" si="7"/>
        <v>1</v>
      </c>
      <c r="N414" s="7">
        <f t="shared" si="8"/>
        <v>10</v>
      </c>
    </row>
    <row r="415" hidden="1">
      <c r="B415" s="3" t="s">
        <v>770</v>
      </c>
      <c r="C415" s="5" t="s">
        <v>771</v>
      </c>
      <c r="D415" s="3">
        <v>9.0</v>
      </c>
      <c r="E415" s="3">
        <v>4.0</v>
      </c>
      <c r="F415" s="3">
        <f t="shared" si="1"/>
        <v>2</v>
      </c>
      <c r="G415" s="5" t="str">
        <f>IFERROR(__xludf.DUMMYFUNCTION("""COMPUTED_VALUE"""),"https://github.com/jayasri-js/github-london-users")</f>
        <v>https://github.com/jayasri-js/github-london-users</v>
      </c>
      <c r="H415" s="3">
        <f t="shared" si="2"/>
        <v>8</v>
      </c>
      <c r="I415" s="3">
        <f t="shared" si="3"/>
        <v>8</v>
      </c>
      <c r="J415" s="3">
        <f t="shared" si="4"/>
        <v>10</v>
      </c>
      <c r="K415" s="3">
        <f t="shared" si="5"/>
        <v>10</v>
      </c>
      <c r="L415" s="7">
        <f t="shared" si="6"/>
        <v>2</v>
      </c>
      <c r="M415" s="7">
        <f t="shared" si="7"/>
        <v>2</v>
      </c>
      <c r="N415" s="7">
        <f t="shared" si="8"/>
        <v>10</v>
      </c>
    </row>
    <row r="416" hidden="1">
      <c r="B416" s="3" t="s">
        <v>772</v>
      </c>
      <c r="C416" s="5" t="s">
        <v>395</v>
      </c>
      <c r="D416" s="3">
        <v>0.0</v>
      </c>
      <c r="E416" s="3">
        <v>0.0</v>
      </c>
      <c r="F416" s="3">
        <f t="shared" si="1"/>
        <v>1</v>
      </c>
      <c r="G416" s="5" t="str">
        <f>IFERROR(__xludf.DUMMYFUNCTION("""COMPUTED_VALUE"""),"https://github.com/suraj22f3/TDS_Project1")</f>
        <v>https://github.com/suraj22f3/TDS_Project1</v>
      </c>
      <c r="H416" s="3">
        <f t="shared" si="2"/>
        <v>7</v>
      </c>
      <c r="I416" s="3">
        <f t="shared" si="3"/>
        <v>0</v>
      </c>
      <c r="J416" s="3" t="str">
        <f t="shared" si="4"/>
        <v>No reviews</v>
      </c>
      <c r="K416" s="3" t="str">
        <f t="shared" si="5"/>
        <v>No reviews</v>
      </c>
      <c r="L416" s="7" t="str">
        <f t="shared" si="6"/>
        <v> </v>
      </c>
      <c r="M416" s="7" t="str">
        <f t="shared" si="7"/>
        <v> </v>
      </c>
      <c r="N416" s="7">
        <f t="shared" si="8"/>
        <v>3.5</v>
      </c>
    </row>
    <row r="417" hidden="1">
      <c r="B417" s="3" t="s">
        <v>773</v>
      </c>
      <c r="C417" s="5" t="s">
        <v>774</v>
      </c>
      <c r="D417" s="3">
        <v>10.0</v>
      </c>
      <c r="E417" s="3">
        <v>0.0</v>
      </c>
      <c r="F417" s="3">
        <f t="shared" si="1"/>
        <v>2</v>
      </c>
      <c r="G417" s="5" t="str">
        <f>IFERROR(__xludf.DUMMYFUNCTION("""COMPUTED_VALUE"""),"https://github.com/payalggn/TDS_Project1")</f>
        <v>https://github.com/payalggn/TDS_Project1</v>
      </c>
      <c r="H417" s="3">
        <f t="shared" si="2"/>
        <v>10</v>
      </c>
      <c r="I417" s="3">
        <f t="shared" si="3"/>
        <v>10</v>
      </c>
      <c r="J417" s="3">
        <f t="shared" si="4"/>
        <v>10</v>
      </c>
      <c r="K417" s="3">
        <f t="shared" si="5"/>
        <v>10</v>
      </c>
      <c r="L417" s="7">
        <f t="shared" si="6"/>
        <v>0</v>
      </c>
      <c r="M417" s="7">
        <f t="shared" si="7"/>
        <v>0</v>
      </c>
      <c r="N417" s="7">
        <f t="shared" si="8"/>
        <v>10</v>
      </c>
    </row>
    <row r="418" hidden="1">
      <c r="B418" s="3" t="s">
        <v>775</v>
      </c>
      <c r="C418" s="5" t="s">
        <v>776</v>
      </c>
      <c r="D418" s="3">
        <v>9.0</v>
      </c>
      <c r="E418" s="3">
        <v>8.0</v>
      </c>
      <c r="F418" s="3">
        <f t="shared" si="1"/>
        <v>2</v>
      </c>
      <c r="G418" s="5" t="str">
        <f>IFERROR(__xludf.DUMMYFUNCTION("""COMPUTED_VALUE"""),"https://github.com/22f2001150/TDS-project-1")</f>
        <v>https://github.com/22f2001150/TDS-project-1</v>
      </c>
      <c r="H418" s="3">
        <f t="shared" si="2"/>
        <v>7</v>
      </c>
      <c r="I418" s="3">
        <f t="shared" si="3"/>
        <v>8</v>
      </c>
      <c r="J418" s="3">
        <f t="shared" si="4"/>
        <v>10</v>
      </c>
      <c r="K418" s="3">
        <f t="shared" si="5"/>
        <v>10</v>
      </c>
      <c r="L418" s="7">
        <f t="shared" si="6"/>
        <v>3</v>
      </c>
      <c r="M418" s="7">
        <f t="shared" si="7"/>
        <v>2</v>
      </c>
      <c r="N418" s="7">
        <f t="shared" si="8"/>
        <v>10</v>
      </c>
    </row>
    <row r="419" hidden="1">
      <c r="B419" s="3" t="s">
        <v>777</v>
      </c>
      <c r="C419" s="5" t="s">
        <v>778</v>
      </c>
      <c r="D419" s="3">
        <v>10.0</v>
      </c>
      <c r="E419" s="3">
        <v>5.0</v>
      </c>
      <c r="F419" s="3">
        <f t="shared" si="1"/>
        <v>2</v>
      </c>
      <c r="G419" s="5" t="str">
        <f>IFERROR(__xludf.DUMMYFUNCTION("""COMPUTED_VALUE"""),"https://github.com/Saba-Usman/TDS-Project-1")</f>
        <v>https://github.com/Saba-Usman/TDS-Project-1</v>
      </c>
      <c r="H419" s="3">
        <f t="shared" si="2"/>
        <v>9</v>
      </c>
      <c r="I419" s="3">
        <f t="shared" si="3"/>
        <v>9</v>
      </c>
      <c r="J419" s="3">
        <f t="shared" si="4"/>
        <v>7</v>
      </c>
      <c r="K419" s="3">
        <f t="shared" si="5"/>
        <v>8</v>
      </c>
      <c r="L419" s="7">
        <f t="shared" si="6"/>
        <v>2</v>
      </c>
      <c r="M419" s="7">
        <f t="shared" si="7"/>
        <v>1</v>
      </c>
      <c r="N419" s="7">
        <f t="shared" si="8"/>
        <v>9</v>
      </c>
    </row>
    <row r="420" hidden="1">
      <c r="B420" s="3" t="s">
        <v>779</v>
      </c>
      <c r="C420" s="5" t="s">
        <v>780</v>
      </c>
      <c r="D420" s="3">
        <v>8.0</v>
      </c>
      <c r="E420" s="3">
        <v>0.0</v>
      </c>
      <c r="F420" s="3">
        <f t="shared" si="1"/>
        <v>2</v>
      </c>
      <c r="G420" s="5" t="str">
        <f>IFERROR(__xludf.DUMMYFUNCTION("""COMPUTED_VALUE"""),"https://github.com/manojpaul9986/tds_project1")</f>
        <v>https://github.com/manojpaul9986/tds_project1</v>
      </c>
      <c r="H420" s="3">
        <f t="shared" si="2"/>
        <v>7</v>
      </c>
      <c r="I420" s="3">
        <f t="shared" si="3"/>
        <v>7</v>
      </c>
      <c r="J420" s="3">
        <f t="shared" si="4"/>
        <v>10</v>
      </c>
      <c r="K420" s="3">
        <f t="shared" si="5"/>
        <v>10</v>
      </c>
      <c r="L420" s="7">
        <f t="shared" si="6"/>
        <v>3</v>
      </c>
      <c r="M420" s="7">
        <f t="shared" si="7"/>
        <v>3</v>
      </c>
      <c r="N420" s="7">
        <f t="shared" si="8"/>
        <v>10</v>
      </c>
    </row>
    <row r="421" hidden="1">
      <c r="B421" s="3" t="s">
        <v>781</v>
      </c>
      <c r="C421" s="5" t="s">
        <v>223</v>
      </c>
      <c r="D421" s="3">
        <v>10.0</v>
      </c>
      <c r="E421" s="3">
        <v>8.0</v>
      </c>
      <c r="F421" s="3">
        <f t="shared" si="1"/>
        <v>1</v>
      </c>
      <c r="G421" s="5" t="str">
        <f>IFERROR(__xludf.DUMMYFUNCTION("""COMPUTED_VALUE"""),"https://github.com/Alge199/TDS-Project-1")</f>
        <v>https://github.com/Alge199/TDS-Project-1</v>
      </c>
      <c r="H421" s="3">
        <f t="shared" si="2"/>
        <v>10</v>
      </c>
      <c r="I421" s="3">
        <f t="shared" si="3"/>
        <v>10</v>
      </c>
      <c r="J421" s="3" t="str">
        <f t="shared" si="4"/>
        <v>No reviews</v>
      </c>
      <c r="K421" s="3" t="str">
        <f t="shared" si="5"/>
        <v>No reviews</v>
      </c>
      <c r="L421" s="7" t="str">
        <f t="shared" si="6"/>
        <v> </v>
      </c>
      <c r="M421" s="7" t="str">
        <f t="shared" si="7"/>
        <v> </v>
      </c>
      <c r="N421" s="7">
        <f t="shared" si="8"/>
        <v>10</v>
      </c>
    </row>
    <row r="422" hidden="1">
      <c r="B422" s="3" t="s">
        <v>782</v>
      </c>
      <c r="C422" s="5" t="s">
        <v>783</v>
      </c>
      <c r="D422" s="3">
        <v>9.0</v>
      </c>
      <c r="E422" s="3">
        <v>9.0</v>
      </c>
      <c r="F422" s="3">
        <f t="shared" si="1"/>
        <v>2</v>
      </c>
      <c r="G422" s="5" t="str">
        <f>IFERROR(__xludf.DUMMYFUNCTION("""COMPUTED_VALUE"""),"https://github.com/harini-perumandla/TDS-P1")</f>
        <v>https://github.com/harini-perumandla/TDS-P1</v>
      </c>
      <c r="H422" s="3">
        <f t="shared" si="2"/>
        <v>6</v>
      </c>
      <c r="I422" s="3">
        <f t="shared" si="3"/>
        <v>9</v>
      </c>
      <c r="J422" s="3">
        <f t="shared" si="4"/>
        <v>10</v>
      </c>
      <c r="K422" s="3">
        <f t="shared" si="5"/>
        <v>9</v>
      </c>
      <c r="L422" s="7">
        <f t="shared" si="6"/>
        <v>4</v>
      </c>
      <c r="M422" s="7">
        <f t="shared" si="7"/>
        <v>0</v>
      </c>
      <c r="N422" s="7">
        <f t="shared" si="8"/>
        <v>9.5</v>
      </c>
    </row>
    <row r="423" hidden="1">
      <c r="B423" s="3" t="s">
        <v>784</v>
      </c>
      <c r="C423" s="5" t="s">
        <v>785</v>
      </c>
      <c r="D423" s="3">
        <v>5.0</v>
      </c>
      <c r="E423" s="3">
        <v>0.0</v>
      </c>
      <c r="F423" s="3">
        <f t="shared" si="1"/>
        <v>2</v>
      </c>
      <c r="G423" s="5" t="str">
        <f>IFERROR(__xludf.DUMMYFUNCTION("""COMPUTED_VALUE"""),"https://github.com/kik893/Project-1")</f>
        <v>https://github.com/kik893/Project-1</v>
      </c>
      <c r="H423" s="3">
        <f t="shared" si="2"/>
        <v>10</v>
      </c>
      <c r="I423" s="3">
        <f t="shared" si="3"/>
        <v>10</v>
      </c>
      <c r="J423" s="3">
        <f t="shared" si="4"/>
        <v>10</v>
      </c>
      <c r="K423" s="3">
        <f t="shared" si="5"/>
        <v>10</v>
      </c>
      <c r="L423" s="7">
        <f t="shared" si="6"/>
        <v>0</v>
      </c>
      <c r="M423" s="7">
        <f t="shared" si="7"/>
        <v>0</v>
      </c>
      <c r="N423" s="7">
        <f t="shared" si="8"/>
        <v>10</v>
      </c>
    </row>
    <row r="424" hidden="1">
      <c r="B424" s="3" t="s">
        <v>786</v>
      </c>
      <c r="C424" s="5" t="s">
        <v>479</v>
      </c>
      <c r="D424" s="3">
        <v>6.0</v>
      </c>
      <c r="E424" s="3">
        <v>0.0</v>
      </c>
      <c r="F424" s="3">
        <f t="shared" si="1"/>
        <v>2</v>
      </c>
      <c r="G424" s="5" t="str">
        <f>IFERROR(__xludf.DUMMYFUNCTION("""COMPUTED_VALUE"""),"https://github.com/22f3000130/TDS_PROJECT_1")</f>
        <v>https://github.com/22f3000130/TDS_PROJECT_1</v>
      </c>
      <c r="H424" s="3">
        <f t="shared" si="2"/>
        <v>2</v>
      </c>
      <c r="I424" s="3">
        <f t="shared" si="3"/>
        <v>5</v>
      </c>
      <c r="J424" s="3">
        <f t="shared" si="4"/>
        <v>9</v>
      </c>
      <c r="K424" s="3">
        <f t="shared" si="5"/>
        <v>10</v>
      </c>
      <c r="L424" s="7">
        <f t="shared" si="6"/>
        <v>7</v>
      </c>
      <c r="M424" s="7">
        <f t="shared" si="7"/>
        <v>5</v>
      </c>
      <c r="N424" s="7">
        <f t="shared" si="8"/>
        <v>9.5</v>
      </c>
    </row>
    <row r="425" hidden="1">
      <c r="B425" s="3" t="s">
        <v>787</v>
      </c>
      <c r="C425" s="5" t="s">
        <v>788</v>
      </c>
      <c r="D425" s="3">
        <v>10.0</v>
      </c>
      <c r="E425" s="3">
        <v>0.0</v>
      </c>
      <c r="F425" s="3">
        <f t="shared" si="1"/>
        <v>2</v>
      </c>
      <c r="G425" s="5" t="str">
        <f>IFERROR(__xludf.DUMMYFUNCTION("""COMPUTED_VALUE"""),"https://github.com/vaishnavich44/Beijing-GitHub-Analysis")</f>
        <v>https://github.com/vaishnavich44/Beijing-GitHub-Analysis</v>
      </c>
      <c r="H425" s="3">
        <f t="shared" si="2"/>
        <v>10</v>
      </c>
      <c r="I425" s="3">
        <f t="shared" si="3"/>
        <v>10</v>
      </c>
      <c r="J425" s="3">
        <f t="shared" si="4"/>
        <v>10</v>
      </c>
      <c r="K425" s="3">
        <f t="shared" si="5"/>
        <v>10</v>
      </c>
      <c r="L425" s="7">
        <f t="shared" si="6"/>
        <v>0</v>
      </c>
      <c r="M425" s="7">
        <f t="shared" si="7"/>
        <v>0</v>
      </c>
      <c r="N425" s="7">
        <f t="shared" si="8"/>
        <v>10</v>
      </c>
    </row>
    <row r="426" hidden="1">
      <c r="B426" s="3" t="s">
        <v>789</v>
      </c>
      <c r="C426" s="5" t="s">
        <v>790</v>
      </c>
      <c r="D426" s="3">
        <v>7.0</v>
      </c>
      <c r="E426" s="3">
        <v>10.0</v>
      </c>
      <c r="F426" s="3">
        <f t="shared" si="1"/>
        <v>2</v>
      </c>
      <c r="G426" s="5" t="str">
        <f>IFERROR(__xludf.DUMMYFUNCTION("""COMPUTED_VALUE"""),"https://github.com/23f1001172/melbourne-users-data")</f>
        <v>https://github.com/23f1001172/melbourne-users-data</v>
      </c>
      <c r="H426" s="3">
        <f t="shared" si="2"/>
        <v>8</v>
      </c>
      <c r="I426" s="3">
        <f t="shared" si="3"/>
        <v>1</v>
      </c>
      <c r="J426" s="3">
        <f t="shared" si="4"/>
        <v>6</v>
      </c>
      <c r="K426" s="3">
        <f t="shared" si="5"/>
        <v>9</v>
      </c>
      <c r="L426" s="7">
        <f t="shared" si="6"/>
        <v>2</v>
      </c>
      <c r="M426" s="7">
        <f t="shared" si="7"/>
        <v>8</v>
      </c>
      <c r="N426" s="7">
        <f t="shared" si="8"/>
        <v>7.5</v>
      </c>
    </row>
    <row r="427" hidden="1">
      <c r="B427" s="3" t="s">
        <v>791</v>
      </c>
      <c r="C427" s="5" t="s">
        <v>83</v>
      </c>
      <c r="D427" s="3">
        <v>4.0</v>
      </c>
      <c r="E427" s="3">
        <v>7.0</v>
      </c>
      <c r="F427" s="3">
        <f t="shared" si="1"/>
        <v>2</v>
      </c>
      <c r="G427" s="5" t="str">
        <f>IFERROR(__xludf.DUMMYFUNCTION("""COMPUTED_VALUE"""),"https://github.com/21f2001015/tds-project-1")</f>
        <v>https://github.com/21f2001015/tds-project-1</v>
      </c>
      <c r="H427" s="3">
        <f t="shared" si="2"/>
        <v>7</v>
      </c>
      <c r="I427" s="3">
        <f t="shared" si="3"/>
        <v>10</v>
      </c>
      <c r="J427" s="3">
        <f t="shared" si="4"/>
        <v>10</v>
      </c>
      <c r="K427" s="3">
        <f t="shared" si="5"/>
        <v>10</v>
      </c>
      <c r="L427" s="7">
        <f t="shared" si="6"/>
        <v>3</v>
      </c>
      <c r="M427" s="7">
        <f t="shared" si="7"/>
        <v>0</v>
      </c>
      <c r="N427" s="7">
        <f t="shared" si="8"/>
        <v>10</v>
      </c>
    </row>
    <row r="428" hidden="1">
      <c r="B428" s="3" t="s">
        <v>792</v>
      </c>
      <c r="C428" s="5" t="s">
        <v>793</v>
      </c>
      <c r="D428" s="3">
        <v>10.0</v>
      </c>
      <c r="E428" s="3">
        <v>10.0</v>
      </c>
      <c r="F428" s="3">
        <f t="shared" si="1"/>
        <v>2</v>
      </c>
      <c r="G428" s="5" t="str">
        <f>IFERROR(__xludf.DUMMYFUNCTION("""COMPUTED_VALUE"""),"https://github.com/singh-akhand/tds-project-1")</f>
        <v>https://github.com/singh-akhand/tds-project-1</v>
      </c>
      <c r="H428" s="3">
        <f t="shared" si="2"/>
        <v>10</v>
      </c>
      <c r="I428" s="3">
        <f t="shared" si="3"/>
        <v>10</v>
      </c>
      <c r="J428" s="3">
        <f t="shared" si="4"/>
        <v>5</v>
      </c>
      <c r="K428" s="3">
        <f t="shared" si="5"/>
        <v>10</v>
      </c>
      <c r="L428" s="7">
        <f t="shared" si="6"/>
        <v>5</v>
      </c>
      <c r="M428" s="7">
        <f t="shared" si="7"/>
        <v>0</v>
      </c>
      <c r="N428" s="7">
        <f t="shared" si="8"/>
        <v>10</v>
      </c>
    </row>
    <row r="429" hidden="1">
      <c r="B429" s="3" t="s">
        <v>794</v>
      </c>
      <c r="C429" s="5" t="s">
        <v>171</v>
      </c>
      <c r="D429" s="3">
        <v>8.0</v>
      </c>
      <c r="E429" s="3">
        <v>9.0</v>
      </c>
      <c r="F429" s="3">
        <f t="shared" si="1"/>
        <v>2</v>
      </c>
      <c r="G429" s="5" t="str">
        <f>IFERROR(__xludf.DUMMYFUNCTION("""COMPUTED_VALUE"""),"https://github.com/darshu2806/tdsproj1")</f>
        <v>https://github.com/darshu2806/tdsproj1</v>
      </c>
      <c r="H429" s="3">
        <f t="shared" si="2"/>
        <v>7</v>
      </c>
      <c r="I429" s="3">
        <f t="shared" si="3"/>
        <v>0</v>
      </c>
      <c r="J429" s="3">
        <f t="shared" si="4"/>
        <v>8</v>
      </c>
      <c r="K429" s="3">
        <f t="shared" si="5"/>
        <v>0</v>
      </c>
      <c r="L429" s="7">
        <f t="shared" si="6"/>
        <v>1</v>
      </c>
      <c r="M429" s="7">
        <f t="shared" si="7"/>
        <v>0</v>
      </c>
      <c r="N429" s="7">
        <f t="shared" si="8"/>
        <v>4</v>
      </c>
    </row>
    <row r="430" hidden="1">
      <c r="B430" s="3" t="s">
        <v>795</v>
      </c>
      <c r="C430" s="5" t="s">
        <v>796</v>
      </c>
      <c r="D430" s="3">
        <v>4.0</v>
      </c>
      <c r="E430" s="3">
        <v>4.0</v>
      </c>
      <c r="F430" s="3">
        <f t="shared" si="1"/>
        <v>2</v>
      </c>
      <c r="G430" s="5" t="str">
        <f>IFERROR(__xludf.DUMMYFUNCTION("""COMPUTED_VALUE"""),"https://github.com/adityach123/main")</f>
        <v>https://github.com/adityach123/main</v>
      </c>
      <c r="H430" s="3">
        <f t="shared" si="2"/>
        <v>5</v>
      </c>
      <c r="I430" s="3">
        <f t="shared" si="3"/>
        <v>6</v>
      </c>
      <c r="J430" s="3">
        <f t="shared" si="4"/>
        <v>10</v>
      </c>
      <c r="K430" s="3">
        <f t="shared" si="5"/>
        <v>10</v>
      </c>
      <c r="L430" s="7">
        <f t="shared" si="6"/>
        <v>5</v>
      </c>
      <c r="M430" s="7">
        <f t="shared" si="7"/>
        <v>4</v>
      </c>
      <c r="N430" s="7">
        <f t="shared" si="8"/>
        <v>10</v>
      </c>
    </row>
    <row r="431" hidden="1">
      <c r="B431" s="3" t="s">
        <v>797</v>
      </c>
      <c r="C431" s="5" t="s">
        <v>798</v>
      </c>
      <c r="D431" s="3">
        <v>10.0</v>
      </c>
      <c r="E431" s="3">
        <v>10.0</v>
      </c>
      <c r="F431" s="3">
        <f t="shared" si="1"/>
        <v>2</v>
      </c>
      <c r="G431" s="5" t="str">
        <f>IFERROR(__xludf.DUMMYFUNCTION("""COMPUTED_VALUE"""),"https://github.com/SaloniSingh1254/seattle200")</f>
        <v>https://github.com/SaloniSingh1254/seattle200</v>
      </c>
      <c r="H431" s="3">
        <f t="shared" si="2"/>
        <v>5</v>
      </c>
      <c r="I431" s="3">
        <f t="shared" si="3"/>
        <v>5</v>
      </c>
      <c r="J431" s="3">
        <f t="shared" si="4"/>
        <v>10</v>
      </c>
      <c r="K431" s="3">
        <f t="shared" si="5"/>
        <v>10</v>
      </c>
      <c r="L431" s="7">
        <f t="shared" si="6"/>
        <v>5</v>
      </c>
      <c r="M431" s="7">
        <f t="shared" si="7"/>
        <v>5</v>
      </c>
      <c r="N431" s="7">
        <f t="shared" si="8"/>
        <v>10</v>
      </c>
    </row>
    <row r="432" hidden="1">
      <c r="B432" s="3" t="s">
        <v>799</v>
      </c>
      <c r="C432" s="5" t="s">
        <v>101</v>
      </c>
      <c r="D432" s="3">
        <v>10.0</v>
      </c>
      <c r="E432" s="3">
        <v>0.0</v>
      </c>
      <c r="F432" s="3">
        <f t="shared" si="1"/>
        <v>2</v>
      </c>
      <c r="G432" s="5" t="str">
        <f>IFERROR(__xludf.DUMMYFUNCTION("""COMPUTED_VALUE"""),"https://github.com/Anirudh-starhash/TDS-Project-1")</f>
        <v>https://github.com/Anirudh-starhash/TDS-Project-1</v>
      </c>
      <c r="H432" s="3">
        <f t="shared" si="2"/>
        <v>10</v>
      </c>
      <c r="I432" s="3">
        <f t="shared" si="3"/>
        <v>10</v>
      </c>
      <c r="J432" s="3">
        <f t="shared" si="4"/>
        <v>6</v>
      </c>
      <c r="K432" s="3">
        <f t="shared" si="5"/>
        <v>9</v>
      </c>
      <c r="L432" s="7">
        <f t="shared" si="6"/>
        <v>4</v>
      </c>
      <c r="M432" s="7">
        <f t="shared" si="7"/>
        <v>1</v>
      </c>
      <c r="N432" s="7">
        <f t="shared" si="8"/>
        <v>10</v>
      </c>
    </row>
    <row r="433" hidden="1">
      <c r="B433" s="3" t="s">
        <v>800</v>
      </c>
      <c r="C433" s="5" t="s">
        <v>247</v>
      </c>
      <c r="D433" s="3">
        <v>10.0</v>
      </c>
      <c r="E433" s="3">
        <v>10.0</v>
      </c>
      <c r="F433" s="3">
        <f t="shared" si="1"/>
        <v>1</v>
      </c>
      <c r="G433" s="5" t="str">
        <f>IFERROR(__xludf.DUMMYFUNCTION("""COMPUTED_VALUE"""),"https://github.com/praveen37bn/now_project1")</f>
        <v>https://github.com/praveen37bn/now_project1</v>
      </c>
      <c r="H433" s="3">
        <f t="shared" si="2"/>
        <v>8</v>
      </c>
      <c r="I433" s="3">
        <f t="shared" si="3"/>
        <v>6</v>
      </c>
      <c r="J433" s="3" t="str">
        <f t="shared" si="4"/>
        <v>No reviews</v>
      </c>
      <c r="K433" s="3" t="str">
        <f t="shared" si="5"/>
        <v>No reviews</v>
      </c>
      <c r="L433" s="7" t="str">
        <f t="shared" si="6"/>
        <v> </v>
      </c>
      <c r="M433" s="7" t="str">
        <f t="shared" si="7"/>
        <v> </v>
      </c>
      <c r="N433" s="7">
        <f t="shared" si="8"/>
        <v>7</v>
      </c>
    </row>
    <row r="434" hidden="1">
      <c r="B434" s="3" t="s">
        <v>801</v>
      </c>
      <c r="C434" s="5" t="s">
        <v>438</v>
      </c>
      <c r="D434" s="3">
        <v>7.0</v>
      </c>
      <c r="E434" s="3">
        <v>6.0</v>
      </c>
      <c r="F434" s="3">
        <f t="shared" si="1"/>
        <v>2</v>
      </c>
      <c r="G434" s="5" t="str">
        <f>IFERROR(__xludf.DUMMYFUNCTION("""COMPUTED_VALUE"""),"https://github.com/KRISHBORANA/Sydney-100")</f>
        <v>https://github.com/KRISHBORANA/Sydney-100</v>
      </c>
      <c r="H434" s="3">
        <f t="shared" si="2"/>
        <v>10</v>
      </c>
      <c r="I434" s="3">
        <f t="shared" si="3"/>
        <v>10</v>
      </c>
      <c r="J434" s="3">
        <f t="shared" si="4"/>
        <v>9</v>
      </c>
      <c r="K434" s="3">
        <f t="shared" si="5"/>
        <v>9</v>
      </c>
      <c r="L434" s="7">
        <f t="shared" si="6"/>
        <v>1</v>
      </c>
      <c r="M434" s="7">
        <f t="shared" si="7"/>
        <v>1</v>
      </c>
      <c r="N434" s="7">
        <f t="shared" si="8"/>
        <v>10</v>
      </c>
    </row>
    <row r="435" hidden="1">
      <c r="B435" s="3" t="s">
        <v>802</v>
      </c>
      <c r="C435" s="5" t="s">
        <v>166</v>
      </c>
      <c r="D435" s="3">
        <v>10.0</v>
      </c>
      <c r="E435" s="3">
        <v>0.0</v>
      </c>
      <c r="F435" s="3">
        <f t="shared" si="1"/>
        <v>2</v>
      </c>
      <c r="G435" s="5" t="str">
        <f>IFERROR(__xludf.DUMMYFUNCTION("""COMPUTED_VALUE"""),"https://github.com/tarunarora6029/tdsgit")</f>
        <v>https://github.com/tarunarora6029/tdsgit</v>
      </c>
      <c r="H435" s="3">
        <f t="shared" si="2"/>
        <v>9</v>
      </c>
      <c r="I435" s="3">
        <f t="shared" si="3"/>
        <v>9</v>
      </c>
      <c r="J435" s="3">
        <f t="shared" si="4"/>
        <v>6</v>
      </c>
      <c r="K435" s="3">
        <f t="shared" si="5"/>
        <v>6</v>
      </c>
      <c r="L435" s="7">
        <f t="shared" si="6"/>
        <v>3</v>
      </c>
      <c r="M435" s="7">
        <f t="shared" si="7"/>
        <v>3</v>
      </c>
      <c r="N435" s="7">
        <f t="shared" si="8"/>
        <v>9</v>
      </c>
    </row>
    <row r="436" hidden="1">
      <c r="B436" s="3" t="s">
        <v>803</v>
      </c>
      <c r="C436" s="5" t="s">
        <v>804</v>
      </c>
      <c r="D436" s="3">
        <v>9.0</v>
      </c>
      <c r="E436" s="3">
        <v>10.0</v>
      </c>
      <c r="F436" s="3">
        <f t="shared" si="1"/>
        <v>1</v>
      </c>
      <c r="G436" s="5" t="str">
        <f>IFERROR(__xludf.DUMMYFUNCTION("""COMPUTED_VALUE"""),"https://github.com/Srinidhi-Krishnan30/TDSProject1")</f>
        <v>https://github.com/Srinidhi-Krishnan30/TDSProject1</v>
      </c>
      <c r="H436" s="3">
        <f t="shared" si="2"/>
        <v>10</v>
      </c>
      <c r="I436" s="3">
        <f t="shared" si="3"/>
        <v>0</v>
      </c>
      <c r="J436" s="3" t="str">
        <f t="shared" si="4"/>
        <v>No reviews</v>
      </c>
      <c r="K436" s="3" t="str">
        <f t="shared" si="5"/>
        <v>No reviews</v>
      </c>
      <c r="L436" s="7" t="str">
        <f t="shared" si="6"/>
        <v> </v>
      </c>
      <c r="M436" s="7" t="str">
        <f t="shared" si="7"/>
        <v> </v>
      </c>
      <c r="N436" s="7">
        <f t="shared" si="8"/>
        <v>5</v>
      </c>
    </row>
    <row r="437" hidden="1">
      <c r="B437" s="3" t="s">
        <v>805</v>
      </c>
      <c r="C437" s="5" t="s">
        <v>806</v>
      </c>
      <c r="D437" s="3">
        <v>9.0</v>
      </c>
      <c r="E437" s="3">
        <v>0.0</v>
      </c>
      <c r="F437" s="3">
        <f t="shared" si="1"/>
        <v>2</v>
      </c>
      <c r="G437" s="5" t="str">
        <f>IFERROR(__xludf.DUMMYFUNCTION("""COMPUTED_VALUE"""),"https://github.com/20vishnu27/TDS_Project-1")</f>
        <v>https://github.com/20vishnu27/TDS_Project-1</v>
      </c>
      <c r="H437" s="3">
        <f t="shared" si="2"/>
        <v>3</v>
      </c>
      <c r="I437" s="3">
        <f t="shared" si="3"/>
        <v>0</v>
      </c>
      <c r="J437" s="3">
        <f t="shared" si="4"/>
        <v>10</v>
      </c>
      <c r="K437" s="3">
        <f t="shared" si="5"/>
        <v>0</v>
      </c>
      <c r="L437" s="7">
        <f t="shared" si="6"/>
        <v>7</v>
      </c>
      <c r="M437" s="7">
        <f t="shared" si="7"/>
        <v>0</v>
      </c>
      <c r="N437" s="7">
        <f t="shared" si="8"/>
        <v>5</v>
      </c>
    </row>
    <row r="438" hidden="1">
      <c r="B438" s="3" t="s">
        <v>807</v>
      </c>
      <c r="C438" s="5" t="s">
        <v>808</v>
      </c>
      <c r="D438" s="3">
        <v>9.0</v>
      </c>
      <c r="E438" s="3">
        <v>8.0</v>
      </c>
      <c r="F438" s="3">
        <f t="shared" si="1"/>
        <v>1</v>
      </c>
      <c r="G438" s="5" t="str">
        <f>IFERROR(__xludf.DUMMYFUNCTION("""COMPUTED_VALUE"""),"https://github.com/harikrishnan51688/TDS_Project_1")</f>
        <v>https://github.com/harikrishnan51688/TDS_Project_1</v>
      </c>
      <c r="H438" s="3">
        <f t="shared" si="2"/>
        <v>9</v>
      </c>
      <c r="I438" s="3">
        <f t="shared" si="3"/>
        <v>9</v>
      </c>
      <c r="J438" s="3" t="str">
        <f t="shared" si="4"/>
        <v>No reviews</v>
      </c>
      <c r="K438" s="3" t="str">
        <f t="shared" si="5"/>
        <v>No reviews</v>
      </c>
      <c r="L438" s="7" t="str">
        <f t="shared" si="6"/>
        <v> </v>
      </c>
      <c r="M438" s="7" t="str">
        <f t="shared" si="7"/>
        <v> </v>
      </c>
      <c r="N438" s="7">
        <f t="shared" si="8"/>
        <v>9</v>
      </c>
    </row>
    <row r="439" hidden="1">
      <c r="B439" s="3" t="s">
        <v>809</v>
      </c>
      <c r="C439" s="5" t="s">
        <v>674</v>
      </c>
      <c r="D439" s="3">
        <v>10.0</v>
      </c>
      <c r="E439" s="3">
        <v>7.0</v>
      </c>
      <c r="F439" s="3">
        <f t="shared" si="1"/>
        <v>2</v>
      </c>
      <c r="G439" s="5" t="str">
        <f>IFERROR(__xludf.DUMMYFUNCTION("""COMPUTED_VALUE"""),"https://github.com/arya-v-iitm/TDS-Project1")</f>
        <v>https://github.com/arya-v-iitm/TDS-Project1</v>
      </c>
      <c r="H439" s="3">
        <f t="shared" si="2"/>
        <v>10</v>
      </c>
      <c r="I439" s="3">
        <f t="shared" si="3"/>
        <v>0</v>
      </c>
      <c r="J439" s="3">
        <f t="shared" si="4"/>
        <v>10</v>
      </c>
      <c r="K439" s="3">
        <f t="shared" si="5"/>
        <v>10</v>
      </c>
      <c r="L439" s="7">
        <f t="shared" si="6"/>
        <v>0</v>
      </c>
      <c r="M439" s="7">
        <f t="shared" si="7"/>
        <v>10</v>
      </c>
      <c r="N439" s="7">
        <f t="shared" si="8"/>
        <v>10</v>
      </c>
    </row>
    <row r="440" hidden="1">
      <c r="B440" s="3" t="s">
        <v>810</v>
      </c>
      <c r="C440" s="5" t="s">
        <v>689</v>
      </c>
      <c r="D440" s="3">
        <v>7.0</v>
      </c>
      <c r="E440" s="3">
        <v>7.0</v>
      </c>
      <c r="F440" s="3">
        <f t="shared" si="1"/>
        <v>2</v>
      </c>
      <c r="G440" s="5" t="str">
        <f>IFERROR(__xludf.DUMMYFUNCTION("""COMPUTED_VALUE"""),"https://github.com/b-panda/Dublin-GitHub-Users")</f>
        <v>https://github.com/b-panda/Dublin-GitHub-Users</v>
      </c>
      <c r="H440" s="3">
        <f t="shared" si="2"/>
        <v>5</v>
      </c>
      <c r="I440" s="3">
        <f t="shared" si="3"/>
        <v>6</v>
      </c>
      <c r="J440" s="3">
        <f t="shared" si="4"/>
        <v>2</v>
      </c>
      <c r="K440" s="3">
        <f t="shared" si="5"/>
        <v>10</v>
      </c>
      <c r="L440" s="7">
        <f t="shared" si="6"/>
        <v>3</v>
      </c>
      <c r="M440" s="7">
        <f t="shared" si="7"/>
        <v>4</v>
      </c>
      <c r="N440" s="7">
        <f t="shared" si="8"/>
        <v>6</v>
      </c>
    </row>
    <row r="441" hidden="1">
      <c r="B441" s="3" t="s">
        <v>811</v>
      </c>
      <c r="C441" s="5" t="s">
        <v>812</v>
      </c>
      <c r="D441" s="3">
        <v>3.0</v>
      </c>
      <c r="E441" s="3">
        <v>8.0</v>
      </c>
      <c r="F441" s="3">
        <f t="shared" si="1"/>
        <v>2</v>
      </c>
      <c r="G441" s="5" t="str">
        <f>IFERROR(__xludf.DUMMYFUNCTION("""COMPUTED_VALUE"""),"https://github.com/Vishu-Ahlawat/tds_p1")</f>
        <v>https://github.com/Vishu-Ahlawat/tds_p1</v>
      </c>
      <c r="H441" s="3">
        <f t="shared" si="2"/>
        <v>8</v>
      </c>
      <c r="I441" s="3">
        <f t="shared" si="3"/>
        <v>5</v>
      </c>
      <c r="J441" s="3">
        <f t="shared" si="4"/>
        <v>9</v>
      </c>
      <c r="K441" s="3">
        <f t="shared" si="5"/>
        <v>8</v>
      </c>
      <c r="L441" s="7">
        <f t="shared" si="6"/>
        <v>1</v>
      </c>
      <c r="M441" s="7">
        <f t="shared" si="7"/>
        <v>3</v>
      </c>
      <c r="N441" s="7">
        <f t="shared" si="8"/>
        <v>8.5</v>
      </c>
    </row>
    <row r="442" hidden="1">
      <c r="B442" s="3" t="s">
        <v>813</v>
      </c>
      <c r="C442" s="5" t="s">
        <v>774</v>
      </c>
      <c r="D442" s="3">
        <v>10.0</v>
      </c>
      <c r="E442" s="3">
        <v>10.0</v>
      </c>
      <c r="F442" s="3">
        <f t="shared" si="1"/>
        <v>2</v>
      </c>
      <c r="G442" s="5" t="str">
        <f>IFERROR(__xludf.DUMMYFUNCTION("""COMPUTED_VALUE"""),"https://github.com/microdev1/tds-p1")</f>
        <v>https://github.com/microdev1/tds-p1</v>
      </c>
      <c r="H442" s="3">
        <f t="shared" si="2"/>
        <v>10</v>
      </c>
      <c r="I442" s="3">
        <f t="shared" si="3"/>
        <v>10</v>
      </c>
      <c r="J442" s="3">
        <f t="shared" si="4"/>
        <v>9</v>
      </c>
      <c r="K442" s="3">
        <f t="shared" si="5"/>
        <v>9</v>
      </c>
      <c r="L442" s="7">
        <f t="shared" si="6"/>
        <v>1</v>
      </c>
      <c r="M442" s="7">
        <f t="shared" si="7"/>
        <v>1</v>
      </c>
      <c r="N442" s="7">
        <f t="shared" si="8"/>
        <v>10</v>
      </c>
    </row>
    <row r="443" hidden="1">
      <c r="B443" s="3" t="s">
        <v>814</v>
      </c>
      <c r="C443" s="5" t="s">
        <v>61</v>
      </c>
      <c r="D443" s="3">
        <v>8.0</v>
      </c>
      <c r="E443" s="3">
        <v>8.0</v>
      </c>
      <c r="F443" s="3">
        <f t="shared" si="1"/>
        <v>1</v>
      </c>
      <c r="G443" s="5" t="str">
        <f>IFERROR(__xludf.DUMMYFUNCTION("""COMPUTED_VALUE"""),"https://github.com/kp-bhara/tds_proj1_stockholm_100")</f>
        <v>https://github.com/kp-bhara/tds_proj1_stockholm_100</v>
      </c>
      <c r="H443" s="3">
        <f t="shared" si="2"/>
        <v>9</v>
      </c>
      <c r="I443" s="3">
        <f t="shared" si="3"/>
        <v>7</v>
      </c>
      <c r="J443" s="3" t="str">
        <f t="shared" si="4"/>
        <v>No reviews</v>
      </c>
      <c r="K443" s="3" t="str">
        <f t="shared" si="5"/>
        <v>No reviews</v>
      </c>
      <c r="L443" s="7" t="str">
        <f t="shared" si="6"/>
        <v> </v>
      </c>
      <c r="M443" s="7" t="str">
        <f t="shared" si="7"/>
        <v> </v>
      </c>
      <c r="N443" s="7">
        <f t="shared" si="8"/>
        <v>8</v>
      </c>
    </row>
    <row r="444" hidden="1">
      <c r="B444" s="3" t="s">
        <v>815</v>
      </c>
      <c r="C444" s="5" t="s">
        <v>137</v>
      </c>
      <c r="D444" s="3">
        <v>10.0</v>
      </c>
      <c r="E444" s="3">
        <v>10.0</v>
      </c>
      <c r="F444" s="3">
        <f t="shared" si="1"/>
        <v>2</v>
      </c>
      <c r="G444" s="5" t="str">
        <f>IFERROR(__xludf.DUMMYFUNCTION("""COMPUTED_VALUE"""),"https://github.com/madhavanrmiitm/tds-project1")</f>
        <v>https://github.com/madhavanrmiitm/tds-project1</v>
      </c>
      <c r="H444" s="3">
        <f t="shared" si="2"/>
        <v>10</v>
      </c>
      <c r="I444" s="3">
        <f t="shared" si="3"/>
        <v>10</v>
      </c>
      <c r="J444" s="3">
        <f t="shared" si="4"/>
        <v>9</v>
      </c>
      <c r="K444" s="3">
        <f t="shared" si="5"/>
        <v>10</v>
      </c>
      <c r="L444" s="7">
        <f t="shared" si="6"/>
        <v>1</v>
      </c>
      <c r="M444" s="7">
        <f t="shared" si="7"/>
        <v>0</v>
      </c>
      <c r="N444" s="7">
        <f t="shared" si="8"/>
        <v>10</v>
      </c>
    </row>
    <row r="445" hidden="1">
      <c r="B445" s="3" t="s">
        <v>816</v>
      </c>
      <c r="C445" s="5" t="s">
        <v>817</v>
      </c>
      <c r="D445" s="3">
        <v>10.0</v>
      </c>
      <c r="E445" s="3">
        <v>10.0</v>
      </c>
      <c r="F445" s="3">
        <f t="shared" si="1"/>
        <v>1</v>
      </c>
      <c r="G445" s="5" t="str">
        <f>IFERROR(__xludf.DUMMYFUNCTION("""COMPUTED_VALUE"""),"https://github.com/Shreya5619/TDS-Project1")</f>
        <v>https://github.com/Shreya5619/TDS-Project1</v>
      </c>
      <c r="H445" s="3">
        <f t="shared" si="2"/>
        <v>10</v>
      </c>
      <c r="I445" s="3">
        <f t="shared" si="3"/>
        <v>10</v>
      </c>
      <c r="J445" s="3" t="str">
        <f t="shared" si="4"/>
        <v>No reviews</v>
      </c>
      <c r="K445" s="3" t="str">
        <f t="shared" si="5"/>
        <v>No reviews</v>
      </c>
      <c r="L445" s="7" t="str">
        <f t="shared" si="6"/>
        <v> </v>
      </c>
      <c r="M445" s="7" t="str">
        <f t="shared" si="7"/>
        <v> </v>
      </c>
      <c r="N445" s="7">
        <f t="shared" si="8"/>
        <v>10</v>
      </c>
    </row>
    <row r="446" hidden="1">
      <c r="B446" s="3" t="s">
        <v>818</v>
      </c>
      <c r="C446" s="5" t="s">
        <v>679</v>
      </c>
      <c r="D446" s="3">
        <v>9.0</v>
      </c>
      <c r="E446" s="3">
        <v>3.0</v>
      </c>
      <c r="F446" s="3">
        <f t="shared" si="1"/>
        <v>1</v>
      </c>
      <c r="G446" s="5" t="str">
        <f>IFERROR(__xludf.DUMMYFUNCTION("""COMPUTED_VALUE"""),"https://github.com/kp-bhara/tds_proj1_stockholm_100/tree/main")</f>
        <v>https://github.com/kp-bhara/tds_proj1_stockholm_100/tree/main</v>
      </c>
      <c r="H446" s="3">
        <f t="shared" si="2"/>
        <v>10</v>
      </c>
      <c r="I446" s="3">
        <f t="shared" si="3"/>
        <v>10</v>
      </c>
      <c r="J446" s="3" t="str">
        <f t="shared" si="4"/>
        <v>No reviews</v>
      </c>
      <c r="K446" s="3" t="str">
        <f t="shared" si="5"/>
        <v>No reviews</v>
      </c>
      <c r="L446" s="7" t="str">
        <f t="shared" si="6"/>
        <v> </v>
      </c>
      <c r="M446" s="7" t="str">
        <f t="shared" si="7"/>
        <v> </v>
      </c>
      <c r="N446" s="7">
        <f t="shared" si="8"/>
        <v>10</v>
      </c>
    </row>
    <row r="447" hidden="1">
      <c r="B447" s="3" t="s">
        <v>819</v>
      </c>
      <c r="C447" s="5" t="s">
        <v>207</v>
      </c>
      <c r="D447" s="3">
        <v>10.0</v>
      </c>
      <c r="E447" s="3">
        <v>10.0</v>
      </c>
      <c r="F447" s="3">
        <f t="shared" si="1"/>
        <v>2</v>
      </c>
      <c r="G447" s="5" t="str">
        <f>IFERROR(__xludf.DUMMYFUNCTION("""COMPUTED_VALUE"""),"https://github.com/samikb07/tds-project-1")</f>
        <v>https://github.com/samikb07/tds-project-1</v>
      </c>
      <c r="H447" s="3">
        <f t="shared" si="2"/>
        <v>10</v>
      </c>
      <c r="I447" s="3">
        <f t="shared" si="3"/>
        <v>10</v>
      </c>
      <c r="J447" s="3">
        <f t="shared" si="4"/>
        <v>10</v>
      </c>
      <c r="K447" s="3">
        <f t="shared" si="5"/>
        <v>10</v>
      </c>
      <c r="L447" s="7">
        <f t="shared" si="6"/>
        <v>0</v>
      </c>
      <c r="M447" s="7">
        <f t="shared" si="7"/>
        <v>0</v>
      </c>
      <c r="N447" s="7">
        <f t="shared" si="8"/>
        <v>10</v>
      </c>
    </row>
    <row r="448" hidden="1">
      <c r="B448" s="3" t="s">
        <v>820</v>
      </c>
      <c r="C448" s="5" t="s">
        <v>723</v>
      </c>
      <c r="D448" s="3">
        <v>10.0</v>
      </c>
      <c r="E448" s="3">
        <v>10.0</v>
      </c>
      <c r="F448" s="3">
        <f t="shared" si="1"/>
        <v>2</v>
      </c>
      <c r="G448" s="5" t="str">
        <f>IFERROR(__xludf.DUMMYFUNCTION("""COMPUTED_VALUE"""),"https://github.com/Srilekha-05/github-barcelona-users")</f>
        <v>https://github.com/Srilekha-05/github-barcelona-users</v>
      </c>
      <c r="H448" s="3">
        <f t="shared" si="2"/>
        <v>10</v>
      </c>
      <c r="I448" s="3">
        <f t="shared" si="3"/>
        <v>10</v>
      </c>
      <c r="J448" s="3">
        <f t="shared" si="4"/>
        <v>10</v>
      </c>
      <c r="K448" s="3">
        <f t="shared" si="5"/>
        <v>10</v>
      </c>
      <c r="L448" s="7">
        <f t="shared" si="6"/>
        <v>0</v>
      </c>
      <c r="M448" s="7">
        <f t="shared" si="7"/>
        <v>0</v>
      </c>
      <c r="N448" s="7">
        <f t="shared" si="8"/>
        <v>10</v>
      </c>
    </row>
    <row r="449" hidden="1">
      <c r="B449" s="3" t="s">
        <v>821</v>
      </c>
      <c r="C449" s="5" t="s">
        <v>822</v>
      </c>
      <c r="D449" s="3">
        <v>10.0</v>
      </c>
      <c r="E449" s="3">
        <v>10.0</v>
      </c>
      <c r="F449" s="3">
        <f t="shared" si="1"/>
        <v>1</v>
      </c>
      <c r="G449" s="5" t="str">
        <f>IFERROR(__xludf.DUMMYFUNCTION("""COMPUTED_VALUE"""),"https://github.com/pranavtiwari-this/tdm-project1")</f>
        <v>https://github.com/pranavtiwari-this/tdm-project1</v>
      </c>
      <c r="H449" s="3">
        <f t="shared" si="2"/>
        <v>7</v>
      </c>
      <c r="I449" s="3">
        <f t="shared" si="3"/>
        <v>8</v>
      </c>
      <c r="J449" s="3" t="str">
        <f t="shared" si="4"/>
        <v>No reviews</v>
      </c>
      <c r="K449" s="3" t="str">
        <f t="shared" si="5"/>
        <v>No reviews</v>
      </c>
      <c r="L449" s="7" t="str">
        <f t="shared" si="6"/>
        <v> </v>
      </c>
      <c r="M449" s="7" t="str">
        <f t="shared" si="7"/>
        <v> </v>
      </c>
      <c r="N449" s="7">
        <f t="shared" si="8"/>
        <v>7.5</v>
      </c>
    </row>
    <row r="450" hidden="1">
      <c r="B450" s="3" t="s">
        <v>823</v>
      </c>
      <c r="C450" s="5" t="s">
        <v>824</v>
      </c>
      <c r="D450" s="3">
        <v>2.0</v>
      </c>
      <c r="E450" s="3">
        <v>0.0</v>
      </c>
      <c r="F450" s="3">
        <f t="shared" si="1"/>
        <v>2</v>
      </c>
      <c r="G450" s="5" t="str">
        <f>IFERROR(__xludf.DUMMYFUNCTION("""COMPUTED_VALUE"""),"https://github.com/ShivamAgrawal100/TDS-Project1")</f>
        <v>https://github.com/ShivamAgrawal100/TDS-Project1</v>
      </c>
      <c r="H450" s="3">
        <f t="shared" si="2"/>
        <v>10</v>
      </c>
      <c r="I450" s="3">
        <f t="shared" si="3"/>
        <v>10</v>
      </c>
      <c r="J450" s="3">
        <f t="shared" si="4"/>
        <v>10</v>
      </c>
      <c r="K450" s="3">
        <f t="shared" si="5"/>
        <v>10</v>
      </c>
      <c r="L450" s="7">
        <f t="shared" si="6"/>
        <v>0</v>
      </c>
      <c r="M450" s="7">
        <f t="shared" si="7"/>
        <v>0</v>
      </c>
      <c r="N450" s="7">
        <f t="shared" si="8"/>
        <v>10</v>
      </c>
    </row>
    <row r="451" hidden="1">
      <c r="B451" s="3" t="s">
        <v>825</v>
      </c>
      <c r="C451" s="5" t="s">
        <v>211</v>
      </c>
      <c r="D451" s="3">
        <v>6.0</v>
      </c>
      <c r="E451" s="3">
        <v>0.0</v>
      </c>
      <c r="F451" s="3">
        <f t="shared" si="1"/>
        <v>2</v>
      </c>
      <c r="G451" s="5" t="str">
        <f>IFERROR(__xludf.DUMMYFUNCTION("""COMPUTED_VALUE"""),"https://github.com/imstrk04/TDSProject_1")</f>
        <v>https://github.com/imstrk04/TDSProject_1</v>
      </c>
      <c r="H451" s="3">
        <f t="shared" si="2"/>
        <v>10</v>
      </c>
      <c r="I451" s="3">
        <f t="shared" si="3"/>
        <v>10</v>
      </c>
      <c r="J451" s="3">
        <f t="shared" si="4"/>
        <v>9</v>
      </c>
      <c r="K451" s="3">
        <f t="shared" si="5"/>
        <v>9</v>
      </c>
      <c r="L451" s="7">
        <f t="shared" si="6"/>
        <v>1</v>
      </c>
      <c r="M451" s="7">
        <f t="shared" si="7"/>
        <v>1</v>
      </c>
      <c r="N451" s="7">
        <f t="shared" si="8"/>
        <v>10</v>
      </c>
    </row>
    <row r="452" hidden="1">
      <c r="B452" s="3" t="s">
        <v>826</v>
      </c>
      <c r="C452" s="5" t="s">
        <v>827</v>
      </c>
      <c r="D452" s="3">
        <v>10.0</v>
      </c>
      <c r="E452" s="3">
        <v>10.0</v>
      </c>
      <c r="F452" s="3">
        <f t="shared" si="1"/>
        <v>2</v>
      </c>
      <c r="G452" s="5" t="str">
        <f>IFERROR(__xludf.DUMMYFUNCTION("""COMPUTED_VALUE"""),"https://github.com/Aditya647bc/tds1")</f>
        <v>https://github.com/Aditya647bc/tds1</v>
      </c>
      <c r="H452" s="3">
        <f t="shared" si="2"/>
        <v>8</v>
      </c>
      <c r="I452" s="3">
        <f t="shared" si="3"/>
        <v>10</v>
      </c>
      <c r="J452" s="3">
        <f t="shared" si="4"/>
        <v>8</v>
      </c>
      <c r="K452" s="3">
        <f t="shared" si="5"/>
        <v>10</v>
      </c>
      <c r="L452" s="7">
        <f t="shared" si="6"/>
        <v>0</v>
      </c>
      <c r="M452" s="7">
        <f t="shared" si="7"/>
        <v>0</v>
      </c>
      <c r="N452" s="7">
        <f t="shared" si="8"/>
        <v>9</v>
      </c>
    </row>
    <row r="453" hidden="1">
      <c r="B453" s="3" t="s">
        <v>828</v>
      </c>
      <c r="C453" s="5" t="s">
        <v>829</v>
      </c>
      <c r="D453" s="3">
        <v>7.0</v>
      </c>
      <c r="E453" s="3">
        <v>8.0</v>
      </c>
      <c r="F453" s="3">
        <f t="shared" si="1"/>
        <v>2</v>
      </c>
      <c r="G453" s="5" t="str">
        <f>IFERROR(__xludf.DUMMYFUNCTION("""COMPUTED_VALUE"""),"https://github.com/RishabhBarthwal28/TDS-PROJECT-1")</f>
        <v>https://github.com/RishabhBarthwal28/TDS-PROJECT-1</v>
      </c>
      <c r="H453" s="3">
        <f t="shared" si="2"/>
        <v>10</v>
      </c>
      <c r="I453" s="3">
        <f t="shared" si="3"/>
        <v>10</v>
      </c>
      <c r="J453" s="3">
        <f t="shared" si="4"/>
        <v>10</v>
      </c>
      <c r="K453" s="3">
        <f t="shared" si="5"/>
        <v>10</v>
      </c>
      <c r="L453" s="7">
        <f t="shared" si="6"/>
        <v>0</v>
      </c>
      <c r="M453" s="7">
        <f t="shared" si="7"/>
        <v>0</v>
      </c>
      <c r="N453" s="7">
        <f t="shared" si="8"/>
        <v>10</v>
      </c>
    </row>
    <row r="454" hidden="1">
      <c r="B454" s="3" t="s">
        <v>830</v>
      </c>
      <c r="C454" s="5" t="s">
        <v>831</v>
      </c>
      <c r="D454" s="3">
        <v>10.0</v>
      </c>
      <c r="E454" s="3">
        <v>8.0</v>
      </c>
      <c r="F454" s="3">
        <f t="shared" si="1"/>
        <v>2</v>
      </c>
      <c r="G454" s="5" t="str">
        <f>IFERROR(__xludf.DUMMYFUNCTION("""COMPUTED_VALUE"""),"https://github.com/Priyam4437/barcelona-github-scrape")</f>
        <v>https://github.com/Priyam4437/barcelona-github-scrape</v>
      </c>
      <c r="H454" s="3">
        <f t="shared" si="2"/>
        <v>0</v>
      </c>
      <c r="I454" s="3">
        <f t="shared" si="3"/>
        <v>0</v>
      </c>
      <c r="J454" s="3">
        <f t="shared" si="4"/>
        <v>7</v>
      </c>
      <c r="K454" s="3">
        <f t="shared" si="5"/>
        <v>10</v>
      </c>
      <c r="L454" s="7">
        <f t="shared" si="6"/>
        <v>7</v>
      </c>
      <c r="M454" s="7">
        <f t="shared" si="7"/>
        <v>10</v>
      </c>
      <c r="N454" s="7">
        <f t="shared" si="8"/>
        <v>8.5</v>
      </c>
    </row>
    <row r="455" hidden="1">
      <c r="B455" s="3" t="s">
        <v>832</v>
      </c>
      <c r="C455" s="5" t="s">
        <v>549</v>
      </c>
      <c r="D455" s="3">
        <v>6.0</v>
      </c>
      <c r="E455" s="3">
        <v>7.0</v>
      </c>
      <c r="F455" s="3">
        <f t="shared" si="1"/>
        <v>1</v>
      </c>
      <c r="G455" s="5" t="str">
        <f>IFERROR(__xludf.DUMMYFUNCTION("""COMPUTED_VALUE"""),"https://github.com/ayushi-006/TDS_project_1")</f>
        <v>https://github.com/ayushi-006/TDS_project_1</v>
      </c>
      <c r="H455" s="3">
        <f t="shared" si="2"/>
        <v>10</v>
      </c>
      <c r="I455" s="3">
        <f t="shared" si="3"/>
        <v>10</v>
      </c>
      <c r="J455" s="3" t="str">
        <f t="shared" si="4"/>
        <v>No reviews</v>
      </c>
      <c r="K455" s="3" t="str">
        <f t="shared" si="5"/>
        <v>No reviews</v>
      </c>
      <c r="L455" s="7" t="str">
        <f t="shared" si="6"/>
        <v> </v>
      </c>
      <c r="M455" s="7" t="str">
        <f t="shared" si="7"/>
        <v> </v>
      </c>
      <c r="N455" s="7">
        <f t="shared" si="8"/>
        <v>10</v>
      </c>
    </row>
    <row r="456" hidden="1">
      <c r="B456" s="3" t="s">
        <v>833</v>
      </c>
      <c r="C456" s="5" t="s">
        <v>461</v>
      </c>
      <c r="D456" s="3">
        <v>7.0</v>
      </c>
      <c r="E456" s="3">
        <v>9.0</v>
      </c>
      <c r="F456" s="3">
        <f t="shared" si="1"/>
        <v>1</v>
      </c>
      <c r="G456" s="5" t="str">
        <f>IFERROR(__xludf.DUMMYFUNCTION("""COMPUTED_VALUE"""),"https://github.com/adith-ds/project1")</f>
        <v>https://github.com/adith-ds/project1</v>
      </c>
      <c r="H456" s="3">
        <f t="shared" si="2"/>
        <v>5</v>
      </c>
      <c r="I456" s="3">
        <f t="shared" si="3"/>
        <v>4</v>
      </c>
      <c r="J456" s="3" t="str">
        <f t="shared" si="4"/>
        <v>No reviews</v>
      </c>
      <c r="K456" s="3" t="str">
        <f t="shared" si="5"/>
        <v>No reviews</v>
      </c>
      <c r="L456" s="7" t="str">
        <f t="shared" si="6"/>
        <v> </v>
      </c>
      <c r="M456" s="7" t="str">
        <f t="shared" si="7"/>
        <v> </v>
      </c>
      <c r="N456" s="7">
        <f t="shared" si="8"/>
        <v>4.5</v>
      </c>
    </row>
    <row r="457" hidden="1">
      <c r="B457" s="3" t="s">
        <v>834</v>
      </c>
      <c r="C457" s="5" t="s">
        <v>188</v>
      </c>
      <c r="D457" s="3">
        <v>10.0</v>
      </c>
      <c r="E457" s="3">
        <v>10.0</v>
      </c>
      <c r="F457" s="3">
        <f t="shared" si="1"/>
        <v>2</v>
      </c>
      <c r="G457" s="5" t="str">
        <f>IFERROR(__xludf.DUMMYFUNCTION("""COMPUTED_VALUE"""),"https://github.com/Meet-XML/Tds_pro1")</f>
        <v>https://github.com/Meet-XML/Tds_pro1</v>
      </c>
      <c r="H457" s="3">
        <f t="shared" si="2"/>
        <v>6</v>
      </c>
      <c r="I457" s="3">
        <f t="shared" si="3"/>
        <v>10</v>
      </c>
      <c r="J457" s="3">
        <f t="shared" si="4"/>
        <v>10</v>
      </c>
      <c r="K457" s="3">
        <f t="shared" si="5"/>
        <v>10</v>
      </c>
      <c r="L457" s="7">
        <f t="shared" si="6"/>
        <v>4</v>
      </c>
      <c r="M457" s="7">
        <f t="shared" si="7"/>
        <v>0</v>
      </c>
      <c r="N457" s="7">
        <f t="shared" si="8"/>
        <v>10</v>
      </c>
    </row>
    <row r="458" hidden="1">
      <c r="B458" s="3" t="s">
        <v>835</v>
      </c>
      <c r="C458" s="5" t="s">
        <v>836</v>
      </c>
      <c r="D458" s="3">
        <v>9.0</v>
      </c>
      <c r="E458" s="3">
        <v>8.0</v>
      </c>
      <c r="F458" s="3">
        <f t="shared" si="1"/>
        <v>2</v>
      </c>
      <c r="G458" s="5" t="str">
        <f>IFERROR(__xludf.DUMMYFUNCTION("""COMPUTED_VALUE"""),"https://github.com/DurgaPriyaY/proj1")</f>
        <v>https://github.com/DurgaPriyaY/proj1</v>
      </c>
      <c r="H458" s="3">
        <f t="shared" si="2"/>
        <v>4</v>
      </c>
      <c r="I458" s="3">
        <f t="shared" si="3"/>
        <v>5</v>
      </c>
      <c r="J458" s="3">
        <f t="shared" si="4"/>
        <v>10</v>
      </c>
      <c r="K458" s="3">
        <f t="shared" si="5"/>
        <v>10</v>
      </c>
      <c r="L458" s="7">
        <f t="shared" si="6"/>
        <v>6</v>
      </c>
      <c r="M458" s="7">
        <f t="shared" si="7"/>
        <v>5</v>
      </c>
      <c r="N458" s="7">
        <f t="shared" si="8"/>
        <v>10</v>
      </c>
    </row>
    <row r="459" hidden="1">
      <c r="B459" s="3" t="s">
        <v>837</v>
      </c>
      <c r="C459" s="5" t="s">
        <v>77</v>
      </c>
      <c r="D459" s="3">
        <v>1.0</v>
      </c>
      <c r="E459" s="3">
        <v>0.0</v>
      </c>
      <c r="F459" s="3">
        <f t="shared" si="1"/>
        <v>2</v>
      </c>
      <c r="G459" s="5" t="str">
        <f>IFERROR(__xludf.DUMMYFUNCTION("""COMPUTED_VALUE"""),"https://github.com/Navreet5002/tds_proj1")</f>
        <v>https://github.com/Navreet5002/tds_proj1</v>
      </c>
      <c r="H459" s="3">
        <f t="shared" si="2"/>
        <v>5</v>
      </c>
      <c r="I459" s="3">
        <f t="shared" si="3"/>
        <v>0</v>
      </c>
      <c r="J459" s="3">
        <f t="shared" si="4"/>
        <v>10</v>
      </c>
      <c r="K459" s="3">
        <f t="shared" si="5"/>
        <v>10</v>
      </c>
      <c r="L459" s="7">
        <f t="shared" si="6"/>
        <v>5</v>
      </c>
      <c r="M459" s="7">
        <f t="shared" si="7"/>
        <v>10</v>
      </c>
      <c r="N459" s="7">
        <f t="shared" si="8"/>
        <v>10</v>
      </c>
    </row>
    <row r="460" hidden="1">
      <c r="B460" s="3" t="s">
        <v>838</v>
      </c>
      <c r="C460" s="5" t="s">
        <v>839</v>
      </c>
      <c r="D460" s="3">
        <v>9.0</v>
      </c>
      <c r="E460" s="3">
        <v>9.0</v>
      </c>
      <c r="F460" s="3">
        <f t="shared" si="1"/>
        <v>2</v>
      </c>
      <c r="G460" s="5" t="str">
        <f>IFERROR(__xludf.DUMMYFUNCTION("""COMPUTED_VALUE"""),"https://github.com/Ajmalkajm/TDS-Project_1")</f>
        <v>https://github.com/Ajmalkajm/TDS-Project_1</v>
      </c>
      <c r="H460" s="3">
        <f t="shared" si="2"/>
        <v>8</v>
      </c>
      <c r="I460" s="3">
        <f t="shared" si="3"/>
        <v>9</v>
      </c>
      <c r="J460" s="3">
        <f t="shared" si="4"/>
        <v>10</v>
      </c>
      <c r="K460" s="3">
        <f t="shared" si="5"/>
        <v>10</v>
      </c>
      <c r="L460" s="7">
        <f t="shared" si="6"/>
        <v>2</v>
      </c>
      <c r="M460" s="7">
        <f t="shared" si="7"/>
        <v>1</v>
      </c>
      <c r="N460" s="7">
        <f t="shared" si="8"/>
        <v>10</v>
      </c>
    </row>
    <row r="461" hidden="1">
      <c r="B461" s="3" t="s">
        <v>840</v>
      </c>
      <c r="C461" s="5" t="s">
        <v>841</v>
      </c>
      <c r="D461" s="3">
        <v>6.0</v>
      </c>
      <c r="E461" s="3">
        <v>9.0</v>
      </c>
      <c r="F461" s="3">
        <f t="shared" si="1"/>
        <v>1</v>
      </c>
      <c r="G461" s="5" t="str">
        <f>IFERROR(__xludf.DUMMYFUNCTION("""COMPUTED_VALUE"""),"https://github.com/AlgoPenguin/tds-project-1/blob/main/README.md")</f>
        <v>https://github.com/AlgoPenguin/tds-project-1/blob/main/README.md</v>
      </c>
      <c r="H461" s="3">
        <f t="shared" si="2"/>
        <v>5</v>
      </c>
      <c r="I461" s="3">
        <f t="shared" si="3"/>
        <v>6</v>
      </c>
      <c r="J461" s="3" t="str">
        <f t="shared" si="4"/>
        <v>No reviews</v>
      </c>
      <c r="K461" s="3" t="str">
        <f t="shared" si="5"/>
        <v>No reviews</v>
      </c>
      <c r="L461" s="7" t="str">
        <f t="shared" si="6"/>
        <v> </v>
      </c>
      <c r="M461" s="7" t="str">
        <f t="shared" si="7"/>
        <v> </v>
      </c>
      <c r="N461" s="7">
        <f t="shared" si="8"/>
        <v>5.5</v>
      </c>
    </row>
    <row r="462" hidden="1">
      <c r="B462" s="3" t="s">
        <v>842</v>
      </c>
      <c r="C462" s="5" t="s">
        <v>843</v>
      </c>
      <c r="D462" s="3">
        <v>0.0</v>
      </c>
      <c r="E462" s="3">
        <v>0.0</v>
      </c>
      <c r="F462" s="3">
        <f t="shared" si="1"/>
        <v>2</v>
      </c>
      <c r="G462" s="5" t="str">
        <f>IFERROR(__xludf.DUMMYFUNCTION("""COMPUTED_VALUE"""),"https://github.com/Sh1617/Project1")</f>
        <v>https://github.com/Sh1617/Project1</v>
      </c>
      <c r="H462" s="3">
        <f t="shared" si="2"/>
        <v>8</v>
      </c>
      <c r="I462" s="3">
        <f t="shared" si="3"/>
        <v>8</v>
      </c>
      <c r="J462" s="3">
        <f t="shared" si="4"/>
        <v>10</v>
      </c>
      <c r="K462" s="3">
        <f t="shared" si="5"/>
        <v>10</v>
      </c>
      <c r="L462" s="7">
        <f t="shared" si="6"/>
        <v>2</v>
      </c>
      <c r="M462" s="7">
        <f t="shared" si="7"/>
        <v>2</v>
      </c>
      <c r="N462" s="7">
        <f t="shared" si="8"/>
        <v>10</v>
      </c>
    </row>
    <row r="463" hidden="1">
      <c r="B463" s="3" t="s">
        <v>844</v>
      </c>
      <c r="C463" s="5" t="s">
        <v>845</v>
      </c>
      <c r="D463" s="3">
        <v>7.0</v>
      </c>
      <c r="E463" s="3">
        <v>8.0</v>
      </c>
      <c r="F463" s="3">
        <f t="shared" si="1"/>
        <v>1</v>
      </c>
      <c r="G463" s="5" t="str">
        <f>IFERROR(__xludf.DUMMYFUNCTION("""COMPUTED_VALUE"""),"https://github.com/Aadi0703/TDS-project1")</f>
        <v>https://github.com/Aadi0703/TDS-project1</v>
      </c>
      <c r="H463" s="3">
        <f t="shared" si="2"/>
        <v>9</v>
      </c>
      <c r="I463" s="3">
        <f t="shared" si="3"/>
        <v>9</v>
      </c>
      <c r="J463" s="3" t="str">
        <f t="shared" si="4"/>
        <v>No reviews</v>
      </c>
      <c r="K463" s="3" t="str">
        <f t="shared" si="5"/>
        <v>No reviews</v>
      </c>
      <c r="L463" s="7" t="str">
        <f t="shared" si="6"/>
        <v> </v>
      </c>
      <c r="M463" s="7" t="str">
        <f t="shared" si="7"/>
        <v> </v>
      </c>
      <c r="N463" s="7">
        <f t="shared" si="8"/>
        <v>9</v>
      </c>
    </row>
    <row r="464" hidden="1">
      <c r="B464" s="3" t="s">
        <v>846</v>
      </c>
      <c r="C464" s="5" t="s">
        <v>783</v>
      </c>
      <c r="D464" s="3">
        <v>10.0</v>
      </c>
      <c r="E464" s="3">
        <v>7.0</v>
      </c>
      <c r="F464" s="3">
        <f t="shared" si="1"/>
        <v>2</v>
      </c>
      <c r="G464" s="5" t="str">
        <f>IFERROR(__xludf.DUMMYFUNCTION("""COMPUTED_VALUE"""),"https://github.com/gadilashashank/tds_p1")</f>
        <v>https://github.com/gadilashashank/tds_p1</v>
      </c>
      <c r="H464" s="3">
        <f t="shared" si="2"/>
        <v>7</v>
      </c>
      <c r="I464" s="3">
        <f t="shared" si="3"/>
        <v>7</v>
      </c>
      <c r="J464" s="3">
        <f t="shared" si="4"/>
        <v>5</v>
      </c>
      <c r="K464" s="3">
        <f t="shared" si="5"/>
        <v>7</v>
      </c>
      <c r="L464" s="7">
        <f t="shared" si="6"/>
        <v>2</v>
      </c>
      <c r="M464" s="7">
        <f t="shared" si="7"/>
        <v>0</v>
      </c>
      <c r="N464" s="7">
        <f t="shared" si="8"/>
        <v>7</v>
      </c>
    </row>
    <row r="465" hidden="1">
      <c r="B465" s="3" t="s">
        <v>847</v>
      </c>
      <c r="C465" s="5" t="s">
        <v>446</v>
      </c>
      <c r="D465" s="3">
        <v>2.0</v>
      </c>
      <c r="E465" s="3">
        <v>2.0</v>
      </c>
      <c r="F465" s="3">
        <f t="shared" si="1"/>
        <v>2</v>
      </c>
      <c r="G465" s="5" t="str">
        <f>IFERROR(__xludf.DUMMYFUNCTION("""COMPUTED_VALUE"""),"https://github.com/AvinashRajender/tdsproject1")</f>
        <v>https://github.com/AvinashRajender/tdsproject1</v>
      </c>
      <c r="H465" s="3">
        <f t="shared" si="2"/>
        <v>10</v>
      </c>
      <c r="I465" s="3">
        <f t="shared" si="3"/>
        <v>10</v>
      </c>
      <c r="J465" s="3">
        <f t="shared" si="4"/>
        <v>10</v>
      </c>
      <c r="K465" s="3">
        <f t="shared" si="5"/>
        <v>10</v>
      </c>
      <c r="L465" s="7">
        <f t="shared" si="6"/>
        <v>0</v>
      </c>
      <c r="M465" s="7">
        <f t="shared" si="7"/>
        <v>0</v>
      </c>
      <c r="N465" s="7">
        <f t="shared" si="8"/>
        <v>10</v>
      </c>
    </row>
    <row r="466" hidden="1">
      <c r="B466" s="3" t="s">
        <v>848</v>
      </c>
      <c r="C466" s="5" t="s">
        <v>695</v>
      </c>
      <c r="D466" s="3">
        <v>9.0</v>
      </c>
      <c r="E466" s="3">
        <v>7.0</v>
      </c>
      <c r="F466" s="3">
        <f t="shared" si="1"/>
        <v>1</v>
      </c>
      <c r="G466" s="5" t="str">
        <f>IFERROR(__xludf.DUMMYFUNCTION("""COMPUTED_VALUE"""),"https://github.com/AnshikaSinha2005/Anshika-project")</f>
        <v>https://github.com/AnshikaSinha2005/Anshika-project</v>
      </c>
      <c r="H466" s="3">
        <f t="shared" si="2"/>
        <v>8</v>
      </c>
      <c r="I466" s="3">
        <f t="shared" si="3"/>
        <v>9</v>
      </c>
      <c r="J466" s="3" t="str">
        <f t="shared" si="4"/>
        <v>No reviews</v>
      </c>
      <c r="K466" s="3" t="str">
        <f t="shared" si="5"/>
        <v>No reviews</v>
      </c>
      <c r="L466" s="7" t="str">
        <f t="shared" si="6"/>
        <v> </v>
      </c>
      <c r="M466" s="7" t="str">
        <f t="shared" si="7"/>
        <v> </v>
      </c>
      <c r="N466" s="7">
        <f t="shared" si="8"/>
        <v>8.5</v>
      </c>
    </row>
    <row r="467" hidden="1">
      <c r="B467" s="3" t="s">
        <v>849</v>
      </c>
      <c r="C467" s="5" t="s">
        <v>268</v>
      </c>
      <c r="D467" s="3">
        <v>6.0</v>
      </c>
      <c r="E467" s="3">
        <v>0.0</v>
      </c>
      <c r="F467" s="3">
        <f t="shared" si="1"/>
        <v>1</v>
      </c>
      <c r="G467" s="5" t="str">
        <f>IFERROR(__xludf.DUMMYFUNCTION("""COMPUTED_VALUE"""),"https://github.com/iitmgito/project1")</f>
        <v>https://github.com/iitmgito/project1</v>
      </c>
      <c r="H467" s="3">
        <f t="shared" si="2"/>
        <v>10</v>
      </c>
      <c r="I467" s="3">
        <f t="shared" si="3"/>
        <v>10</v>
      </c>
      <c r="J467" s="3" t="str">
        <f t="shared" si="4"/>
        <v>No reviews</v>
      </c>
      <c r="K467" s="3" t="str">
        <f t="shared" si="5"/>
        <v>No reviews</v>
      </c>
      <c r="L467" s="7" t="str">
        <f t="shared" si="6"/>
        <v> </v>
      </c>
      <c r="M467" s="7" t="str">
        <f t="shared" si="7"/>
        <v> </v>
      </c>
      <c r="N467" s="7">
        <f t="shared" si="8"/>
        <v>10</v>
      </c>
    </row>
    <row r="468" hidden="1">
      <c r="B468" s="3" t="s">
        <v>850</v>
      </c>
      <c r="C468" s="5" t="s">
        <v>664</v>
      </c>
      <c r="D468" s="3">
        <v>10.0</v>
      </c>
      <c r="E468" s="3">
        <v>10.0</v>
      </c>
      <c r="F468" s="3">
        <f t="shared" si="1"/>
        <v>2</v>
      </c>
      <c r="G468" s="5" t="str">
        <f>IFERROR(__xludf.DUMMYFUNCTION("""COMPUTED_VALUE"""),"https://github.com/pushpa761/TDS-project-1")</f>
        <v>https://github.com/pushpa761/TDS-project-1</v>
      </c>
      <c r="H468" s="3">
        <f t="shared" si="2"/>
        <v>10</v>
      </c>
      <c r="I468" s="3">
        <f t="shared" si="3"/>
        <v>10</v>
      </c>
      <c r="J468" s="3">
        <f t="shared" si="4"/>
        <v>8</v>
      </c>
      <c r="K468" s="3">
        <f t="shared" si="5"/>
        <v>8</v>
      </c>
      <c r="L468" s="7">
        <f t="shared" si="6"/>
        <v>2</v>
      </c>
      <c r="M468" s="7">
        <f t="shared" si="7"/>
        <v>2</v>
      </c>
      <c r="N468" s="7">
        <f t="shared" si="8"/>
        <v>10</v>
      </c>
    </row>
    <row r="469" hidden="1">
      <c r="B469" s="3" t="s">
        <v>851</v>
      </c>
      <c r="C469" s="5" t="s">
        <v>852</v>
      </c>
      <c r="D469" s="3">
        <v>10.0</v>
      </c>
      <c r="E469" s="3">
        <v>10.0</v>
      </c>
      <c r="F469" s="3">
        <f t="shared" si="1"/>
        <v>1</v>
      </c>
      <c r="G469" s="5" t="str">
        <f>IFERROR(__xludf.DUMMYFUNCTION("""COMPUTED_VALUE"""),"https://github.com/YASH-MAHESHWAR1/TDS_Project1")</f>
        <v>https://github.com/YASH-MAHESHWAR1/TDS_Project1</v>
      </c>
      <c r="H469" s="3">
        <f t="shared" si="2"/>
        <v>8</v>
      </c>
      <c r="I469" s="3">
        <f t="shared" si="3"/>
        <v>0</v>
      </c>
      <c r="J469" s="3" t="str">
        <f t="shared" si="4"/>
        <v>No reviews</v>
      </c>
      <c r="K469" s="3" t="str">
        <f t="shared" si="5"/>
        <v>No reviews</v>
      </c>
      <c r="L469" s="7" t="str">
        <f t="shared" si="6"/>
        <v> </v>
      </c>
      <c r="M469" s="7" t="str">
        <f t="shared" si="7"/>
        <v> </v>
      </c>
      <c r="N469" s="7">
        <f t="shared" si="8"/>
        <v>4</v>
      </c>
    </row>
    <row r="470" hidden="1">
      <c r="B470" s="3" t="s">
        <v>853</v>
      </c>
      <c r="C470" s="5" t="s">
        <v>854</v>
      </c>
      <c r="D470" s="3">
        <v>9.0</v>
      </c>
      <c r="E470" s="3">
        <v>0.0</v>
      </c>
      <c r="F470" s="3">
        <f t="shared" si="1"/>
        <v>2</v>
      </c>
      <c r="G470" s="5" t="str">
        <f>IFERROR(__xludf.DUMMYFUNCTION("""COMPUTED_VALUE"""),"https://github.com/TheMHarsh/TDS_P1")</f>
        <v>https://github.com/TheMHarsh/TDS_P1</v>
      </c>
      <c r="H470" s="3">
        <f t="shared" si="2"/>
        <v>10</v>
      </c>
      <c r="I470" s="3">
        <f t="shared" si="3"/>
        <v>7</v>
      </c>
      <c r="J470" s="3">
        <f t="shared" si="4"/>
        <v>9</v>
      </c>
      <c r="K470" s="3">
        <f t="shared" si="5"/>
        <v>8</v>
      </c>
      <c r="L470" s="7">
        <f t="shared" si="6"/>
        <v>1</v>
      </c>
      <c r="M470" s="7">
        <f t="shared" si="7"/>
        <v>1</v>
      </c>
      <c r="N470" s="7">
        <f t="shared" si="8"/>
        <v>8.5</v>
      </c>
    </row>
    <row r="471" hidden="1">
      <c r="B471" s="3" t="s">
        <v>855</v>
      </c>
      <c r="C471" s="5" t="s">
        <v>856</v>
      </c>
      <c r="D471" s="3">
        <v>10.0</v>
      </c>
      <c r="E471" s="3">
        <v>10.0</v>
      </c>
      <c r="F471" s="3">
        <f t="shared" si="1"/>
        <v>1</v>
      </c>
      <c r="G471" s="5" t="str">
        <f>IFERROR(__xludf.DUMMYFUNCTION("""COMPUTED_VALUE"""),"https://github.com/LuckyArya27/tds-project1")</f>
        <v>https://github.com/LuckyArya27/tds-project1</v>
      </c>
      <c r="H471" s="3">
        <f t="shared" si="2"/>
        <v>10</v>
      </c>
      <c r="I471" s="3">
        <f t="shared" si="3"/>
        <v>10</v>
      </c>
      <c r="J471" s="3" t="str">
        <f t="shared" si="4"/>
        <v>No reviews</v>
      </c>
      <c r="K471" s="3" t="str">
        <f t="shared" si="5"/>
        <v>No reviews</v>
      </c>
      <c r="L471" s="7" t="str">
        <f t="shared" si="6"/>
        <v> </v>
      </c>
      <c r="M471" s="7" t="str">
        <f t="shared" si="7"/>
        <v> </v>
      </c>
      <c r="N471" s="7">
        <f t="shared" si="8"/>
        <v>10</v>
      </c>
    </row>
    <row r="472" hidden="1">
      <c r="B472" s="3" t="s">
        <v>857</v>
      </c>
      <c r="C472" s="5" t="s">
        <v>488</v>
      </c>
      <c r="D472" s="3">
        <v>6.0</v>
      </c>
      <c r="E472" s="3">
        <v>8.0</v>
      </c>
      <c r="F472" s="3">
        <f t="shared" si="1"/>
        <v>2</v>
      </c>
      <c r="G472" s="5" t="str">
        <f>IFERROR(__xludf.DUMMYFUNCTION("""COMPUTED_VALUE"""),"https://github.com/imposter7/seattle-github-users")</f>
        <v>https://github.com/imposter7/seattle-github-users</v>
      </c>
      <c r="H472" s="3">
        <f t="shared" si="2"/>
        <v>8</v>
      </c>
      <c r="I472" s="3">
        <f t="shared" si="3"/>
        <v>4</v>
      </c>
      <c r="J472" s="3">
        <f t="shared" si="4"/>
        <v>8</v>
      </c>
      <c r="K472" s="3">
        <f t="shared" si="5"/>
        <v>9</v>
      </c>
      <c r="L472" s="7">
        <f t="shared" si="6"/>
        <v>0</v>
      </c>
      <c r="M472" s="7">
        <f t="shared" si="7"/>
        <v>5</v>
      </c>
      <c r="N472" s="7">
        <f t="shared" si="8"/>
        <v>8.5</v>
      </c>
    </row>
    <row r="473" hidden="1">
      <c r="B473" s="3" t="s">
        <v>858</v>
      </c>
      <c r="C473" s="5" t="s">
        <v>705</v>
      </c>
      <c r="D473" s="3">
        <v>10.0</v>
      </c>
      <c r="E473" s="3">
        <v>10.0</v>
      </c>
      <c r="F473" s="3">
        <f t="shared" si="1"/>
        <v>1</v>
      </c>
      <c r="G473" s="5" t="str">
        <f>IFERROR(__xludf.DUMMYFUNCTION("""COMPUTED_VALUE"""),"https://github.com/kneedheeee/proj1")</f>
        <v>https://github.com/kneedheeee/proj1</v>
      </c>
      <c r="H473" s="3">
        <f t="shared" si="2"/>
        <v>10</v>
      </c>
      <c r="I473" s="3">
        <f t="shared" si="3"/>
        <v>10</v>
      </c>
      <c r="J473" s="3" t="str">
        <f t="shared" si="4"/>
        <v>No reviews</v>
      </c>
      <c r="K473" s="3" t="str">
        <f t="shared" si="5"/>
        <v>No reviews</v>
      </c>
      <c r="L473" s="7" t="str">
        <f t="shared" si="6"/>
        <v> </v>
      </c>
      <c r="M473" s="7" t="str">
        <f t="shared" si="7"/>
        <v> </v>
      </c>
      <c r="N473" s="7">
        <f t="shared" si="8"/>
        <v>10</v>
      </c>
    </row>
    <row r="474" hidden="1">
      <c r="B474" s="3" t="s">
        <v>859</v>
      </c>
      <c r="C474" s="5" t="s">
        <v>492</v>
      </c>
      <c r="D474" s="3">
        <v>9.0</v>
      </c>
      <c r="E474" s="3">
        <v>9.0</v>
      </c>
      <c r="F474" s="3">
        <f t="shared" si="1"/>
        <v>2</v>
      </c>
      <c r="G474" s="5" t="str">
        <f>IFERROR(__xludf.DUMMYFUNCTION("""COMPUTED_VALUE"""),"https://github.com/shamanthakiitm/TDS-Project-1")</f>
        <v>https://github.com/shamanthakiitm/TDS-Project-1</v>
      </c>
      <c r="H474" s="3">
        <f t="shared" si="2"/>
        <v>7</v>
      </c>
      <c r="I474" s="3">
        <f t="shared" si="3"/>
        <v>8</v>
      </c>
      <c r="J474" s="3">
        <f t="shared" si="4"/>
        <v>9</v>
      </c>
      <c r="K474" s="3">
        <f t="shared" si="5"/>
        <v>9</v>
      </c>
      <c r="L474" s="7">
        <f t="shared" si="6"/>
        <v>2</v>
      </c>
      <c r="M474" s="7">
        <f t="shared" si="7"/>
        <v>1</v>
      </c>
      <c r="N474" s="7">
        <f t="shared" si="8"/>
        <v>9</v>
      </c>
    </row>
    <row r="475" hidden="1">
      <c r="B475" s="3" t="s">
        <v>860</v>
      </c>
      <c r="C475" s="5" t="s">
        <v>861</v>
      </c>
      <c r="D475" s="3">
        <v>0.0</v>
      </c>
      <c r="E475" s="3">
        <v>5.0</v>
      </c>
      <c r="F475" s="3">
        <f t="shared" si="1"/>
        <v>2</v>
      </c>
      <c r="G475" s="5" t="str">
        <f>IFERROR(__xludf.DUMMYFUNCTION("""COMPUTED_VALUE"""),"https://github.com/DivyanshuGupta2000129/TDS_Project_1")</f>
        <v>https://github.com/DivyanshuGupta2000129/TDS_Project_1</v>
      </c>
      <c r="H475" s="3">
        <f t="shared" si="2"/>
        <v>10</v>
      </c>
      <c r="I475" s="3">
        <f t="shared" si="3"/>
        <v>10</v>
      </c>
      <c r="J475" s="3">
        <f t="shared" si="4"/>
        <v>6</v>
      </c>
      <c r="K475" s="3">
        <f t="shared" si="5"/>
        <v>3</v>
      </c>
      <c r="L475" s="7">
        <f t="shared" si="6"/>
        <v>4</v>
      </c>
      <c r="M475" s="7">
        <f t="shared" si="7"/>
        <v>7</v>
      </c>
      <c r="N475" s="7">
        <f t="shared" si="8"/>
        <v>10</v>
      </c>
    </row>
    <row r="476" hidden="1">
      <c r="B476" s="3" t="s">
        <v>862</v>
      </c>
      <c r="C476" s="5" t="s">
        <v>125</v>
      </c>
      <c r="D476" s="3">
        <v>9.0</v>
      </c>
      <c r="E476" s="3">
        <v>0.0</v>
      </c>
      <c r="F476" s="3">
        <f t="shared" si="1"/>
        <v>2</v>
      </c>
      <c r="G476" s="5" t="str">
        <f>IFERROR(__xludf.DUMMYFUNCTION("""COMPUTED_VALUE"""),"https://github.com/lakshyaonweb22/TDS_Project1")</f>
        <v>https://github.com/lakshyaonweb22/TDS_Project1</v>
      </c>
      <c r="H476" s="3">
        <f t="shared" si="2"/>
        <v>8</v>
      </c>
      <c r="I476" s="3">
        <f t="shared" si="3"/>
        <v>7</v>
      </c>
      <c r="J476" s="3">
        <f t="shared" si="4"/>
        <v>10</v>
      </c>
      <c r="K476" s="3">
        <f t="shared" si="5"/>
        <v>10</v>
      </c>
      <c r="L476" s="7">
        <f t="shared" si="6"/>
        <v>2</v>
      </c>
      <c r="M476" s="7">
        <f t="shared" si="7"/>
        <v>3</v>
      </c>
      <c r="N476" s="7">
        <f t="shared" si="8"/>
        <v>10</v>
      </c>
    </row>
    <row r="477" hidden="1">
      <c r="B477" s="3" t="s">
        <v>863</v>
      </c>
      <c r="C477" s="5" t="s">
        <v>864</v>
      </c>
      <c r="D477" s="3">
        <v>7.0</v>
      </c>
      <c r="E477" s="3">
        <v>10.0</v>
      </c>
      <c r="F477" s="3">
        <f t="shared" si="1"/>
        <v>2</v>
      </c>
      <c r="G477" s="5" t="str">
        <f>IFERROR(__xludf.DUMMYFUNCTION("""COMPUTED_VALUE"""),"https://github.com/23f2004417/23f2004417_TDS_Project1")</f>
        <v>https://github.com/23f2004417/23f2004417_TDS_Project1</v>
      </c>
      <c r="H477" s="3">
        <f t="shared" si="2"/>
        <v>10</v>
      </c>
      <c r="I477" s="3">
        <f t="shared" si="3"/>
        <v>10</v>
      </c>
      <c r="J477" s="3">
        <f t="shared" si="4"/>
        <v>7</v>
      </c>
      <c r="K477" s="3">
        <f t="shared" si="5"/>
        <v>8</v>
      </c>
      <c r="L477" s="7">
        <f t="shared" si="6"/>
        <v>3</v>
      </c>
      <c r="M477" s="7">
        <f t="shared" si="7"/>
        <v>2</v>
      </c>
      <c r="N477" s="7">
        <f t="shared" si="8"/>
        <v>10</v>
      </c>
    </row>
    <row r="478" hidden="1">
      <c r="B478" s="3" t="s">
        <v>865</v>
      </c>
      <c r="C478" s="5" t="s">
        <v>302</v>
      </c>
      <c r="D478" s="3">
        <v>10.0</v>
      </c>
      <c r="E478" s="3">
        <v>8.0</v>
      </c>
      <c r="F478" s="3">
        <f t="shared" si="1"/>
        <v>1</v>
      </c>
      <c r="G478" s="5" t="str">
        <f>IFERROR(__xludf.DUMMYFUNCTION("""COMPUTED_VALUE"""),"https://github.com/22f3001914/TDS_Project1/blob/main/README.md")</f>
        <v>https://github.com/22f3001914/TDS_Project1/blob/main/README.md</v>
      </c>
      <c r="H478" s="3">
        <f t="shared" si="2"/>
        <v>9</v>
      </c>
      <c r="I478" s="3">
        <f t="shared" si="3"/>
        <v>9</v>
      </c>
      <c r="J478" s="3" t="str">
        <f t="shared" si="4"/>
        <v>No reviews</v>
      </c>
      <c r="K478" s="3" t="str">
        <f t="shared" si="5"/>
        <v>No reviews</v>
      </c>
      <c r="L478" s="7" t="str">
        <f t="shared" si="6"/>
        <v> </v>
      </c>
      <c r="M478" s="7" t="str">
        <f t="shared" si="7"/>
        <v> </v>
      </c>
      <c r="N478" s="7">
        <f t="shared" si="8"/>
        <v>9</v>
      </c>
    </row>
    <row r="479" hidden="1">
      <c r="B479" s="3" t="s">
        <v>866</v>
      </c>
      <c r="C479" s="5" t="s">
        <v>867</v>
      </c>
      <c r="D479" s="3">
        <v>8.0</v>
      </c>
      <c r="E479" s="3">
        <v>7.0</v>
      </c>
      <c r="F479" s="3">
        <f t="shared" si="1"/>
        <v>2</v>
      </c>
      <c r="G479" s="5" t="str">
        <f>IFERROR(__xludf.DUMMYFUNCTION("""COMPUTED_VALUE"""),"https://github.com/Anvitha-Reddy-132218/TDS_Assignment")</f>
        <v>https://github.com/Anvitha-Reddy-132218/TDS_Assignment</v>
      </c>
      <c r="H479" s="3">
        <f t="shared" si="2"/>
        <v>10</v>
      </c>
      <c r="I479" s="3">
        <f t="shared" si="3"/>
        <v>10</v>
      </c>
      <c r="J479" s="3">
        <f t="shared" si="4"/>
        <v>8</v>
      </c>
      <c r="K479" s="3">
        <f t="shared" si="5"/>
        <v>10</v>
      </c>
      <c r="L479" s="7">
        <f t="shared" si="6"/>
        <v>2</v>
      </c>
      <c r="M479" s="7">
        <f t="shared" si="7"/>
        <v>0</v>
      </c>
      <c r="N479" s="7">
        <f t="shared" si="8"/>
        <v>10</v>
      </c>
    </row>
    <row r="480" hidden="1">
      <c r="B480" s="3" t="s">
        <v>868</v>
      </c>
      <c r="C480" s="5" t="s">
        <v>869</v>
      </c>
      <c r="D480" s="3">
        <v>7.0</v>
      </c>
      <c r="E480" s="3">
        <v>8.0</v>
      </c>
      <c r="F480" s="3">
        <f t="shared" si="1"/>
        <v>1</v>
      </c>
      <c r="G480" s="5" t="str">
        <f>IFERROR(__xludf.DUMMYFUNCTION("""COMPUTED_VALUE"""),"https://github.com/adityaraj2308/projeft1")</f>
        <v>https://github.com/adityaraj2308/projeft1</v>
      </c>
      <c r="H480" s="3">
        <f t="shared" si="2"/>
        <v>10</v>
      </c>
      <c r="I480" s="3">
        <f t="shared" si="3"/>
        <v>10</v>
      </c>
      <c r="J480" s="3" t="str">
        <f t="shared" si="4"/>
        <v>No reviews</v>
      </c>
      <c r="K480" s="3" t="str">
        <f t="shared" si="5"/>
        <v>No reviews</v>
      </c>
      <c r="L480" s="7" t="str">
        <f t="shared" si="6"/>
        <v> </v>
      </c>
      <c r="M480" s="7" t="str">
        <f t="shared" si="7"/>
        <v> </v>
      </c>
      <c r="N480" s="7">
        <f t="shared" si="8"/>
        <v>10</v>
      </c>
    </row>
    <row r="481" hidden="1">
      <c r="B481" s="3" t="s">
        <v>870</v>
      </c>
      <c r="C481" s="5" t="s">
        <v>776</v>
      </c>
      <c r="D481" s="3">
        <v>8.0</v>
      </c>
      <c r="E481" s="3">
        <v>9.0</v>
      </c>
      <c r="F481" s="3">
        <f t="shared" si="1"/>
        <v>2</v>
      </c>
      <c r="G481" s="5" t="str">
        <f>IFERROR(__xludf.DUMMYFUNCTION("""COMPUTED_VALUE"""),"https://github.com/Hariomkr147/TDS_project1")</f>
        <v>https://github.com/Hariomkr147/TDS_project1</v>
      </c>
      <c r="H481" s="3">
        <f t="shared" si="2"/>
        <v>9</v>
      </c>
      <c r="I481" s="3">
        <f t="shared" si="3"/>
        <v>8</v>
      </c>
      <c r="J481" s="3">
        <f t="shared" si="4"/>
        <v>0</v>
      </c>
      <c r="K481" s="3">
        <f t="shared" si="5"/>
        <v>0</v>
      </c>
      <c r="L481" s="7">
        <f t="shared" si="6"/>
        <v>9</v>
      </c>
      <c r="M481" s="7">
        <f t="shared" si="7"/>
        <v>8</v>
      </c>
      <c r="N481" s="7">
        <f t="shared" si="8"/>
        <v>8.5</v>
      </c>
    </row>
    <row r="482" hidden="1">
      <c r="B482" s="3" t="s">
        <v>871</v>
      </c>
      <c r="C482" s="5" t="s">
        <v>345</v>
      </c>
      <c r="D482" s="3">
        <v>5.0</v>
      </c>
      <c r="E482" s="3">
        <v>0.0</v>
      </c>
      <c r="F482" s="3">
        <f t="shared" si="1"/>
        <v>2</v>
      </c>
      <c r="G482" s="5" t="str">
        <f>IFERROR(__xludf.DUMMYFUNCTION("""COMPUTED_VALUE"""),"https://github.com/22f3002758/TDS-Project1")</f>
        <v>https://github.com/22f3002758/TDS-Project1</v>
      </c>
      <c r="H482" s="3">
        <f t="shared" si="2"/>
        <v>10</v>
      </c>
      <c r="I482" s="3">
        <f t="shared" si="3"/>
        <v>9</v>
      </c>
      <c r="J482" s="3">
        <f t="shared" si="4"/>
        <v>10</v>
      </c>
      <c r="K482" s="3">
        <f t="shared" si="5"/>
        <v>10</v>
      </c>
      <c r="L482" s="7">
        <f t="shared" si="6"/>
        <v>0</v>
      </c>
      <c r="M482" s="7">
        <f t="shared" si="7"/>
        <v>1</v>
      </c>
      <c r="N482" s="7">
        <f t="shared" si="8"/>
        <v>10</v>
      </c>
    </row>
    <row r="483" hidden="1">
      <c r="B483" s="3" t="s">
        <v>872</v>
      </c>
      <c r="C483" s="5" t="s">
        <v>379</v>
      </c>
      <c r="D483" s="3">
        <v>9.0</v>
      </c>
      <c r="E483" s="3">
        <v>9.0</v>
      </c>
      <c r="F483" s="3">
        <f t="shared" si="1"/>
        <v>2</v>
      </c>
      <c r="G483" s="5" t="str">
        <f>IFERROR(__xludf.DUMMYFUNCTION("""COMPUTED_VALUE"""),"https://github.com/irabi111/TDSPROJ1")</f>
        <v>https://github.com/irabi111/TDSPROJ1</v>
      </c>
      <c r="H483" s="3">
        <f t="shared" si="2"/>
        <v>10</v>
      </c>
      <c r="I483" s="3">
        <f t="shared" si="3"/>
        <v>10</v>
      </c>
      <c r="J483" s="3">
        <f t="shared" si="4"/>
        <v>10</v>
      </c>
      <c r="K483" s="3">
        <f t="shared" si="5"/>
        <v>10</v>
      </c>
      <c r="L483" s="7">
        <f t="shared" si="6"/>
        <v>0</v>
      </c>
      <c r="M483" s="7">
        <f t="shared" si="7"/>
        <v>0</v>
      </c>
      <c r="N483" s="7">
        <f t="shared" si="8"/>
        <v>10</v>
      </c>
    </row>
    <row r="484" hidden="1">
      <c r="B484" s="3" t="s">
        <v>873</v>
      </c>
      <c r="C484" s="5" t="s">
        <v>874</v>
      </c>
      <c r="D484" s="3">
        <v>9.0</v>
      </c>
      <c r="E484" s="3">
        <v>10.0</v>
      </c>
      <c r="F484" s="3">
        <f t="shared" si="1"/>
        <v>2</v>
      </c>
      <c r="G484" s="5" t="str">
        <f>IFERROR(__xludf.DUMMYFUNCTION("""COMPUTED_VALUE"""),"https://github.com/Jivraj-18/temp_repo_for_tds_project")</f>
        <v>https://github.com/Jivraj-18/temp_repo_for_tds_project</v>
      </c>
      <c r="H484" s="3">
        <f t="shared" si="2"/>
        <v>0</v>
      </c>
      <c r="I484" s="3">
        <f t="shared" si="3"/>
        <v>5</v>
      </c>
      <c r="J484" s="3">
        <f t="shared" si="4"/>
        <v>0</v>
      </c>
      <c r="K484" s="3">
        <f t="shared" si="5"/>
        <v>0</v>
      </c>
      <c r="L484" s="7">
        <f t="shared" si="6"/>
        <v>0</v>
      </c>
      <c r="M484" s="7">
        <f t="shared" si="7"/>
        <v>5</v>
      </c>
      <c r="N484" s="7">
        <f t="shared" si="8"/>
        <v>2.5</v>
      </c>
    </row>
    <row r="485" hidden="1">
      <c r="B485" s="3" t="s">
        <v>875</v>
      </c>
      <c r="C485" s="5" t="s">
        <v>238</v>
      </c>
      <c r="D485" s="3">
        <v>10.0</v>
      </c>
      <c r="E485" s="3">
        <v>10.0</v>
      </c>
      <c r="F485" s="3">
        <f t="shared" si="1"/>
        <v>2</v>
      </c>
      <c r="G485" s="5" t="str">
        <f>IFERROR(__xludf.DUMMYFUNCTION("""COMPUTED_VALUE"""),"https://github.com/shivasanthosh0804/TDSProject-1")</f>
        <v>https://github.com/shivasanthosh0804/TDSProject-1</v>
      </c>
      <c r="H485" s="3">
        <f t="shared" si="2"/>
        <v>4</v>
      </c>
      <c r="I485" s="3">
        <f t="shared" si="3"/>
        <v>9</v>
      </c>
      <c r="J485" s="3">
        <f t="shared" si="4"/>
        <v>9</v>
      </c>
      <c r="K485" s="3">
        <f t="shared" si="5"/>
        <v>8</v>
      </c>
      <c r="L485" s="7">
        <f t="shared" si="6"/>
        <v>5</v>
      </c>
      <c r="M485" s="7">
        <f t="shared" si="7"/>
        <v>1</v>
      </c>
      <c r="N485" s="7">
        <f t="shared" si="8"/>
        <v>8.5</v>
      </c>
    </row>
    <row r="486" hidden="1">
      <c r="B486" s="3" t="s">
        <v>876</v>
      </c>
      <c r="C486" s="5" t="s">
        <v>877</v>
      </c>
      <c r="D486" s="3">
        <v>9.0</v>
      </c>
      <c r="E486" s="3">
        <v>9.0</v>
      </c>
      <c r="F486" s="3">
        <f t="shared" si="1"/>
        <v>2</v>
      </c>
      <c r="G486" s="5" t="str">
        <f>IFERROR(__xludf.DUMMYFUNCTION("""COMPUTED_VALUE"""),"https://github.com/22f3001905/tds-project-1-github-users-repos")</f>
        <v>https://github.com/22f3001905/tds-project-1-github-users-repos</v>
      </c>
      <c r="H486" s="3">
        <f t="shared" si="2"/>
        <v>10</v>
      </c>
      <c r="I486" s="3">
        <f t="shared" si="3"/>
        <v>10</v>
      </c>
      <c r="J486" s="3">
        <f t="shared" si="4"/>
        <v>10</v>
      </c>
      <c r="K486" s="3">
        <f t="shared" si="5"/>
        <v>10</v>
      </c>
      <c r="L486" s="7">
        <f t="shared" si="6"/>
        <v>0</v>
      </c>
      <c r="M486" s="7">
        <f t="shared" si="7"/>
        <v>0</v>
      </c>
      <c r="N486" s="7">
        <f t="shared" si="8"/>
        <v>10</v>
      </c>
    </row>
    <row r="487" hidden="1">
      <c r="B487" s="3" t="s">
        <v>878</v>
      </c>
      <c r="C487" s="5" t="s">
        <v>879</v>
      </c>
      <c r="D487" s="3">
        <v>10.0</v>
      </c>
      <c r="E487" s="3">
        <v>10.0</v>
      </c>
      <c r="F487" s="3">
        <f t="shared" si="1"/>
        <v>2</v>
      </c>
      <c r="G487" s="5" t="str">
        <f>IFERROR(__xludf.DUMMYFUNCTION("""COMPUTED_VALUE"""),"https://github.com/itsrohithreddy/TDS_Project1")</f>
        <v>https://github.com/itsrohithreddy/TDS_Project1</v>
      </c>
      <c r="H487" s="3">
        <f t="shared" si="2"/>
        <v>10</v>
      </c>
      <c r="I487" s="3">
        <f t="shared" si="3"/>
        <v>10</v>
      </c>
      <c r="J487" s="3">
        <f t="shared" si="4"/>
        <v>10</v>
      </c>
      <c r="K487" s="3">
        <f t="shared" si="5"/>
        <v>10</v>
      </c>
      <c r="L487" s="7">
        <f t="shared" si="6"/>
        <v>0</v>
      </c>
      <c r="M487" s="7">
        <f t="shared" si="7"/>
        <v>0</v>
      </c>
      <c r="N487" s="7">
        <f t="shared" si="8"/>
        <v>10</v>
      </c>
    </row>
    <row r="488" hidden="1">
      <c r="B488" s="3" t="s">
        <v>880</v>
      </c>
      <c r="C488" s="5" t="s">
        <v>796</v>
      </c>
      <c r="D488" s="3">
        <v>8.0</v>
      </c>
      <c r="E488" s="3">
        <v>9.0</v>
      </c>
      <c r="F488" s="3">
        <f t="shared" si="1"/>
        <v>1</v>
      </c>
      <c r="G488" s="5" t="str">
        <f>IFERROR(__xludf.DUMMYFUNCTION("""COMPUTED_VALUE"""),"https://github.com/anivenk25/TDS_project1_Seattle200")</f>
        <v>https://github.com/anivenk25/TDS_project1_Seattle200</v>
      </c>
      <c r="H488" s="3">
        <f t="shared" si="2"/>
        <v>10</v>
      </c>
      <c r="I488" s="3">
        <f t="shared" si="3"/>
        <v>10</v>
      </c>
      <c r="J488" s="3" t="str">
        <f t="shared" si="4"/>
        <v>No reviews</v>
      </c>
      <c r="K488" s="3" t="str">
        <f t="shared" si="5"/>
        <v>No reviews</v>
      </c>
      <c r="L488" s="7" t="str">
        <f t="shared" si="6"/>
        <v> </v>
      </c>
      <c r="M488" s="7" t="str">
        <f t="shared" si="7"/>
        <v> </v>
      </c>
      <c r="N488" s="7">
        <f t="shared" si="8"/>
        <v>10</v>
      </c>
    </row>
    <row r="489" hidden="1">
      <c r="B489" s="3" t="s">
        <v>881</v>
      </c>
      <c r="C489" s="5" t="s">
        <v>391</v>
      </c>
      <c r="D489" s="3">
        <v>10.0</v>
      </c>
      <c r="E489" s="3">
        <v>10.0</v>
      </c>
      <c r="F489" s="3">
        <f t="shared" si="1"/>
        <v>2</v>
      </c>
      <c r="G489" s="5" t="str">
        <f>IFERROR(__xludf.DUMMYFUNCTION("""COMPUTED_VALUE"""),"https://github.com/22f3001673/TDS-Project1")</f>
        <v>https://github.com/22f3001673/TDS-Project1</v>
      </c>
      <c r="H489" s="3">
        <f t="shared" si="2"/>
        <v>8</v>
      </c>
      <c r="I489" s="3">
        <f t="shared" si="3"/>
        <v>10</v>
      </c>
      <c r="J489" s="3">
        <f t="shared" si="4"/>
        <v>9</v>
      </c>
      <c r="K489" s="3">
        <f t="shared" si="5"/>
        <v>9</v>
      </c>
      <c r="L489" s="7">
        <f t="shared" si="6"/>
        <v>1</v>
      </c>
      <c r="M489" s="7">
        <f t="shared" si="7"/>
        <v>1</v>
      </c>
      <c r="N489" s="7">
        <f t="shared" si="8"/>
        <v>9</v>
      </c>
    </row>
    <row r="490" hidden="1">
      <c r="B490" s="3" t="s">
        <v>882</v>
      </c>
      <c r="C490" s="5" t="s">
        <v>743</v>
      </c>
      <c r="D490" s="3">
        <v>9.0</v>
      </c>
      <c r="E490" s="3">
        <v>10.0</v>
      </c>
      <c r="F490" s="3">
        <f t="shared" si="1"/>
        <v>2</v>
      </c>
      <c r="G490" s="5" t="str">
        <f>IFERROR(__xludf.DUMMYFUNCTION("""COMPUTED_VALUE"""),"https://github.com/afsi07/github-users-london/tree/main")</f>
        <v>https://github.com/afsi07/github-users-london/tree/main</v>
      </c>
      <c r="H490" s="3">
        <f t="shared" si="2"/>
        <v>10</v>
      </c>
      <c r="I490" s="3">
        <f t="shared" si="3"/>
        <v>10</v>
      </c>
      <c r="J490" s="3">
        <f t="shared" si="4"/>
        <v>8</v>
      </c>
      <c r="K490" s="3">
        <f t="shared" si="5"/>
        <v>9</v>
      </c>
      <c r="L490" s="7">
        <f t="shared" si="6"/>
        <v>2</v>
      </c>
      <c r="M490" s="7">
        <f t="shared" si="7"/>
        <v>1</v>
      </c>
      <c r="N490" s="7">
        <f t="shared" si="8"/>
        <v>10</v>
      </c>
    </row>
    <row r="491" hidden="1">
      <c r="B491" s="3" t="s">
        <v>883</v>
      </c>
      <c r="C491" s="5" t="s">
        <v>884</v>
      </c>
      <c r="D491" s="3">
        <v>7.0</v>
      </c>
      <c r="E491" s="3">
        <v>5.0</v>
      </c>
      <c r="F491" s="3">
        <f t="shared" si="1"/>
        <v>2</v>
      </c>
      <c r="G491" s="5" t="str">
        <f>IFERROR(__xludf.DUMMYFUNCTION("""COMPUTED_VALUE"""),"https://github.com/Sreekar-1804/Tds_Project_1")</f>
        <v>https://github.com/Sreekar-1804/Tds_Project_1</v>
      </c>
      <c r="H491" s="3">
        <f t="shared" si="2"/>
        <v>8</v>
      </c>
      <c r="I491" s="3">
        <f t="shared" si="3"/>
        <v>8</v>
      </c>
      <c r="J491" s="3">
        <f t="shared" si="4"/>
        <v>10</v>
      </c>
      <c r="K491" s="3">
        <f t="shared" si="5"/>
        <v>10</v>
      </c>
      <c r="L491" s="7">
        <f t="shared" si="6"/>
        <v>2</v>
      </c>
      <c r="M491" s="7">
        <f t="shared" si="7"/>
        <v>2</v>
      </c>
      <c r="N491" s="7">
        <f t="shared" si="8"/>
        <v>10</v>
      </c>
    </row>
    <row r="492" hidden="1">
      <c r="B492" s="3" t="s">
        <v>885</v>
      </c>
      <c r="C492" s="5" t="s">
        <v>886</v>
      </c>
      <c r="D492" s="3">
        <v>10.0</v>
      </c>
      <c r="E492" s="3">
        <v>8.0</v>
      </c>
      <c r="F492" s="3">
        <f t="shared" si="1"/>
        <v>2</v>
      </c>
      <c r="G492" s="5" t="str">
        <f>IFERROR(__xludf.DUMMYFUNCTION("""COMPUTED_VALUE"""),"https://github.com/foriitm/p01")</f>
        <v>https://github.com/foriitm/p01</v>
      </c>
      <c r="H492" s="3">
        <f t="shared" si="2"/>
        <v>0</v>
      </c>
      <c r="I492" s="3">
        <f t="shared" si="3"/>
        <v>0</v>
      </c>
      <c r="J492" s="3">
        <f t="shared" si="4"/>
        <v>0</v>
      </c>
      <c r="K492" s="3">
        <f t="shared" si="5"/>
        <v>0</v>
      </c>
      <c r="L492" s="7">
        <f t="shared" si="6"/>
        <v>0</v>
      </c>
      <c r="M492" s="7">
        <f t="shared" si="7"/>
        <v>0</v>
      </c>
      <c r="N492" s="7">
        <f t="shared" si="8"/>
        <v>0</v>
      </c>
    </row>
    <row r="493" hidden="1">
      <c r="B493" s="3" t="s">
        <v>887</v>
      </c>
      <c r="C493" s="5" t="s">
        <v>888</v>
      </c>
      <c r="D493" s="3">
        <v>10.0</v>
      </c>
      <c r="E493" s="3">
        <v>10.0</v>
      </c>
      <c r="F493" s="3">
        <f t="shared" si="1"/>
        <v>2</v>
      </c>
      <c r="G493" s="5" t="str">
        <f>IFERROR(__xludf.DUMMYFUNCTION("""COMPUTED_VALUE"""),"https://github.com/AbhimanyuDwivedi282/TDS-Project_1")</f>
        <v>https://github.com/AbhimanyuDwivedi282/TDS-Project_1</v>
      </c>
      <c r="H493" s="3">
        <f t="shared" si="2"/>
        <v>10</v>
      </c>
      <c r="I493" s="3">
        <f t="shared" si="3"/>
        <v>10</v>
      </c>
      <c r="J493" s="3">
        <f t="shared" si="4"/>
        <v>10</v>
      </c>
      <c r="K493" s="3">
        <f t="shared" si="5"/>
        <v>10</v>
      </c>
      <c r="L493" s="7">
        <f t="shared" si="6"/>
        <v>0</v>
      </c>
      <c r="M493" s="7">
        <f t="shared" si="7"/>
        <v>0</v>
      </c>
      <c r="N493" s="7">
        <f t="shared" si="8"/>
        <v>10</v>
      </c>
    </row>
    <row r="494" hidden="1">
      <c r="B494" s="3" t="s">
        <v>889</v>
      </c>
      <c r="C494" s="5" t="s">
        <v>752</v>
      </c>
      <c r="D494" s="3">
        <v>10.0</v>
      </c>
      <c r="E494" s="3">
        <v>10.0</v>
      </c>
      <c r="F494" s="3">
        <f t="shared" si="1"/>
        <v>2</v>
      </c>
      <c r="G494" s="5" t="str">
        <f>IFERROR(__xludf.DUMMYFUNCTION("""COMPUTED_VALUE"""),"https://github.com/23f2004165/Scraping-GitHub-Users-And-Their-Repos-TDS-Project1-")</f>
        <v>https://github.com/23f2004165/Scraping-GitHub-Users-And-Their-Repos-TDS-Project1-</v>
      </c>
      <c r="H494" s="3">
        <f t="shared" si="2"/>
        <v>5</v>
      </c>
      <c r="I494" s="3">
        <f t="shared" si="3"/>
        <v>8</v>
      </c>
      <c r="J494" s="3">
        <f t="shared" si="4"/>
        <v>10</v>
      </c>
      <c r="K494" s="3">
        <f t="shared" si="5"/>
        <v>5</v>
      </c>
      <c r="L494" s="7">
        <f t="shared" si="6"/>
        <v>5</v>
      </c>
      <c r="M494" s="7">
        <f t="shared" si="7"/>
        <v>3</v>
      </c>
      <c r="N494" s="7">
        <f t="shared" si="8"/>
        <v>7.5</v>
      </c>
    </row>
    <row r="495" hidden="1">
      <c r="B495" s="3" t="s">
        <v>890</v>
      </c>
      <c r="C495" s="5" t="s">
        <v>891</v>
      </c>
      <c r="D495" s="3">
        <v>10.0</v>
      </c>
      <c r="E495" s="3">
        <v>10.0</v>
      </c>
      <c r="F495" s="3">
        <f t="shared" si="1"/>
        <v>2</v>
      </c>
      <c r="G495" s="5" t="str">
        <f>IFERROR(__xludf.DUMMYFUNCTION("""COMPUTED_VALUE"""),"https://github.com/QuixoticPsyche/tds-project-1")</f>
        <v>https://github.com/QuixoticPsyche/tds-project-1</v>
      </c>
      <c r="H495" s="3">
        <f t="shared" si="2"/>
        <v>7</v>
      </c>
      <c r="I495" s="3">
        <f t="shared" si="3"/>
        <v>8</v>
      </c>
      <c r="J495" s="3">
        <f t="shared" si="4"/>
        <v>10</v>
      </c>
      <c r="K495" s="3">
        <f t="shared" si="5"/>
        <v>10</v>
      </c>
      <c r="L495" s="7">
        <f t="shared" si="6"/>
        <v>3</v>
      </c>
      <c r="M495" s="7">
        <f t="shared" si="7"/>
        <v>2</v>
      </c>
      <c r="N495" s="7">
        <f t="shared" si="8"/>
        <v>10</v>
      </c>
    </row>
    <row r="496" hidden="1">
      <c r="B496" s="3" t="s">
        <v>892</v>
      </c>
      <c r="C496" s="5" t="s">
        <v>893</v>
      </c>
      <c r="D496" s="3">
        <v>8.0</v>
      </c>
      <c r="E496" s="3">
        <v>0.0</v>
      </c>
      <c r="F496" s="3">
        <f t="shared" si="1"/>
        <v>2</v>
      </c>
      <c r="G496" s="5" t="str">
        <f>IFERROR(__xludf.DUMMYFUNCTION("""COMPUTED_VALUE"""),"https://github.com/hack-sketch/tds-project")</f>
        <v>https://github.com/hack-sketch/tds-project</v>
      </c>
      <c r="H496" s="3">
        <f t="shared" si="2"/>
        <v>8</v>
      </c>
      <c r="I496" s="3">
        <f t="shared" si="3"/>
        <v>10</v>
      </c>
      <c r="J496" s="3">
        <f t="shared" si="4"/>
        <v>5</v>
      </c>
      <c r="K496" s="3">
        <f t="shared" si="5"/>
        <v>8</v>
      </c>
      <c r="L496" s="7">
        <f t="shared" si="6"/>
        <v>3</v>
      </c>
      <c r="M496" s="7">
        <f t="shared" si="7"/>
        <v>2</v>
      </c>
      <c r="N496" s="7">
        <f t="shared" si="8"/>
        <v>9</v>
      </c>
    </row>
    <row r="497" hidden="1">
      <c r="B497" s="3" t="s">
        <v>894</v>
      </c>
      <c r="C497" s="5" t="s">
        <v>874</v>
      </c>
      <c r="D497" s="3">
        <v>9.0</v>
      </c>
      <c r="E497" s="3">
        <v>9.0</v>
      </c>
      <c r="F497" s="3">
        <f t="shared" si="1"/>
        <v>1</v>
      </c>
      <c r="G497" s="5" t="str">
        <f>IFERROR(__xludf.DUMMYFUNCTION("""COMPUTED_VALUE"""),"https://github.com/EnggAditya03/ds")</f>
        <v>https://github.com/EnggAditya03/ds</v>
      </c>
      <c r="H497" s="3">
        <f t="shared" si="2"/>
        <v>10</v>
      </c>
      <c r="I497" s="3">
        <f t="shared" si="3"/>
        <v>0</v>
      </c>
      <c r="J497" s="3" t="str">
        <f t="shared" si="4"/>
        <v>No reviews</v>
      </c>
      <c r="K497" s="3" t="str">
        <f t="shared" si="5"/>
        <v>No reviews</v>
      </c>
      <c r="L497" s="7" t="str">
        <f t="shared" si="6"/>
        <v> </v>
      </c>
      <c r="M497" s="7" t="str">
        <f t="shared" si="7"/>
        <v> </v>
      </c>
      <c r="N497" s="7">
        <f t="shared" si="8"/>
        <v>5</v>
      </c>
    </row>
    <row r="498" hidden="1">
      <c r="B498" s="3" t="s">
        <v>895</v>
      </c>
      <c r="C498" s="5" t="s">
        <v>531</v>
      </c>
      <c r="D498" s="3">
        <v>5.0</v>
      </c>
      <c r="E498" s="3">
        <v>9.0</v>
      </c>
      <c r="F498" s="3">
        <f t="shared" si="1"/>
        <v>1</v>
      </c>
      <c r="G498" s="5" t="str">
        <f>IFERROR(__xludf.DUMMYFUNCTION("""COMPUTED_VALUE"""),"https://github.com/hameed-student/tds-project-1")</f>
        <v>https://github.com/hameed-student/tds-project-1</v>
      </c>
      <c r="H498" s="3">
        <f t="shared" si="2"/>
        <v>10</v>
      </c>
      <c r="I498" s="3">
        <f t="shared" si="3"/>
        <v>10</v>
      </c>
      <c r="J498" s="3" t="str">
        <f t="shared" si="4"/>
        <v>No reviews</v>
      </c>
      <c r="K498" s="3" t="str">
        <f t="shared" si="5"/>
        <v>No reviews</v>
      </c>
      <c r="L498" s="7" t="str">
        <f t="shared" si="6"/>
        <v> </v>
      </c>
      <c r="M498" s="7" t="str">
        <f t="shared" si="7"/>
        <v> </v>
      </c>
      <c r="N498" s="7">
        <f t="shared" si="8"/>
        <v>10</v>
      </c>
    </row>
    <row r="499" hidden="1">
      <c r="B499" s="3" t="s">
        <v>896</v>
      </c>
      <c r="C499" s="5" t="s">
        <v>697</v>
      </c>
      <c r="D499" s="3">
        <v>8.0</v>
      </c>
      <c r="E499" s="3">
        <v>8.0</v>
      </c>
      <c r="F499" s="3">
        <f t="shared" si="1"/>
        <v>2</v>
      </c>
      <c r="G499" s="5" t="str">
        <f>IFERROR(__xludf.DUMMYFUNCTION("""COMPUTED_VALUE"""),"https://github.com/AryanThakur-123/TDS-Project-1")</f>
        <v>https://github.com/AryanThakur-123/TDS-Project-1</v>
      </c>
      <c r="H499" s="3">
        <f t="shared" si="2"/>
        <v>10</v>
      </c>
      <c r="I499" s="3">
        <f t="shared" si="3"/>
        <v>8</v>
      </c>
      <c r="J499" s="3">
        <f t="shared" si="4"/>
        <v>10</v>
      </c>
      <c r="K499" s="3">
        <f t="shared" si="5"/>
        <v>10</v>
      </c>
      <c r="L499" s="7">
        <f t="shared" si="6"/>
        <v>0</v>
      </c>
      <c r="M499" s="7">
        <f t="shared" si="7"/>
        <v>2</v>
      </c>
      <c r="N499" s="7">
        <f t="shared" si="8"/>
        <v>10</v>
      </c>
    </row>
    <row r="500" hidden="1">
      <c r="B500" s="3" t="s">
        <v>897</v>
      </c>
      <c r="C500" s="5" t="s">
        <v>164</v>
      </c>
      <c r="D500" s="3">
        <v>8.0</v>
      </c>
      <c r="E500" s="3">
        <v>0.0</v>
      </c>
      <c r="F500" s="3">
        <f t="shared" si="1"/>
        <v>2</v>
      </c>
      <c r="G500" s="5" t="str">
        <f>IFERROR(__xludf.DUMMYFUNCTION("""COMPUTED_VALUE"""),"https://github.com/mdnabeelmn10/TDS_Project1_23f1001173")</f>
        <v>https://github.com/mdnabeelmn10/TDS_Project1_23f1001173</v>
      </c>
      <c r="H500" s="3">
        <f t="shared" si="2"/>
        <v>9</v>
      </c>
      <c r="I500" s="3">
        <f t="shared" si="3"/>
        <v>9</v>
      </c>
      <c r="J500" s="3">
        <f t="shared" si="4"/>
        <v>10</v>
      </c>
      <c r="K500" s="3">
        <f t="shared" si="5"/>
        <v>10</v>
      </c>
      <c r="L500" s="7">
        <f t="shared" si="6"/>
        <v>1</v>
      </c>
      <c r="M500" s="7">
        <f t="shared" si="7"/>
        <v>1</v>
      </c>
      <c r="N500" s="7">
        <f t="shared" si="8"/>
        <v>10</v>
      </c>
    </row>
    <row r="501" hidden="1">
      <c r="B501" s="3" t="s">
        <v>898</v>
      </c>
      <c r="C501" s="5" t="s">
        <v>448</v>
      </c>
      <c r="D501" s="3">
        <v>6.0</v>
      </c>
      <c r="E501" s="3">
        <v>10.0</v>
      </c>
      <c r="F501" s="3">
        <f t="shared" si="1"/>
        <v>2</v>
      </c>
      <c r="G501" s="5" t="str">
        <f>IFERROR(__xludf.DUMMYFUNCTION("""COMPUTED_VALUE"""),"https://github.com/mayanktripathii/TDS-Project-1")</f>
        <v>https://github.com/mayanktripathii/TDS-Project-1</v>
      </c>
      <c r="H501" s="3">
        <f t="shared" si="2"/>
        <v>6</v>
      </c>
      <c r="I501" s="3">
        <f t="shared" si="3"/>
        <v>9</v>
      </c>
      <c r="J501" s="3">
        <f t="shared" si="4"/>
        <v>8</v>
      </c>
      <c r="K501" s="3">
        <f t="shared" si="5"/>
        <v>10</v>
      </c>
      <c r="L501" s="7">
        <f t="shared" si="6"/>
        <v>2</v>
      </c>
      <c r="M501" s="7">
        <f t="shared" si="7"/>
        <v>1</v>
      </c>
      <c r="N501" s="7">
        <f t="shared" si="8"/>
        <v>9</v>
      </c>
    </row>
    <row r="502" hidden="1">
      <c r="B502" s="3" t="s">
        <v>899</v>
      </c>
      <c r="C502" s="5" t="s">
        <v>900</v>
      </c>
      <c r="D502" s="3">
        <v>10.0</v>
      </c>
      <c r="E502" s="3">
        <v>10.0</v>
      </c>
      <c r="F502" s="3">
        <f t="shared" si="1"/>
        <v>2</v>
      </c>
      <c r="G502" s="5" t="str">
        <f>IFERROR(__xludf.DUMMYFUNCTION("""COMPUTED_VALUE"""),"https://github.com/hamees-sayed/tds-project")</f>
        <v>https://github.com/hamees-sayed/tds-project</v>
      </c>
      <c r="H502" s="3">
        <f t="shared" si="2"/>
        <v>9</v>
      </c>
      <c r="I502" s="3">
        <f t="shared" si="3"/>
        <v>8</v>
      </c>
      <c r="J502" s="3">
        <f t="shared" si="4"/>
        <v>10</v>
      </c>
      <c r="K502" s="3">
        <f t="shared" si="5"/>
        <v>10</v>
      </c>
      <c r="L502" s="7">
        <f t="shared" si="6"/>
        <v>1</v>
      </c>
      <c r="M502" s="7">
        <f t="shared" si="7"/>
        <v>2</v>
      </c>
      <c r="N502" s="7">
        <f t="shared" si="8"/>
        <v>10</v>
      </c>
    </row>
    <row r="503" hidden="1">
      <c r="B503" s="3" t="s">
        <v>901</v>
      </c>
      <c r="C503" s="5" t="s">
        <v>399</v>
      </c>
      <c r="D503" s="3">
        <v>2.0</v>
      </c>
      <c r="E503" s="3">
        <v>7.0</v>
      </c>
      <c r="F503" s="3">
        <f t="shared" si="1"/>
        <v>2</v>
      </c>
      <c r="G503" s="5" t="str">
        <f>IFERROR(__xludf.DUMMYFUNCTION("""COMPUTED_VALUE"""),"https://github.com/tanishka-26saxena/Tokyo-200")</f>
        <v>https://github.com/tanishka-26saxena/Tokyo-200</v>
      </c>
      <c r="H503" s="3">
        <f t="shared" si="2"/>
        <v>10</v>
      </c>
      <c r="I503" s="3">
        <f t="shared" si="3"/>
        <v>0</v>
      </c>
      <c r="J503" s="3">
        <f t="shared" si="4"/>
        <v>10</v>
      </c>
      <c r="K503" s="3">
        <f t="shared" si="5"/>
        <v>10</v>
      </c>
      <c r="L503" s="7">
        <f t="shared" si="6"/>
        <v>0</v>
      </c>
      <c r="M503" s="7">
        <f t="shared" si="7"/>
        <v>10</v>
      </c>
      <c r="N503" s="7">
        <f t="shared" si="8"/>
        <v>10</v>
      </c>
    </row>
    <row r="504" hidden="1">
      <c r="B504" s="3" t="s">
        <v>902</v>
      </c>
      <c r="C504" s="5" t="s">
        <v>134</v>
      </c>
      <c r="D504" s="3">
        <v>5.0</v>
      </c>
      <c r="E504" s="3">
        <v>0.0</v>
      </c>
      <c r="F504" s="3">
        <f t="shared" si="1"/>
        <v>1</v>
      </c>
      <c r="G504" s="5" t="str">
        <f>IFERROR(__xludf.DUMMYFUNCTION("""COMPUTED_VALUE"""),"https://github.com/edurelated2021/tds-proj1/tree/main")</f>
        <v>https://github.com/edurelated2021/tds-proj1/tree/main</v>
      </c>
      <c r="H504" s="3">
        <f t="shared" si="2"/>
        <v>10</v>
      </c>
      <c r="I504" s="3">
        <f t="shared" si="3"/>
        <v>10</v>
      </c>
      <c r="J504" s="3" t="str">
        <f t="shared" si="4"/>
        <v>No reviews</v>
      </c>
      <c r="K504" s="3" t="str">
        <f t="shared" si="5"/>
        <v>No reviews</v>
      </c>
      <c r="L504" s="7" t="str">
        <f t="shared" si="6"/>
        <v> </v>
      </c>
      <c r="M504" s="7" t="str">
        <f t="shared" si="7"/>
        <v> </v>
      </c>
      <c r="N504" s="7">
        <f t="shared" si="8"/>
        <v>10</v>
      </c>
    </row>
    <row r="505" hidden="1">
      <c r="B505" s="3" t="s">
        <v>903</v>
      </c>
      <c r="C505" s="5" t="s">
        <v>231</v>
      </c>
      <c r="D505" s="3">
        <v>3.0</v>
      </c>
      <c r="E505" s="3">
        <v>3.0</v>
      </c>
      <c r="F505" s="3">
        <f t="shared" si="1"/>
        <v>2</v>
      </c>
      <c r="G505" s="5" t="str">
        <f>IFERROR(__xludf.DUMMYFUNCTION("""COMPUTED_VALUE"""),"https://github.com/joy-pro26/TDSProject1")</f>
        <v>https://github.com/joy-pro26/TDSProject1</v>
      </c>
      <c r="H505" s="3">
        <f t="shared" si="2"/>
        <v>10</v>
      </c>
      <c r="I505" s="3">
        <f t="shared" si="3"/>
        <v>10</v>
      </c>
      <c r="J505" s="3">
        <f t="shared" si="4"/>
        <v>10</v>
      </c>
      <c r="K505" s="3">
        <f t="shared" si="5"/>
        <v>10</v>
      </c>
      <c r="L505" s="7">
        <f t="shared" si="6"/>
        <v>0</v>
      </c>
      <c r="M505" s="7">
        <f t="shared" si="7"/>
        <v>0</v>
      </c>
      <c r="N505" s="7">
        <f t="shared" si="8"/>
        <v>10</v>
      </c>
    </row>
    <row r="506" hidden="1">
      <c r="B506" s="3" t="s">
        <v>904</v>
      </c>
      <c r="C506" s="5" t="s">
        <v>715</v>
      </c>
      <c r="D506" s="3">
        <v>7.0</v>
      </c>
      <c r="E506" s="3">
        <v>8.0</v>
      </c>
      <c r="F506" s="3">
        <f t="shared" si="1"/>
        <v>2</v>
      </c>
      <c r="G506" s="5" t="str">
        <f>IFERROR(__xludf.DUMMYFUNCTION("""COMPUTED_VALUE"""),"https://github.com/jyoti7398/TDS_proj1")</f>
        <v>https://github.com/jyoti7398/TDS_proj1</v>
      </c>
      <c r="H506" s="3">
        <f t="shared" si="2"/>
        <v>10</v>
      </c>
      <c r="I506" s="3">
        <f t="shared" si="3"/>
        <v>10</v>
      </c>
      <c r="J506" s="3">
        <f t="shared" si="4"/>
        <v>10</v>
      </c>
      <c r="K506" s="3">
        <f t="shared" si="5"/>
        <v>10</v>
      </c>
      <c r="L506" s="7">
        <f t="shared" si="6"/>
        <v>0</v>
      </c>
      <c r="M506" s="7">
        <f t="shared" si="7"/>
        <v>0</v>
      </c>
      <c r="N506" s="7">
        <f t="shared" si="8"/>
        <v>10</v>
      </c>
    </row>
    <row r="507" hidden="1">
      <c r="B507" s="3" t="s">
        <v>905</v>
      </c>
      <c r="C507" s="5" t="s">
        <v>906</v>
      </c>
      <c r="D507" s="3">
        <v>10.0</v>
      </c>
      <c r="E507" s="3">
        <v>10.0</v>
      </c>
      <c r="F507" s="3">
        <f t="shared" si="1"/>
        <v>1</v>
      </c>
      <c r="G507" s="5" t="str">
        <f>IFERROR(__xludf.DUMMYFUNCTION("""COMPUTED_VALUE"""),"https://github.com/RishitPant/tdsproject1")</f>
        <v>https://github.com/RishitPant/tdsproject1</v>
      </c>
      <c r="H507" s="3">
        <f t="shared" si="2"/>
        <v>8</v>
      </c>
      <c r="I507" s="3">
        <f t="shared" si="3"/>
        <v>8</v>
      </c>
      <c r="J507" s="3" t="str">
        <f t="shared" si="4"/>
        <v>No reviews</v>
      </c>
      <c r="K507" s="3" t="str">
        <f t="shared" si="5"/>
        <v>No reviews</v>
      </c>
      <c r="L507" s="7" t="str">
        <f t="shared" si="6"/>
        <v> </v>
      </c>
      <c r="M507" s="7" t="str">
        <f t="shared" si="7"/>
        <v> </v>
      </c>
      <c r="N507" s="7">
        <f t="shared" si="8"/>
        <v>8</v>
      </c>
    </row>
    <row r="508" hidden="1">
      <c r="B508" s="3" t="s">
        <v>907</v>
      </c>
      <c r="C508" s="5" t="s">
        <v>788</v>
      </c>
      <c r="D508" s="3">
        <v>10.0</v>
      </c>
      <c r="E508" s="3">
        <v>9.0</v>
      </c>
      <c r="F508" s="3">
        <f t="shared" si="1"/>
        <v>2</v>
      </c>
      <c r="G508" s="5" t="str">
        <f>IFERROR(__xludf.DUMMYFUNCTION("""COMPUTED_VALUE"""),"https://github.com/RiyaAgarwal22/TDS_Proj_1")</f>
        <v>https://github.com/RiyaAgarwal22/TDS_Proj_1</v>
      </c>
      <c r="H508" s="3">
        <f t="shared" si="2"/>
        <v>10</v>
      </c>
      <c r="I508" s="3">
        <f t="shared" si="3"/>
        <v>8</v>
      </c>
      <c r="J508" s="3">
        <f t="shared" si="4"/>
        <v>10</v>
      </c>
      <c r="K508" s="3">
        <f t="shared" si="5"/>
        <v>10</v>
      </c>
      <c r="L508" s="7">
        <f t="shared" si="6"/>
        <v>0</v>
      </c>
      <c r="M508" s="7">
        <f t="shared" si="7"/>
        <v>2</v>
      </c>
      <c r="N508" s="7">
        <f t="shared" si="8"/>
        <v>10</v>
      </c>
    </row>
    <row r="509" hidden="1">
      <c r="B509" s="3" t="s">
        <v>908</v>
      </c>
      <c r="C509" s="5" t="s">
        <v>656</v>
      </c>
      <c r="D509" s="3">
        <v>10.0</v>
      </c>
      <c r="E509" s="3">
        <v>10.0</v>
      </c>
      <c r="F509" s="3">
        <f t="shared" si="1"/>
        <v>2</v>
      </c>
      <c r="G509" s="5" t="str">
        <f>IFERROR(__xludf.DUMMYFUNCTION("""COMPUTED_VALUE"""),"https://github.com/Chandra37918/IITM-TDS-Project1")</f>
        <v>https://github.com/Chandra37918/IITM-TDS-Project1</v>
      </c>
      <c r="H509" s="3">
        <f t="shared" si="2"/>
        <v>10</v>
      </c>
      <c r="I509" s="3">
        <f t="shared" si="3"/>
        <v>10</v>
      </c>
      <c r="J509" s="3">
        <f t="shared" si="4"/>
        <v>10</v>
      </c>
      <c r="K509" s="3">
        <f t="shared" si="5"/>
        <v>10</v>
      </c>
      <c r="L509" s="7">
        <f t="shared" si="6"/>
        <v>0</v>
      </c>
      <c r="M509" s="7">
        <f t="shared" si="7"/>
        <v>0</v>
      </c>
      <c r="N509" s="7">
        <f t="shared" si="8"/>
        <v>10</v>
      </c>
    </row>
    <row r="510" hidden="1">
      <c r="B510" s="3" t="s">
        <v>909</v>
      </c>
      <c r="C510" s="5" t="s">
        <v>616</v>
      </c>
      <c r="D510" s="3">
        <v>3.0</v>
      </c>
      <c r="E510" s="3">
        <v>0.0</v>
      </c>
      <c r="F510" s="3">
        <f t="shared" si="1"/>
        <v>2</v>
      </c>
      <c r="G510" s="5" t="str">
        <f>IFERROR(__xludf.DUMMYFUNCTION("""COMPUTED_VALUE"""),"https://github.com/heyitsshreya/Austin-GitHub-Users-Analysis")</f>
        <v>https://github.com/heyitsshreya/Austin-GitHub-Users-Analysis</v>
      </c>
      <c r="H510" s="3">
        <f t="shared" si="2"/>
        <v>10</v>
      </c>
      <c r="I510" s="3">
        <f t="shared" si="3"/>
        <v>10</v>
      </c>
      <c r="J510" s="3">
        <f t="shared" si="4"/>
        <v>10</v>
      </c>
      <c r="K510" s="3">
        <f t="shared" si="5"/>
        <v>10</v>
      </c>
      <c r="L510" s="7">
        <f t="shared" si="6"/>
        <v>0</v>
      </c>
      <c r="M510" s="7">
        <f t="shared" si="7"/>
        <v>0</v>
      </c>
      <c r="N510" s="7">
        <f t="shared" si="8"/>
        <v>10</v>
      </c>
    </row>
    <row r="511" hidden="1">
      <c r="B511" s="3" t="s">
        <v>910</v>
      </c>
      <c r="C511" s="5" t="s">
        <v>372</v>
      </c>
      <c r="D511" s="3">
        <v>8.0</v>
      </c>
      <c r="E511" s="3">
        <v>9.0</v>
      </c>
      <c r="F511" s="3">
        <f t="shared" si="1"/>
        <v>2</v>
      </c>
      <c r="G511" s="5" t="str">
        <f>IFERROR(__xludf.DUMMYFUNCTION("""COMPUTED_VALUE"""),"https://github.com/rahulyadav46691499/TDS_project")</f>
        <v>https://github.com/rahulyadav46691499/TDS_project</v>
      </c>
      <c r="H511" s="3">
        <f t="shared" si="2"/>
        <v>10</v>
      </c>
      <c r="I511" s="3">
        <f t="shared" si="3"/>
        <v>10</v>
      </c>
      <c r="J511" s="3">
        <f t="shared" si="4"/>
        <v>0</v>
      </c>
      <c r="K511" s="3">
        <f t="shared" si="5"/>
        <v>0</v>
      </c>
      <c r="L511" s="7">
        <f t="shared" si="6"/>
        <v>10</v>
      </c>
      <c r="M511" s="7">
        <f t="shared" si="7"/>
        <v>10</v>
      </c>
      <c r="N511" s="7">
        <f t="shared" si="8"/>
        <v>10</v>
      </c>
    </row>
    <row r="512" hidden="1">
      <c r="B512" s="3" t="s">
        <v>911</v>
      </c>
      <c r="C512" s="5" t="s">
        <v>900</v>
      </c>
      <c r="D512" s="3">
        <v>10.0</v>
      </c>
      <c r="E512" s="3">
        <v>2.0</v>
      </c>
      <c r="F512" s="3">
        <f t="shared" si="1"/>
        <v>2</v>
      </c>
      <c r="G512" s="5" t="str">
        <f>IFERROR(__xludf.DUMMYFUNCTION("""COMPUTED_VALUE"""),"https://github.com/Anupama-Manjunath/22f3003253_tdsPA1")</f>
        <v>https://github.com/Anupama-Manjunath/22f3003253_tdsPA1</v>
      </c>
      <c r="H512" s="3">
        <f t="shared" si="2"/>
        <v>10</v>
      </c>
      <c r="I512" s="3">
        <f t="shared" si="3"/>
        <v>10</v>
      </c>
      <c r="J512" s="3">
        <f t="shared" si="4"/>
        <v>10</v>
      </c>
      <c r="K512" s="3">
        <f t="shared" si="5"/>
        <v>10</v>
      </c>
      <c r="L512" s="7">
        <f t="shared" si="6"/>
        <v>0</v>
      </c>
      <c r="M512" s="7">
        <f t="shared" si="7"/>
        <v>0</v>
      </c>
      <c r="N512" s="7">
        <f t="shared" si="8"/>
        <v>10</v>
      </c>
    </row>
    <row r="513" hidden="1">
      <c r="B513" s="3" t="s">
        <v>912</v>
      </c>
      <c r="C513" s="5" t="s">
        <v>913</v>
      </c>
      <c r="D513" s="3">
        <v>9.0</v>
      </c>
      <c r="E513" s="3">
        <v>9.0</v>
      </c>
      <c r="F513" s="3">
        <f t="shared" si="1"/>
        <v>2</v>
      </c>
      <c r="G513" s="5" t="str">
        <f>IFERROR(__xludf.DUMMYFUNCTION("""COMPUTED_VALUE"""),"https://github.com/JaySoni77/Project-1")</f>
        <v>https://github.com/JaySoni77/Project-1</v>
      </c>
      <c r="H513" s="3">
        <f t="shared" si="2"/>
        <v>10</v>
      </c>
      <c r="I513" s="3">
        <f t="shared" si="3"/>
        <v>10</v>
      </c>
      <c r="J513" s="3">
        <f t="shared" si="4"/>
        <v>10</v>
      </c>
      <c r="K513" s="3">
        <f t="shared" si="5"/>
        <v>10</v>
      </c>
      <c r="L513" s="7">
        <f t="shared" si="6"/>
        <v>0</v>
      </c>
      <c r="M513" s="7">
        <f t="shared" si="7"/>
        <v>0</v>
      </c>
      <c r="N513" s="7">
        <f t="shared" si="8"/>
        <v>10</v>
      </c>
    </row>
    <row r="514" hidden="1">
      <c r="B514" s="3" t="s">
        <v>914</v>
      </c>
      <c r="C514" s="5" t="s">
        <v>827</v>
      </c>
      <c r="D514" s="3">
        <v>9.0</v>
      </c>
      <c r="E514" s="3">
        <v>10.0</v>
      </c>
      <c r="F514" s="3">
        <f t="shared" si="1"/>
        <v>2</v>
      </c>
      <c r="G514" s="5" t="str">
        <f>IFERROR(__xludf.DUMMYFUNCTION("""COMPUTED_VALUE"""),"https://github.com/Praviniitm/Project_Moscow")</f>
        <v>https://github.com/Praviniitm/Project_Moscow</v>
      </c>
      <c r="H514" s="3">
        <f t="shared" si="2"/>
        <v>10</v>
      </c>
      <c r="I514" s="3">
        <f t="shared" si="3"/>
        <v>10</v>
      </c>
      <c r="J514" s="3">
        <f t="shared" si="4"/>
        <v>10</v>
      </c>
      <c r="K514" s="3">
        <f t="shared" si="5"/>
        <v>10</v>
      </c>
      <c r="L514" s="7">
        <f t="shared" si="6"/>
        <v>0</v>
      </c>
      <c r="M514" s="7">
        <f t="shared" si="7"/>
        <v>0</v>
      </c>
      <c r="N514" s="7">
        <f t="shared" si="8"/>
        <v>10</v>
      </c>
    </row>
    <row r="515" hidden="1">
      <c r="B515" s="3" t="s">
        <v>915</v>
      </c>
      <c r="C515" s="5" t="s">
        <v>852</v>
      </c>
      <c r="D515" s="3">
        <v>7.0</v>
      </c>
      <c r="E515" s="3">
        <v>8.0</v>
      </c>
      <c r="F515" s="3">
        <f t="shared" si="1"/>
        <v>1</v>
      </c>
      <c r="G515" s="5" t="str">
        <f>IFERROR(__xludf.DUMMYFUNCTION("""COMPUTED_VALUE"""),"https://github.com/AkshatGupta327/TDS_proj_1")</f>
        <v>https://github.com/AkshatGupta327/TDS_proj_1</v>
      </c>
      <c r="H515" s="3">
        <f t="shared" si="2"/>
        <v>10</v>
      </c>
      <c r="I515" s="3">
        <f t="shared" si="3"/>
        <v>10</v>
      </c>
      <c r="J515" s="3" t="str">
        <f t="shared" si="4"/>
        <v>No reviews</v>
      </c>
      <c r="K515" s="3" t="str">
        <f t="shared" si="5"/>
        <v>No reviews</v>
      </c>
      <c r="L515" s="7" t="str">
        <f t="shared" si="6"/>
        <v> </v>
      </c>
      <c r="M515" s="7" t="str">
        <f t="shared" si="7"/>
        <v> </v>
      </c>
      <c r="N515" s="7">
        <f t="shared" si="8"/>
        <v>10</v>
      </c>
    </row>
    <row r="516" hidden="1">
      <c r="B516" s="3" t="s">
        <v>916</v>
      </c>
      <c r="C516" s="5" t="s">
        <v>755</v>
      </c>
      <c r="D516" s="3">
        <v>0.0</v>
      </c>
      <c r="E516" s="3">
        <v>0.0</v>
      </c>
      <c r="F516" s="3">
        <f t="shared" si="1"/>
        <v>2</v>
      </c>
      <c r="G516" s="5" t="str">
        <f>IFERROR(__xludf.DUMMYFUNCTION("""COMPUTED_VALUE"""),"https://github.com/jhaaj08/TDS_project1")</f>
        <v>https://github.com/jhaaj08/TDS_project1</v>
      </c>
      <c r="H516" s="3">
        <f t="shared" si="2"/>
        <v>10</v>
      </c>
      <c r="I516" s="3">
        <f t="shared" si="3"/>
        <v>10</v>
      </c>
      <c r="J516" s="3">
        <f t="shared" si="4"/>
        <v>9</v>
      </c>
      <c r="K516" s="3">
        <f t="shared" si="5"/>
        <v>9</v>
      </c>
      <c r="L516" s="7">
        <f t="shared" si="6"/>
        <v>1</v>
      </c>
      <c r="M516" s="7">
        <f t="shared" si="7"/>
        <v>1</v>
      </c>
      <c r="N516" s="7">
        <f t="shared" si="8"/>
        <v>10</v>
      </c>
    </row>
    <row r="517" hidden="1">
      <c r="B517" s="3" t="s">
        <v>917</v>
      </c>
      <c r="C517" s="5" t="s">
        <v>918</v>
      </c>
      <c r="D517" s="3">
        <v>7.0</v>
      </c>
      <c r="E517" s="3">
        <v>9.0</v>
      </c>
      <c r="F517" s="3">
        <f t="shared" si="1"/>
        <v>1</v>
      </c>
      <c r="G517" s="5" t="str">
        <f>IFERROR(__xludf.DUMMYFUNCTION("""COMPUTED_VALUE"""),"https://github.com/aerosibin/TDS_Pro-1")</f>
        <v>https://github.com/aerosibin/TDS_Pro-1</v>
      </c>
      <c r="H517" s="3">
        <f t="shared" si="2"/>
        <v>9</v>
      </c>
      <c r="I517" s="3">
        <f t="shared" si="3"/>
        <v>9</v>
      </c>
      <c r="J517" s="3" t="str">
        <f t="shared" si="4"/>
        <v>No reviews</v>
      </c>
      <c r="K517" s="3" t="str">
        <f t="shared" si="5"/>
        <v>No reviews</v>
      </c>
      <c r="L517" s="7" t="str">
        <f t="shared" si="6"/>
        <v> </v>
      </c>
      <c r="M517" s="7" t="str">
        <f t="shared" si="7"/>
        <v> </v>
      </c>
      <c r="N517" s="7">
        <f t="shared" si="8"/>
        <v>9</v>
      </c>
    </row>
    <row r="518" hidden="1">
      <c r="B518" s="3" t="s">
        <v>919</v>
      </c>
      <c r="C518" s="5" t="s">
        <v>499</v>
      </c>
      <c r="D518" s="3">
        <v>10.0</v>
      </c>
      <c r="E518" s="3">
        <v>10.0</v>
      </c>
      <c r="F518" s="3">
        <f t="shared" si="1"/>
        <v>2</v>
      </c>
      <c r="G518" s="5" t="str">
        <f>IFERROR(__xludf.DUMMYFUNCTION("""COMPUTED_VALUE"""),"https://github.com/psmidhunreddy/tdsp1")</f>
        <v>https://github.com/psmidhunreddy/tdsp1</v>
      </c>
      <c r="H518" s="3">
        <f t="shared" si="2"/>
        <v>8</v>
      </c>
      <c r="I518" s="3">
        <f t="shared" si="3"/>
        <v>9</v>
      </c>
      <c r="J518" s="3">
        <f t="shared" si="4"/>
        <v>10</v>
      </c>
      <c r="K518" s="3">
        <f t="shared" si="5"/>
        <v>10</v>
      </c>
      <c r="L518" s="7">
        <f t="shared" si="6"/>
        <v>2</v>
      </c>
      <c r="M518" s="7">
        <f t="shared" si="7"/>
        <v>1</v>
      </c>
      <c r="N518" s="7">
        <f t="shared" si="8"/>
        <v>10</v>
      </c>
    </row>
    <row r="519" hidden="1">
      <c r="B519" s="3" t="s">
        <v>920</v>
      </c>
      <c r="C519" s="5" t="s">
        <v>300</v>
      </c>
      <c r="D519" s="3">
        <v>8.0</v>
      </c>
      <c r="E519" s="3">
        <v>10.0</v>
      </c>
      <c r="F519" s="3">
        <f t="shared" si="1"/>
        <v>2</v>
      </c>
      <c r="G519" s="5" t="str">
        <f>IFERROR(__xludf.DUMMYFUNCTION("""COMPUTED_VALUE"""),"https://github.com/Amankumar0017/TDS-Project-1")</f>
        <v>https://github.com/Amankumar0017/TDS-Project-1</v>
      </c>
      <c r="H519" s="3">
        <f t="shared" si="2"/>
        <v>10</v>
      </c>
      <c r="I519" s="3">
        <f t="shared" si="3"/>
        <v>9</v>
      </c>
      <c r="J519" s="3">
        <f t="shared" si="4"/>
        <v>10</v>
      </c>
      <c r="K519" s="3">
        <f t="shared" si="5"/>
        <v>10</v>
      </c>
      <c r="L519" s="7">
        <f t="shared" si="6"/>
        <v>0</v>
      </c>
      <c r="M519" s="7">
        <f t="shared" si="7"/>
        <v>1</v>
      </c>
      <c r="N519" s="7">
        <f t="shared" si="8"/>
        <v>10</v>
      </c>
    </row>
    <row r="520" hidden="1">
      <c r="B520" s="3" t="s">
        <v>921</v>
      </c>
      <c r="C520" s="5" t="s">
        <v>545</v>
      </c>
      <c r="D520" s="3">
        <v>10.0</v>
      </c>
      <c r="E520" s="3">
        <v>10.0</v>
      </c>
      <c r="F520" s="3">
        <f t="shared" si="1"/>
        <v>2</v>
      </c>
      <c r="G520" s="5" t="str">
        <f>IFERROR(__xludf.DUMMYFUNCTION("""COMPUTED_VALUE"""),"https://github.com/itznoor998/TDS_project1")</f>
        <v>https://github.com/itznoor998/TDS_project1</v>
      </c>
      <c r="H520" s="3">
        <f t="shared" si="2"/>
        <v>7</v>
      </c>
      <c r="I520" s="3">
        <f t="shared" si="3"/>
        <v>10</v>
      </c>
      <c r="J520" s="3">
        <f t="shared" si="4"/>
        <v>10</v>
      </c>
      <c r="K520" s="3">
        <f t="shared" si="5"/>
        <v>10</v>
      </c>
      <c r="L520" s="7">
        <f t="shared" si="6"/>
        <v>3</v>
      </c>
      <c r="M520" s="7">
        <f t="shared" si="7"/>
        <v>0</v>
      </c>
      <c r="N520" s="7">
        <f t="shared" si="8"/>
        <v>10</v>
      </c>
    </row>
    <row r="521" hidden="1">
      <c r="B521" s="3" t="s">
        <v>922</v>
      </c>
      <c r="C521" s="5" t="s">
        <v>923</v>
      </c>
      <c r="D521" s="3">
        <v>8.0</v>
      </c>
      <c r="E521" s="3">
        <v>0.0</v>
      </c>
      <c r="F521" s="3">
        <f t="shared" si="1"/>
        <v>2</v>
      </c>
      <c r="G521" s="5" t="str">
        <f>IFERROR(__xludf.DUMMYFUNCTION("""COMPUTED_VALUE"""),"https://github.com/Madhu1005/tds-project1")</f>
        <v>https://github.com/Madhu1005/tds-project1</v>
      </c>
      <c r="H521" s="3">
        <f t="shared" si="2"/>
        <v>10</v>
      </c>
      <c r="I521" s="3">
        <f t="shared" si="3"/>
        <v>10</v>
      </c>
      <c r="J521" s="3">
        <f t="shared" si="4"/>
        <v>8</v>
      </c>
      <c r="K521" s="3">
        <f t="shared" si="5"/>
        <v>8</v>
      </c>
      <c r="L521" s="7">
        <f t="shared" si="6"/>
        <v>2</v>
      </c>
      <c r="M521" s="7">
        <f t="shared" si="7"/>
        <v>2</v>
      </c>
      <c r="N521" s="7">
        <f t="shared" si="8"/>
        <v>10</v>
      </c>
    </row>
    <row r="522" hidden="1">
      <c r="B522" s="3" t="s">
        <v>924</v>
      </c>
      <c r="C522" s="5" t="s">
        <v>562</v>
      </c>
      <c r="D522" s="3">
        <v>6.0</v>
      </c>
      <c r="E522" s="3">
        <v>0.0</v>
      </c>
      <c r="F522" s="3">
        <f t="shared" si="1"/>
        <v>2</v>
      </c>
      <c r="G522" s="5" t="str">
        <f>IFERROR(__xludf.DUMMYFUNCTION("""COMPUTED_VALUE"""),"https://github.com/sumitt2408/github-users-london")</f>
        <v>https://github.com/sumitt2408/github-users-london</v>
      </c>
      <c r="H522" s="3">
        <f t="shared" si="2"/>
        <v>7</v>
      </c>
      <c r="I522" s="3">
        <f t="shared" si="3"/>
        <v>7</v>
      </c>
      <c r="J522" s="3">
        <f t="shared" si="4"/>
        <v>4</v>
      </c>
      <c r="K522" s="3">
        <f t="shared" si="5"/>
        <v>9</v>
      </c>
      <c r="L522" s="7">
        <f t="shared" si="6"/>
        <v>3</v>
      </c>
      <c r="M522" s="7">
        <f t="shared" si="7"/>
        <v>2</v>
      </c>
      <c r="N522" s="7">
        <f t="shared" si="8"/>
        <v>7</v>
      </c>
    </row>
    <row r="523" hidden="1">
      <c r="B523" s="3" t="s">
        <v>925</v>
      </c>
      <c r="C523" s="5" t="s">
        <v>926</v>
      </c>
      <c r="D523" s="3">
        <v>6.0</v>
      </c>
      <c r="E523" s="3">
        <v>8.0</v>
      </c>
      <c r="F523" s="3">
        <f t="shared" si="1"/>
        <v>2</v>
      </c>
      <c r="G523" s="5" t="str">
        <f>IFERROR(__xludf.DUMMYFUNCTION("""COMPUTED_VALUE"""),"https://github.com/vijayabhaskar78/TDS-PROJECT-1")</f>
        <v>https://github.com/vijayabhaskar78/TDS-PROJECT-1</v>
      </c>
      <c r="H523" s="3">
        <f t="shared" si="2"/>
        <v>10</v>
      </c>
      <c r="I523" s="3">
        <f t="shared" si="3"/>
        <v>10</v>
      </c>
      <c r="J523" s="3">
        <f t="shared" si="4"/>
        <v>9</v>
      </c>
      <c r="K523" s="3">
        <f t="shared" si="5"/>
        <v>10</v>
      </c>
      <c r="L523" s="7">
        <f t="shared" si="6"/>
        <v>1</v>
      </c>
      <c r="M523" s="7">
        <f t="shared" si="7"/>
        <v>0</v>
      </c>
      <c r="N523" s="7">
        <f t="shared" si="8"/>
        <v>10</v>
      </c>
    </row>
    <row r="524" hidden="1">
      <c r="B524" s="3" t="s">
        <v>927</v>
      </c>
      <c r="C524" s="5" t="s">
        <v>928</v>
      </c>
      <c r="D524" s="3">
        <v>7.0</v>
      </c>
      <c r="E524" s="3">
        <v>10.0</v>
      </c>
      <c r="F524" s="3">
        <f t="shared" si="1"/>
        <v>1</v>
      </c>
      <c r="G524" s="5" t="str">
        <f>IFERROR(__xludf.DUMMYFUNCTION("""COMPUTED_VALUE"""),"https://github.com/himanshu-IIT-M/project1")</f>
        <v>https://github.com/himanshu-IIT-M/project1</v>
      </c>
      <c r="H524" s="3">
        <f t="shared" si="2"/>
        <v>1</v>
      </c>
      <c r="I524" s="3">
        <f t="shared" si="3"/>
        <v>0</v>
      </c>
      <c r="J524" s="3" t="str">
        <f t="shared" si="4"/>
        <v>No reviews</v>
      </c>
      <c r="K524" s="3" t="str">
        <f t="shared" si="5"/>
        <v>No reviews</v>
      </c>
      <c r="L524" s="7" t="str">
        <f t="shared" si="6"/>
        <v> </v>
      </c>
      <c r="M524" s="7" t="str">
        <f t="shared" si="7"/>
        <v> </v>
      </c>
      <c r="N524" s="7">
        <f t="shared" si="8"/>
        <v>0.5</v>
      </c>
    </row>
    <row r="525" hidden="1">
      <c r="B525" s="3" t="s">
        <v>929</v>
      </c>
      <c r="C525" s="5" t="s">
        <v>475</v>
      </c>
      <c r="D525" s="3">
        <v>4.0</v>
      </c>
      <c r="E525" s="3">
        <v>4.0</v>
      </c>
      <c r="F525" s="3">
        <f t="shared" si="1"/>
        <v>1</v>
      </c>
      <c r="G525" s="5" t="str">
        <f>IFERROR(__xludf.DUMMYFUNCTION("""COMPUTED_VALUE"""),"https://github.com/Kabilan-18/TDS-Project1/")</f>
        <v>https://github.com/Kabilan-18/TDS-Project1/</v>
      </c>
      <c r="H525" s="3">
        <f t="shared" si="2"/>
        <v>10</v>
      </c>
      <c r="I525" s="3">
        <f t="shared" si="3"/>
        <v>10</v>
      </c>
      <c r="J525" s="3" t="str">
        <f t="shared" si="4"/>
        <v>No reviews</v>
      </c>
      <c r="K525" s="3" t="str">
        <f t="shared" si="5"/>
        <v>No reviews</v>
      </c>
      <c r="L525" s="7" t="str">
        <f t="shared" si="6"/>
        <v> </v>
      </c>
      <c r="M525" s="7" t="str">
        <f t="shared" si="7"/>
        <v> </v>
      </c>
      <c r="N525" s="7">
        <f t="shared" si="8"/>
        <v>10</v>
      </c>
    </row>
    <row r="526" hidden="1">
      <c r="B526" s="3" t="s">
        <v>930</v>
      </c>
      <c r="C526" s="5" t="s">
        <v>931</v>
      </c>
      <c r="D526" s="3">
        <v>8.0</v>
      </c>
      <c r="E526" s="3">
        <v>7.0</v>
      </c>
      <c r="F526" s="3">
        <f t="shared" si="1"/>
        <v>1</v>
      </c>
      <c r="G526" s="5" t="str">
        <f>IFERROR(__xludf.DUMMYFUNCTION("""COMPUTED_VALUE"""),"https://github.com/a1zen77/tds_p1")</f>
        <v>https://github.com/a1zen77/tds_p1</v>
      </c>
      <c r="H526" s="3">
        <f t="shared" si="2"/>
        <v>10</v>
      </c>
      <c r="I526" s="3">
        <f t="shared" si="3"/>
        <v>9</v>
      </c>
      <c r="J526" s="3" t="str">
        <f t="shared" si="4"/>
        <v>No reviews</v>
      </c>
      <c r="K526" s="3" t="str">
        <f t="shared" si="5"/>
        <v>No reviews</v>
      </c>
      <c r="L526" s="7" t="str">
        <f t="shared" si="6"/>
        <v> </v>
      </c>
      <c r="M526" s="7" t="str">
        <f t="shared" si="7"/>
        <v> </v>
      </c>
      <c r="N526" s="7">
        <f t="shared" si="8"/>
        <v>9.5</v>
      </c>
    </row>
    <row r="527" hidden="1">
      <c r="B527" s="3" t="s">
        <v>932</v>
      </c>
      <c r="C527" s="5" t="s">
        <v>383</v>
      </c>
      <c r="D527" s="3">
        <v>10.0</v>
      </c>
      <c r="E527" s="3">
        <v>9.0</v>
      </c>
      <c r="F527" s="3">
        <f t="shared" si="1"/>
        <v>2</v>
      </c>
      <c r="G527" s="5" t="str">
        <f>IFERROR(__xludf.DUMMYFUNCTION("""COMPUTED_VALUE"""),"https://github.com/mdjawed372/tds-project1")</f>
        <v>https://github.com/mdjawed372/tds-project1</v>
      </c>
      <c r="H527" s="3">
        <f t="shared" si="2"/>
        <v>8</v>
      </c>
      <c r="I527" s="3">
        <f t="shared" si="3"/>
        <v>10</v>
      </c>
      <c r="J527" s="3">
        <f t="shared" si="4"/>
        <v>10</v>
      </c>
      <c r="K527" s="3">
        <f t="shared" si="5"/>
        <v>10</v>
      </c>
      <c r="L527" s="7">
        <f t="shared" si="6"/>
        <v>2</v>
      </c>
      <c r="M527" s="7">
        <f t="shared" si="7"/>
        <v>0</v>
      </c>
      <c r="N527" s="7">
        <f t="shared" si="8"/>
        <v>10</v>
      </c>
    </row>
    <row r="528" hidden="1">
      <c r="B528" s="3" t="s">
        <v>933</v>
      </c>
      <c r="C528" s="5" t="s">
        <v>934</v>
      </c>
      <c r="D528" s="3">
        <v>10.0</v>
      </c>
      <c r="E528" s="3">
        <v>10.0</v>
      </c>
      <c r="F528" s="3">
        <f t="shared" si="1"/>
        <v>2</v>
      </c>
      <c r="G528" s="5" t="str">
        <f>IFERROR(__xludf.DUMMYFUNCTION("""COMPUTED_VALUE"""),"https://github.com/24f1002025/TDS-Project-1-User-Repository-Scrapping")</f>
        <v>https://github.com/24f1002025/TDS-Project-1-User-Repository-Scrapping</v>
      </c>
      <c r="H528" s="3">
        <f t="shared" si="2"/>
        <v>10</v>
      </c>
      <c r="I528" s="3">
        <f t="shared" si="3"/>
        <v>9</v>
      </c>
      <c r="J528" s="3">
        <f t="shared" si="4"/>
        <v>10</v>
      </c>
      <c r="K528" s="3">
        <f t="shared" si="5"/>
        <v>10</v>
      </c>
      <c r="L528" s="7">
        <f t="shared" si="6"/>
        <v>0</v>
      </c>
      <c r="M528" s="7">
        <f t="shared" si="7"/>
        <v>1</v>
      </c>
      <c r="N528" s="7">
        <f t="shared" si="8"/>
        <v>10</v>
      </c>
    </row>
    <row r="529" hidden="1">
      <c r="B529" s="3" t="s">
        <v>935</v>
      </c>
      <c r="C529" s="5" t="s">
        <v>771</v>
      </c>
      <c r="D529" s="3">
        <v>10.0</v>
      </c>
      <c r="E529" s="3">
        <v>10.0</v>
      </c>
      <c r="F529" s="3">
        <f t="shared" si="1"/>
        <v>1</v>
      </c>
      <c r="G529" s="5" t="str">
        <f>IFERROR(__xludf.DUMMYFUNCTION("""COMPUTED_VALUE"""),"https://github.com/rishabh-iitm/project1")</f>
        <v>https://github.com/rishabh-iitm/project1</v>
      </c>
      <c r="H529" s="3">
        <f t="shared" si="2"/>
        <v>8</v>
      </c>
      <c r="I529" s="3">
        <f t="shared" si="3"/>
        <v>8</v>
      </c>
      <c r="J529" s="3" t="str">
        <f t="shared" si="4"/>
        <v>No reviews</v>
      </c>
      <c r="K529" s="3" t="str">
        <f t="shared" si="5"/>
        <v>No reviews</v>
      </c>
      <c r="L529" s="7" t="str">
        <f t="shared" si="6"/>
        <v> </v>
      </c>
      <c r="M529" s="7" t="str">
        <f t="shared" si="7"/>
        <v> </v>
      </c>
      <c r="N529" s="7">
        <f t="shared" si="8"/>
        <v>8</v>
      </c>
    </row>
    <row r="530" hidden="1">
      <c r="B530" s="3" t="s">
        <v>936</v>
      </c>
      <c r="C530" s="5" t="s">
        <v>780</v>
      </c>
      <c r="D530" s="3">
        <v>6.0</v>
      </c>
      <c r="E530" s="3">
        <v>0.0</v>
      </c>
      <c r="F530" s="3">
        <f t="shared" si="1"/>
        <v>2</v>
      </c>
      <c r="G530" s="5" t="str">
        <f>IFERROR(__xludf.DUMMYFUNCTION("""COMPUTED_VALUE"""),"https://github.com/Ashiskushwaha/project-1")</f>
        <v>https://github.com/Ashiskushwaha/project-1</v>
      </c>
      <c r="H530" s="3">
        <f t="shared" si="2"/>
        <v>10</v>
      </c>
      <c r="I530" s="3">
        <f t="shared" si="3"/>
        <v>10</v>
      </c>
      <c r="J530" s="3">
        <f t="shared" si="4"/>
        <v>9</v>
      </c>
      <c r="K530" s="3">
        <f t="shared" si="5"/>
        <v>10</v>
      </c>
      <c r="L530" s="7">
        <f t="shared" si="6"/>
        <v>1</v>
      </c>
      <c r="M530" s="7">
        <f t="shared" si="7"/>
        <v>0</v>
      </c>
      <c r="N530" s="7">
        <f t="shared" si="8"/>
        <v>10</v>
      </c>
    </row>
    <row r="531" hidden="1">
      <c r="B531" s="3" t="s">
        <v>937</v>
      </c>
      <c r="C531" s="5" t="s">
        <v>938</v>
      </c>
      <c r="D531" s="3">
        <v>5.0</v>
      </c>
      <c r="E531" s="3">
        <v>10.0</v>
      </c>
      <c r="F531" s="3">
        <f t="shared" si="1"/>
        <v>2</v>
      </c>
      <c r="G531" s="5" t="str">
        <f>IFERROR(__xludf.DUMMYFUNCTION("""COMPUTED_VALUE"""),"https://github.com/puneeth2907/TDS-Project-1")</f>
        <v>https://github.com/puneeth2907/TDS-Project-1</v>
      </c>
      <c r="H531" s="3">
        <f t="shared" si="2"/>
        <v>10</v>
      </c>
      <c r="I531" s="3">
        <f t="shared" si="3"/>
        <v>10</v>
      </c>
      <c r="J531" s="3">
        <f t="shared" si="4"/>
        <v>7</v>
      </c>
      <c r="K531" s="3">
        <f t="shared" si="5"/>
        <v>9</v>
      </c>
      <c r="L531" s="7">
        <f t="shared" si="6"/>
        <v>3</v>
      </c>
      <c r="M531" s="7">
        <f t="shared" si="7"/>
        <v>1</v>
      </c>
      <c r="N531" s="7">
        <f t="shared" si="8"/>
        <v>10</v>
      </c>
    </row>
    <row r="532" hidden="1">
      <c r="B532" s="3" t="s">
        <v>939</v>
      </c>
      <c r="C532" s="5" t="s">
        <v>940</v>
      </c>
      <c r="D532" s="3">
        <v>9.0</v>
      </c>
      <c r="E532" s="3">
        <v>10.0</v>
      </c>
      <c r="F532" s="3">
        <f t="shared" si="1"/>
        <v>1</v>
      </c>
      <c r="G532" s="3" t="str">
        <f>IFERROR(__xludf.DUMMYFUNCTION("""COMPUTED_VALUE"""),"It had all the bullet points explained in the review.")</f>
        <v>It had all the bullet points explained in the review.</v>
      </c>
      <c r="H532" s="3">
        <f t="shared" si="2"/>
        <v>10</v>
      </c>
      <c r="I532" s="3">
        <f t="shared" si="3"/>
        <v>10</v>
      </c>
      <c r="J532" s="3" t="str">
        <f t="shared" si="4"/>
        <v>No reviews</v>
      </c>
      <c r="K532" s="3" t="str">
        <f t="shared" si="5"/>
        <v>No reviews</v>
      </c>
      <c r="L532" s="7" t="str">
        <f t="shared" si="6"/>
        <v> </v>
      </c>
      <c r="M532" s="7" t="str">
        <f t="shared" si="7"/>
        <v> </v>
      </c>
      <c r="N532" s="7">
        <f t="shared" si="8"/>
        <v>10</v>
      </c>
    </row>
    <row r="533" hidden="1">
      <c r="B533" s="3" t="s">
        <v>941</v>
      </c>
      <c r="C533" s="5" t="s">
        <v>798</v>
      </c>
      <c r="D533" s="3">
        <v>7.0</v>
      </c>
      <c r="E533" s="3">
        <v>9.0</v>
      </c>
      <c r="F533" s="3">
        <f t="shared" si="1"/>
        <v>2</v>
      </c>
      <c r="G533" s="5" t="str">
        <f>IFERROR(__xludf.DUMMYFUNCTION("""COMPUTED_VALUE"""),"https://github.com/kasturi190602/TDSProject")</f>
        <v>https://github.com/kasturi190602/TDSProject</v>
      </c>
      <c r="H533" s="3">
        <f t="shared" si="2"/>
        <v>5</v>
      </c>
      <c r="I533" s="3">
        <f t="shared" si="3"/>
        <v>10</v>
      </c>
      <c r="J533" s="3">
        <f t="shared" si="4"/>
        <v>8</v>
      </c>
      <c r="K533" s="3">
        <f t="shared" si="5"/>
        <v>9</v>
      </c>
      <c r="L533" s="7">
        <f t="shared" si="6"/>
        <v>3</v>
      </c>
      <c r="M533" s="7">
        <f t="shared" si="7"/>
        <v>1</v>
      </c>
      <c r="N533" s="7">
        <f t="shared" si="8"/>
        <v>8.5</v>
      </c>
    </row>
    <row r="534" hidden="1">
      <c r="B534" s="3" t="s">
        <v>942</v>
      </c>
      <c r="C534" s="5" t="s">
        <v>259</v>
      </c>
      <c r="D534" s="3">
        <v>7.0</v>
      </c>
      <c r="E534" s="3">
        <v>5.0</v>
      </c>
      <c r="F534" s="3">
        <f t="shared" si="1"/>
        <v>1</v>
      </c>
      <c r="G534" s="5" t="str">
        <f>IFERROR(__xludf.DUMMYFUNCTION("""COMPUTED_VALUE"""),"https://github.com/Abhinav3499/TDS_Project_1")</f>
        <v>https://github.com/Abhinav3499/TDS_Project_1</v>
      </c>
      <c r="H534" s="3">
        <f t="shared" si="2"/>
        <v>10</v>
      </c>
      <c r="I534" s="3">
        <f t="shared" si="3"/>
        <v>10</v>
      </c>
      <c r="J534" s="3" t="str">
        <f t="shared" si="4"/>
        <v>No reviews</v>
      </c>
      <c r="K534" s="3" t="str">
        <f t="shared" si="5"/>
        <v>No reviews</v>
      </c>
      <c r="L534" s="7" t="str">
        <f t="shared" si="6"/>
        <v> </v>
      </c>
      <c r="M534" s="7" t="str">
        <f t="shared" si="7"/>
        <v> </v>
      </c>
      <c r="N534" s="7">
        <f t="shared" si="8"/>
        <v>10</v>
      </c>
    </row>
    <row r="535" hidden="1">
      <c r="B535" s="3" t="s">
        <v>943</v>
      </c>
      <c r="C535" s="5" t="s">
        <v>140</v>
      </c>
      <c r="D535" s="3">
        <v>7.0</v>
      </c>
      <c r="E535" s="3">
        <v>9.0</v>
      </c>
      <c r="F535" s="3">
        <f t="shared" si="1"/>
        <v>1</v>
      </c>
      <c r="G535" s="5" t="str">
        <f>IFERROR(__xludf.DUMMYFUNCTION("""COMPUTED_VALUE"""),"https://github.com/Sa007tish/hyd-gitanalysis")</f>
        <v>https://github.com/Sa007tish/hyd-gitanalysis</v>
      </c>
      <c r="H535" s="3">
        <f t="shared" si="2"/>
        <v>8</v>
      </c>
      <c r="I535" s="3">
        <f t="shared" si="3"/>
        <v>5</v>
      </c>
      <c r="J535" s="3" t="str">
        <f t="shared" si="4"/>
        <v>No reviews</v>
      </c>
      <c r="K535" s="3" t="str">
        <f t="shared" si="5"/>
        <v>No reviews</v>
      </c>
      <c r="L535" s="7" t="str">
        <f t="shared" si="6"/>
        <v> </v>
      </c>
      <c r="M535" s="7" t="str">
        <f t="shared" si="7"/>
        <v> </v>
      </c>
      <c r="N535" s="7">
        <f t="shared" si="8"/>
        <v>6.5</v>
      </c>
    </row>
    <row r="536" hidden="1">
      <c r="B536" s="3" t="s">
        <v>944</v>
      </c>
      <c r="C536" s="5" t="s">
        <v>945</v>
      </c>
      <c r="D536" s="3">
        <v>10.0</v>
      </c>
      <c r="E536" s="3">
        <v>10.0</v>
      </c>
      <c r="F536" s="3">
        <f t="shared" si="1"/>
        <v>2</v>
      </c>
      <c r="G536" s="5" t="str">
        <f>IFERROR(__xludf.DUMMYFUNCTION("""COMPUTED_VALUE"""),"https://github.com/Happytth/tds-project1")</f>
        <v>https://github.com/Happytth/tds-project1</v>
      </c>
      <c r="H536" s="3">
        <f t="shared" si="2"/>
        <v>10</v>
      </c>
      <c r="I536" s="3">
        <f t="shared" si="3"/>
        <v>10</v>
      </c>
      <c r="J536" s="3">
        <f t="shared" si="4"/>
        <v>10</v>
      </c>
      <c r="K536" s="3">
        <f t="shared" si="5"/>
        <v>10</v>
      </c>
      <c r="L536" s="7">
        <f t="shared" si="6"/>
        <v>0</v>
      </c>
      <c r="M536" s="7">
        <f t="shared" si="7"/>
        <v>0</v>
      </c>
      <c r="N536" s="7">
        <f t="shared" si="8"/>
        <v>10</v>
      </c>
    </row>
    <row r="537" hidden="1">
      <c r="B537" s="3" t="s">
        <v>946</v>
      </c>
      <c r="C537" s="5" t="s">
        <v>726</v>
      </c>
      <c r="D537" s="3">
        <v>10.0</v>
      </c>
      <c r="E537" s="3">
        <v>0.0</v>
      </c>
      <c r="F537" s="3">
        <f t="shared" si="1"/>
        <v>1</v>
      </c>
      <c r="G537" s="5" t="str">
        <f>IFERROR(__xludf.DUMMYFUNCTION("""COMPUTED_VALUE"""),"https://github.com/SnehaKukrety/TDS_Project1/tree/main")</f>
        <v>https://github.com/SnehaKukrety/TDS_Project1/tree/main</v>
      </c>
      <c r="H537" s="3">
        <f t="shared" si="2"/>
        <v>10</v>
      </c>
      <c r="I537" s="3">
        <f t="shared" si="3"/>
        <v>10</v>
      </c>
      <c r="J537" s="3" t="str">
        <f t="shared" si="4"/>
        <v>No reviews</v>
      </c>
      <c r="K537" s="3" t="str">
        <f t="shared" si="5"/>
        <v>No reviews</v>
      </c>
      <c r="L537" s="7" t="str">
        <f t="shared" si="6"/>
        <v> </v>
      </c>
      <c r="M537" s="7" t="str">
        <f t="shared" si="7"/>
        <v> </v>
      </c>
      <c r="N537" s="7">
        <f t="shared" si="8"/>
        <v>10</v>
      </c>
    </row>
    <row r="538" hidden="1">
      <c r="B538" s="3" t="s">
        <v>947</v>
      </c>
      <c r="C538" s="5" t="s">
        <v>948</v>
      </c>
      <c r="D538" s="3">
        <v>10.0</v>
      </c>
      <c r="E538" s="3">
        <v>8.0</v>
      </c>
      <c r="F538" s="3">
        <f t="shared" si="1"/>
        <v>1</v>
      </c>
      <c r="G538" s="5" t="str">
        <f>IFERROR(__xludf.DUMMYFUNCTION("""COMPUTED_VALUE"""),"https://github.com/22f3001738/tds-project-1")</f>
        <v>https://github.com/22f3001738/tds-project-1</v>
      </c>
      <c r="H538" s="3">
        <f t="shared" si="2"/>
        <v>6</v>
      </c>
      <c r="I538" s="3">
        <f t="shared" si="3"/>
        <v>10</v>
      </c>
      <c r="J538" s="3" t="str">
        <f t="shared" si="4"/>
        <v>No reviews</v>
      </c>
      <c r="K538" s="3" t="str">
        <f t="shared" si="5"/>
        <v>No reviews</v>
      </c>
      <c r="L538" s="7" t="str">
        <f t="shared" si="6"/>
        <v> </v>
      </c>
      <c r="M538" s="7" t="str">
        <f t="shared" si="7"/>
        <v> </v>
      </c>
      <c r="N538" s="7">
        <f t="shared" si="8"/>
        <v>8</v>
      </c>
    </row>
    <row r="539" hidden="1">
      <c r="B539" s="3" t="s">
        <v>949</v>
      </c>
      <c r="C539" s="5" t="s">
        <v>542</v>
      </c>
      <c r="D539" s="3">
        <v>9.0</v>
      </c>
      <c r="E539" s="3">
        <v>10.0</v>
      </c>
      <c r="F539" s="3">
        <f t="shared" si="1"/>
        <v>1</v>
      </c>
      <c r="G539" s="5" t="str">
        <f>IFERROR(__xludf.DUMMYFUNCTION("""COMPUTED_VALUE"""),"https://github.com/swalihaattar/IITM_TDS_P1")</f>
        <v>https://github.com/swalihaattar/IITM_TDS_P1</v>
      </c>
      <c r="H539" s="3">
        <f t="shared" si="2"/>
        <v>10</v>
      </c>
      <c r="I539" s="3">
        <f t="shared" si="3"/>
        <v>10</v>
      </c>
      <c r="J539" s="3" t="str">
        <f t="shared" si="4"/>
        <v>No reviews</v>
      </c>
      <c r="K539" s="3" t="str">
        <f t="shared" si="5"/>
        <v>No reviews</v>
      </c>
      <c r="L539" s="7" t="str">
        <f t="shared" si="6"/>
        <v> </v>
      </c>
      <c r="M539" s="7" t="str">
        <f t="shared" si="7"/>
        <v> </v>
      </c>
      <c r="N539" s="7">
        <f t="shared" si="8"/>
        <v>10</v>
      </c>
    </row>
    <row r="540" hidden="1">
      <c r="B540" s="3" t="s">
        <v>950</v>
      </c>
      <c r="C540" s="5" t="s">
        <v>65</v>
      </c>
      <c r="D540" s="3">
        <v>5.0</v>
      </c>
      <c r="E540" s="3">
        <v>10.0</v>
      </c>
      <c r="F540" s="3">
        <f t="shared" si="1"/>
        <v>1</v>
      </c>
      <c r="G540" s="5" t="str">
        <f>IFERROR(__xludf.DUMMYFUNCTION("""COMPUTED_VALUE"""),"https://github.com/madhavdasm/tdsproject")</f>
        <v>https://github.com/madhavdasm/tdsproject</v>
      </c>
      <c r="H540" s="3">
        <f t="shared" si="2"/>
        <v>10</v>
      </c>
      <c r="I540" s="3">
        <f t="shared" si="3"/>
        <v>10</v>
      </c>
      <c r="J540" s="3" t="str">
        <f t="shared" si="4"/>
        <v>No reviews</v>
      </c>
      <c r="K540" s="3" t="str">
        <f t="shared" si="5"/>
        <v>No reviews</v>
      </c>
      <c r="L540" s="7" t="str">
        <f t="shared" si="6"/>
        <v> </v>
      </c>
      <c r="M540" s="7" t="str">
        <f t="shared" si="7"/>
        <v> </v>
      </c>
      <c r="N540" s="7">
        <f t="shared" si="8"/>
        <v>10</v>
      </c>
    </row>
    <row r="541" hidden="1">
      <c r="B541" s="3" t="s">
        <v>951</v>
      </c>
      <c r="C541" s="5" t="s">
        <v>952</v>
      </c>
      <c r="D541" s="3">
        <v>9.0</v>
      </c>
      <c r="E541" s="3">
        <v>9.0</v>
      </c>
      <c r="F541" s="3">
        <f t="shared" si="1"/>
        <v>1</v>
      </c>
      <c r="G541" s="5" t="str">
        <f>IFERROR(__xludf.DUMMYFUNCTION("""COMPUTED_VALUE"""),"https://github.co22f2001193-neeraj-menon-iitm/TDS_Project_1")</f>
        <v>https://github.co22f2001193-neeraj-menon-iitm/TDS_Project_1</v>
      </c>
      <c r="H541" s="3">
        <f t="shared" si="2"/>
        <v>9</v>
      </c>
      <c r="I541" s="3">
        <f t="shared" si="3"/>
        <v>10</v>
      </c>
      <c r="J541" s="3" t="str">
        <f t="shared" si="4"/>
        <v>No reviews</v>
      </c>
      <c r="K541" s="3" t="str">
        <f t="shared" si="5"/>
        <v>No reviews</v>
      </c>
      <c r="L541" s="7" t="str">
        <f t="shared" si="6"/>
        <v> </v>
      </c>
      <c r="M541" s="7" t="str">
        <f t="shared" si="7"/>
        <v> </v>
      </c>
      <c r="N541" s="7">
        <f t="shared" si="8"/>
        <v>9.5</v>
      </c>
    </row>
    <row r="542" hidden="1">
      <c r="B542" s="3" t="s">
        <v>953</v>
      </c>
      <c r="C542" s="5" t="s">
        <v>954</v>
      </c>
      <c r="D542" s="3">
        <v>5.0</v>
      </c>
      <c r="E542" s="3">
        <v>8.0</v>
      </c>
      <c r="F542" s="3">
        <f t="shared" si="1"/>
        <v>2</v>
      </c>
      <c r="G542" s="5" t="str">
        <f>IFERROR(__xludf.DUMMYFUNCTION("""COMPUTED_VALUE"""),"https://github.com/jayandral/TDS_Project1")</f>
        <v>https://github.com/jayandral/TDS_Project1</v>
      </c>
      <c r="H542" s="3">
        <f t="shared" si="2"/>
        <v>5</v>
      </c>
      <c r="I542" s="3">
        <f t="shared" si="3"/>
        <v>10</v>
      </c>
      <c r="J542" s="3">
        <f t="shared" si="4"/>
        <v>10</v>
      </c>
      <c r="K542" s="3">
        <f t="shared" si="5"/>
        <v>10</v>
      </c>
      <c r="L542" s="7">
        <f t="shared" si="6"/>
        <v>5</v>
      </c>
      <c r="M542" s="7">
        <f t="shared" si="7"/>
        <v>0</v>
      </c>
      <c r="N542" s="7">
        <f t="shared" si="8"/>
        <v>10</v>
      </c>
    </row>
    <row r="543" hidden="1">
      <c r="B543" s="3" t="s">
        <v>955</v>
      </c>
      <c r="C543" s="5" t="s">
        <v>236</v>
      </c>
      <c r="D543" s="3">
        <v>10.0</v>
      </c>
      <c r="E543" s="3">
        <v>10.0</v>
      </c>
      <c r="F543" s="3">
        <f t="shared" si="1"/>
        <v>2</v>
      </c>
      <c r="G543" s="5" t="str">
        <f>IFERROR(__xludf.DUMMYFUNCTION("""COMPUTED_VALUE"""),"https://github.com/virajjdm1/TDS-Project-1")</f>
        <v>https://github.com/virajjdm1/TDS-Project-1</v>
      </c>
      <c r="H543" s="3">
        <f t="shared" si="2"/>
        <v>10</v>
      </c>
      <c r="I543" s="3">
        <f t="shared" si="3"/>
        <v>7</v>
      </c>
      <c r="J543" s="3">
        <f t="shared" si="4"/>
        <v>9</v>
      </c>
      <c r="K543" s="3">
        <f t="shared" si="5"/>
        <v>10</v>
      </c>
      <c r="L543" s="7">
        <f t="shared" si="6"/>
        <v>1</v>
      </c>
      <c r="M543" s="7">
        <f t="shared" si="7"/>
        <v>3</v>
      </c>
      <c r="N543" s="7">
        <f t="shared" si="8"/>
        <v>9.5</v>
      </c>
    </row>
    <row r="544" hidden="1">
      <c r="B544" s="3" t="s">
        <v>956</v>
      </c>
      <c r="C544" s="5" t="s">
        <v>790</v>
      </c>
      <c r="D544" s="3">
        <v>6.0</v>
      </c>
      <c r="E544" s="3">
        <v>9.0</v>
      </c>
      <c r="F544" s="3">
        <f t="shared" si="1"/>
        <v>1</v>
      </c>
      <c r="G544" s="5" t="str">
        <f>IFERROR(__xludf.DUMMYFUNCTION("""COMPUTED_VALUE"""),"https://github.com/S23fVK")</f>
        <v>https://github.com/S23fVK</v>
      </c>
      <c r="H544" s="3">
        <f t="shared" si="2"/>
        <v>9</v>
      </c>
      <c r="I544" s="3">
        <f t="shared" si="3"/>
        <v>10</v>
      </c>
      <c r="J544" s="3" t="str">
        <f t="shared" si="4"/>
        <v>No reviews</v>
      </c>
      <c r="K544" s="3" t="str">
        <f t="shared" si="5"/>
        <v>No reviews</v>
      </c>
      <c r="L544" s="7" t="str">
        <f t="shared" si="6"/>
        <v> </v>
      </c>
      <c r="M544" s="7" t="str">
        <f t="shared" si="7"/>
        <v> </v>
      </c>
      <c r="N544" s="7">
        <f t="shared" si="8"/>
        <v>9.5</v>
      </c>
    </row>
    <row r="545" hidden="1">
      <c r="B545" s="3" t="s">
        <v>957</v>
      </c>
      <c r="C545" s="5" t="s">
        <v>154</v>
      </c>
      <c r="D545" s="3">
        <v>8.0</v>
      </c>
      <c r="E545" s="3">
        <v>0.0</v>
      </c>
      <c r="F545" s="3">
        <f t="shared" si="1"/>
        <v>1</v>
      </c>
      <c r="G545" s="5" t="str">
        <f>IFERROR(__xludf.DUMMYFUNCTION("""COMPUTED_VALUE"""),"https://github.com/meyywwg/tds_project1")</f>
        <v>https://github.com/meyywwg/tds_project1</v>
      </c>
      <c r="H545" s="3">
        <f t="shared" si="2"/>
        <v>9</v>
      </c>
      <c r="I545" s="3">
        <f t="shared" si="3"/>
        <v>6</v>
      </c>
      <c r="J545" s="3" t="str">
        <f t="shared" si="4"/>
        <v>No reviews</v>
      </c>
      <c r="K545" s="3" t="str">
        <f t="shared" si="5"/>
        <v>No reviews</v>
      </c>
      <c r="L545" s="7" t="str">
        <f t="shared" si="6"/>
        <v> </v>
      </c>
      <c r="M545" s="7" t="str">
        <f t="shared" si="7"/>
        <v> </v>
      </c>
      <c r="N545" s="7">
        <f t="shared" si="8"/>
        <v>7.5</v>
      </c>
    </row>
    <row r="546" hidden="1">
      <c r="B546" s="3" t="s">
        <v>958</v>
      </c>
      <c r="C546" s="5" t="s">
        <v>760</v>
      </c>
      <c r="D546" s="3">
        <v>8.0</v>
      </c>
      <c r="E546" s="3">
        <v>8.0</v>
      </c>
      <c r="F546" s="3">
        <f t="shared" si="1"/>
        <v>1</v>
      </c>
      <c r="G546" s="5" t="str">
        <f>IFERROR(__xludf.DUMMYFUNCTION("""COMPUTED_VALUE"""),"https://github.com/Abhishek-IITM2026/TDS-Project-1")</f>
        <v>https://github.com/Abhishek-IITM2026/TDS-Project-1</v>
      </c>
      <c r="H546" s="3">
        <f t="shared" si="2"/>
        <v>10</v>
      </c>
      <c r="I546" s="3">
        <f t="shared" si="3"/>
        <v>10</v>
      </c>
      <c r="J546" s="3" t="str">
        <f t="shared" si="4"/>
        <v>No reviews</v>
      </c>
      <c r="K546" s="3" t="str">
        <f t="shared" si="5"/>
        <v>No reviews</v>
      </c>
      <c r="L546" s="7" t="str">
        <f t="shared" si="6"/>
        <v> </v>
      </c>
      <c r="M546" s="7" t="str">
        <f t="shared" si="7"/>
        <v> </v>
      </c>
      <c r="N546" s="7">
        <f t="shared" si="8"/>
        <v>10</v>
      </c>
    </row>
    <row r="547" hidden="1">
      <c r="B547" s="3" t="s">
        <v>959</v>
      </c>
      <c r="C547" s="5" t="s">
        <v>229</v>
      </c>
      <c r="D547" s="3">
        <v>10.0</v>
      </c>
      <c r="E547" s="3">
        <v>0.0</v>
      </c>
      <c r="F547" s="3">
        <f t="shared" si="1"/>
        <v>2</v>
      </c>
      <c r="G547" s="5" t="str">
        <f>IFERROR(__xludf.DUMMYFUNCTION("""COMPUTED_VALUE"""),"https://github.com/abhinavsaxena277/Hyderabad-GitHub-Users")</f>
        <v>https://github.com/abhinavsaxena277/Hyderabad-GitHub-Users</v>
      </c>
      <c r="H547" s="3">
        <f t="shared" si="2"/>
        <v>9</v>
      </c>
      <c r="I547" s="3">
        <f t="shared" si="3"/>
        <v>9</v>
      </c>
      <c r="J547" s="3">
        <f t="shared" si="4"/>
        <v>10</v>
      </c>
      <c r="K547" s="3">
        <f t="shared" si="5"/>
        <v>10</v>
      </c>
      <c r="L547" s="7">
        <f t="shared" si="6"/>
        <v>1</v>
      </c>
      <c r="M547" s="7">
        <f t="shared" si="7"/>
        <v>1</v>
      </c>
      <c r="N547" s="7">
        <f t="shared" si="8"/>
        <v>10</v>
      </c>
    </row>
    <row r="548" hidden="1">
      <c r="B548" s="3" t="s">
        <v>960</v>
      </c>
      <c r="C548" s="5" t="s">
        <v>691</v>
      </c>
      <c r="D548" s="3">
        <v>10.0</v>
      </c>
      <c r="E548" s="3">
        <v>10.0</v>
      </c>
      <c r="F548" s="3">
        <f t="shared" si="1"/>
        <v>1</v>
      </c>
      <c r="G548" s="5" t="str">
        <f>IFERROR(__xludf.DUMMYFUNCTION("""COMPUTED_VALUE"""),"https://github.com/23f2003986/Boston100_Users")</f>
        <v>https://github.com/23f2003986/Boston100_Users</v>
      </c>
      <c r="H548" s="3">
        <f t="shared" si="2"/>
        <v>7</v>
      </c>
      <c r="I548" s="3">
        <f t="shared" si="3"/>
        <v>9</v>
      </c>
      <c r="J548" s="3" t="str">
        <f t="shared" si="4"/>
        <v>No reviews</v>
      </c>
      <c r="K548" s="3" t="str">
        <f t="shared" si="5"/>
        <v>No reviews</v>
      </c>
      <c r="L548" s="7" t="str">
        <f t="shared" si="6"/>
        <v> </v>
      </c>
      <c r="M548" s="7" t="str">
        <f t="shared" si="7"/>
        <v> </v>
      </c>
      <c r="N548" s="7">
        <f t="shared" si="8"/>
        <v>8</v>
      </c>
    </row>
    <row r="549" hidden="1">
      <c r="B549" s="3" t="s">
        <v>961</v>
      </c>
      <c r="C549" s="5" t="s">
        <v>831</v>
      </c>
      <c r="D549" s="3">
        <v>8.0</v>
      </c>
      <c r="E549" s="3">
        <v>8.0</v>
      </c>
      <c r="F549" s="3">
        <f t="shared" si="1"/>
        <v>2</v>
      </c>
      <c r="G549" s="5" t="str">
        <f>IFERROR(__xludf.DUMMYFUNCTION("""COMPUTED_VALUE"""),"https://github.com/21f3003136/TokyoScrape")</f>
        <v>https://github.com/21f3003136/TokyoScrape</v>
      </c>
      <c r="H549" s="3">
        <f t="shared" si="2"/>
        <v>10</v>
      </c>
      <c r="I549" s="3">
        <f t="shared" si="3"/>
        <v>10</v>
      </c>
      <c r="J549" s="3">
        <f t="shared" si="4"/>
        <v>2</v>
      </c>
      <c r="K549" s="3">
        <f t="shared" si="5"/>
        <v>8</v>
      </c>
      <c r="L549" s="7">
        <f t="shared" si="6"/>
        <v>8</v>
      </c>
      <c r="M549" s="7">
        <f t="shared" si="7"/>
        <v>2</v>
      </c>
      <c r="N549" s="7">
        <f t="shared" si="8"/>
        <v>10</v>
      </c>
    </row>
    <row r="550" hidden="1">
      <c r="B550" s="3" t="s">
        <v>962</v>
      </c>
      <c r="C550" s="5" t="s">
        <v>793</v>
      </c>
      <c r="D550" s="3">
        <v>5.0</v>
      </c>
      <c r="E550" s="3">
        <v>10.0</v>
      </c>
      <c r="F550" s="3">
        <f t="shared" si="1"/>
        <v>1</v>
      </c>
      <c r="G550" s="5" t="str">
        <f>IFERROR(__xludf.DUMMYFUNCTION("""COMPUTED_VALUE"""),"https://github.com/virajkingmaker/project1")</f>
        <v>https://github.com/virajkingmaker/project1</v>
      </c>
      <c r="H550" s="3">
        <f t="shared" si="2"/>
        <v>10</v>
      </c>
      <c r="I550" s="3">
        <f t="shared" si="3"/>
        <v>10</v>
      </c>
      <c r="J550" s="3" t="str">
        <f t="shared" si="4"/>
        <v>No reviews</v>
      </c>
      <c r="K550" s="3" t="str">
        <f t="shared" si="5"/>
        <v>No reviews</v>
      </c>
      <c r="L550" s="7" t="str">
        <f t="shared" si="6"/>
        <v> </v>
      </c>
      <c r="M550" s="7" t="str">
        <f t="shared" si="7"/>
        <v> </v>
      </c>
      <c r="N550" s="7">
        <f t="shared" si="8"/>
        <v>10</v>
      </c>
    </row>
    <row r="551" hidden="1">
      <c r="B551" s="3" t="s">
        <v>963</v>
      </c>
      <c r="C551" s="5" t="s">
        <v>325</v>
      </c>
      <c r="D551" s="3">
        <v>9.0</v>
      </c>
      <c r="E551" s="3">
        <v>9.0</v>
      </c>
      <c r="F551" s="3">
        <f t="shared" si="1"/>
        <v>2</v>
      </c>
      <c r="G551" s="5" t="str">
        <f>IFERROR(__xludf.DUMMYFUNCTION("""COMPUTED_VALUE"""),"https://github.com/Sakthi-Balan-B/project1")</f>
        <v>https://github.com/Sakthi-Balan-B/project1</v>
      </c>
      <c r="H551" s="3">
        <f t="shared" si="2"/>
        <v>10</v>
      </c>
      <c r="I551" s="3">
        <f t="shared" si="3"/>
        <v>10</v>
      </c>
      <c r="J551" s="3">
        <f t="shared" si="4"/>
        <v>10</v>
      </c>
      <c r="K551" s="3">
        <f t="shared" si="5"/>
        <v>10</v>
      </c>
      <c r="L551" s="7">
        <f t="shared" si="6"/>
        <v>0</v>
      </c>
      <c r="M551" s="7">
        <f t="shared" si="7"/>
        <v>0</v>
      </c>
      <c r="N551" s="7">
        <f t="shared" si="8"/>
        <v>10</v>
      </c>
    </row>
    <row r="552" hidden="1">
      <c r="B552" s="3" t="s">
        <v>964</v>
      </c>
      <c r="C552" s="5" t="s">
        <v>518</v>
      </c>
      <c r="D552" s="3">
        <v>10.0</v>
      </c>
      <c r="E552" s="3">
        <v>10.0</v>
      </c>
      <c r="F552" s="3">
        <f t="shared" si="1"/>
        <v>2</v>
      </c>
      <c r="G552" s="5" t="str">
        <f>IFERROR(__xludf.DUMMYFUNCTION("""COMPUTED_VALUE"""),"https://github.com/sg-sparsh-goyal/TDS-project1-22f1000693")</f>
        <v>https://github.com/sg-sparsh-goyal/TDS-project1-22f1000693</v>
      </c>
      <c r="H552" s="3">
        <f t="shared" si="2"/>
        <v>5</v>
      </c>
      <c r="I552" s="3">
        <f t="shared" si="3"/>
        <v>0</v>
      </c>
      <c r="J552" s="3">
        <f t="shared" si="4"/>
        <v>6</v>
      </c>
      <c r="K552" s="3">
        <f t="shared" si="5"/>
        <v>7</v>
      </c>
      <c r="L552" s="7">
        <f t="shared" si="6"/>
        <v>1</v>
      </c>
      <c r="M552" s="7">
        <f t="shared" si="7"/>
        <v>7</v>
      </c>
      <c r="N552" s="7">
        <f t="shared" si="8"/>
        <v>6.5</v>
      </c>
    </row>
    <row r="553" hidden="1">
      <c r="B553" s="3" t="s">
        <v>965</v>
      </c>
      <c r="C553" s="5" t="s">
        <v>315</v>
      </c>
      <c r="D553" s="3">
        <v>9.0</v>
      </c>
      <c r="E553" s="3">
        <v>9.0</v>
      </c>
      <c r="F553" s="3">
        <f t="shared" si="1"/>
        <v>1</v>
      </c>
      <c r="G553" s="5" t="str">
        <f>IFERROR(__xludf.DUMMYFUNCTION("""COMPUTED_VALUE"""),"https://github.com/bhavin-iitm/tds-project1")</f>
        <v>https://github.com/bhavin-iitm/tds-project1</v>
      </c>
      <c r="H553" s="3">
        <f t="shared" si="2"/>
        <v>8</v>
      </c>
      <c r="I553" s="3">
        <f t="shared" si="3"/>
        <v>9</v>
      </c>
      <c r="J553" s="3" t="str">
        <f t="shared" si="4"/>
        <v>No reviews</v>
      </c>
      <c r="K553" s="3" t="str">
        <f t="shared" si="5"/>
        <v>No reviews</v>
      </c>
      <c r="L553" s="7" t="str">
        <f t="shared" si="6"/>
        <v> </v>
      </c>
      <c r="M553" s="7" t="str">
        <f t="shared" si="7"/>
        <v> </v>
      </c>
      <c r="N553" s="7">
        <f t="shared" si="8"/>
        <v>8.5</v>
      </c>
    </row>
    <row r="554" hidden="1">
      <c r="B554" s="3" t="s">
        <v>966</v>
      </c>
      <c r="C554" s="5" t="s">
        <v>877</v>
      </c>
      <c r="D554" s="3">
        <v>10.0</v>
      </c>
      <c r="E554" s="3">
        <v>10.0</v>
      </c>
      <c r="F554" s="3">
        <f t="shared" si="1"/>
        <v>2</v>
      </c>
      <c r="G554" s="5" t="str">
        <f>IFERROR(__xludf.DUMMYFUNCTION("""COMPUTED_VALUE"""),"https://github.com/nightcoder358/TDS-Project-1")</f>
        <v>https://github.com/nightcoder358/TDS-Project-1</v>
      </c>
      <c r="H554" s="3">
        <f t="shared" si="2"/>
        <v>10</v>
      </c>
      <c r="I554" s="3">
        <f t="shared" si="3"/>
        <v>10</v>
      </c>
      <c r="J554" s="3">
        <f t="shared" si="4"/>
        <v>10</v>
      </c>
      <c r="K554" s="3">
        <f t="shared" si="5"/>
        <v>10</v>
      </c>
      <c r="L554" s="7">
        <f t="shared" si="6"/>
        <v>0</v>
      </c>
      <c r="M554" s="7">
        <f t="shared" si="7"/>
        <v>0</v>
      </c>
      <c r="N554" s="7">
        <f t="shared" si="8"/>
        <v>10</v>
      </c>
    </row>
    <row r="555" hidden="1">
      <c r="B555" s="3" t="s">
        <v>967</v>
      </c>
      <c r="C555" s="5" t="s">
        <v>408</v>
      </c>
      <c r="D555" s="3">
        <v>10.0</v>
      </c>
      <c r="E555" s="3">
        <v>10.0</v>
      </c>
      <c r="F555" s="3">
        <f t="shared" si="1"/>
        <v>1</v>
      </c>
      <c r="G555" s="5" t="str">
        <f>IFERROR(__xludf.DUMMYFUNCTION("""COMPUTED_VALUE"""),"https://github.com/sidg75/tds-project1")</f>
        <v>https://github.com/sidg75/tds-project1</v>
      </c>
      <c r="H555" s="3">
        <f t="shared" si="2"/>
        <v>9</v>
      </c>
      <c r="I555" s="3">
        <f t="shared" si="3"/>
        <v>10</v>
      </c>
      <c r="J555" s="3" t="str">
        <f t="shared" si="4"/>
        <v>No reviews</v>
      </c>
      <c r="K555" s="3" t="str">
        <f t="shared" si="5"/>
        <v>No reviews</v>
      </c>
      <c r="L555" s="7" t="str">
        <f t="shared" si="6"/>
        <v> </v>
      </c>
      <c r="M555" s="7" t="str">
        <f t="shared" si="7"/>
        <v> </v>
      </c>
      <c r="N555" s="7">
        <f t="shared" si="8"/>
        <v>9.5</v>
      </c>
    </row>
    <row r="556" hidden="1">
      <c r="B556" s="3" t="s">
        <v>968</v>
      </c>
      <c r="C556" s="5" t="s">
        <v>89</v>
      </c>
      <c r="D556" s="3">
        <v>8.0</v>
      </c>
      <c r="E556" s="3">
        <v>10.0</v>
      </c>
      <c r="F556" s="3">
        <f t="shared" si="1"/>
        <v>1</v>
      </c>
      <c r="G556" s="5" t="str">
        <f>IFERROR(__xludf.DUMMYFUNCTION("""COMPUTED_VALUE"""),"https://github.com/jaideepS04/project_tds-p")</f>
        <v>https://github.com/jaideepS04/project_tds-p</v>
      </c>
      <c r="H556" s="3">
        <f t="shared" si="2"/>
        <v>10</v>
      </c>
      <c r="I556" s="3">
        <f t="shared" si="3"/>
        <v>10</v>
      </c>
      <c r="J556" s="3" t="str">
        <f t="shared" si="4"/>
        <v>No reviews</v>
      </c>
      <c r="K556" s="3" t="str">
        <f t="shared" si="5"/>
        <v>No reviews</v>
      </c>
      <c r="L556" s="7" t="str">
        <f t="shared" si="6"/>
        <v> </v>
      </c>
      <c r="M556" s="7" t="str">
        <f t="shared" si="7"/>
        <v> </v>
      </c>
      <c r="N556" s="7">
        <f t="shared" si="8"/>
        <v>10</v>
      </c>
    </row>
    <row r="557" hidden="1">
      <c r="B557" s="3" t="s">
        <v>969</v>
      </c>
      <c r="C557" s="5" t="s">
        <v>190</v>
      </c>
      <c r="D557" s="3">
        <v>10.0</v>
      </c>
      <c r="E557" s="3">
        <v>10.0</v>
      </c>
      <c r="F557" s="3">
        <f t="shared" si="1"/>
        <v>1</v>
      </c>
      <c r="G557" s="5" t="str">
        <f>IFERROR(__xludf.DUMMYFUNCTION("""COMPUTED_VALUE"""),"https://github.com/Pkant-b/TDS-Proj1/tree/main")</f>
        <v>https://github.com/Pkant-b/TDS-Proj1/tree/main</v>
      </c>
      <c r="H557" s="3">
        <f t="shared" si="2"/>
        <v>10</v>
      </c>
      <c r="I557" s="3">
        <f t="shared" si="3"/>
        <v>10</v>
      </c>
      <c r="J557" s="3" t="str">
        <f t="shared" si="4"/>
        <v>No reviews</v>
      </c>
      <c r="K557" s="3" t="str">
        <f t="shared" si="5"/>
        <v>No reviews</v>
      </c>
      <c r="L557" s="7" t="str">
        <f t="shared" si="6"/>
        <v> </v>
      </c>
      <c r="M557" s="7" t="str">
        <f t="shared" si="7"/>
        <v> </v>
      </c>
      <c r="N557" s="7">
        <f t="shared" si="8"/>
        <v>10</v>
      </c>
    </row>
    <row r="558" hidden="1">
      <c r="B558" s="3" t="s">
        <v>970</v>
      </c>
      <c r="C558" s="5" t="s">
        <v>510</v>
      </c>
      <c r="D558" s="3">
        <v>8.0</v>
      </c>
      <c r="E558" s="3">
        <v>8.0</v>
      </c>
      <c r="F558" s="3">
        <f t="shared" si="1"/>
        <v>2</v>
      </c>
      <c r="G558" s="5" t="str">
        <f>IFERROR(__xludf.DUMMYFUNCTION("""COMPUTED_VALUE"""),"https://github.com/shramadeepd/TDS_1")</f>
        <v>https://github.com/shramadeepd/TDS_1</v>
      </c>
      <c r="H558" s="3">
        <f t="shared" si="2"/>
        <v>5</v>
      </c>
      <c r="I558" s="3">
        <f t="shared" si="3"/>
        <v>4</v>
      </c>
      <c r="J558" s="3">
        <f t="shared" si="4"/>
        <v>9</v>
      </c>
      <c r="K558" s="3">
        <f t="shared" si="5"/>
        <v>9</v>
      </c>
      <c r="L558" s="7">
        <f t="shared" si="6"/>
        <v>4</v>
      </c>
      <c r="M558" s="7">
        <f t="shared" si="7"/>
        <v>5</v>
      </c>
      <c r="N558" s="7">
        <f t="shared" si="8"/>
        <v>9</v>
      </c>
    </row>
    <row r="559" hidden="1">
      <c r="B559" s="3" t="s">
        <v>971</v>
      </c>
      <c r="C559" s="5" t="s">
        <v>288</v>
      </c>
      <c r="D559" s="3">
        <v>8.0</v>
      </c>
      <c r="E559" s="3">
        <v>9.0</v>
      </c>
      <c r="F559" s="3">
        <f t="shared" si="1"/>
        <v>1</v>
      </c>
      <c r="G559" s="5" t="str">
        <f>IFERROR(__xludf.DUMMYFUNCTION("""COMPUTED_VALUE"""),"https://github.com/22f1000259/TDS-PROJECT-1")</f>
        <v>https://github.com/22f1000259/TDS-PROJECT-1</v>
      </c>
      <c r="H559" s="3">
        <f t="shared" si="2"/>
        <v>9</v>
      </c>
      <c r="I559" s="3">
        <f t="shared" si="3"/>
        <v>10</v>
      </c>
      <c r="J559" s="3" t="str">
        <f t="shared" si="4"/>
        <v>No reviews</v>
      </c>
      <c r="K559" s="3" t="str">
        <f t="shared" si="5"/>
        <v>No reviews</v>
      </c>
      <c r="L559" s="7" t="str">
        <f t="shared" si="6"/>
        <v> </v>
      </c>
      <c r="M559" s="7" t="str">
        <f t="shared" si="7"/>
        <v> </v>
      </c>
      <c r="N559" s="7">
        <f t="shared" si="8"/>
        <v>9.5</v>
      </c>
    </row>
    <row r="560" hidden="1">
      <c r="B560" s="3" t="s">
        <v>972</v>
      </c>
      <c r="C560" s="5" t="s">
        <v>129</v>
      </c>
      <c r="D560" s="3">
        <v>8.0</v>
      </c>
      <c r="E560" s="3">
        <v>10.0</v>
      </c>
      <c r="F560" s="3">
        <f t="shared" si="1"/>
        <v>1</v>
      </c>
      <c r="G560" s="5" t="str">
        <f>IFERROR(__xludf.DUMMYFUNCTION("""COMPUTED_VALUE"""),"https://github.com/vazemon/TDS_Project1/tree/main")</f>
        <v>https://github.com/vazemon/TDS_Project1/tree/main</v>
      </c>
      <c r="H560" s="3">
        <f t="shared" si="2"/>
        <v>10</v>
      </c>
      <c r="I560" s="3">
        <f t="shared" si="3"/>
        <v>10</v>
      </c>
      <c r="J560" s="3" t="str">
        <f t="shared" si="4"/>
        <v>No reviews</v>
      </c>
      <c r="K560" s="3" t="str">
        <f t="shared" si="5"/>
        <v>No reviews</v>
      </c>
      <c r="L560" s="7" t="str">
        <f t="shared" si="6"/>
        <v> </v>
      </c>
      <c r="M560" s="7" t="str">
        <f t="shared" si="7"/>
        <v> </v>
      </c>
      <c r="N560" s="7">
        <f t="shared" si="8"/>
        <v>10</v>
      </c>
    </row>
    <row r="561" hidden="1">
      <c r="B561" s="3" t="s">
        <v>973</v>
      </c>
      <c r="C561" s="5" t="s">
        <v>893</v>
      </c>
      <c r="D561" s="3">
        <v>8.0</v>
      </c>
      <c r="E561" s="3">
        <v>0.0</v>
      </c>
      <c r="F561" s="3">
        <f t="shared" si="1"/>
        <v>2</v>
      </c>
      <c r="G561" s="5" t="str">
        <f>IFERROR(__xludf.DUMMYFUNCTION("""COMPUTED_VALUE"""),"https://github.com/AlexStark110/MELB_USERS")</f>
        <v>https://github.com/AlexStark110/MELB_USERS</v>
      </c>
      <c r="H561" s="3">
        <f t="shared" si="2"/>
        <v>10</v>
      </c>
      <c r="I561" s="3">
        <f t="shared" si="3"/>
        <v>10</v>
      </c>
      <c r="J561" s="3">
        <f t="shared" si="4"/>
        <v>6</v>
      </c>
      <c r="K561" s="3">
        <f t="shared" si="5"/>
        <v>10</v>
      </c>
      <c r="L561" s="7">
        <f t="shared" si="6"/>
        <v>4</v>
      </c>
      <c r="M561" s="7">
        <f t="shared" si="7"/>
        <v>0</v>
      </c>
      <c r="N561" s="7">
        <f t="shared" si="8"/>
        <v>10</v>
      </c>
    </row>
    <row r="562" hidden="1">
      <c r="B562" s="3" t="s">
        <v>974</v>
      </c>
      <c r="C562" s="5" t="s">
        <v>975</v>
      </c>
      <c r="D562" s="3">
        <v>10.0</v>
      </c>
      <c r="E562" s="3">
        <v>10.0</v>
      </c>
      <c r="F562" s="3">
        <f t="shared" si="1"/>
        <v>2</v>
      </c>
      <c r="G562" s="5" t="str">
        <f>IFERROR(__xludf.DUMMYFUNCTION("""COMPUTED_VALUE"""),"https://github.com/tiwariannanya/TDS_Project_1_Berlin")</f>
        <v>https://github.com/tiwariannanya/TDS_Project_1_Berlin</v>
      </c>
      <c r="H562" s="3">
        <f t="shared" si="2"/>
        <v>9</v>
      </c>
      <c r="I562" s="3">
        <f t="shared" si="3"/>
        <v>9</v>
      </c>
      <c r="J562" s="3">
        <f t="shared" si="4"/>
        <v>7</v>
      </c>
      <c r="K562" s="3">
        <f t="shared" si="5"/>
        <v>9</v>
      </c>
      <c r="L562" s="7">
        <f t="shared" si="6"/>
        <v>2</v>
      </c>
      <c r="M562" s="7">
        <f t="shared" si="7"/>
        <v>0</v>
      </c>
      <c r="N562" s="7">
        <f t="shared" si="8"/>
        <v>9</v>
      </c>
    </row>
    <row r="563" hidden="1">
      <c r="B563" s="3" t="s">
        <v>976</v>
      </c>
      <c r="C563" s="5" t="s">
        <v>977</v>
      </c>
      <c r="D563" s="3">
        <v>10.0</v>
      </c>
      <c r="E563" s="3">
        <v>10.0</v>
      </c>
      <c r="F563" s="3">
        <f t="shared" si="1"/>
        <v>2</v>
      </c>
      <c r="G563" s="5" t="str">
        <f>IFERROR(__xludf.DUMMYFUNCTION("""COMPUTED_VALUE"""),"https://github.com/CaptPeroxide7/TDS-Proj1")</f>
        <v>https://github.com/CaptPeroxide7/TDS-Proj1</v>
      </c>
      <c r="H563" s="3">
        <f t="shared" si="2"/>
        <v>10</v>
      </c>
      <c r="I563" s="3">
        <f t="shared" si="3"/>
        <v>10</v>
      </c>
      <c r="J563" s="3">
        <f t="shared" si="4"/>
        <v>7</v>
      </c>
      <c r="K563" s="3">
        <f t="shared" si="5"/>
        <v>5</v>
      </c>
      <c r="L563" s="7">
        <f t="shared" si="6"/>
        <v>3</v>
      </c>
      <c r="M563" s="7">
        <f t="shared" si="7"/>
        <v>5</v>
      </c>
      <c r="N563" s="7">
        <f t="shared" si="8"/>
        <v>10</v>
      </c>
    </row>
    <row r="564" hidden="1">
      <c r="B564" s="3" t="s">
        <v>978</v>
      </c>
      <c r="C564" s="5" t="s">
        <v>979</v>
      </c>
      <c r="D564" s="3">
        <v>6.0</v>
      </c>
      <c r="E564" s="3">
        <v>6.0</v>
      </c>
      <c r="F564" s="3">
        <f t="shared" si="1"/>
        <v>1</v>
      </c>
      <c r="G564" s="5" t="str">
        <f>IFERROR(__xludf.DUMMYFUNCTION("""COMPUTED_VALUE"""),"https://github.com/Vish2BDev/tds-project1-Barcelona")</f>
        <v>https://github.com/Vish2BDev/tds-project1-Barcelona</v>
      </c>
      <c r="H564" s="3">
        <f t="shared" si="2"/>
        <v>10</v>
      </c>
      <c r="I564" s="3">
        <f t="shared" si="3"/>
        <v>10</v>
      </c>
      <c r="J564" s="3" t="str">
        <f t="shared" si="4"/>
        <v>No reviews</v>
      </c>
      <c r="K564" s="3" t="str">
        <f t="shared" si="5"/>
        <v>No reviews</v>
      </c>
      <c r="L564" s="7" t="str">
        <f t="shared" si="6"/>
        <v> </v>
      </c>
      <c r="M564" s="7" t="str">
        <f t="shared" si="7"/>
        <v> </v>
      </c>
      <c r="N564" s="7">
        <f t="shared" si="8"/>
        <v>10</v>
      </c>
    </row>
    <row r="565" hidden="1">
      <c r="B565" s="3" t="s">
        <v>980</v>
      </c>
      <c r="C565" s="5" t="s">
        <v>741</v>
      </c>
      <c r="D565" s="3">
        <v>0.0</v>
      </c>
      <c r="E565" s="3">
        <v>0.0</v>
      </c>
      <c r="F565" s="3">
        <f t="shared" si="1"/>
        <v>1</v>
      </c>
      <c r="G565" s="5" t="str">
        <f>IFERROR(__xludf.DUMMYFUNCTION("""COMPUTED_VALUE"""),"https://github.com/Sunidhi912/TDSProject1")</f>
        <v>https://github.com/Sunidhi912/TDSProject1</v>
      </c>
      <c r="H565" s="3">
        <f t="shared" si="2"/>
        <v>8</v>
      </c>
      <c r="I565" s="3">
        <f t="shared" si="3"/>
        <v>9</v>
      </c>
      <c r="J565" s="3" t="str">
        <f t="shared" si="4"/>
        <v>No reviews</v>
      </c>
      <c r="K565" s="3" t="str">
        <f t="shared" si="5"/>
        <v>No reviews</v>
      </c>
      <c r="L565" s="7" t="str">
        <f t="shared" si="6"/>
        <v> </v>
      </c>
      <c r="M565" s="7" t="str">
        <f t="shared" si="7"/>
        <v> </v>
      </c>
      <c r="N565" s="7">
        <f t="shared" si="8"/>
        <v>8.5</v>
      </c>
    </row>
    <row r="566" hidden="1">
      <c r="B566" s="3" t="s">
        <v>981</v>
      </c>
      <c r="C566" s="5" t="s">
        <v>497</v>
      </c>
      <c r="D566" s="3">
        <v>8.0</v>
      </c>
      <c r="E566" s="3">
        <v>1.0</v>
      </c>
      <c r="F566" s="3">
        <f t="shared" si="1"/>
        <v>1</v>
      </c>
      <c r="G566" s="5" t="str">
        <f>IFERROR(__xludf.DUMMYFUNCTION("""COMPUTED_VALUE"""),"https://github.com/kunj-10/TDS-IITM-Project1")</f>
        <v>https://github.com/kunj-10/TDS-IITM-Project1</v>
      </c>
      <c r="H566" s="3">
        <f t="shared" si="2"/>
        <v>7</v>
      </c>
      <c r="I566" s="3">
        <f t="shared" si="3"/>
        <v>10</v>
      </c>
      <c r="J566" s="3" t="str">
        <f t="shared" si="4"/>
        <v>No reviews</v>
      </c>
      <c r="K566" s="3" t="str">
        <f t="shared" si="5"/>
        <v>No reviews</v>
      </c>
      <c r="L566" s="7" t="str">
        <f t="shared" si="6"/>
        <v> </v>
      </c>
      <c r="M566" s="7" t="str">
        <f t="shared" si="7"/>
        <v> </v>
      </c>
      <c r="N566" s="7">
        <f t="shared" si="8"/>
        <v>8.5</v>
      </c>
    </row>
    <row r="567" hidden="1">
      <c r="B567" s="3" t="s">
        <v>982</v>
      </c>
      <c r="C567" s="5" t="s">
        <v>629</v>
      </c>
      <c r="D567" s="3">
        <v>9.0</v>
      </c>
      <c r="E567" s="3">
        <v>9.0</v>
      </c>
      <c r="F567" s="3">
        <f t="shared" si="1"/>
        <v>1</v>
      </c>
      <c r="G567" s="5" t="str">
        <f>IFERROR(__xludf.DUMMYFUNCTION("""COMPUTED_VALUE"""),"https://github.com/AaryNimje/22f3001836-ds.study.iitm.ac.in-Bangalore-100")</f>
        <v>https://github.com/AaryNimje/22f3001836-ds.study.iitm.ac.in-Bangalore-100</v>
      </c>
      <c r="H567" s="3">
        <f t="shared" si="2"/>
        <v>10</v>
      </c>
      <c r="I567" s="3">
        <f t="shared" si="3"/>
        <v>10</v>
      </c>
      <c r="J567" s="3" t="str">
        <f t="shared" si="4"/>
        <v>No reviews</v>
      </c>
      <c r="K567" s="3" t="str">
        <f t="shared" si="5"/>
        <v>No reviews</v>
      </c>
      <c r="L567" s="7" t="str">
        <f t="shared" si="6"/>
        <v> </v>
      </c>
      <c r="M567" s="7" t="str">
        <f t="shared" si="7"/>
        <v> </v>
      </c>
      <c r="N567" s="7">
        <f t="shared" si="8"/>
        <v>10</v>
      </c>
    </row>
    <row r="568" hidden="1">
      <c r="B568" s="3" t="s">
        <v>983</v>
      </c>
      <c r="C568" s="5" t="s">
        <v>984</v>
      </c>
      <c r="D568" s="3">
        <v>10.0</v>
      </c>
      <c r="E568" s="3">
        <v>10.0</v>
      </c>
      <c r="F568" s="3">
        <f t="shared" si="1"/>
        <v>2</v>
      </c>
      <c r="G568" s="5" t="str">
        <f>IFERROR(__xludf.DUMMYFUNCTION("""COMPUTED_VALUE"""),"https://github.com/KD-kaustubh/Tds-project-1")</f>
        <v>https://github.com/KD-kaustubh/Tds-project-1</v>
      </c>
      <c r="H568" s="3">
        <f t="shared" si="2"/>
        <v>5</v>
      </c>
      <c r="I568" s="3">
        <f t="shared" si="3"/>
        <v>9</v>
      </c>
      <c r="J568" s="3">
        <f t="shared" si="4"/>
        <v>8</v>
      </c>
      <c r="K568" s="3">
        <f t="shared" si="5"/>
        <v>8</v>
      </c>
      <c r="L568" s="7">
        <f t="shared" si="6"/>
        <v>3</v>
      </c>
      <c r="M568" s="7">
        <f t="shared" si="7"/>
        <v>1</v>
      </c>
      <c r="N568" s="7">
        <f t="shared" si="8"/>
        <v>8</v>
      </c>
    </row>
    <row r="569" hidden="1">
      <c r="B569" s="3" t="s">
        <v>50</v>
      </c>
      <c r="C569" s="5" t="s">
        <v>985</v>
      </c>
      <c r="D569" s="3">
        <v>0.0</v>
      </c>
      <c r="E569" s="3">
        <v>0.0</v>
      </c>
      <c r="F569" s="3">
        <f t="shared" si="1"/>
        <v>1</v>
      </c>
      <c r="G569" s="3" t="str">
        <f>IFERROR(__xludf.DUMMYFUNCTION("""COMPUTED_VALUE"""),"TDS-PROJECT-1 /TDS_P1.ipynb")</f>
        <v>TDS-PROJECT-1 /TDS_P1.ipynb</v>
      </c>
      <c r="H569" s="3">
        <f t="shared" si="2"/>
        <v>10</v>
      </c>
      <c r="I569" s="3">
        <f t="shared" si="3"/>
        <v>10</v>
      </c>
      <c r="J569" s="3" t="str">
        <f t="shared" si="4"/>
        <v>No reviews</v>
      </c>
      <c r="K569" s="3" t="str">
        <f t="shared" si="5"/>
        <v>No reviews</v>
      </c>
      <c r="L569" s="7" t="str">
        <f t="shared" si="6"/>
        <v> </v>
      </c>
      <c r="M569" s="7" t="str">
        <f t="shared" si="7"/>
        <v> </v>
      </c>
      <c r="N569" s="7">
        <f t="shared" si="8"/>
        <v>10</v>
      </c>
    </row>
    <row r="570" hidden="1">
      <c r="B570" s="3" t="s">
        <v>52</v>
      </c>
      <c r="C570" s="5" t="s">
        <v>986</v>
      </c>
      <c r="D570" s="3">
        <v>10.0</v>
      </c>
      <c r="E570" s="3">
        <v>10.0</v>
      </c>
      <c r="F570" s="3">
        <f t="shared" si="1"/>
        <v>1</v>
      </c>
      <c r="G570" s="5" t="str">
        <f>IFERROR(__xludf.DUMMYFUNCTION("""COMPUTED_VALUE"""),"https://github.com/ramyaarorra/tdsprojectuno")</f>
        <v>https://github.com/ramyaarorra/tdsprojectuno</v>
      </c>
      <c r="H570" s="3">
        <f t="shared" si="2"/>
        <v>10</v>
      </c>
      <c r="I570" s="3">
        <f t="shared" si="3"/>
        <v>10</v>
      </c>
      <c r="J570" s="3" t="str">
        <f t="shared" si="4"/>
        <v>No reviews</v>
      </c>
      <c r="K570" s="3" t="str">
        <f t="shared" si="5"/>
        <v>No reviews</v>
      </c>
      <c r="L570" s="7" t="str">
        <f t="shared" si="6"/>
        <v> </v>
      </c>
      <c r="M570" s="7" t="str">
        <f t="shared" si="7"/>
        <v> </v>
      </c>
      <c r="N570" s="7">
        <f t="shared" si="8"/>
        <v>10</v>
      </c>
    </row>
    <row r="571" hidden="1">
      <c r="B571" s="3" t="s">
        <v>54</v>
      </c>
      <c r="C571" s="5" t="s">
        <v>987</v>
      </c>
      <c r="D571" s="3">
        <v>10.0</v>
      </c>
      <c r="E571" s="3">
        <v>0.0</v>
      </c>
      <c r="F571" s="3">
        <f t="shared" si="1"/>
        <v>1</v>
      </c>
      <c r="G571" s="5" t="str">
        <f>IFERROR(__xludf.DUMMYFUNCTION("""COMPUTED_VALUE"""),"https://github.com/fahmeed1713/fahmeed")</f>
        <v>https://github.com/fahmeed1713/fahmeed</v>
      </c>
      <c r="H571" s="3">
        <f t="shared" si="2"/>
        <v>7</v>
      </c>
      <c r="I571" s="3">
        <f t="shared" si="3"/>
        <v>9</v>
      </c>
      <c r="J571" s="3" t="str">
        <f t="shared" si="4"/>
        <v>No reviews</v>
      </c>
      <c r="K571" s="3" t="str">
        <f t="shared" si="5"/>
        <v>No reviews</v>
      </c>
      <c r="L571" s="7" t="str">
        <f t="shared" si="6"/>
        <v> </v>
      </c>
      <c r="M571" s="7" t="str">
        <f t="shared" si="7"/>
        <v> </v>
      </c>
      <c r="N571" s="7">
        <f t="shared" si="8"/>
        <v>8</v>
      </c>
    </row>
    <row r="572" hidden="1">
      <c r="B572" s="3" t="s">
        <v>56</v>
      </c>
      <c r="C572" s="5" t="s">
        <v>282</v>
      </c>
      <c r="D572" s="3">
        <v>8.0</v>
      </c>
      <c r="E572" s="3">
        <v>4.0</v>
      </c>
      <c r="F572" s="3">
        <f t="shared" si="1"/>
        <v>2</v>
      </c>
      <c r="G572" s="5" t="str">
        <f>IFERROR(__xludf.DUMMYFUNCTION("""COMPUTED_VALUE"""),"https://github.com/HaifaAbdulSathar/TDS-Project1")</f>
        <v>https://github.com/HaifaAbdulSathar/TDS-Project1</v>
      </c>
      <c r="H572" s="3">
        <f t="shared" si="2"/>
        <v>10</v>
      </c>
      <c r="I572" s="3">
        <f t="shared" si="3"/>
        <v>9</v>
      </c>
      <c r="J572" s="3">
        <f t="shared" si="4"/>
        <v>6</v>
      </c>
      <c r="K572" s="3">
        <f t="shared" si="5"/>
        <v>10</v>
      </c>
      <c r="L572" s="7">
        <f t="shared" si="6"/>
        <v>4</v>
      </c>
      <c r="M572" s="7">
        <f t="shared" si="7"/>
        <v>1</v>
      </c>
      <c r="N572" s="7">
        <f t="shared" si="8"/>
        <v>9.5</v>
      </c>
    </row>
    <row r="573" hidden="1">
      <c r="B573" s="3" t="s">
        <v>58</v>
      </c>
      <c r="C573" s="5" t="s">
        <v>988</v>
      </c>
      <c r="D573" s="3">
        <v>10.0</v>
      </c>
      <c r="E573" s="3">
        <v>10.0</v>
      </c>
      <c r="F573" s="3">
        <f t="shared" si="1"/>
        <v>2</v>
      </c>
      <c r="G573" s="5" t="str">
        <f>IFERROR(__xludf.DUMMYFUNCTION("""COMPUTED_VALUE"""),"https://github.com/NeeharikaBhaide/TDS_P1")</f>
        <v>https://github.com/NeeharikaBhaide/TDS_P1</v>
      </c>
      <c r="H573" s="3">
        <f t="shared" si="2"/>
        <v>8</v>
      </c>
      <c r="I573" s="3">
        <f t="shared" si="3"/>
        <v>8</v>
      </c>
      <c r="J573" s="3">
        <f t="shared" si="4"/>
        <v>10</v>
      </c>
      <c r="K573" s="3">
        <f t="shared" si="5"/>
        <v>10</v>
      </c>
      <c r="L573" s="7">
        <f t="shared" si="6"/>
        <v>2</v>
      </c>
      <c r="M573" s="7">
        <f t="shared" si="7"/>
        <v>2</v>
      </c>
      <c r="N573" s="7">
        <f t="shared" si="8"/>
        <v>10</v>
      </c>
    </row>
    <row r="574" hidden="1">
      <c r="B574" s="3" t="s">
        <v>60</v>
      </c>
      <c r="C574" s="5" t="s">
        <v>989</v>
      </c>
      <c r="D574" s="3">
        <v>10.0</v>
      </c>
      <c r="E574" s="3">
        <v>10.0</v>
      </c>
      <c r="F574" s="3">
        <f t="shared" si="1"/>
        <v>1</v>
      </c>
      <c r="G574" s="5" t="str">
        <f>IFERROR(__xludf.DUMMYFUNCTION("""COMPUTED_VALUE"""),"https://github.com/IITM-VK/TDS-Project-1")</f>
        <v>https://github.com/IITM-VK/TDS-Project-1</v>
      </c>
      <c r="H574" s="3">
        <f t="shared" si="2"/>
        <v>10</v>
      </c>
      <c r="I574" s="3">
        <f t="shared" si="3"/>
        <v>10</v>
      </c>
      <c r="J574" s="3" t="str">
        <f t="shared" si="4"/>
        <v>No reviews</v>
      </c>
      <c r="K574" s="3" t="str">
        <f t="shared" si="5"/>
        <v>No reviews</v>
      </c>
      <c r="L574" s="7" t="str">
        <f t="shared" si="6"/>
        <v> </v>
      </c>
      <c r="M574" s="7" t="str">
        <f t="shared" si="7"/>
        <v> </v>
      </c>
      <c r="N574" s="7">
        <f t="shared" si="8"/>
        <v>10</v>
      </c>
    </row>
    <row r="575" hidden="1">
      <c r="B575" s="3" t="s">
        <v>62</v>
      </c>
      <c r="C575" s="5" t="s">
        <v>749</v>
      </c>
      <c r="D575" s="3">
        <v>10.0</v>
      </c>
      <c r="E575" s="3">
        <v>10.0</v>
      </c>
      <c r="F575" s="3">
        <f t="shared" si="1"/>
        <v>1</v>
      </c>
      <c r="G575" s="5" t="str">
        <f>IFERROR(__xludf.DUMMYFUNCTION("""COMPUTED_VALUE"""),"https://github.com/Bracket12/TDS_project_1")</f>
        <v>https://github.com/Bracket12/TDS_project_1</v>
      </c>
      <c r="H575" s="3">
        <f t="shared" si="2"/>
        <v>8</v>
      </c>
      <c r="I575" s="3">
        <f t="shared" si="3"/>
        <v>10</v>
      </c>
      <c r="J575" s="3" t="str">
        <f t="shared" si="4"/>
        <v>No reviews</v>
      </c>
      <c r="K575" s="3" t="str">
        <f t="shared" si="5"/>
        <v>No reviews</v>
      </c>
      <c r="L575" s="7" t="str">
        <f t="shared" si="6"/>
        <v> </v>
      </c>
      <c r="M575" s="7" t="str">
        <f t="shared" si="7"/>
        <v> </v>
      </c>
      <c r="N575" s="7">
        <f t="shared" si="8"/>
        <v>9</v>
      </c>
    </row>
    <row r="576" hidden="1">
      <c r="B576" s="3" t="s">
        <v>64</v>
      </c>
      <c r="C576" s="5" t="s">
        <v>990</v>
      </c>
      <c r="D576" s="3">
        <v>10.0</v>
      </c>
      <c r="E576" s="3">
        <v>10.0</v>
      </c>
      <c r="F576" s="3">
        <f t="shared" si="1"/>
        <v>2</v>
      </c>
      <c r="G576" s="5" t="str">
        <f>IFERROR(__xludf.DUMMYFUNCTION("""COMPUTED_VALUE"""),"https://github.com/Madhav-Sanjay-Patil/TDS_23f1002049")</f>
        <v>https://github.com/Madhav-Sanjay-Patil/TDS_23f1002049</v>
      </c>
      <c r="H576" s="3">
        <f t="shared" si="2"/>
        <v>10</v>
      </c>
      <c r="I576" s="3">
        <f t="shared" si="3"/>
        <v>10</v>
      </c>
      <c r="J576" s="3">
        <f t="shared" si="4"/>
        <v>8</v>
      </c>
      <c r="K576" s="3">
        <f t="shared" si="5"/>
        <v>9</v>
      </c>
      <c r="L576" s="7">
        <f t="shared" si="6"/>
        <v>2</v>
      </c>
      <c r="M576" s="7">
        <f t="shared" si="7"/>
        <v>1</v>
      </c>
      <c r="N576" s="7">
        <f t="shared" si="8"/>
        <v>10</v>
      </c>
    </row>
    <row r="577" hidden="1">
      <c r="B577" s="3" t="s">
        <v>66</v>
      </c>
      <c r="C577" s="5" t="s">
        <v>991</v>
      </c>
      <c r="D577" s="3">
        <v>8.0</v>
      </c>
      <c r="E577" s="3">
        <v>8.0</v>
      </c>
      <c r="F577" s="3">
        <f t="shared" si="1"/>
        <v>2</v>
      </c>
      <c r="G577" s="5" t="str">
        <f>IFERROR(__xludf.DUMMYFUNCTION("""COMPUTED_VALUE"""),"https://github.com/pranavdarak/TDS_P1")</f>
        <v>https://github.com/pranavdarak/TDS_P1</v>
      </c>
      <c r="H577" s="3">
        <f t="shared" si="2"/>
        <v>10</v>
      </c>
      <c r="I577" s="3">
        <f t="shared" si="3"/>
        <v>8</v>
      </c>
      <c r="J577" s="3">
        <f t="shared" si="4"/>
        <v>9</v>
      </c>
      <c r="K577" s="3">
        <f t="shared" si="5"/>
        <v>9</v>
      </c>
      <c r="L577" s="7">
        <f t="shared" si="6"/>
        <v>1</v>
      </c>
      <c r="M577" s="7">
        <f t="shared" si="7"/>
        <v>1</v>
      </c>
      <c r="N577" s="7">
        <f t="shared" si="8"/>
        <v>9</v>
      </c>
    </row>
    <row r="578" hidden="1">
      <c r="B578" s="3" t="s">
        <v>68</v>
      </c>
      <c r="C578" s="5" t="s">
        <v>992</v>
      </c>
      <c r="D578" s="3">
        <v>10.0</v>
      </c>
      <c r="E578" s="3">
        <v>10.0</v>
      </c>
      <c r="F578" s="3">
        <f t="shared" si="1"/>
        <v>1</v>
      </c>
      <c r="G578" s="5" t="str">
        <f>IFERROR(__xludf.DUMMYFUNCTION("""COMPUTED_VALUE"""),"https://github.com/Samcoderg78/IIT_M_DEMO_REPO")</f>
        <v>https://github.com/Samcoderg78/IIT_M_DEMO_REPO</v>
      </c>
      <c r="H578" s="3">
        <f t="shared" si="2"/>
        <v>10</v>
      </c>
      <c r="I578" s="3">
        <f t="shared" si="3"/>
        <v>10</v>
      </c>
      <c r="J578" s="3" t="str">
        <f t="shared" si="4"/>
        <v>No reviews</v>
      </c>
      <c r="K578" s="3" t="str">
        <f t="shared" si="5"/>
        <v>No reviews</v>
      </c>
      <c r="L578" s="7" t="str">
        <f t="shared" si="6"/>
        <v> </v>
      </c>
      <c r="M578" s="7" t="str">
        <f t="shared" si="7"/>
        <v> </v>
      </c>
      <c r="N578" s="7">
        <f t="shared" si="8"/>
        <v>10</v>
      </c>
    </row>
    <row r="579" hidden="1">
      <c r="B579" s="3" t="s">
        <v>70</v>
      </c>
      <c r="C579" s="5" t="s">
        <v>993</v>
      </c>
      <c r="D579" s="3">
        <v>10.0</v>
      </c>
      <c r="E579" s="3">
        <v>10.0</v>
      </c>
      <c r="F579" s="3">
        <f t="shared" si="1"/>
        <v>2</v>
      </c>
      <c r="G579" s="5" t="str">
        <f>IFERROR(__xludf.DUMMYFUNCTION("""COMPUTED_VALUE"""),"https://github.com/AnujKrishna-IIT/TDS-Project1")</f>
        <v>https://github.com/AnujKrishna-IIT/TDS-Project1</v>
      </c>
      <c r="H579" s="3">
        <f t="shared" si="2"/>
        <v>10</v>
      </c>
      <c r="I579" s="3">
        <f t="shared" si="3"/>
        <v>10</v>
      </c>
      <c r="J579" s="3">
        <f t="shared" si="4"/>
        <v>4</v>
      </c>
      <c r="K579" s="3">
        <f t="shared" si="5"/>
        <v>10</v>
      </c>
      <c r="L579" s="7">
        <f t="shared" si="6"/>
        <v>6</v>
      </c>
      <c r="M579" s="7">
        <f t="shared" si="7"/>
        <v>0</v>
      </c>
      <c r="N579" s="7">
        <f t="shared" si="8"/>
        <v>10</v>
      </c>
    </row>
    <row r="580" hidden="1">
      <c r="B580" s="3" t="s">
        <v>72</v>
      </c>
      <c r="C580" s="5" t="s">
        <v>994</v>
      </c>
      <c r="D580" s="3">
        <v>10.0</v>
      </c>
      <c r="E580" s="3">
        <v>10.0</v>
      </c>
      <c r="F580" s="3">
        <f t="shared" si="1"/>
        <v>1</v>
      </c>
      <c r="G580" s="5" t="str">
        <f>IFERROR(__xludf.DUMMYFUNCTION("""COMPUTED_VALUE"""),"https://github.com/Chinmoydass/TDS_Project1")</f>
        <v>https://github.com/Chinmoydass/TDS_Project1</v>
      </c>
      <c r="H580" s="3">
        <f t="shared" si="2"/>
        <v>6</v>
      </c>
      <c r="I580" s="3">
        <f t="shared" si="3"/>
        <v>0</v>
      </c>
      <c r="J580" s="3" t="str">
        <f t="shared" si="4"/>
        <v>No reviews</v>
      </c>
      <c r="K580" s="3" t="str">
        <f t="shared" si="5"/>
        <v>No reviews</v>
      </c>
      <c r="L580" s="7" t="str">
        <f t="shared" si="6"/>
        <v> </v>
      </c>
      <c r="M580" s="7" t="str">
        <f t="shared" si="7"/>
        <v> </v>
      </c>
      <c r="N580" s="7">
        <f t="shared" si="8"/>
        <v>3</v>
      </c>
    </row>
    <row r="581" hidden="1">
      <c r="B581" s="3" t="s">
        <v>74</v>
      </c>
      <c r="C581" s="5" t="s">
        <v>995</v>
      </c>
      <c r="D581" s="3">
        <v>10.0</v>
      </c>
      <c r="E581" s="3">
        <v>0.0</v>
      </c>
      <c r="F581" s="3">
        <f t="shared" si="1"/>
        <v>2</v>
      </c>
      <c r="G581" s="5" t="str">
        <f>IFERROR(__xludf.DUMMYFUNCTION("""COMPUTED_VALUE"""),"https://github.com/Hitesh-Binjrawat/TDSProject1")</f>
        <v>https://github.com/Hitesh-Binjrawat/TDSProject1</v>
      </c>
      <c r="H581" s="3">
        <f t="shared" si="2"/>
        <v>5</v>
      </c>
      <c r="I581" s="3">
        <f t="shared" si="3"/>
        <v>3</v>
      </c>
      <c r="J581" s="3">
        <f t="shared" si="4"/>
        <v>6</v>
      </c>
      <c r="K581" s="3">
        <f t="shared" si="5"/>
        <v>8</v>
      </c>
      <c r="L581" s="7">
        <f t="shared" si="6"/>
        <v>1</v>
      </c>
      <c r="M581" s="7">
        <f t="shared" si="7"/>
        <v>5</v>
      </c>
      <c r="N581" s="7">
        <f t="shared" si="8"/>
        <v>7</v>
      </c>
    </row>
    <row r="582" hidden="1">
      <c r="B582" s="3" t="s">
        <v>76</v>
      </c>
      <c r="C582" s="5" t="s">
        <v>996</v>
      </c>
      <c r="D582" s="3">
        <v>10.0</v>
      </c>
      <c r="E582" s="3">
        <v>10.0</v>
      </c>
      <c r="F582" s="3">
        <f t="shared" si="1"/>
        <v>1</v>
      </c>
      <c r="G582" s="5" t="str">
        <f>IFERROR(__xludf.DUMMYFUNCTION("""COMPUTED_VALUE"""),"https://github.com/22f2001193-neeraj-menon-iitm/TDS_Project_1")</f>
        <v>https://github.com/22f2001193-neeraj-menon-iitm/TDS_Project_1</v>
      </c>
      <c r="H582" s="3">
        <f t="shared" si="2"/>
        <v>10</v>
      </c>
      <c r="I582" s="3">
        <f t="shared" si="3"/>
        <v>10</v>
      </c>
      <c r="J582" s="3" t="str">
        <f t="shared" si="4"/>
        <v>No reviews</v>
      </c>
      <c r="K582" s="3" t="str">
        <f t="shared" si="5"/>
        <v>No reviews</v>
      </c>
      <c r="L582" s="7" t="str">
        <f t="shared" si="6"/>
        <v> </v>
      </c>
      <c r="M582" s="7" t="str">
        <f t="shared" si="7"/>
        <v> </v>
      </c>
      <c r="N582" s="7">
        <f t="shared" si="8"/>
        <v>10</v>
      </c>
    </row>
    <row r="583" hidden="1">
      <c r="B583" s="3" t="s">
        <v>78</v>
      </c>
      <c r="C583" s="5" t="s">
        <v>856</v>
      </c>
      <c r="D583" s="3">
        <v>8.0</v>
      </c>
      <c r="E583" s="3">
        <v>8.0</v>
      </c>
      <c r="F583" s="3">
        <f t="shared" si="1"/>
        <v>2</v>
      </c>
      <c r="G583" s="5" t="str">
        <f>IFERROR(__xludf.DUMMYFUNCTION("""COMPUTED_VALUE"""),"https://github.com/MANAV-py/tds_project1")</f>
        <v>https://github.com/MANAV-py/tds_project1</v>
      </c>
      <c r="H583" s="3">
        <f t="shared" si="2"/>
        <v>8</v>
      </c>
      <c r="I583" s="3">
        <f t="shared" si="3"/>
        <v>10</v>
      </c>
      <c r="J583" s="3">
        <f t="shared" si="4"/>
        <v>6</v>
      </c>
      <c r="K583" s="3">
        <f t="shared" si="5"/>
        <v>9</v>
      </c>
      <c r="L583" s="7">
        <f t="shared" si="6"/>
        <v>2</v>
      </c>
      <c r="M583" s="7">
        <f t="shared" si="7"/>
        <v>1</v>
      </c>
      <c r="N583" s="7">
        <f t="shared" si="8"/>
        <v>9</v>
      </c>
    </row>
    <row r="584" hidden="1">
      <c r="B584" s="3" t="s">
        <v>80</v>
      </c>
      <c r="C584" s="5" t="s">
        <v>997</v>
      </c>
      <c r="D584" s="3">
        <v>10.0</v>
      </c>
      <c r="E584" s="3">
        <v>10.0</v>
      </c>
      <c r="F584" s="3">
        <f t="shared" si="1"/>
        <v>2</v>
      </c>
      <c r="G584" s="5" t="str">
        <f>IFERROR(__xludf.DUMMYFUNCTION("""COMPUTED_VALUE"""),"https://github.com/samreen-fathima-s/tds")</f>
        <v>https://github.com/samreen-fathima-s/tds</v>
      </c>
      <c r="H584" s="3">
        <f t="shared" si="2"/>
        <v>9</v>
      </c>
      <c r="I584" s="3">
        <f t="shared" si="3"/>
        <v>10</v>
      </c>
      <c r="J584" s="3">
        <f t="shared" si="4"/>
        <v>10</v>
      </c>
      <c r="K584" s="3">
        <f t="shared" si="5"/>
        <v>10</v>
      </c>
      <c r="L584" s="7">
        <f t="shared" si="6"/>
        <v>1</v>
      </c>
      <c r="M584" s="7">
        <f t="shared" si="7"/>
        <v>0</v>
      </c>
      <c r="N584" s="7">
        <f t="shared" si="8"/>
        <v>10</v>
      </c>
    </row>
    <row r="585" hidden="1">
      <c r="B585" s="3" t="s">
        <v>82</v>
      </c>
      <c r="C585" s="5" t="s">
        <v>998</v>
      </c>
      <c r="D585" s="3">
        <v>0.0</v>
      </c>
      <c r="E585" s="3">
        <v>0.0</v>
      </c>
      <c r="F585" s="3">
        <f t="shared" si="1"/>
        <v>2</v>
      </c>
      <c r="G585" s="5" t="str">
        <f>IFERROR(__xludf.DUMMYFUNCTION("""COMPUTED_VALUE"""),"https://github.com/srishtyAg19/Moscow-50")</f>
        <v>https://github.com/srishtyAg19/Moscow-50</v>
      </c>
      <c r="H585" s="3">
        <f t="shared" si="2"/>
        <v>10</v>
      </c>
      <c r="I585" s="3">
        <f t="shared" si="3"/>
        <v>10</v>
      </c>
      <c r="J585" s="3">
        <f t="shared" si="4"/>
        <v>10</v>
      </c>
      <c r="K585" s="3">
        <f t="shared" si="5"/>
        <v>10</v>
      </c>
      <c r="L585" s="7">
        <f t="shared" si="6"/>
        <v>0</v>
      </c>
      <c r="M585" s="7">
        <f t="shared" si="7"/>
        <v>0</v>
      </c>
      <c r="N585" s="7">
        <f t="shared" si="8"/>
        <v>10</v>
      </c>
    </row>
    <row r="586" hidden="1">
      <c r="B586" s="3" t="s">
        <v>84</v>
      </c>
      <c r="C586" s="5" t="s">
        <v>999</v>
      </c>
      <c r="D586" s="3">
        <v>6.0</v>
      </c>
      <c r="E586" s="3">
        <v>7.0</v>
      </c>
      <c r="F586" s="3">
        <f t="shared" si="1"/>
        <v>2</v>
      </c>
      <c r="G586" s="5" t="str">
        <f>IFERROR(__xludf.DUMMYFUNCTION("""COMPUTED_VALUE"""),"https://github.com/phanthomx/TDS_PROJECT")</f>
        <v>https://github.com/phanthomx/TDS_PROJECT</v>
      </c>
      <c r="H586" s="3">
        <f t="shared" si="2"/>
        <v>9</v>
      </c>
      <c r="I586" s="3">
        <f t="shared" si="3"/>
        <v>9</v>
      </c>
      <c r="J586" s="3">
        <f t="shared" si="4"/>
        <v>8</v>
      </c>
      <c r="K586" s="3">
        <f t="shared" si="5"/>
        <v>8</v>
      </c>
      <c r="L586" s="7">
        <f t="shared" si="6"/>
        <v>1</v>
      </c>
      <c r="M586" s="7">
        <f t="shared" si="7"/>
        <v>1</v>
      </c>
      <c r="N586" s="7">
        <f t="shared" si="8"/>
        <v>9</v>
      </c>
    </row>
    <row r="587" hidden="1">
      <c r="B587" s="3" t="s">
        <v>86</v>
      </c>
      <c r="C587" s="3" t="s">
        <v>87</v>
      </c>
      <c r="D587" s="3">
        <v>10.0</v>
      </c>
      <c r="E587" s="3">
        <v>0.0</v>
      </c>
      <c r="F587" s="3">
        <f t="shared" si="1"/>
        <v>2</v>
      </c>
      <c r="G587" s="5" t="str">
        <f>IFERROR(__xludf.DUMMYFUNCTION("""COMPUTED_VALUE"""),"https://github.com/amittkulkarni/tds-project-1")</f>
        <v>https://github.com/amittkulkarni/tds-project-1</v>
      </c>
      <c r="H587" s="3">
        <f t="shared" si="2"/>
        <v>10</v>
      </c>
      <c r="I587" s="3">
        <f t="shared" si="3"/>
        <v>10</v>
      </c>
      <c r="J587" s="3">
        <f t="shared" si="4"/>
        <v>9</v>
      </c>
      <c r="K587" s="3">
        <f t="shared" si="5"/>
        <v>10</v>
      </c>
      <c r="L587" s="7">
        <f t="shared" si="6"/>
        <v>1</v>
      </c>
      <c r="M587" s="7">
        <f t="shared" si="7"/>
        <v>0</v>
      </c>
      <c r="N587" s="7">
        <f t="shared" si="8"/>
        <v>10</v>
      </c>
    </row>
    <row r="588" hidden="1">
      <c r="B588" s="3" t="s">
        <v>88</v>
      </c>
      <c r="C588" s="5" t="s">
        <v>1000</v>
      </c>
      <c r="D588" s="3">
        <v>8.0</v>
      </c>
      <c r="E588" s="3">
        <v>9.0</v>
      </c>
      <c r="F588" s="3">
        <f t="shared" si="1"/>
        <v>2</v>
      </c>
      <c r="G588" s="5" t="str">
        <f>IFERROR(__xludf.DUMMYFUNCTION("""COMPUTED_VALUE"""),"https://github.com/Ajit5370/tds-project-1")</f>
        <v>https://github.com/Ajit5370/tds-project-1</v>
      </c>
      <c r="H588" s="3">
        <f t="shared" si="2"/>
        <v>10</v>
      </c>
      <c r="I588" s="3">
        <f t="shared" si="3"/>
        <v>10</v>
      </c>
      <c r="J588" s="3">
        <f t="shared" si="4"/>
        <v>8</v>
      </c>
      <c r="K588" s="3">
        <f t="shared" si="5"/>
        <v>10</v>
      </c>
      <c r="L588" s="7">
        <f t="shared" si="6"/>
        <v>2</v>
      </c>
      <c r="M588" s="7">
        <f t="shared" si="7"/>
        <v>0</v>
      </c>
      <c r="N588" s="7">
        <f t="shared" si="8"/>
        <v>10</v>
      </c>
    </row>
    <row r="589" hidden="1">
      <c r="B589" s="3" t="s">
        <v>90</v>
      </c>
      <c r="C589" s="5" t="s">
        <v>1001</v>
      </c>
      <c r="D589" s="3">
        <v>9.0</v>
      </c>
      <c r="E589" s="3">
        <v>8.0</v>
      </c>
      <c r="F589" s="3">
        <f t="shared" si="1"/>
        <v>2</v>
      </c>
      <c r="G589" s="5" t="str">
        <f>IFERROR(__xludf.DUMMYFUNCTION("""COMPUTED_VALUE"""),"https://github.com/ashwiniitm/tdsProject1")</f>
        <v>https://github.com/ashwiniitm/tdsProject1</v>
      </c>
      <c r="H589" s="3">
        <f t="shared" si="2"/>
        <v>10</v>
      </c>
      <c r="I589" s="3">
        <f t="shared" si="3"/>
        <v>10</v>
      </c>
      <c r="J589" s="3">
        <f t="shared" si="4"/>
        <v>10</v>
      </c>
      <c r="K589" s="3">
        <f t="shared" si="5"/>
        <v>10</v>
      </c>
      <c r="L589" s="7">
        <f t="shared" si="6"/>
        <v>0</v>
      </c>
      <c r="M589" s="7">
        <f t="shared" si="7"/>
        <v>0</v>
      </c>
      <c r="N589" s="7">
        <f t="shared" si="8"/>
        <v>10</v>
      </c>
    </row>
    <row r="590" hidden="1">
      <c r="B590" s="3" t="s">
        <v>92</v>
      </c>
      <c r="C590" s="5" t="s">
        <v>1002</v>
      </c>
      <c r="D590" s="3">
        <v>9.0</v>
      </c>
      <c r="E590" s="3">
        <v>10.0</v>
      </c>
      <c r="F590" s="3">
        <f t="shared" si="1"/>
        <v>2</v>
      </c>
      <c r="G590" s="5" t="str">
        <f>IFERROR(__xludf.DUMMYFUNCTION("""COMPUTED_VALUE"""),"https://github.com/23ds3000139/my_TDS_P1_submission")</f>
        <v>https://github.com/23ds3000139/my_TDS_P1_submission</v>
      </c>
      <c r="H590" s="3">
        <f t="shared" si="2"/>
        <v>9</v>
      </c>
      <c r="I590" s="3">
        <f t="shared" si="3"/>
        <v>9</v>
      </c>
      <c r="J590" s="3">
        <f t="shared" si="4"/>
        <v>9</v>
      </c>
      <c r="K590" s="3">
        <f t="shared" si="5"/>
        <v>0</v>
      </c>
      <c r="L590" s="7">
        <f t="shared" si="6"/>
        <v>0</v>
      </c>
      <c r="M590" s="7">
        <f t="shared" si="7"/>
        <v>9</v>
      </c>
      <c r="N590" s="7">
        <f t="shared" si="8"/>
        <v>9</v>
      </c>
    </row>
    <row r="591" hidden="1">
      <c r="B591" s="3" t="s">
        <v>94</v>
      </c>
      <c r="C591" s="5" t="s">
        <v>1003</v>
      </c>
      <c r="D591" s="3">
        <v>9.0</v>
      </c>
      <c r="E591" s="3">
        <v>10.0</v>
      </c>
      <c r="F591" s="3">
        <f t="shared" si="1"/>
        <v>1</v>
      </c>
      <c r="G591" s="5" t="str">
        <f>IFERROR(__xludf.DUMMYFUNCTION("""COMPUTED_VALUE"""),"https://github.com/rajyalakshmijampani-iitm/tds-project1")</f>
        <v>https://github.com/rajyalakshmijampani-iitm/tds-project1</v>
      </c>
      <c r="H591" s="3">
        <f t="shared" si="2"/>
        <v>10</v>
      </c>
      <c r="I591" s="3">
        <f t="shared" si="3"/>
        <v>10</v>
      </c>
      <c r="J591" s="3" t="str">
        <f t="shared" si="4"/>
        <v>No reviews</v>
      </c>
      <c r="K591" s="3" t="str">
        <f t="shared" si="5"/>
        <v>No reviews</v>
      </c>
      <c r="L591" s="7" t="str">
        <f t="shared" si="6"/>
        <v> </v>
      </c>
      <c r="M591" s="7" t="str">
        <f t="shared" si="7"/>
        <v> </v>
      </c>
      <c r="N591" s="7">
        <f t="shared" si="8"/>
        <v>10</v>
      </c>
    </row>
    <row r="592" hidden="1">
      <c r="B592" s="3" t="s">
        <v>96</v>
      </c>
      <c r="C592" s="5" t="s">
        <v>1004</v>
      </c>
      <c r="D592" s="3">
        <v>10.0</v>
      </c>
      <c r="E592" s="3">
        <v>10.0</v>
      </c>
      <c r="F592" s="3">
        <f t="shared" si="1"/>
        <v>1</v>
      </c>
      <c r="G592" s="5" t="str">
        <f>IFERROR(__xludf.DUMMYFUNCTION("""COMPUTED_VALUE"""),"https://github.com/jahnavi-bd/Project_TDS")</f>
        <v>https://github.com/jahnavi-bd/Project_TDS</v>
      </c>
      <c r="H592" s="3">
        <f t="shared" si="2"/>
        <v>9</v>
      </c>
      <c r="I592" s="3">
        <f t="shared" si="3"/>
        <v>10</v>
      </c>
      <c r="J592" s="3" t="str">
        <f t="shared" si="4"/>
        <v>No reviews</v>
      </c>
      <c r="K592" s="3" t="str">
        <f t="shared" si="5"/>
        <v>No reviews</v>
      </c>
      <c r="L592" s="7" t="str">
        <f t="shared" si="6"/>
        <v> </v>
      </c>
      <c r="M592" s="7" t="str">
        <f t="shared" si="7"/>
        <v> </v>
      </c>
      <c r="N592" s="7">
        <f t="shared" si="8"/>
        <v>9.5</v>
      </c>
    </row>
    <row r="593" hidden="1">
      <c r="B593" s="3" t="s">
        <v>98</v>
      </c>
      <c r="C593" s="5" t="s">
        <v>1005</v>
      </c>
      <c r="D593" s="3">
        <v>0.0</v>
      </c>
      <c r="E593" s="3">
        <v>0.0</v>
      </c>
      <c r="F593" s="3">
        <f t="shared" si="1"/>
        <v>2</v>
      </c>
      <c r="G593" s="5" t="str">
        <f>IFERROR(__xludf.DUMMYFUNCTION("""COMPUTED_VALUE"""),"https://github.com/suryadhn/boston_user_repo")</f>
        <v>https://github.com/suryadhn/boston_user_repo</v>
      </c>
      <c r="H593" s="3">
        <f t="shared" si="2"/>
        <v>8</v>
      </c>
      <c r="I593" s="3">
        <f t="shared" si="3"/>
        <v>10</v>
      </c>
      <c r="J593" s="3">
        <f t="shared" si="4"/>
        <v>10</v>
      </c>
      <c r="K593" s="3">
        <f t="shared" si="5"/>
        <v>10</v>
      </c>
      <c r="L593" s="7">
        <f t="shared" si="6"/>
        <v>2</v>
      </c>
      <c r="M593" s="7">
        <f t="shared" si="7"/>
        <v>0</v>
      </c>
      <c r="N593" s="7">
        <f t="shared" si="8"/>
        <v>10</v>
      </c>
    </row>
    <row r="594" hidden="1">
      <c r="B594" s="3" t="s">
        <v>100</v>
      </c>
      <c r="C594" s="5" t="s">
        <v>1006</v>
      </c>
      <c r="D594" s="3">
        <v>4.0</v>
      </c>
      <c r="E594" s="3">
        <v>7.0</v>
      </c>
      <c r="F594" s="3">
        <f t="shared" si="1"/>
        <v>1</v>
      </c>
      <c r="G594" s="5" t="str">
        <f>IFERROR(__xludf.DUMMYFUNCTION("""COMPUTED_VALUE"""),"https://github.com/im-adamya-vatsalya-sharma-09/TDS-Project-1")</f>
        <v>https://github.com/im-adamya-vatsalya-sharma-09/TDS-Project-1</v>
      </c>
      <c r="H594" s="3">
        <f t="shared" si="2"/>
        <v>1</v>
      </c>
      <c r="I594" s="3">
        <f t="shared" si="3"/>
        <v>8</v>
      </c>
      <c r="J594" s="3" t="str">
        <f t="shared" si="4"/>
        <v>No reviews</v>
      </c>
      <c r="K594" s="3" t="str">
        <f t="shared" si="5"/>
        <v>No reviews</v>
      </c>
      <c r="L594" s="7" t="str">
        <f t="shared" si="6"/>
        <v> </v>
      </c>
      <c r="M594" s="7" t="str">
        <f t="shared" si="7"/>
        <v> </v>
      </c>
      <c r="N594" s="7">
        <f t="shared" si="8"/>
        <v>4.5</v>
      </c>
    </row>
    <row r="595" hidden="1">
      <c r="B595" s="3" t="s">
        <v>102</v>
      </c>
      <c r="C595" s="5" t="s">
        <v>1007</v>
      </c>
      <c r="D595" s="3">
        <v>2.0</v>
      </c>
      <c r="E595" s="3">
        <v>0.0</v>
      </c>
      <c r="F595" s="3">
        <f t="shared" si="1"/>
        <v>1</v>
      </c>
      <c r="G595" s="5" t="str">
        <f>IFERROR(__xludf.DUMMYFUNCTION("""COMPUTED_VALUE"""),"https://github.com/code-kalrav/IITM-P1/tree/main")</f>
        <v>https://github.com/code-kalrav/IITM-P1/tree/main</v>
      </c>
      <c r="H595" s="3">
        <f t="shared" si="2"/>
        <v>8</v>
      </c>
      <c r="I595" s="3">
        <f t="shared" si="3"/>
        <v>9</v>
      </c>
      <c r="J595" s="3" t="str">
        <f t="shared" si="4"/>
        <v>No reviews</v>
      </c>
      <c r="K595" s="3" t="str">
        <f t="shared" si="5"/>
        <v>No reviews</v>
      </c>
      <c r="L595" s="7" t="str">
        <f t="shared" si="6"/>
        <v> </v>
      </c>
      <c r="M595" s="7" t="str">
        <f t="shared" si="7"/>
        <v> </v>
      </c>
      <c r="N595" s="7">
        <f t="shared" si="8"/>
        <v>8.5</v>
      </c>
    </row>
    <row r="596" hidden="1">
      <c r="B596" s="3" t="s">
        <v>104</v>
      </c>
      <c r="C596" s="5" t="s">
        <v>1008</v>
      </c>
      <c r="D596" s="3">
        <v>10.0</v>
      </c>
      <c r="E596" s="3">
        <v>10.0</v>
      </c>
      <c r="F596" s="3">
        <f t="shared" si="1"/>
        <v>1</v>
      </c>
      <c r="G596" s="5" t="str">
        <f>IFERROR(__xludf.DUMMYFUNCTION("""COMPUTED_VALUE"""),"https://github.com/Dnyan-iitm/TDS-Project1")</f>
        <v>https://github.com/Dnyan-iitm/TDS-Project1</v>
      </c>
      <c r="H596" s="3">
        <f t="shared" si="2"/>
        <v>5</v>
      </c>
      <c r="I596" s="3">
        <f t="shared" si="3"/>
        <v>5</v>
      </c>
      <c r="J596" s="3" t="str">
        <f t="shared" si="4"/>
        <v>No reviews</v>
      </c>
      <c r="K596" s="3" t="str">
        <f t="shared" si="5"/>
        <v>No reviews</v>
      </c>
      <c r="L596" s="7" t="str">
        <f t="shared" si="6"/>
        <v> </v>
      </c>
      <c r="M596" s="7" t="str">
        <f t="shared" si="7"/>
        <v> </v>
      </c>
      <c r="N596" s="7">
        <f t="shared" si="8"/>
        <v>5</v>
      </c>
    </row>
    <row r="597" hidden="1">
      <c r="B597" s="3" t="s">
        <v>106</v>
      </c>
      <c r="C597" s="5" t="s">
        <v>633</v>
      </c>
      <c r="D597" s="3">
        <v>9.0</v>
      </c>
      <c r="E597" s="3">
        <v>8.0</v>
      </c>
      <c r="F597" s="3">
        <f t="shared" si="1"/>
        <v>2</v>
      </c>
      <c r="G597" s="5" t="str">
        <f>IFERROR(__xludf.DUMMYFUNCTION("""COMPUTED_VALUE"""),"https://github.com/Mahabodhi4652/tds_project1")</f>
        <v>https://github.com/Mahabodhi4652/tds_project1</v>
      </c>
      <c r="H597" s="3">
        <f t="shared" si="2"/>
        <v>10</v>
      </c>
      <c r="I597" s="3">
        <f t="shared" si="3"/>
        <v>10</v>
      </c>
      <c r="J597" s="3">
        <f t="shared" si="4"/>
        <v>9</v>
      </c>
      <c r="K597" s="3">
        <f t="shared" si="5"/>
        <v>9</v>
      </c>
      <c r="L597" s="7">
        <f t="shared" si="6"/>
        <v>1</v>
      </c>
      <c r="M597" s="7">
        <f t="shared" si="7"/>
        <v>1</v>
      </c>
      <c r="N597" s="7">
        <f t="shared" si="8"/>
        <v>10</v>
      </c>
    </row>
    <row r="598" hidden="1">
      <c r="B598" s="3" t="s">
        <v>108</v>
      </c>
      <c r="C598" s="5" t="s">
        <v>1009</v>
      </c>
      <c r="D598" s="3">
        <v>10.0</v>
      </c>
      <c r="E598" s="3">
        <v>0.0</v>
      </c>
      <c r="F598" s="3">
        <f t="shared" si="1"/>
        <v>2</v>
      </c>
      <c r="G598" s="5" t="str">
        <f>IFERROR(__xludf.DUMMYFUNCTION("""COMPUTED_VALUE"""),"https://github.com/aniko1806/GitHub_API_Analysis_Boston")</f>
        <v>https://github.com/aniko1806/GitHub_API_Analysis_Boston</v>
      </c>
      <c r="H598" s="3">
        <f t="shared" si="2"/>
        <v>10</v>
      </c>
      <c r="I598" s="3">
        <f t="shared" si="3"/>
        <v>10</v>
      </c>
      <c r="J598" s="3">
        <f t="shared" si="4"/>
        <v>10</v>
      </c>
      <c r="K598" s="3">
        <f t="shared" si="5"/>
        <v>10</v>
      </c>
      <c r="L598" s="7">
        <f t="shared" si="6"/>
        <v>0</v>
      </c>
      <c r="M598" s="7">
        <f t="shared" si="7"/>
        <v>0</v>
      </c>
      <c r="N598" s="7">
        <f t="shared" si="8"/>
        <v>10</v>
      </c>
    </row>
    <row r="599" hidden="1">
      <c r="B599" s="3" t="s">
        <v>110</v>
      </c>
      <c r="C599" s="5" t="s">
        <v>1010</v>
      </c>
      <c r="D599" s="3">
        <v>9.0</v>
      </c>
      <c r="E599" s="3">
        <v>0.0</v>
      </c>
      <c r="F599" s="3">
        <f t="shared" si="1"/>
        <v>1</v>
      </c>
      <c r="G599" s="5" t="str">
        <f>IFERROR(__xludf.DUMMYFUNCTION("""COMPUTED_VALUE"""),"https://github.com/anshikaiitm/toronto_github_users")</f>
        <v>https://github.com/anshikaiitm/toronto_github_users</v>
      </c>
      <c r="H599" s="3">
        <f t="shared" si="2"/>
        <v>8</v>
      </c>
      <c r="I599" s="3">
        <f t="shared" si="3"/>
        <v>10</v>
      </c>
      <c r="J599" s="3" t="str">
        <f t="shared" si="4"/>
        <v>No reviews</v>
      </c>
      <c r="K599" s="3" t="str">
        <f t="shared" si="5"/>
        <v>No reviews</v>
      </c>
      <c r="L599" s="7" t="str">
        <f t="shared" si="6"/>
        <v> </v>
      </c>
      <c r="M599" s="7" t="str">
        <f t="shared" si="7"/>
        <v> </v>
      </c>
      <c r="N599" s="7">
        <f t="shared" si="8"/>
        <v>9</v>
      </c>
    </row>
    <row r="600" hidden="1">
      <c r="B600" s="3" t="s">
        <v>112</v>
      </c>
      <c r="C600" s="5" t="s">
        <v>1011</v>
      </c>
      <c r="D600" s="3">
        <v>2.0</v>
      </c>
      <c r="E600" s="3">
        <v>0.0</v>
      </c>
      <c r="F600" s="3">
        <f t="shared" si="1"/>
        <v>2</v>
      </c>
      <c r="G600" s="5" t="str">
        <f>IFERROR(__xludf.DUMMYFUNCTION("""COMPUTED_VALUE"""),"https://github.com/vinaysurya1505/TDS-project-1")</f>
        <v>https://github.com/vinaysurya1505/TDS-project-1</v>
      </c>
      <c r="H600" s="3">
        <f t="shared" si="2"/>
        <v>10</v>
      </c>
      <c r="I600" s="3">
        <f t="shared" si="3"/>
        <v>10</v>
      </c>
      <c r="J600" s="3">
        <f t="shared" si="4"/>
        <v>8</v>
      </c>
      <c r="K600" s="3">
        <f t="shared" si="5"/>
        <v>10</v>
      </c>
      <c r="L600" s="7">
        <f t="shared" si="6"/>
        <v>2</v>
      </c>
      <c r="M600" s="7">
        <f t="shared" si="7"/>
        <v>0</v>
      </c>
      <c r="N600" s="7">
        <f t="shared" si="8"/>
        <v>10</v>
      </c>
    </row>
    <row r="601" hidden="1">
      <c r="B601" s="3" t="s">
        <v>114</v>
      </c>
      <c r="C601" s="5" t="s">
        <v>1012</v>
      </c>
      <c r="D601" s="3">
        <v>0.0</v>
      </c>
      <c r="E601" s="3">
        <v>0.0</v>
      </c>
      <c r="F601" s="3">
        <f t="shared" si="1"/>
        <v>1</v>
      </c>
      <c r="G601" s="5" t="str">
        <f>IFERROR(__xludf.DUMMYFUNCTION("""COMPUTED_VALUE"""),"https://github.com/RajaVishwanathDasari/TDS-Project-1")</f>
        <v>https://github.com/RajaVishwanathDasari/TDS-Project-1</v>
      </c>
      <c r="H601" s="3">
        <f t="shared" si="2"/>
        <v>10</v>
      </c>
      <c r="I601" s="3">
        <f t="shared" si="3"/>
        <v>7</v>
      </c>
      <c r="J601" s="3" t="str">
        <f t="shared" si="4"/>
        <v>No reviews</v>
      </c>
      <c r="K601" s="3" t="str">
        <f t="shared" si="5"/>
        <v>No reviews</v>
      </c>
      <c r="L601" s="7" t="str">
        <f t="shared" si="6"/>
        <v> </v>
      </c>
      <c r="M601" s="7" t="str">
        <f t="shared" si="7"/>
        <v> </v>
      </c>
      <c r="N601" s="7">
        <f t="shared" si="8"/>
        <v>8.5</v>
      </c>
    </row>
    <row r="602" hidden="1">
      <c r="B602" s="3" t="s">
        <v>116</v>
      </c>
      <c r="C602" s="5" t="s">
        <v>117</v>
      </c>
      <c r="D602" s="3">
        <v>10.0</v>
      </c>
      <c r="E602" s="3">
        <v>10.0</v>
      </c>
      <c r="F602" s="3">
        <f t="shared" si="1"/>
        <v>1</v>
      </c>
      <c r="G602" s="5" t="str">
        <f>IFERROR(__xludf.DUMMYFUNCTION("""COMPUTED_VALUE"""),"https://github.com/ShivamS191/hiiii")</f>
        <v>https://github.com/ShivamS191/hiiii</v>
      </c>
      <c r="H602" s="3">
        <f t="shared" si="2"/>
        <v>10</v>
      </c>
      <c r="I602" s="3">
        <f t="shared" si="3"/>
        <v>10</v>
      </c>
      <c r="J602" s="3" t="str">
        <f t="shared" si="4"/>
        <v>No reviews</v>
      </c>
      <c r="K602" s="3" t="str">
        <f t="shared" si="5"/>
        <v>No reviews</v>
      </c>
      <c r="L602" s="7" t="str">
        <f t="shared" si="6"/>
        <v> </v>
      </c>
      <c r="M602" s="7" t="str">
        <f t="shared" si="7"/>
        <v> </v>
      </c>
      <c r="N602" s="7">
        <f t="shared" si="8"/>
        <v>10</v>
      </c>
    </row>
    <row r="603" hidden="1">
      <c r="B603" s="3" t="s">
        <v>118</v>
      </c>
      <c r="C603" s="5" t="s">
        <v>1013</v>
      </c>
      <c r="D603" s="3">
        <v>10.0</v>
      </c>
      <c r="E603" s="3">
        <v>10.0</v>
      </c>
      <c r="F603" s="3">
        <f t="shared" si="1"/>
        <v>2</v>
      </c>
      <c r="G603" s="5" t="str">
        <f>IFERROR(__xludf.DUMMYFUNCTION("""COMPUTED_VALUE"""),"https://github.com/indalbind/tds_project_first")</f>
        <v>https://github.com/indalbind/tds_project_first</v>
      </c>
      <c r="H603" s="3">
        <f t="shared" si="2"/>
        <v>10</v>
      </c>
      <c r="I603" s="3">
        <f t="shared" si="3"/>
        <v>10</v>
      </c>
      <c r="J603" s="3">
        <f t="shared" si="4"/>
        <v>10</v>
      </c>
      <c r="K603" s="3">
        <f t="shared" si="5"/>
        <v>10</v>
      </c>
      <c r="L603" s="7">
        <f t="shared" si="6"/>
        <v>0</v>
      </c>
      <c r="M603" s="7">
        <f t="shared" si="7"/>
        <v>0</v>
      </c>
      <c r="N603" s="7">
        <f t="shared" si="8"/>
        <v>10</v>
      </c>
    </row>
    <row r="604" hidden="1">
      <c r="B604" s="3" t="s">
        <v>120</v>
      </c>
      <c r="C604" s="5" t="s">
        <v>1014</v>
      </c>
      <c r="D604" s="3">
        <v>1.0</v>
      </c>
      <c r="E604" s="3">
        <v>0.0</v>
      </c>
      <c r="F604" s="3">
        <f t="shared" si="1"/>
        <v>1</v>
      </c>
      <c r="G604" s="5" t="str">
        <f>IFERROR(__xludf.DUMMYFUNCTION("""COMPUTED_VALUE"""),"https://github.com/Praveenkunn/TDS-Project1")</f>
        <v>https://github.com/Praveenkunn/TDS-Project1</v>
      </c>
      <c r="H604" s="3">
        <f t="shared" si="2"/>
        <v>9</v>
      </c>
      <c r="I604" s="3">
        <f t="shared" si="3"/>
        <v>1</v>
      </c>
      <c r="J604" s="3" t="str">
        <f t="shared" si="4"/>
        <v>No reviews</v>
      </c>
      <c r="K604" s="3" t="str">
        <f t="shared" si="5"/>
        <v>No reviews</v>
      </c>
      <c r="L604" s="7" t="str">
        <f t="shared" si="6"/>
        <v> </v>
      </c>
      <c r="M604" s="7" t="str">
        <f t="shared" si="7"/>
        <v> </v>
      </c>
      <c r="N604" s="7">
        <f t="shared" si="8"/>
        <v>5</v>
      </c>
    </row>
    <row r="605" hidden="1">
      <c r="B605" s="3" t="s">
        <v>122</v>
      </c>
      <c r="C605" s="5" t="s">
        <v>1015</v>
      </c>
      <c r="D605" s="3">
        <v>10.0</v>
      </c>
      <c r="E605" s="3">
        <v>10.0</v>
      </c>
      <c r="F605" s="3">
        <f t="shared" si="1"/>
        <v>2</v>
      </c>
      <c r="G605" s="5" t="str">
        <f>IFERROR(__xludf.DUMMYFUNCTION("""COMPUTED_VALUE"""),"https://github.com/AnantLuthra/tds-project1")</f>
        <v>https://github.com/AnantLuthra/tds-project1</v>
      </c>
      <c r="H605" s="3">
        <f t="shared" si="2"/>
        <v>8</v>
      </c>
      <c r="I605" s="3">
        <f t="shared" si="3"/>
        <v>10</v>
      </c>
      <c r="J605" s="3">
        <f t="shared" si="4"/>
        <v>9</v>
      </c>
      <c r="K605" s="3">
        <f t="shared" si="5"/>
        <v>10</v>
      </c>
      <c r="L605" s="7">
        <f t="shared" si="6"/>
        <v>1</v>
      </c>
      <c r="M605" s="7">
        <f t="shared" si="7"/>
        <v>0</v>
      </c>
      <c r="N605" s="7">
        <f t="shared" si="8"/>
        <v>9.5</v>
      </c>
    </row>
    <row r="606" hidden="1">
      <c r="B606" s="3" t="s">
        <v>124</v>
      </c>
      <c r="C606" s="5" t="s">
        <v>1016</v>
      </c>
      <c r="D606" s="3">
        <v>6.0</v>
      </c>
      <c r="E606" s="3">
        <v>10.0</v>
      </c>
      <c r="F606" s="3">
        <f t="shared" si="1"/>
        <v>1</v>
      </c>
      <c r="G606" s="5" t="str">
        <f>IFERROR(__xludf.DUMMYFUNCTION("""COMPUTED_VALUE"""),"https://github.com/SravanVullanki/TDSPROJECT1")</f>
        <v>https://github.com/SravanVullanki/TDSPROJECT1</v>
      </c>
      <c r="H606" s="3">
        <f t="shared" si="2"/>
        <v>9</v>
      </c>
      <c r="I606" s="3">
        <f t="shared" si="3"/>
        <v>8</v>
      </c>
      <c r="J606" s="3" t="str">
        <f t="shared" si="4"/>
        <v>No reviews</v>
      </c>
      <c r="K606" s="3" t="str">
        <f t="shared" si="5"/>
        <v>No reviews</v>
      </c>
      <c r="L606" s="7" t="str">
        <f t="shared" si="6"/>
        <v> </v>
      </c>
      <c r="M606" s="7" t="str">
        <f t="shared" si="7"/>
        <v> </v>
      </c>
      <c r="N606" s="7">
        <f t="shared" si="8"/>
        <v>8.5</v>
      </c>
    </row>
    <row r="607" hidden="1">
      <c r="B607" s="3" t="s">
        <v>126</v>
      </c>
      <c r="C607" s="5" t="s">
        <v>1017</v>
      </c>
      <c r="D607" s="3">
        <v>8.0</v>
      </c>
      <c r="E607" s="3">
        <v>10.0</v>
      </c>
      <c r="F607" s="3">
        <f t="shared" si="1"/>
        <v>2</v>
      </c>
      <c r="G607" s="5" t="str">
        <f>IFERROR(__xludf.DUMMYFUNCTION("""COMPUTED_VALUE"""),"https://github.com/AnkitaDev05/TDS-Project1")</f>
        <v>https://github.com/AnkitaDev05/TDS-Project1</v>
      </c>
      <c r="H607" s="3">
        <f t="shared" si="2"/>
        <v>10</v>
      </c>
      <c r="I607" s="3">
        <f t="shared" si="3"/>
        <v>10</v>
      </c>
      <c r="J607" s="3">
        <f t="shared" si="4"/>
        <v>9</v>
      </c>
      <c r="K607" s="3">
        <f t="shared" si="5"/>
        <v>10</v>
      </c>
      <c r="L607" s="7">
        <f t="shared" si="6"/>
        <v>1</v>
      </c>
      <c r="M607" s="7">
        <f t="shared" si="7"/>
        <v>0</v>
      </c>
      <c r="N607" s="7">
        <f t="shared" si="8"/>
        <v>10</v>
      </c>
    </row>
    <row r="608" hidden="1">
      <c r="B608" s="3" t="s">
        <v>128</v>
      </c>
      <c r="C608" s="5" t="s">
        <v>1018</v>
      </c>
      <c r="D608" s="3">
        <v>9.0</v>
      </c>
      <c r="E608" s="3">
        <v>10.0</v>
      </c>
      <c r="F608" s="3">
        <f t="shared" si="1"/>
        <v>1</v>
      </c>
      <c r="G608" s="5" t="str">
        <f>IFERROR(__xludf.DUMMYFUNCTION("""COMPUTED_VALUE"""),"https://github.com/tejasreematta/TDS-Project-1")</f>
        <v>https://github.com/tejasreematta/TDS-Project-1</v>
      </c>
      <c r="H608" s="3">
        <f t="shared" si="2"/>
        <v>10</v>
      </c>
      <c r="I608" s="3">
        <f t="shared" si="3"/>
        <v>10</v>
      </c>
      <c r="J608" s="3" t="str">
        <f t="shared" si="4"/>
        <v>No reviews</v>
      </c>
      <c r="K608" s="3" t="str">
        <f t="shared" si="5"/>
        <v>No reviews</v>
      </c>
      <c r="L608" s="7" t="str">
        <f t="shared" si="6"/>
        <v> </v>
      </c>
      <c r="M608" s="7" t="str">
        <f t="shared" si="7"/>
        <v> </v>
      </c>
      <c r="N608" s="7">
        <f t="shared" si="8"/>
        <v>10</v>
      </c>
    </row>
    <row r="609" hidden="1">
      <c r="B609" s="3" t="s">
        <v>130</v>
      </c>
      <c r="C609" s="5" t="s">
        <v>1011</v>
      </c>
      <c r="D609" s="3">
        <v>6.0</v>
      </c>
      <c r="E609" s="3">
        <v>0.0</v>
      </c>
      <c r="F609" s="3">
        <f t="shared" si="1"/>
        <v>2</v>
      </c>
      <c r="G609" s="5" t="str">
        <f>IFERROR(__xludf.DUMMYFUNCTION("""COMPUTED_VALUE"""),"https://github.com/ishitabhalla16/TDS-Project-1")</f>
        <v>https://github.com/ishitabhalla16/TDS-Project-1</v>
      </c>
      <c r="H609" s="3">
        <f t="shared" si="2"/>
        <v>8</v>
      </c>
      <c r="I609" s="3">
        <f t="shared" si="3"/>
        <v>0</v>
      </c>
      <c r="J609" s="3">
        <f t="shared" si="4"/>
        <v>7</v>
      </c>
      <c r="K609" s="3">
        <f t="shared" si="5"/>
        <v>0</v>
      </c>
      <c r="L609" s="7">
        <f t="shared" si="6"/>
        <v>1</v>
      </c>
      <c r="M609" s="7">
        <f t="shared" si="7"/>
        <v>0</v>
      </c>
      <c r="N609" s="7">
        <f t="shared" si="8"/>
        <v>4</v>
      </c>
    </row>
    <row r="610" hidden="1">
      <c r="B610" s="3" t="s">
        <v>131</v>
      </c>
      <c r="C610" s="5" t="s">
        <v>1019</v>
      </c>
      <c r="D610" s="3">
        <v>7.0</v>
      </c>
      <c r="E610" s="3">
        <v>7.0</v>
      </c>
      <c r="F610" s="3">
        <f t="shared" si="1"/>
        <v>2</v>
      </c>
      <c r="G610" s="5" t="str">
        <f>IFERROR(__xludf.DUMMYFUNCTION("""COMPUTED_VALUE"""),"https://github.com/leyther5813/b100")</f>
        <v>https://github.com/leyther5813/b100</v>
      </c>
      <c r="H610" s="3">
        <f t="shared" si="2"/>
        <v>10</v>
      </c>
      <c r="I610" s="3">
        <f t="shared" si="3"/>
        <v>10</v>
      </c>
      <c r="J610" s="3">
        <f t="shared" si="4"/>
        <v>8</v>
      </c>
      <c r="K610" s="3">
        <f t="shared" si="5"/>
        <v>0</v>
      </c>
      <c r="L610" s="7">
        <f t="shared" si="6"/>
        <v>2</v>
      </c>
      <c r="M610" s="7">
        <f t="shared" si="7"/>
        <v>10</v>
      </c>
      <c r="N610" s="7">
        <f t="shared" si="8"/>
        <v>10</v>
      </c>
    </row>
    <row r="611" hidden="1">
      <c r="B611" s="3" t="s">
        <v>133</v>
      </c>
      <c r="C611" s="5" t="s">
        <v>1020</v>
      </c>
      <c r="D611" s="3">
        <v>10.0</v>
      </c>
      <c r="E611" s="3">
        <v>10.0</v>
      </c>
      <c r="F611" s="3">
        <f t="shared" si="1"/>
        <v>1</v>
      </c>
      <c r="G611" s="5" t="str">
        <f>IFERROR(__xludf.DUMMYFUNCTION("""COMPUTED_VALUE"""),"https://github.com/SANDESH9098/TDS-Project1")</f>
        <v>https://github.com/SANDESH9098/TDS-Project1</v>
      </c>
      <c r="H611" s="3">
        <f t="shared" si="2"/>
        <v>10</v>
      </c>
      <c r="I611" s="3">
        <f t="shared" si="3"/>
        <v>0</v>
      </c>
      <c r="J611" s="3" t="str">
        <f t="shared" si="4"/>
        <v>No reviews</v>
      </c>
      <c r="K611" s="3" t="str">
        <f t="shared" si="5"/>
        <v>No reviews</v>
      </c>
      <c r="L611" s="7" t="str">
        <f t="shared" si="6"/>
        <v> </v>
      </c>
      <c r="M611" s="7" t="str">
        <f t="shared" si="7"/>
        <v> </v>
      </c>
      <c r="N611" s="7">
        <f t="shared" si="8"/>
        <v>5</v>
      </c>
    </row>
    <row r="612" hidden="1">
      <c r="B612" s="3" t="s">
        <v>135</v>
      </c>
      <c r="C612" s="5" t="s">
        <v>991</v>
      </c>
      <c r="D612" s="3">
        <v>9.0</v>
      </c>
      <c r="E612" s="3">
        <v>9.0</v>
      </c>
      <c r="F612" s="3">
        <f t="shared" si="1"/>
        <v>1</v>
      </c>
      <c r="G612" s="5" t="str">
        <f>IFERROR(__xludf.DUMMYFUNCTION("""COMPUTED_VALUE"""),"https://github.com/Abhinandan-IIT-M/austin-github-users.git")</f>
        <v>https://github.com/Abhinandan-IIT-M/austin-github-users.git</v>
      </c>
      <c r="H612" s="3">
        <f t="shared" si="2"/>
        <v>10</v>
      </c>
      <c r="I612" s="3">
        <f t="shared" si="3"/>
        <v>10</v>
      </c>
      <c r="J612" s="3" t="str">
        <f t="shared" si="4"/>
        <v>No reviews</v>
      </c>
      <c r="K612" s="3" t="str">
        <f t="shared" si="5"/>
        <v>No reviews</v>
      </c>
      <c r="L612" s="7" t="str">
        <f t="shared" si="6"/>
        <v> </v>
      </c>
      <c r="M612" s="7" t="str">
        <f t="shared" si="7"/>
        <v> </v>
      </c>
      <c r="N612" s="7">
        <f t="shared" si="8"/>
        <v>10</v>
      </c>
    </row>
    <row r="613" hidden="1">
      <c r="B613" s="3" t="s">
        <v>136</v>
      </c>
      <c r="C613" s="5" t="s">
        <v>1021</v>
      </c>
      <c r="D613" s="3">
        <v>10.0</v>
      </c>
      <c r="E613" s="3">
        <v>10.0</v>
      </c>
      <c r="F613" s="3">
        <f t="shared" si="1"/>
        <v>1</v>
      </c>
      <c r="G613" s="5" t="str">
        <f>IFERROR(__xludf.DUMMYFUNCTION("""COMPUTED_VALUE"""),"https://github.com/sn1411/chicago-github-users")</f>
        <v>https://github.com/sn1411/chicago-github-users</v>
      </c>
      <c r="H613" s="3">
        <f t="shared" si="2"/>
        <v>10</v>
      </c>
      <c r="I613" s="3">
        <f t="shared" si="3"/>
        <v>10</v>
      </c>
      <c r="J613" s="3" t="str">
        <f t="shared" si="4"/>
        <v>No reviews</v>
      </c>
      <c r="K613" s="3" t="str">
        <f t="shared" si="5"/>
        <v>No reviews</v>
      </c>
      <c r="L613" s="7" t="str">
        <f t="shared" si="6"/>
        <v> </v>
      </c>
      <c r="M613" s="7" t="str">
        <f t="shared" si="7"/>
        <v> </v>
      </c>
      <c r="N613" s="7">
        <f t="shared" si="8"/>
        <v>10</v>
      </c>
    </row>
    <row r="614" hidden="1">
      <c r="B614" s="3" t="s">
        <v>138</v>
      </c>
      <c r="C614" s="5" t="s">
        <v>1019</v>
      </c>
      <c r="D614" s="3">
        <v>5.0</v>
      </c>
      <c r="E614" s="3">
        <v>5.0</v>
      </c>
      <c r="F614" s="3">
        <f t="shared" si="1"/>
        <v>2</v>
      </c>
      <c r="G614" s="5" t="str">
        <f>IFERROR(__xludf.DUMMYFUNCTION("""COMPUTED_VALUE"""),"https://github.com/akulbansal1/TDS_Project_1")</f>
        <v>https://github.com/akulbansal1/TDS_Project_1</v>
      </c>
      <c r="H614" s="3">
        <f t="shared" si="2"/>
        <v>10</v>
      </c>
      <c r="I614" s="3">
        <f t="shared" si="3"/>
        <v>5</v>
      </c>
      <c r="J614" s="3">
        <f t="shared" si="4"/>
        <v>8</v>
      </c>
      <c r="K614" s="3">
        <f t="shared" si="5"/>
        <v>6</v>
      </c>
      <c r="L614" s="7">
        <f t="shared" si="6"/>
        <v>2</v>
      </c>
      <c r="M614" s="7">
        <f t="shared" si="7"/>
        <v>1</v>
      </c>
      <c r="N614" s="7">
        <f t="shared" si="8"/>
        <v>7.5</v>
      </c>
    </row>
    <row r="615" hidden="1">
      <c r="B615" s="3" t="s">
        <v>139</v>
      </c>
      <c r="C615" s="5" t="s">
        <v>1022</v>
      </c>
      <c r="D615" s="3">
        <v>1.0</v>
      </c>
      <c r="E615" s="3">
        <v>7.0</v>
      </c>
      <c r="F615" s="3">
        <f t="shared" si="1"/>
        <v>1</v>
      </c>
      <c r="G615" s="5" t="str">
        <f>IFERROR(__xludf.DUMMYFUNCTION("""COMPUTED_VALUE"""),"https://github.com/PradeepIITMBS/TDS-PROJECT-1")</f>
        <v>https://github.com/PradeepIITMBS/TDS-PROJECT-1</v>
      </c>
      <c r="H615" s="3">
        <f t="shared" si="2"/>
        <v>10</v>
      </c>
      <c r="I615" s="3">
        <f t="shared" si="3"/>
        <v>10</v>
      </c>
      <c r="J615" s="3" t="str">
        <f t="shared" si="4"/>
        <v>No reviews</v>
      </c>
      <c r="K615" s="3" t="str">
        <f t="shared" si="5"/>
        <v>No reviews</v>
      </c>
      <c r="L615" s="7" t="str">
        <f t="shared" si="6"/>
        <v> </v>
      </c>
      <c r="M615" s="7" t="str">
        <f t="shared" si="7"/>
        <v> </v>
      </c>
      <c r="N615" s="7">
        <f t="shared" si="8"/>
        <v>10</v>
      </c>
    </row>
    <row r="616" hidden="1">
      <c r="B616" s="3" t="s">
        <v>141</v>
      </c>
      <c r="C616" s="5" t="s">
        <v>1023</v>
      </c>
      <c r="D616" s="3">
        <v>6.0</v>
      </c>
      <c r="E616" s="3">
        <v>8.0</v>
      </c>
      <c r="F616" s="3">
        <f t="shared" si="1"/>
        <v>2</v>
      </c>
      <c r="G616" s="5" t="str">
        <f>IFERROR(__xludf.DUMMYFUNCTION("""COMPUTED_VALUE"""),"https://github.com/Jayaprakash1710/TDS-Project-1")</f>
        <v>https://github.com/Jayaprakash1710/TDS-Project-1</v>
      </c>
      <c r="H616" s="3">
        <f t="shared" si="2"/>
        <v>9</v>
      </c>
      <c r="I616" s="3">
        <f t="shared" si="3"/>
        <v>8</v>
      </c>
      <c r="J616" s="3">
        <f t="shared" si="4"/>
        <v>8</v>
      </c>
      <c r="K616" s="3">
        <f t="shared" si="5"/>
        <v>10</v>
      </c>
      <c r="L616" s="7">
        <f t="shared" si="6"/>
        <v>1</v>
      </c>
      <c r="M616" s="7">
        <f t="shared" si="7"/>
        <v>2</v>
      </c>
      <c r="N616" s="7">
        <f t="shared" si="8"/>
        <v>9</v>
      </c>
    </row>
    <row r="617" hidden="1">
      <c r="B617" s="3" t="s">
        <v>143</v>
      </c>
      <c r="C617" s="5" t="s">
        <v>1024</v>
      </c>
      <c r="D617" s="3">
        <v>0.0</v>
      </c>
      <c r="E617" s="3">
        <v>0.0</v>
      </c>
      <c r="F617" s="3">
        <f t="shared" si="1"/>
        <v>1</v>
      </c>
      <c r="G617" s="5" t="str">
        <f>IFERROR(__xludf.DUMMYFUNCTION("""COMPUTED_VALUE"""),"https://github.com/Rosh-10/tds-project-1")</f>
        <v>https://github.com/Rosh-10/tds-project-1</v>
      </c>
      <c r="H617" s="3">
        <f t="shared" si="2"/>
        <v>10</v>
      </c>
      <c r="I617" s="3">
        <f t="shared" si="3"/>
        <v>8</v>
      </c>
      <c r="J617" s="3" t="str">
        <f t="shared" si="4"/>
        <v>No reviews</v>
      </c>
      <c r="K617" s="3" t="str">
        <f t="shared" si="5"/>
        <v>No reviews</v>
      </c>
      <c r="L617" s="7" t="str">
        <f t="shared" si="6"/>
        <v> </v>
      </c>
      <c r="M617" s="7" t="str">
        <f t="shared" si="7"/>
        <v> </v>
      </c>
      <c r="N617" s="7">
        <f t="shared" si="8"/>
        <v>9</v>
      </c>
    </row>
    <row r="618" hidden="1">
      <c r="B618" s="3" t="s">
        <v>145</v>
      </c>
      <c r="C618" s="5" t="s">
        <v>1025</v>
      </c>
      <c r="D618" s="3">
        <v>0.0</v>
      </c>
      <c r="E618" s="3">
        <v>0.0</v>
      </c>
      <c r="F618" s="3">
        <f t="shared" si="1"/>
        <v>1</v>
      </c>
      <c r="G618" s="5" t="str">
        <f>IFERROR(__xludf.DUMMYFUNCTION("""COMPUTED_VALUE"""),"https://github.com/ml1608/TDS-Project1")</f>
        <v>https://github.com/ml1608/TDS-Project1</v>
      </c>
      <c r="H618" s="3">
        <f t="shared" si="2"/>
        <v>6</v>
      </c>
      <c r="I618" s="3">
        <f t="shared" si="3"/>
        <v>10</v>
      </c>
      <c r="J618" s="3" t="str">
        <f t="shared" si="4"/>
        <v>No reviews</v>
      </c>
      <c r="K618" s="3" t="str">
        <f t="shared" si="5"/>
        <v>No reviews</v>
      </c>
      <c r="L618" s="7" t="str">
        <f t="shared" si="6"/>
        <v> </v>
      </c>
      <c r="M618" s="7" t="str">
        <f t="shared" si="7"/>
        <v> </v>
      </c>
      <c r="N618" s="7">
        <f t="shared" si="8"/>
        <v>8</v>
      </c>
    </row>
    <row r="619" hidden="1">
      <c r="B619" s="3" t="s">
        <v>147</v>
      </c>
      <c r="C619" s="5" t="s">
        <v>1026</v>
      </c>
      <c r="D619" s="3">
        <v>9.0</v>
      </c>
      <c r="E619" s="3">
        <v>7.0</v>
      </c>
      <c r="F619" s="3">
        <f t="shared" si="1"/>
        <v>2</v>
      </c>
      <c r="G619" s="5" t="str">
        <f>IFERROR(__xludf.DUMMYFUNCTION("""COMPUTED_VALUE"""),"https://github.com/22f3000398/TDS-Project")</f>
        <v>https://github.com/22f3000398/TDS-Project</v>
      </c>
      <c r="H619" s="3">
        <f t="shared" si="2"/>
        <v>1</v>
      </c>
      <c r="I619" s="3">
        <f t="shared" si="3"/>
        <v>7</v>
      </c>
      <c r="J619" s="3">
        <f t="shared" si="4"/>
        <v>0</v>
      </c>
      <c r="K619" s="3">
        <f t="shared" si="5"/>
        <v>10</v>
      </c>
      <c r="L619" s="7">
        <f t="shared" si="6"/>
        <v>1</v>
      </c>
      <c r="M619" s="7">
        <f t="shared" si="7"/>
        <v>3</v>
      </c>
      <c r="N619" s="7">
        <f t="shared" si="8"/>
        <v>5</v>
      </c>
    </row>
    <row r="620" hidden="1">
      <c r="B620" s="3" t="s">
        <v>149</v>
      </c>
      <c r="C620" s="5" t="s">
        <v>1027</v>
      </c>
      <c r="D620" s="3">
        <v>10.0</v>
      </c>
      <c r="E620" s="3">
        <v>10.0</v>
      </c>
      <c r="F620" s="3">
        <f t="shared" si="1"/>
        <v>2</v>
      </c>
      <c r="G620" s="5" t="str">
        <f>IFERROR(__xludf.DUMMYFUNCTION("""COMPUTED_VALUE"""),"https://github.com/Varun-K34/github-users-toronto")</f>
        <v>https://github.com/Varun-K34/github-users-toronto</v>
      </c>
      <c r="H620" s="3">
        <f t="shared" si="2"/>
        <v>8</v>
      </c>
      <c r="I620" s="3">
        <f t="shared" si="3"/>
        <v>9</v>
      </c>
      <c r="J620" s="3">
        <f t="shared" si="4"/>
        <v>10</v>
      </c>
      <c r="K620" s="3">
        <f t="shared" si="5"/>
        <v>10</v>
      </c>
      <c r="L620" s="7">
        <f t="shared" si="6"/>
        <v>2</v>
      </c>
      <c r="M620" s="7">
        <f t="shared" si="7"/>
        <v>1</v>
      </c>
      <c r="N620" s="7">
        <f t="shared" si="8"/>
        <v>10</v>
      </c>
    </row>
    <row r="621" hidden="1">
      <c r="B621" s="3" t="s">
        <v>151</v>
      </c>
      <c r="C621" s="5" t="s">
        <v>1028</v>
      </c>
      <c r="D621" s="3">
        <v>10.0</v>
      </c>
      <c r="E621" s="3">
        <v>10.0</v>
      </c>
      <c r="F621" s="3">
        <f t="shared" si="1"/>
        <v>2</v>
      </c>
      <c r="G621" s="5" t="str">
        <f>IFERROR(__xludf.DUMMYFUNCTION("""COMPUTED_VALUE"""),"https://github.com/raunak-kumar800/tds-project")</f>
        <v>https://github.com/raunak-kumar800/tds-project</v>
      </c>
      <c r="H621" s="3">
        <f t="shared" si="2"/>
        <v>5</v>
      </c>
      <c r="I621" s="3">
        <f t="shared" si="3"/>
        <v>8</v>
      </c>
      <c r="J621" s="3">
        <f t="shared" si="4"/>
        <v>10</v>
      </c>
      <c r="K621" s="3">
        <f t="shared" si="5"/>
        <v>10</v>
      </c>
      <c r="L621" s="7">
        <f t="shared" si="6"/>
        <v>5</v>
      </c>
      <c r="M621" s="7">
        <f t="shared" si="7"/>
        <v>2</v>
      </c>
      <c r="N621" s="7">
        <f t="shared" si="8"/>
        <v>10</v>
      </c>
    </row>
    <row r="622" hidden="1">
      <c r="B622" s="3" t="s">
        <v>153</v>
      </c>
      <c r="C622" s="5" t="s">
        <v>1029</v>
      </c>
      <c r="D622" s="3">
        <v>10.0</v>
      </c>
      <c r="E622" s="3">
        <v>10.0</v>
      </c>
      <c r="F622" s="3">
        <f t="shared" si="1"/>
        <v>1</v>
      </c>
      <c r="G622" s="5" t="str">
        <f>IFERROR(__xludf.DUMMYFUNCTION("""COMPUTED_VALUE"""),"https://github.com/deep2003tds/project1/blob/main/repositories.csv")</f>
        <v>https://github.com/deep2003tds/project1/blob/main/repositories.csv</v>
      </c>
      <c r="H622" s="3">
        <f t="shared" si="2"/>
        <v>7</v>
      </c>
      <c r="I622" s="3">
        <f t="shared" si="3"/>
        <v>6</v>
      </c>
      <c r="J622" s="3" t="str">
        <f t="shared" si="4"/>
        <v>No reviews</v>
      </c>
      <c r="K622" s="3" t="str">
        <f t="shared" si="5"/>
        <v>No reviews</v>
      </c>
      <c r="L622" s="7" t="str">
        <f t="shared" si="6"/>
        <v> </v>
      </c>
      <c r="M622" s="7" t="str">
        <f t="shared" si="7"/>
        <v> </v>
      </c>
      <c r="N622" s="7">
        <f t="shared" si="8"/>
        <v>6.5</v>
      </c>
    </row>
    <row r="623" hidden="1">
      <c r="B623" s="3" t="s">
        <v>155</v>
      </c>
      <c r="C623" s="5" t="s">
        <v>1030</v>
      </c>
      <c r="D623" s="3">
        <v>8.0</v>
      </c>
      <c r="E623" s="3">
        <v>8.0</v>
      </c>
      <c r="F623" s="3">
        <f t="shared" si="1"/>
        <v>2</v>
      </c>
      <c r="G623" s="5" t="str">
        <f>IFERROR(__xludf.DUMMYFUNCTION("""COMPUTED_VALUE"""),"https://github.com/RK-Codes-IITMBS/TDS-Project-1")</f>
        <v>https://github.com/RK-Codes-IITMBS/TDS-Project-1</v>
      </c>
      <c r="H623" s="3">
        <f t="shared" si="2"/>
        <v>8</v>
      </c>
      <c r="I623" s="3">
        <f t="shared" si="3"/>
        <v>8</v>
      </c>
      <c r="J623" s="3">
        <f t="shared" si="4"/>
        <v>10</v>
      </c>
      <c r="K623" s="3">
        <f t="shared" si="5"/>
        <v>10</v>
      </c>
      <c r="L623" s="7">
        <f t="shared" si="6"/>
        <v>2</v>
      </c>
      <c r="M623" s="7">
        <f t="shared" si="7"/>
        <v>2</v>
      </c>
      <c r="N623" s="7">
        <f t="shared" si="8"/>
        <v>10</v>
      </c>
    </row>
    <row r="624" hidden="1">
      <c r="B624" s="3" t="s">
        <v>157</v>
      </c>
      <c r="C624" s="5" t="s">
        <v>1031</v>
      </c>
      <c r="D624" s="3">
        <v>7.0</v>
      </c>
      <c r="E624" s="3">
        <v>0.0</v>
      </c>
      <c r="F624" s="3">
        <f t="shared" si="1"/>
        <v>1</v>
      </c>
      <c r="G624" s="5" t="str">
        <f>IFERROR(__xludf.DUMMYFUNCTION("""COMPUTED_VALUE"""),"https://github.com/chandrabs25/tds_project1")</f>
        <v>https://github.com/chandrabs25/tds_project1</v>
      </c>
      <c r="H624" s="3">
        <f t="shared" si="2"/>
        <v>5</v>
      </c>
      <c r="I624" s="3">
        <f t="shared" si="3"/>
        <v>10</v>
      </c>
      <c r="J624" s="3" t="str">
        <f t="shared" si="4"/>
        <v>No reviews</v>
      </c>
      <c r="K624" s="3" t="str">
        <f t="shared" si="5"/>
        <v>No reviews</v>
      </c>
      <c r="L624" s="7" t="str">
        <f t="shared" si="6"/>
        <v> </v>
      </c>
      <c r="M624" s="7" t="str">
        <f t="shared" si="7"/>
        <v> </v>
      </c>
      <c r="N624" s="7">
        <f t="shared" si="8"/>
        <v>7.5</v>
      </c>
    </row>
    <row r="625" hidden="1">
      <c r="B625" s="3" t="s">
        <v>159</v>
      </c>
      <c r="C625" s="5" t="s">
        <v>1032</v>
      </c>
      <c r="D625" s="3">
        <v>10.0</v>
      </c>
      <c r="E625" s="3">
        <v>10.0</v>
      </c>
      <c r="F625" s="3">
        <f t="shared" si="1"/>
        <v>2</v>
      </c>
      <c r="G625" s="5" t="str">
        <f>IFERROR(__xludf.DUMMYFUNCTION("""COMPUTED_VALUE"""),"https://github.com/azh-py/london-github-users")</f>
        <v>https://github.com/azh-py/london-github-users</v>
      </c>
      <c r="H625" s="3">
        <f t="shared" si="2"/>
        <v>4</v>
      </c>
      <c r="I625" s="3">
        <f t="shared" si="3"/>
        <v>9</v>
      </c>
      <c r="J625" s="3">
        <f t="shared" si="4"/>
        <v>0</v>
      </c>
      <c r="K625" s="3">
        <f t="shared" si="5"/>
        <v>8</v>
      </c>
      <c r="L625" s="7">
        <f t="shared" si="6"/>
        <v>4</v>
      </c>
      <c r="M625" s="7">
        <f t="shared" si="7"/>
        <v>1</v>
      </c>
      <c r="N625" s="7">
        <f t="shared" si="8"/>
        <v>6.5</v>
      </c>
    </row>
    <row r="626" hidden="1">
      <c r="B626" s="3" t="s">
        <v>161</v>
      </c>
      <c r="C626" s="5" t="s">
        <v>1033</v>
      </c>
      <c r="D626" s="3">
        <v>7.0</v>
      </c>
      <c r="E626" s="3">
        <v>8.0</v>
      </c>
      <c r="F626" s="3">
        <f t="shared" si="1"/>
        <v>2</v>
      </c>
      <c r="G626" s="5" t="str">
        <f>IFERROR(__xludf.DUMMYFUNCTION("""COMPUTED_VALUE"""),"https://github.com/kabir2505/zurich_scraping-tds")</f>
        <v>https://github.com/kabir2505/zurich_scraping-tds</v>
      </c>
      <c r="H626" s="3">
        <f t="shared" si="2"/>
        <v>10</v>
      </c>
      <c r="I626" s="3">
        <f t="shared" si="3"/>
        <v>10</v>
      </c>
      <c r="J626" s="3">
        <f t="shared" si="4"/>
        <v>10</v>
      </c>
      <c r="K626" s="3">
        <f t="shared" si="5"/>
        <v>10</v>
      </c>
      <c r="L626" s="7">
        <f t="shared" si="6"/>
        <v>0</v>
      </c>
      <c r="M626" s="7">
        <f t="shared" si="7"/>
        <v>0</v>
      </c>
      <c r="N626" s="7">
        <f t="shared" si="8"/>
        <v>10</v>
      </c>
    </row>
    <row r="627" hidden="1">
      <c r="B627" s="3" t="s">
        <v>163</v>
      </c>
      <c r="C627" s="5" t="s">
        <v>1034</v>
      </c>
      <c r="D627" s="3">
        <v>9.0</v>
      </c>
      <c r="E627" s="3">
        <v>9.0</v>
      </c>
      <c r="F627" s="3">
        <f t="shared" si="1"/>
        <v>2</v>
      </c>
      <c r="G627" s="5" t="str">
        <f>IFERROR(__xludf.DUMMYFUNCTION("""COMPUTED_VALUE"""),"https://github.com/23f1000647/tds-project-1")</f>
        <v>https://github.com/23f1000647/tds-project-1</v>
      </c>
      <c r="H627" s="3">
        <f t="shared" si="2"/>
        <v>9</v>
      </c>
      <c r="I627" s="3">
        <f t="shared" si="3"/>
        <v>8</v>
      </c>
      <c r="J627" s="3">
        <f t="shared" si="4"/>
        <v>8</v>
      </c>
      <c r="K627" s="3">
        <f t="shared" si="5"/>
        <v>10</v>
      </c>
      <c r="L627" s="7">
        <f t="shared" si="6"/>
        <v>1</v>
      </c>
      <c r="M627" s="7">
        <f t="shared" si="7"/>
        <v>2</v>
      </c>
      <c r="N627" s="7">
        <f t="shared" si="8"/>
        <v>9</v>
      </c>
    </row>
    <row r="628" hidden="1">
      <c r="B628" s="3" t="s">
        <v>165</v>
      </c>
      <c r="C628" s="5" t="s">
        <v>1035</v>
      </c>
      <c r="D628" s="3">
        <v>7.0</v>
      </c>
      <c r="E628" s="3">
        <v>7.0</v>
      </c>
      <c r="F628" s="3">
        <f t="shared" si="1"/>
        <v>1</v>
      </c>
      <c r="G628" s="5" t="str">
        <f>IFERROR(__xludf.DUMMYFUNCTION("""COMPUTED_VALUE"""),"https://github.com/pranshu0205/TDS-Project-1")</f>
        <v>https://github.com/pranshu0205/TDS-Project-1</v>
      </c>
      <c r="H628" s="3">
        <f t="shared" si="2"/>
        <v>10</v>
      </c>
      <c r="I628" s="3">
        <f t="shared" si="3"/>
        <v>10</v>
      </c>
      <c r="J628" s="3" t="str">
        <f t="shared" si="4"/>
        <v>No reviews</v>
      </c>
      <c r="K628" s="3" t="str">
        <f t="shared" si="5"/>
        <v>No reviews</v>
      </c>
      <c r="L628" s="7" t="str">
        <f t="shared" si="6"/>
        <v> </v>
      </c>
      <c r="M628" s="7" t="str">
        <f t="shared" si="7"/>
        <v> </v>
      </c>
      <c r="N628" s="7">
        <f t="shared" si="8"/>
        <v>10</v>
      </c>
    </row>
    <row r="629" hidden="1">
      <c r="B629" s="3" t="s">
        <v>167</v>
      </c>
      <c r="C629" s="5" t="s">
        <v>1001</v>
      </c>
      <c r="D629" s="3">
        <v>10.0</v>
      </c>
      <c r="E629" s="3">
        <v>8.0</v>
      </c>
      <c r="F629" s="3">
        <f t="shared" si="1"/>
        <v>2</v>
      </c>
      <c r="G629" s="5" t="str">
        <f>IFERROR(__xludf.DUMMYFUNCTION("""COMPUTED_VALUE"""),"https://github.com/abhi-manyu04/tds-pr1")</f>
        <v>https://github.com/abhi-manyu04/tds-pr1</v>
      </c>
      <c r="H629" s="3">
        <f t="shared" si="2"/>
        <v>8</v>
      </c>
      <c r="I629" s="3">
        <f t="shared" si="3"/>
        <v>10</v>
      </c>
      <c r="J629" s="3">
        <f t="shared" si="4"/>
        <v>10</v>
      </c>
      <c r="K629" s="3">
        <f t="shared" si="5"/>
        <v>10</v>
      </c>
      <c r="L629" s="7">
        <f t="shared" si="6"/>
        <v>2</v>
      </c>
      <c r="M629" s="7">
        <f t="shared" si="7"/>
        <v>0</v>
      </c>
      <c r="N629" s="7">
        <f t="shared" si="8"/>
        <v>10</v>
      </c>
    </row>
    <row r="630" hidden="1">
      <c r="B630" s="3" t="s">
        <v>168</v>
      </c>
      <c r="C630" s="5" t="s">
        <v>1036</v>
      </c>
      <c r="D630" s="3">
        <v>10.0</v>
      </c>
      <c r="E630" s="3">
        <v>10.0</v>
      </c>
      <c r="F630" s="3">
        <f t="shared" si="1"/>
        <v>2</v>
      </c>
      <c r="G630" s="5" t="str">
        <f>IFERROR(__xludf.DUMMYFUNCTION("""COMPUTED_VALUE"""),"https://github.com/drashtish/TDS-Project1")</f>
        <v>https://github.com/drashtish/TDS-Project1</v>
      </c>
      <c r="H630" s="3">
        <f t="shared" si="2"/>
        <v>10</v>
      </c>
      <c r="I630" s="3">
        <f t="shared" si="3"/>
        <v>0</v>
      </c>
      <c r="J630" s="3">
        <f t="shared" si="4"/>
        <v>7</v>
      </c>
      <c r="K630" s="3">
        <f t="shared" si="5"/>
        <v>8</v>
      </c>
      <c r="L630" s="7">
        <f t="shared" si="6"/>
        <v>3</v>
      </c>
      <c r="M630" s="7">
        <f t="shared" si="7"/>
        <v>8</v>
      </c>
      <c r="N630" s="7">
        <f t="shared" si="8"/>
        <v>7.5</v>
      </c>
    </row>
    <row r="631" hidden="1">
      <c r="B631" s="3" t="s">
        <v>170</v>
      </c>
      <c r="C631" s="5" t="s">
        <v>1037</v>
      </c>
      <c r="D631" s="3">
        <v>6.0</v>
      </c>
      <c r="E631" s="3">
        <v>9.0</v>
      </c>
      <c r="F631" s="3">
        <f t="shared" si="1"/>
        <v>2</v>
      </c>
      <c r="G631" s="5" t="str">
        <f>IFERROR(__xludf.DUMMYFUNCTION("""COMPUTED_VALUE"""),"https://github.com/Tanuroy10/TdsProject")</f>
        <v>https://github.com/Tanuroy10/TdsProject</v>
      </c>
      <c r="H631" s="3">
        <f t="shared" si="2"/>
        <v>5</v>
      </c>
      <c r="I631" s="3">
        <f t="shared" si="3"/>
        <v>0</v>
      </c>
      <c r="J631" s="3">
        <f t="shared" si="4"/>
        <v>10</v>
      </c>
      <c r="K631" s="3">
        <f t="shared" si="5"/>
        <v>10</v>
      </c>
      <c r="L631" s="7">
        <f t="shared" si="6"/>
        <v>5</v>
      </c>
      <c r="M631" s="7">
        <f t="shared" si="7"/>
        <v>10</v>
      </c>
      <c r="N631" s="7">
        <f t="shared" si="8"/>
        <v>10</v>
      </c>
    </row>
    <row r="632" hidden="1">
      <c r="B632" s="3" t="s">
        <v>172</v>
      </c>
      <c r="C632" s="5" t="s">
        <v>1038</v>
      </c>
      <c r="D632" s="3">
        <v>10.0</v>
      </c>
      <c r="E632" s="3">
        <v>10.0</v>
      </c>
      <c r="F632" s="3">
        <f t="shared" si="1"/>
        <v>2</v>
      </c>
      <c r="G632" s="5" t="str">
        <f>IFERROR(__xludf.DUMMYFUNCTION("""COMPUTED_VALUE"""),"https://github.com/vath-21/tdsproject1")</f>
        <v>https://github.com/vath-21/tdsproject1</v>
      </c>
      <c r="H632" s="3">
        <f t="shared" si="2"/>
        <v>8</v>
      </c>
      <c r="I632" s="3">
        <f t="shared" si="3"/>
        <v>10</v>
      </c>
      <c r="J632" s="3">
        <f t="shared" si="4"/>
        <v>5</v>
      </c>
      <c r="K632" s="3">
        <f t="shared" si="5"/>
        <v>7</v>
      </c>
      <c r="L632" s="7">
        <f t="shared" si="6"/>
        <v>3</v>
      </c>
      <c r="M632" s="7">
        <f t="shared" si="7"/>
        <v>3</v>
      </c>
      <c r="N632" s="7">
        <f t="shared" si="8"/>
        <v>9</v>
      </c>
    </row>
    <row r="633" hidden="1">
      <c r="B633" s="3" t="s">
        <v>174</v>
      </c>
      <c r="C633" s="5" t="s">
        <v>1039</v>
      </c>
      <c r="D633" s="3">
        <v>2.0</v>
      </c>
      <c r="E633" s="3">
        <v>5.0</v>
      </c>
      <c r="F633" s="3">
        <f t="shared" si="1"/>
        <v>2</v>
      </c>
      <c r="G633" s="5" t="str">
        <f>IFERROR(__xludf.DUMMYFUNCTION("""COMPUTED_VALUE"""),"https://github.com/swaraj753/Project-1")</f>
        <v>https://github.com/swaraj753/Project-1</v>
      </c>
      <c r="H633" s="3">
        <f t="shared" si="2"/>
        <v>8</v>
      </c>
      <c r="I633" s="3">
        <f t="shared" si="3"/>
        <v>7</v>
      </c>
      <c r="J633" s="3">
        <f t="shared" si="4"/>
        <v>10</v>
      </c>
      <c r="K633" s="3">
        <f t="shared" si="5"/>
        <v>10</v>
      </c>
      <c r="L633" s="7">
        <f t="shared" si="6"/>
        <v>2</v>
      </c>
      <c r="M633" s="7">
        <f t="shared" si="7"/>
        <v>3</v>
      </c>
      <c r="N633" s="7">
        <f t="shared" si="8"/>
        <v>10</v>
      </c>
    </row>
    <row r="634" hidden="1">
      <c r="B634" s="3" t="s">
        <v>176</v>
      </c>
      <c r="C634" s="5" t="s">
        <v>1040</v>
      </c>
      <c r="D634" s="3">
        <v>10.0</v>
      </c>
      <c r="E634" s="3">
        <v>10.0</v>
      </c>
      <c r="F634" s="3">
        <f t="shared" si="1"/>
        <v>1</v>
      </c>
      <c r="G634" s="5" t="str">
        <f>IFERROR(__xludf.DUMMYFUNCTION("""COMPUTED_VALUE"""),"https://github.com/DigvijaysinhChudasamaIITM/ToolsinDataScience-Project1")</f>
        <v>https://github.com/DigvijaysinhChudasamaIITM/ToolsinDataScience-Project1</v>
      </c>
      <c r="H634" s="3">
        <f t="shared" si="2"/>
        <v>8</v>
      </c>
      <c r="I634" s="3">
        <f t="shared" si="3"/>
        <v>9</v>
      </c>
      <c r="J634" s="3" t="str">
        <f t="shared" si="4"/>
        <v>No reviews</v>
      </c>
      <c r="K634" s="3" t="str">
        <f t="shared" si="5"/>
        <v>No reviews</v>
      </c>
      <c r="L634" s="7" t="str">
        <f t="shared" si="6"/>
        <v> </v>
      </c>
      <c r="M634" s="7" t="str">
        <f t="shared" si="7"/>
        <v> </v>
      </c>
      <c r="N634" s="7">
        <f t="shared" si="8"/>
        <v>8.5</v>
      </c>
    </row>
    <row r="635" hidden="1">
      <c r="B635" s="3" t="s">
        <v>178</v>
      </c>
      <c r="C635" s="5" t="s">
        <v>1041</v>
      </c>
      <c r="D635" s="3">
        <v>8.0</v>
      </c>
      <c r="E635" s="3">
        <v>1.0</v>
      </c>
      <c r="F635" s="3">
        <f t="shared" si="1"/>
        <v>1</v>
      </c>
      <c r="G635" s="5" t="str">
        <f>IFERROR(__xludf.DUMMYFUNCTION("""COMPUTED_VALUE"""),"https://github.com/24f1002325-Jagan/Project-1/tree/main")</f>
        <v>https://github.com/24f1002325-Jagan/Project-1/tree/main</v>
      </c>
      <c r="H635" s="3">
        <f t="shared" si="2"/>
        <v>8</v>
      </c>
      <c r="I635" s="3">
        <f t="shared" si="3"/>
        <v>0</v>
      </c>
      <c r="J635" s="3" t="str">
        <f t="shared" si="4"/>
        <v>No reviews</v>
      </c>
      <c r="K635" s="3" t="str">
        <f t="shared" si="5"/>
        <v>No reviews</v>
      </c>
      <c r="L635" s="7" t="str">
        <f t="shared" si="6"/>
        <v> </v>
      </c>
      <c r="M635" s="7" t="str">
        <f t="shared" si="7"/>
        <v> </v>
      </c>
      <c r="N635" s="7">
        <f t="shared" si="8"/>
        <v>4</v>
      </c>
    </row>
    <row r="636" hidden="1">
      <c r="B636" s="3" t="s">
        <v>180</v>
      </c>
      <c r="C636" s="5" t="s">
        <v>1042</v>
      </c>
      <c r="D636" s="3">
        <v>7.0</v>
      </c>
      <c r="E636" s="3">
        <v>10.0</v>
      </c>
      <c r="F636" s="3">
        <f t="shared" si="1"/>
        <v>2</v>
      </c>
      <c r="G636" s="5" t="str">
        <f>IFERROR(__xludf.DUMMYFUNCTION("""COMPUTED_VALUE"""),"https://github.com/A-ojha31/Tokyo_200")</f>
        <v>https://github.com/A-ojha31/Tokyo_200</v>
      </c>
      <c r="H636" s="3">
        <f t="shared" si="2"/>
        <v>9</v>
      </c>
      <c r="I636" s="3">
        <f t="shared" si="3"/>
        <v>8</v>
      </c>
      <c r="J636" s="3">
        <f t="shared" si="4"/>
        <v>8</v>
      </c>
      <c r="K636" s="3">
        <f t="shared" si="5"/>
        <v>8</v>
      </c>
      <c r="L636" s="7">
        <f t="shared" si="6"/>
        <v>1</v>
      </c>
      <c r="M636" s="7">
        <f t="shared" si="7"/>
        <v>0</v>
      </c>
      <c r="N636" s="7">
        <f t="shared" si="8"/>
        <v>8.5</v>
      </c>
    </row>
    <row r="637" hidden="1">
      <c r="B637" s="3" t="s">
        <v>182</v>
      </c>
      <c r="C637" s="5" t="s">
        <v>1028</v>
      </c>
      <c r="D637" s="3">
        <v>10.0</v>
      </c>
      <c r="E637" s="3">
        <v>5.0</v>
      </c>
      <c r="F637" s="3">
        <f t="shared" si="1"/>
        <v>1</v>
      </c>
      <c r="G637" s="5" t="str">
        <f>IFERROR(__xludf.DUMMYFUNCTION("""COMPUTED_VALUE"""),"https://github.com/Man24Jain/Tokyo-GitHub-Scraping-Project")</f>
        <v>https://github.com/Man24Jain/Tokyo-GitHub-Scraping-Project</v>
      </c>
      <c r="H637" s="3">
        <f t="shared" si="2"/>
        <v>4</v>
      </c>
      <c r="I637" s="3">
        <f t="shared" si="3"/>
        <v>0</v>
      </c>
      <c r="J637" s="3" t="str">
        <f t="shared" si="4"/>
        <v>No reviews</v>
      </c>
      <c r="K637" s="3" t="str">
        <f t="shared" si="5"/>
        <v>No reviews</v>
      </c>
      <c r="L637" s="7" t="str">
        <f t="shared" si="6"/>
        <v> </v>
      </c>
      <c r="M637" s="7" t="str">
        <f t="shared" si="7"/>
        <v> </v>
      </c>
      <c r="N637" s="7">
        <f t="shared" si="8"/>
        <v>2</v>
      </c>
    </row>
    <row r="638" hidden="1">
      <c r="B638" s="3" t="s">
        <v>183</v>
      </c>
      <c r="C638" s="5" t="s">
        <v>1043</v>
      </c>
      <c r="D638" s="3">
        <v>10.0</v>
      </c>
      <c r="E638" s="3">
        <v>10.0</v>
      </c>
      <c r="F638" s="3">
        <f t="shared" si="1"/>
        <v>1</v>
      </c>
      <c r="G638" s="5" t="str">
        <f>IFERROR(__xludf.DUMMYFUNCTION("""COMPUTED_VALUE"""),"https://github.com/pranavtiwari-this/tdm-project1/blob/main/README.mdn/TDS_P1.ipynb")</f>
        <v>https://github.com/pranavtiwari-this/tdm-project1/blob/main/README.mdn/TDS_P1.ipynb</v>
      </c>
      <c r="H638" s="3">
        <f t="shared" si="2"/>
        <v>6</v>
      </c>
      <c r="I638" s="3">
        <f t="shared" si="3"/>
        <v>7</v>
      </c>
      <c r="J638" s="3" t="str">
        <f t="shared" si="4"/>
        <v>No reviews</v>
      </c>
      <c r="K638" s="3" t="str">
        <f t="shared" si="5"/>
        <v>No reviews</v>
      </c>
      <c r="L638" s="7" t="str">
        <f t="shared" si="6"/>
        <v> </v>
      </c>
      <c r="M638" s="7" t="str">
        <f t="shared" si="7"/>
        <v> </v>
      </c>
      <c r="N638" s="7">
        <f t="shared" si="8"/>
        <v>6.5</v>
      </c>
    </row>
    <row r="639" hidden="1">
      <c r="B639" s="3" t="s">
        <v>185</v>
      </c>
      <c r="C639" s="5" t="s">
        <v>1044</v>
      </c>
      <c r="D639" s="3">
        <v>7.0</v>
      </c>
      <c r="E639" s="3">
        <v>0.0</v>
      </c>
      <c r="F639" s="3">
        <f t="shared" si="1"/>
        <v>2</v>
      </c>
      <c r="G639" s="5" t="str">
        <f>IFERROR(__xludf.DUMMYFUNCTION("""COMPUTED_VALUE"""),"https://github.com/Irshadanwar/berlin-200-users-repositories")</f>
        <v>https://github.com/Irshadanwar/berlin-200-users-repositories</v>
      </c>
      <c r="H639" s="3">
        <f t="shared" si="2"/>
        <v>8</v>
      </c>
      <c r="I639" s="3">
        <f t="shared" si="3"/>
        <v>8</v>
      </c>
      <c r="J639" s="3">
        <f t="shared" si="4"/>
        <v>8</v>
      </c>
      <c r="K639" s="3">
        <f t="shared" si="5"/>
        <v>8</v>
      </c>
      <c r="L639" s="7">
        <f t="shared" si="6"/>
        <v>0</v>
      </c>
      <c r="M639" s="7">
        <f t="shared" si="7"/>
        <v>0</v>
      </c>
      <c r="N639" s="7">
        <f t="shared" si="8"/>
        <v>8</v>
      </c>
    </row>
    <row r="640" hidden="1">
      <c r="B640" s="3" t="s">
        <v>187</v>
      </c>
      <c r="C640" s="5" t="s">
        <v>1045</v>
      </c>
      <c r="D640" s="3">
        <v>5.0</v>
      </c>
      <c r="E640" s="3">
        <v>6.0</v>
      </c>
      <c r="F640" s="3">
        <f t="shared" si="1"/>
        <v>2</v>
      </c>
      <c r="G640" s="5" t="str">
        <f>IFERROR(__xludf.DUMMYFUNCTION("""COMPUTED_VALUE"""),"https://github.com/SaikatMandal2022/TDS_Project1")</f>
        <v>https://github.com/SaikatMandal2022/TDS_Project1</v>
      </c>
      <c r="H640" s="3">
        <f t="shared" si="2"/>
        <v>9</v>
      </c>
      <c r="I640" s="3">
        <f t="shared" si="3"/>
        <v>9</v>
      </c>
      <c r="J640" s="3">
        <f t="shared" si="4"/>
        <v>8</v>
      </c>
      <c r="K640" s="3">
        <f t="shared" si="5"/>
        <v>9</v>
      </c>
      <c r="L640" s="7">
        <f t="shared" si="6"/>
        <v>1</v>
      </c>
      <c r="M640" s="7">
        <f t="shared" si="7"/>
        <v>0</v>
      </c>
      <c r="N640" s="7">
        <f t="shared" si="8"/>
        <v>9</v>
      </c>
    </row>
    <row r="641" hidden="1">
      <c r="B641" s="3" t="s">
        <v>189</v>
      </c>
      <c r="C641" s="5" t="s">
        <v>1046</v>
      </c>
      <c r="D641" s="3">
        <v>5.0</v>
      </c>
      <c r="E641" s="3">
        <v>5.0</v>
      </c>
      <c r="F641" s="3">
        <f t="shared" si="1"/>
        <v>2</v>
      </c>
      <c r="G641" s="5" t="str">
        <f>IFERROR(__xludf.DUMMYFUNCTION("""COMPUTED_VALUE"""),"https://github.com/LakshayB05/tds_project1")</f>
        <v>https://github.com/LakshayB05/tds_project1</v>
      </c>
      <c r="H641" s="3">
        <f t="shared" si="2"/>
        <v>9</v>
      </c>
      <c r="I641" s="3">
        <f t="shared" si="3"/>
        <v>9</v>
      </c>
      <c r="J641" s="3">
        <f t="shared" si="4"/>
        <v>10</v>
      </c>
      <c r="K641" s="3">
        <f t="shared" si="5"/>
        <v>10</v>
      </c>
      <c r="L641" s="7">
        <f t="shared" si="6"/>
        <v>1</v>
      </c>
      <c r="M641" s="7">
        <f t="shared" si="7"/>
        <v>1</v>
      </c>
      <c r="N641" s="7">
        <f t="shared" si="8"/>
        <v>10</v>
      </c>
    </row>
    <row r="642" hidden="1">
      <c r="B642" s="3" t="s">
        <v>191</v>
      </c>
      <c r="C642" s="5" t="s">
        <v>1047</v>
      </c>
      <c r="D642" s="3">
        <v>10.0</v>
      </c>
      <c r="E642" s="3">
        <v>10.0</v>
      </c>
      <c r="F642" s="3">
        <f t="shared" si="1"/>
        <v>2</v>
      </c>
      <c r="G642" s="5" t="str">
        <f>IFERROR(__xludf.DUMMYFUNCTION("""COMPUTED_VALUE"""),"https://github.com/Anburajasp/TDS-PROJECT-1")</f>
        <v>https://github.com/Anburajasp/TDS-PROJECT-1</v>
      </c>
      <c r="H642" s="3">
        <f t="shared" si="2"/>
        <v>5</v>
      </c>
      <c r="I642" s="3">
        <f t="shared" si="3"/>
        <v>10</v>
      </c>
      <c r="J642" s="3">
        <f t="shared" si="4"/>
        <v>10</v>
      </c>
      <c r="K642" s="3">
        <f t="shared" si="5"/>
        <v>10</v>
      </c>
      <c r="L642" s="7">
        <f t="shared" si="6"/>
        <v>5</v>
      </c>
      <c r="M642" s="7">
        <f t="shared" si="7"/>
        <v>0</v>
      </c>
      <c r="N642" s="7">
        <f t="shared" si="8"/>
        <v>10</v>
      </c>
    </row>
    <row r="643" hidden="1">
      <c r="B643" s="3" t="s">
        <v>193</v>
      </c>
      <c r="C643" s="5" t="s">
        <v>1048</v>
      </c>
      <c r="D643" s="3">
        <v>8.0</v>
      </c>
      <c r="E643" s="3">
        <v>6.0</v>
      </c>
      <c r="F643" s="3">
        <f t="shared" si="1"/>
        <v>1</v>
      </c>
      <c r="G643" s="5" t="str">
        <f>IFERROR(__xludf.DUMMYFUNCTION("""COMPUTED_VALUE"""),"https://github.com/Neha-Galande-14/scrapper-project")</f>
        <v>https://github.com/Neha-Galande-14/scrapper-project</v>
      </c>
      <c r="H643" s="3">
        <f t="shared" si="2"/>
        <v>6</v>
      </c>
      <c r="I643" s="3">
        <f t="shared" si="3"/>
        <v>5</v>
      </c>
      <c r="J643" s="3" t="str">
        <f t="shared" si="4"/>
        <v>No reviews</v>
      </c>
      <c r="K643" s="3" t="str">
        <f t="shared" si="5"/>
        <v>No reviews</v>
      </c>
      <c r="L643" s="7" t="str">
        <f t="shared" si="6"/>
        <v> </v>
      </c>
      <c r="M643" s="7" t="str">
        <f t="shared" si="7"/>
        <v> </v>
      </c>
      <c r="N643" s="7">
        <f t="shared" si="8"/>
        <v>5.5</v>
      </c>
    </row>
    <row r="644" hidden="1">
      <c r="B644" s="3" t="s">
        <v>195</v>
      </c>
      <c r="C644" s="5" t="s">
        <v>1049</v>
      </c>
      <c r="D644" s="3">
        <v>10.0</v>
      </c>
      <c r="E644" s="3">
        <v>10.0</v>
      </c>
      <c r="F644" s="3">
        <f t="shared" si="1"/>
        <v>1</v>
      </c>
      <c r="G644" s="5" t="str">
        <f>IFERROR(__xludf.DUMMYFUNCTION("""COMPUTED_VALUE"""),"https://github.com/agaMadan/TDS-Project-1")</f>
        <v>https://github.com/agaMadan/TDS-Project-1</v>
      </c>
      <c r="H644" s="3">
        <f t="shared" si="2"/>
        <v>10</v>
      </c>
      <c r="I644" s="3">
        <f t="shared" si="3"/>
        <v>10</v>
      </c>
      <c r="J644" s="3" t="str">
        <f t="shared" si="4"/>
        <v>No reviews</v>
      </c>
      <c r="K644" s="3" t="str">
        <f t="shared" si="5"/>
        <v>No reviews</v>
      </c>
      <c r="L644" s="7" t="str">
        <f t="shared" si="6"/>
        <v> </v>
      </c>
      <c r="M644" s="7" t="str">
        <f t="shared" si="7"/>
        <v> </v>
      </c>
      <c r="N644" s="7">
        <f t="shared" si="8"/>
        <v>10</v>
      </c>
    </row>
    <row r="645" hidden="1">
      <c r="B645" s="3" t="s">
        <v>197</v>
      </c>
      <c r="C645" s="5" t="s">
        <v>1050</v>
      </c>
      <c r="D645" s="3">
        <v>9.0</v>
      </c>
      <c r="E645" s="3">
        <v>9.0</v>
      </c>
      <c r="F645" s="3">
        <f t="shared" si="1"/>
        <v>1</v>
      </c>
      <c r="G645" s="5" t="str">
        <f>IFERROR(__xludf.DUMMYFUNCTION("""COMPUTED_VALUE"""),"https://github.com/Abhinandan-IIT-M/austin-github-users")</f>
        <v>https://github.com/Abhinandan-IIT-M/austin-github-users</v>
      </c>
      <c r="H645" s="3">
        <f t="shared" si="2"/>
        <v>2</v>
      </c>
      <c r="I645" s="3">
        <f t="shared" si="3"/>
        <v>10</v>
      </c>
      <c r="J645" s="3" t="str">
        <f t="shared" si="4"/>
        <v>No reviews</v>
      </c>
      <c r="K645" s="3" t="str">
        <f t="shared" si="5"/>
        <v>No reviews</v>
      </c>
      <c r="L645" s="7" t="str">
        <f t="shared" si="6"/>
        <v> </v>
      </c>
      <c r="M645" s="7" t="str">
        <f t="shared" si="7"/>
        <v> </v>
      </c>
      <c r="N645" s="7">
        <f t="shared" si="8"/>
        <v>6</v>
      </c>
    </row>
    <row r="646" hidden="1">
      <c r="B646" s="3" t="s">
        <v>199</v>
      </c>
      <c r="C646" s="5" t="s">
        <v>1051</v>
      </c>
      <c r="D646" s="3">
        <v>10.0</v>
      </c>
      <c r="E646" s="3">
        <v>0.0</v>
      </c>
      <c r="F646" s="3">
        <f t="shared" si="1"/>
        <v>1</v>
      </c>
      <c r="G646" s="5" t="str">
        <f>IFERROR(__xludf.DUMMYFUNCTION("""COMPUTED_VALUE"""),"https://github.com/SoumaySinghChauhan/Hyderabad_Github_users")</f>
        <v>https://github.com/SoumaySinghChauhan/Hyderabad_Github_users</v>
      </c>
      <c r="H646" s="3">
        <f t="shared" si="2"/>
        <v>10</v>
      </c>
      <c r="I646" s="3">
        <f t="shared" si="3"/>
        <v>10</v>
      </c>
      <c r="J646" s="3" t="str">
        <f t="shared" si="4"/>
        <v>No reviews</v>
      </c>
      <c r="K646" s="3" t="str">
        <f t="shared" si="5"/>
        <v>No reviews</v>
      </c>
      <c r="L646" s="7" t="str">
        <f t="shared" si="6"/>
        <v> </v>
      </c>
      <c r="M646" s="7" t="str">
        <f t="shared" si="7"/>
        <v> </v>
      </c>
      <c r="N646" s="7">
        <f t="shared" si="8"/>
        <v>10</v>
      </c>
    </row>
    <row r="647" hidden="1">
      <c r="B647" s="3" t="s">
        <v>201</v>
      </c>
      <c r="C647" s="5" t="s">
        <v>1052</v>
      </c>
      <c r="D647" s="3">
        <v>3.0</v>
      </c>
      <c r="E647" s="3">
        <v>0.0</v>
      </c>
      <c r="F647" s="3">
        <f t="shared" si="1"/>
        <v>2</v>
      </c>
      <c r="G647" s="5" t="str">
        <f>IFERROR(__xludf.DUMMYFUNCTION("""COMPUTED_VALUE"""),"https://github.com/spacetime177/tds_proj")</f>
        <v>https://github.com/spacetime177/tds_proj</v>
      </c>
      <c r="H647" s="3">
        <f t="shared" si="2"/>
        <v>10</v>
      </c>
      <c r="I647" s="3">
        <f t="shared" si="3"/>
        <v>10</v>
      </c>
      <c r="J647" s="3">
        <f t="shared" si="4"/>
        <v>7</v>
      </c>
      <c r="K647" s="3">
        <f t="shared" si="5"/>
        <v>7</v>
      </c>
      <c r="L647" s="7">
        <f t="shared" si="6"/>
        <v>3</v>
      </c>
      <c r="M647" s="7">
        <f t="shared" si="7"/>
        <v>3</v>
      </c>
      <c r="N647" s="7">
        <f t="shared" si="8"/>
        <v>10</v>
      </c>
    </row>
    <row r="648" hidden="1">
      <c r="B648" s="3" t="s">
        <v>203</v>
      </c>
      <c r="C648" s="5" t="s">
        <v>1044</v>
      </c>
      <c r="D648" s="3">
        <v>8.0</v>
      </c>
      <c r="E648" s="3">
        <v>0.0</v>
      </c>
      <c r="F648" s="3">
        <f t="shared" si="1"/>
        <v>2</v>
      </c>
      <c r="G648" s="5" t="str">
        <f>IFERROR(__xludf.DUMMYFUNCTION("""COMPUTED_VALUE"""),"https://github.com/importAmmar/TDS-Project-1")</f>
        <v>https://github.com/importAmmar/TDS-Project-1</v>
      </c>
      <c r="H648" s="3">
        <f t="shared" si="2"/>
        <v>10</v>
      </c>
      <c r="I648" s="3">
        <f t="shared" si="3"/>
        <v>7</v>
      </c>
      <c r="J648" s="3">
        <f t="shared" si="4"/>
        <v>10</v>
      </c>
      <c r="K648" s="3">
        <f t="shared" si="5"/>
        <v>10</v>
      </c>
      <c r="L648" s="7">
        <f t="shared" si="6"/>
        <v>0</v>
      </c>
      <c r="M648" s="7">
        <f t="shared" si="7"/>
        <v>3</v>
      </c>
      <c r="N648" s="7">
        <f t="shared" si="8"/>
        <v>10</v>
      </c>
    </row>
    <row r="649" hidden="1">
      <c r="B649" s="3" t="s">
        <v>204</v>
      </c>
      <c r="C649" s="5" t="s">
        <v>1053</v>
      </c>
      <c r="D649" s="3">
        <v>9.0</v>
      </c>
      <c r="E649" s="3">
        <v>9.0</v>
      </c>
      <c r="F649" s="3">
        <f t="shared" si="1"/>
        <v>1</v>
      </c>
      <c r="G649" s="5" t="str">
        <f>IFERROR(__xludf.DUMMYFUNCTION("""COMPUTED_VALUE"""),"https://github.com/edurelated2021/tds-proj1")</f>
        <v>https://github.com/edurelated2021/tds-proj1</v>
      </c>
      <c r="H649" s="3">
        <f t="shared" si="2"/>
        <v>10</v>
      </c>
      <c r="I649" s="3">
        <f t="shared" si="3"/>
        <v>10</v>
      </c>
      <c r="J649" s="3" t="str">
        <f t="shared" si="4"/>
        <v>No reviews</v>
      </c>
      <c r="K649" s="3" t="str">
        <f t="shared" si="5"/>
        <v>No reviews</v>
      </c>
      <c r="L649" s="7" t="str">
        <f t="shared" si="6"/>
        <v> </v>
      </c>
      <c r="M649" s="7" t="str">
        <f t="shared" si="7"/>
        <v> </v>
      </c>
      <c r="N649" s="7">
        <f t="shared" si="8"/>
        <v>10</v>
      </c>
    </row>
    <row r="650" hidden="1">
      <c r="B650" s="3" t="s">
        <v>206</v>
      </c>
      <c r="C650" s="5" t="s">
        <v>1054</v>
      </c>
      <c r="D650" s="3">
        <v>10.0</v>
      </c>
      <c r="E650" s="3">
        <v>0.0</v>
      </c>
      <c r="F650" s="3">
        <f t="shared" si="1"/>
        <v>1</v>
      </c>
      <c r="G650" s="5" t="str">
        <f>IFERROR(__xludf.DUMMYFUNCTION("""COMPUTED_VALUE"""),"https://github.com/Abina-srini/TDS")</f>
        <v>https://github.com/Abina-srini/TDS</v>
      </c>
      <c r="H650" s="3">
        <f t="shared" si="2"/>
        <v>10</v>
      </c>
      <c r="I650" s="3">
        <f t="shared" si="3"/>
        <v>5</v>
      </c>
      <c r="J650" s="3" t="str">
        <f t="shared" si="4"/>
        <v>No reviews</v>
      </c>
      <c r="K650" s="3" t="str">
        <f t="shared" si="5"/>
        <v>No reviews</v>
      </c>
      <c r="L650" s="7" t="str">
        <f t="shared" si="6"/>
        <v> </v>
      </c>
      <c r="M650" s="7" t="str">
        <f t="shared" si="7"/>
        <v> </v>
      </c>
      <c r="N650" s="7">
        <f t="shared" si="8"/>
        <v>7.5</v>
      </c>
    </row>
    <row r="651" hidden="1">
      <c r="B651" s="3" t="s">
        <v>208</v>
      </c>
      <c r="C651" s="5" t="s">
        <v>1055</v>
      </c>
      <c r="D651" s="3">
        <v>5.0</v>
      </c>
      <c r="E651" s="3">
        <v>6.0</v>
      </c>
      <c r="F651" s="3">
        <f t="shared" si="1"/>
        <v>2</v>
      </c>
      <c r="G651" s="5" t="str">
        <f>IFERROR(__xludf.DUMMYFUNCTION("""COMPUTED_VALUE"""),"https://github.com/22f3002293/TDS-project1")</f>
        <v>https://github.com/22f3002293/TDS-project1</v>
      </c>
      <c r="H651" s="3">
        <f t="shared" si="2"/>
        <v>10</v>
      </c>
      <c r="I651" s="3">
        <f t="shared" si="3"/>
        <v>9</v>
      </c>
      <c r="J651" s="3">
        <f t="shared" si="4"/>
        <v>9</v>
      </c>
      <c r="K651" s="3">
        <f t="shared" si="5"/>
        <v>10</v>
      </c>
      <c r="L651" s="7">
        <f t="shared" si="6"/>
        <v>1</v>
      </c>
      <c r="M651" s="7">
        <f t="shared" si="7"/>
        <v>1</v>
      </c>
      <c r="N651" s="7">
        <f t="shared" si="8"/>
        <v>9.5</v>
      </c>
    </row>
    <row r="652" hidden="1">
      <c r="B652" s="3" t="s">
        <v>210</v>
      </c>
      <c r="C652" s="5" t="s">
        <v>1056</v>
      </c>
      <c r="D652" s="3">
        <v>8.0</v>
      </c>
      <c r="E652" s="3">
        <v>5.0</v>
      </c>
      <c r="F652" s="3">
        <f t="shared" si="1"/>
        <v>2</v>
      </c>
      <c r="G652" s="5" t="str">
        <f>IFERROR(__xludf.DUMMYFUNCTION("""COMPUTED_VALUE"""),"https://github.com/Harini-commits/stockholm-github-users")</f>
        <v>https://github.com/Harini-commits/stockholm-github-users</v>
      </c>
      <c r="H652" s="3">
        <f t="shared" si="2"/>
        <v>10</v>
      </c>
      <c r="I652" s="3">
        <f t="shared" si="3"/>
        <v>9</v>
      </c>
      <c r="J652" s="3">
        <f t="shared" si="4"/>
        <v>10</v>
      </c>
      <c r="K652" s="3">
        <f t="shared" si="5"/>
        <v>10</v>
      </c>
      <c r="L652" s="7">
        <f t="shared" si="6"/>
        <v>0</v>
      </c>
      <c r="M652" s="7">
        <f t="shared" si="7"/>
        <v>1</v>
      </c>
      <c r="N652" s="7">
        <f t="shared" si="8"/>
        <v>10</v>
      </c>
    </row>
    <row r="653" hidden="1">
      <c r="B653" s="3" t="s">
        <v>212</v>
      </c>
      <c r="C653" s="5" t="s">
        <v>1057</v>
      </c>
      <c r="D653" s="3">
        <v>10.0</v>
      </c>
      <c r="E653" s="3">
        <v>10.0</v>
      </c>
      <c r="F653" s="3">
        <f t="shared" si="1"/>
        <v>2</v>
      </c>
      <c r="G653" s="5" t="str">
        <f>IFERROR(__xludf.DUMMYFUNCTION("""COMPUTED_VALUE"""),"https://github.com/Me-dev-commits/project-1")</f>
        <v>https://github.com/Me-dev-commits/project-1</v>
      </c>
      <c r="H653" s="3">
        <f t="shared" si="2"/>
        <v>10</v>
      </c>
      <c r="I653" s="3">
        <f t="shared" si="3"/>
        <v>10</v>
      </c>
      <c r="J653" s="3">
        <f t="shared" si="4"/>
        <v>10</v>
      </c>
      <c r="K653" s="3">
        <f t="shared" si="5"/>
        <v>10</v>
      </c>
      <c r="L653" s="7">
        <f t="shared" si="6"/>
        <v>0</v>
      </c>
      <c r="M653" s="7">
        <f t="shared" si="7"/>
        <v>0</v>
      </c>
      <c r="N653" s="7">
        <f t="shared" si="8"/>
        <v>10</v>
      </c>
    </row>
    <row r="654" hidden="1">
      <c r="B654" s="3" t="s">
        <v>214</v>
      </c>
      <c r="C654" s="5" t="s">
        <v>1058</v>
      </c>
      <c r="D654" s="3">
        <v>9.0</v>
      </c>
      <c r="E654" s="3">
        <v>7.0</v>
      </c>
      <c r="F654" s="3">
        <f t="shared" si="1"/>
        <v>2</v>
      </c>
      <c r="G654" s="5" t="str">
        <f>IFERROR(__xludf.DUMMYFUNCTION("""COMPUTED_VALUE"""),"https://github.com/Anu-IITM/Tds_project1")</f>
        <v>https://github.com/Anu-IITM/Tds_project1</v>
      </c>
      <c r="H654" s="3">
        <f t="shared" si="2"/>
        <v>5</v>
      </c>
      <c r="I654" s="3">
        <f t="shared" si="3"/>
        <v>4</v>
      </c>
      <c r="J654" s="3">
        <f t="shared" si="4"/>
        <v>10</v>
      </c>
      <c r="K654" s="3">
        <f t="shared" si="5"/>
        <v>10</v>
      </c>
      <c r="L654" s="7">
        <f t="shared" si="6"/>
        <v>5</v>
      </c>
      <c r="M654" s="7">
        <f t="shared" si="7"/>
        <v>6</v>
      </c>
      <c r="N654" s="7">
        <f t="shared" si="8"/>
        <v>10</v>
      </c>
    </row>
    <row r="655" hidden="1">
      <c r="B655" s="3" t="s">
        <v>216</v>
      </c>
      <c r="C655" s="5" t="s">
        <v>1059</v>
      </c>
      <c r="D655" s="3">
        <v>10.0</v>
      </c>
      <c r="E655" s="3">
        <v>10.0</v>
      </c>
      <c r="F655" s="3">
        <f t="shared" si="1"/>
        <v>1</v>
      </c>
      <c r="G655" s="5" t="str">
        <f>IFERROR(__xludf.DUMMYFUNCTION("""COMPUTED_VALUE"""),"https://github.com/Aadi0703/TDS-project1/blob/main/TDSP1.ipynb")</f>
        <v>https://github.com/Aadi0703/TDS-project1/blob/main/TDSP1.ipynb</v>
      </c>
      <c r="H655" s="3">
        <f t="shared" si="2"/>
        <v>10</v>
      </c>
      <c r="I655" s="3">
        <f t="shared" si="3"/>
        <v>10</v>
      </c>
      <c r="J655" s="3" t="str">
        <f t="shared" si="4"/>
        <v>No reviews</v>
      </c>
      <c r="K655" s="3" t="str">
        <f t="shared" si="5"/>
        <v>No reviews</v>
      </c>
      <c r="L655" s="7" t="str">
        <f t="shared" si="6"/>
        <v> </v>
      </c>
      <c r="M655" s="7" t="str">
        <f t="shared" si="7"/>
        <v> </v>
      </c>
      <c r="N655" s="7">
        <f t="shared" si="8"/>
        <v>10</v>
      </c>
    </row>
    <row r="656" hidden="1">
      <c r="B656" s="3" t="s">
        <v>218</v>
      </c>
      <c r="C656" s="5" t="s">
        <v>1060</v>
      </c>
      <c r="D656" s="3">
        <v>10.0</v>
      </c>
      <c r="E656" s="3">
        <v>10.0</v>
      </c>
      <c r="F656" s="3">
        <f t="shared" si="1"/>
        <v>1</v>
      </c>
      <c r="G656" s="5" t="str">
        <f>IFERROR(__xludf.DUMMYFUNCTION("""COMPUTED_VALUE"""),"https://github.com/adityaraj2308/projeft1/blob/main/README.md")</f>
        <v>https://github.com/adityaraj2308/projeft1/blob/main/README.md</v>
      </c>
      <c r="H656" s="3">
        <f t="shared" si="2"/>
        <v>6</v>
      </c>
      <c r="I656" s="3">
        <f t="shared" si="3"/>
        <v>9</v>
      </c>
      <c r="J656" s="3" t="str">
        <f t="shared" si="4"/>
        <v>No reviews</v>
      </c>
      <c r="K656" s="3" t="str">
        <f t="shared" si="5"/>
        <v>No reviews</v>
      </c>
      <c r="L656" s="7" t="str">
        <f t="shared" si="6"/>
        <v> </v>
      </c>
      <c r="M656" s="7" t="str">
        <f t="shared" si="7"/>
        <v> </v>
      </c>
      <c r="N656" s="7">
        <f t="shared" si="8"/>
        <v>7.5</v>
      </c>
    </row>
    <row r="657" hidden="1">
      <c r="B657" s="3" t="s">
        <v>220</v>
      </c>
      <c r="C657" s="5" t="s">
        <v>1061</v>
      </c>
      <c r="D657" s="3">
        <v>10.0</v>
      </c>
      <c r="E657" s="3">
        <v>10.0</v>
      </c>
      <c r="F657" s="3">
        <f t="shared" si="1"/>
        <v>1</v>
      </c>
      <c r="G657" s="5" t="str">
        <f>IFERROR(__xludf.DUMMYFUNCTION("""COMPUTED_VALUE"""),"https://github.com/ekxnsh22005/TDS-Project")</f>
        <v>https://github.com/ekxnsh22005/TDS-Project</v>
      </c>
      <c r="H657" s="3">
        <f t="shared" si="2"/>
        <v>10</v>
      </c>
      <c r="I657" s="3">
        <f t="shared" si="3"/>
        <v>10</v>
      </c>
      <c r="J657" s="3" t="str">
        <f t="shared" si="4"/>
        <v>No reviews</v>
      </c>
      <c r="K657" s="3" t="str">
        <f t="shared" si="5"/>
        <v>No reviews</v>
      </c>
      <c r="L657" s="7" t="str">
        <f t="shared" si="6"/>
        <v> </v>
      </c>
      <c r="M657" s="7" t="str">
        <f t="shared" si="7"/>
        <v> </v>
      </c>
      <c r="N657" s="7">
        <f t="shared" si="8"/>
        <v>10</v>
      </c>
    </row>
    <row r="658" hidden="1">
      <c r="B658" s="3" t="s">
        <v>222</v>
      </c>
      <c r="C658" s="5" t="s">
        <v>1062</v>
      </c>
      <c r="D658" s="3">
        <v>10.0</v>
      </c>
      <c r="E658" s="3">
        <v>10.0</v>
      </c>
      <c r="F658" s="3">
        <f t="shared" si="1"/>
        <v>2</v>
      </c>
      <c r="G658" s="5" t="str">
        <f>IFERROR(__xludf.DUMMYFUNCTION("""COMPUTED_VALUE"""),"https://github.com/sashank-e/TDS_P1")</f>
        <v>https://github.com/sashank-e/TDS_P1</v>
      </c>
      <c r="H658" s="3">
        <f t="shared" si="2"/>
        <v>6</v>
      </c>
      <c r="I658" s="3">
        <f t="shared" si="3"/>
        <v>5</v>
      </c>
      <c r="J658" s="3">
        <f t="shared" si="4"/>
        <v>10</v>
      </c>
      <c r="K658" s="3">
        <f t="shared" si="5"/>
        <v>10</v>
      </c>
      <c r="L658" s="7">
        <f t="shared" si="6"/>
        <v>4</v>
      </c>
      <c r="M658" s="7">
        <f t="shared" si="7"/>
        <v>5</v>
      </c>
      <c r="N658" s="7">
        <f t="shared" si="8"/>
        <v>10</v>
      </c>
    </row>
    <row r="659" hidden="1">
      <c r="B659" s="3" t="s">
        <v>224</v>
      </c>
      <c r="C659" s="5" t="s">
        <v>1063</v>
      </c>
      <c r="D659" s="3">
        <v>10.0</v>
      </c>
      <c r="E659" s="3">
        <v>10.0</v>
      </c>
      <c r="F659" s="3">
        <f t="shared" si="1"/>
        <v>2</v>
      </c>
      <c r="G659" s="5" t="str">
        <f>IFERROR(__xludf.DUMMYFUNCTION("""COMPUTED_VALUE"""),"https://github.com/namish18/TDSP1")</f>
        <v>https://github.com/namish18/TDSP1</v>
      </c>
      <c r="H659" s="3">
        <f t="shared" si="2"/>
        <v>10</v>
      </c>
      <c r="I659" s="3">
        <f t="shared" si="3"/>
        <v>10</v>
      </c>
      <c r="J659" s="3">
        <f t="shared" si="4"/>
        <v>10</v>
      </c>
      <c r="K659" s="3">
        <f t="shared" si="5"/>
        <v>10</v>
      </c>
      <c r="L659" s="7">
        <f t="shared" si="6"/>
        <v>0</v>
      </c>
      <c r="M659" s="7">
        <f t="shared" si="7"/>
        <v>0</v>
      </c>
      <c r="N659" s="7">
        <f t="shared" si="8"/>
        <v>10</v>
      </c>
    </row>
    <row r="660" hidden="1">
      <c r="B660" s="3" t="s">
        <v>226</v>
      </c>
      <c r="C660" s="5" t="s">
        <v>1064</v>
      </c>
      <c r="D660" s="3">
        <v>7.0</v>
      </c>
      <c r="E660" s="3">
        <v>8.0</v>
      </c>
      <c r="F660" s="3">
        <f t="shared" si="1"/>
        <v>2</v>
      </c>
      <c r="G660" s="5" t="str">
        <f>IFERROR(__xludf.DUMMYFUNCTION("""COMPUTED_VALUE"""),"https://github.com/23f2003488/dublin_users")</f>
        <v>https://github.com/23f2003488/dublin_users</v>
      </c>
      <c r="H660" s="3">
        <f t="shared" si="2"/>
        <v>8</v>
      </c>
      <c r="I660" s="3">
        <f t="shared" si="3"/>
        <v>10</v>
      </c>
      <c r="J660" s="3">
        <f t="shared" si="4"/>
        <v>7</v>
      </c>
      <c r="K660" s="3">
        <f t="shared" si="5"/>
        <v>8</v>
      </c>
      <c r="L660" s="7">
        <f t="shared" si="6"/>
        <v>1</v>
      </c>
      <c r="M660" s="7">
        <f t="shared" si="7"/>
        <v>2</v>
      </c>
      <c r="N660" s="7">
        <f t="shared" si="8"/>
        <v>9</v>
      </c>
    </row>
    <row r="661" hidden="1">
      <c r="B661" s="3" t="s">
        <v>228</v>
      </c>
      <c r="C661" s="5" t="s">
        <v>1065</v>
      </c>
      <c r="D661" s="3">
        <v>10.0</v>
      </c>
      <c r="E661" s="3">
        <v>10.0</v>
      </c>
      <c r="F661" s="3">
        <f t="shared" si="1"/>
        <v>1</v>
      </c>
      <c r="G661" s="5" t="str">
        <f>IFERROR(__xludf.DUMMYFUNCTION("""COMPUTED_VALUE"""),"https://github.com/himanshu-IIT-M/project1/blob/main/repositories.csvlob/main/repositories.csv")</f>
        <v>https://github.com/himanshu-IIT-M/project1/blob/main/repositories.csvlob/main/repositories.csv</v>
      </c>
      <c r="H661" s="3">
        <f t="shared" si="2"/>
        <v>5</v>
      </c>
      <c r="I661" s="3">
        <f t="shared" si="3"/>
        <v>5</v>
      </c>
      <c r="J661" s="3" t="str">
        <f t="shared" si="4"/>
        <v>No reviews</v>
      </c>
      <c r="K661" s="3" t="str">
        <f t="shared" si="5"/>
        <v>No reviews</v>
      </c>
      <c r="L661" s="7" t="str">
        <f t="shared" si="6"/>
        <v> </v>
      </c>
      <c r="M661" s="7" t="str">
        <f t="shared" si="7"/>
        <v> </v>
      </c>
      <c r="N661" s="7">
        <f t="shared" si="8"/>
        <v>5</v>
      </c>
    </row>
    <row r="662" hidden="1">
      <c r="B662" s="3" t="s">
        <v>230</v>
      </c>
      <c r="C662" s="5" t="s">
        <v>1066</v>
      </c>
      <c r="D662" s="3">
        <v>10.0</v>
      </c>
      <c r="E662" s="3">
        <v>10.0</v>
      </c>
      <c r="F662" s="3">
        <f t="shared" si="1"/>
        <v>2</v>
      </c>
      <c r="G662" s="5" t="str">
        <f>IFERROR(__xludf.DUMMYFUNCTION("""COMPUTED_VALUE"""),"https://github.com/shanky999/TDS_Project1")</f>
        <v>https://github.com/shanky999/TDS_Project1</v>
      </c>
      <c r="H662" s="3">
        <f t="shared" si="2"/>
        <v>7</v>
      </c>
      <c r="I662" s="3">
        <f t="shared" si="3"/>
        <v>9</v>
      </c>
      <c r="J662" s="3">
        <f t="shared" si="4"/>
        <v>6</v>
      </c>
      <c r="K662" s="3">
        <f t="shared" si="5"/>
        <v>10</v>
      </c>
      <c r="L662" s="7">
        <f t="shared" si="6"/>
        <v>1</v>
      </c>
      <c r="M662" s="7">
        <f t="shared" si="7"/>
        <v>1</v>
      </c>
      <c r="N662" s="7">
        <f t="shared" si="8"/>
        <v>8</v>
      </c>
    </row>
    <row r="663" hidden="1">
      <c r="B663" s="3" t="s">
        <v>232</v>
      </c>
      <c r="C663" s="5" t="s">
        <v>1067</v>
      </c>
      <c r="D663" s="3">
        <v>8.0</v>
      </c>
      <c r="E663" s="3">
        <v>10.0</v>
      </c>
      <c r="F663" s="3">
        <f t="shared" si="1"/>
        <v>2</v>
      </c>
      <c r="G663" s="5" t="str">
        <f>IFERROR(__xludf.DUMMYFUNCTION("""COMPUTED_VALUE"""),"https://github.com/MaharajaMoorthy/tds_project1")</f>
        <v>https://github.com/MaharajaMoorthy/tds_project1</v>
      </c>
      <c r="H663" s="3">
        <f t="shared" si="2"/>
        <v>8</v>
      </c>
      <c r="I663" s="3">
        <f t="shared" si="3"/>
        <v>10</v>
      </c>
      <c r="J663" s="3">
        <f t="shared" si="4"/>
        <v>10</v>
      </c>
      <c r="K663" s="3">
        <f t="shared" si="5"/>
        <v>10</v>
      </c>
      <c r="L663" s="7">
        <f t="shared" si="6"/>
        <v>2</v>
      </c>
      <c r="M663" s="7">
        <f t="shared" si="7"/>
        <v>0</v>
      </c>
      <c r="N663" s="7">
        <f t="shared" si="8"/>
        <v>10</v>
      </c>
    </row>
    <row r="664" hidden="1">
      <c r="B664" s="3" t="s">
        <v>234</v>
      </c>
      <c r="C664" s="5" t="s">
        <v>1063</v>
      </c>
      <c r="D664" s="3">
        <v>10.0</v>
      </c>
      <c r="E664" s="3">
        <v>10.0</v>
      </c>
      <c r="F664" s="3">
        <f t="shared" si="1"/>
        <v>1</v>
      </c>
      <c r="G664" s="5" t="str">
        <f>IFERROR(__xludf.DUMMYFUNCTION("""COMPUTED_VALUE"""),"https://github.com/Aadil-Iqbal1729/TDS_Project-1")</f>
        <v>https://github.com/Aadil-Iqbal1729/TDS_Project-1</v>
      </c>
      <c r="H664" s="3">
        <f t="shared" si="2"/>
        <v>10</v>
      </c>
      <c r="I664" s="3">
        <f t="shared" si="3"/>
        <v>9</v>
      </c>
      <c r="J664" s="3" t="str">
        <f t="shared" si="4"/>
        <v>No reviews</v>
      </c>
      <c r="K664" s="3" t="str">
        <f t="shared" si="5"/>
        <v>No reviews</v>
      </c>
      <c r="L664" s="7" t="str">
        <f t="shared" si="6"/>
        <v> </v>
      </c>
      <c r="M664" s="7" t="str">
        <f t="shared" si="7"/>
        <v> </v>
      </c>
      <c r="N664" s="7">
        <f t="shared" si="8"/>
        <v>9.5</v>
      </c>
    </row>
    <row r="665" hidden="1">
      <c r="B665" s="3" t="s">
        <v>235</v>
      </c>
      <c r="C665" s="5" t="s">
        <v>1068</v>
      </c>
      <c r="D665" s="3">
        <v>10.0</v>
      </c>
      <c r="E665" s="3">
        <v>10.0</v>
      </c>
      <c r="F665" s="3">
        <f t="shared" si="1"/>
        <v>2</v>
      </c>
      <c r="G665" s="5" t="str">
        <f>IFERROR(__xludf.DUMMYFUNCTION("""COMPUTED_VALUE"""),"https://github.com/PRAVINKUMAR99/mywebsite")</f>
        <v>https://github.com/PRAVINKUMAR99/mywebsite</v>
      </c>
      <c r="H665" s="3">
        <f t="shared" si="2"/>
        <v>10</v>
      </c>
      <c r="I665" s="3">
        <f t="shared" si="3"/>
        <v>10</v>
      </c>
      <c r="J665" s="3">
        <f t="shared" si="4"/>
        <v>10</v>
      </c>
      <c r="K665" s="3">
        <f t="shared" si="5"/>
        <v>10</v>
      </c>
      <c r="L665" s="7">
        <f t="shared" si="6"/>
        <v>0</v>
      </c>
      <c r="M665" s="7">
        <f t="shared" si="7"/>
        <v>0</v>
      </c>
      <c r="N665" s="7">
        <f t="shared" si="8"/>
        <v>10</v>
      </c>
    </row>
    <row r="666" hidden="1">
      <c r="B666" s="3" t="s">
        <v>237</v>
      </c>
      <c r="C666" s="5" t="s">
        <v>1069</v>
      </c>
      <c r="D666" s="3">
        <v>0.0</v>
      </c>
      <c r="E666" s="3">
        <v>0.0</v>
      </c>
      <c r="F666" s="3">
        <f t="shared" si="1"/>
        <v>2</v>
      </c>
      <c r="G666" s="5" t="str">
        <f>IFERROR(__xludf.DUMMYFUNCTION("""COMPUTED_VALUE"""),"https://github.com/Karanshrivastav/tds_project_1")</f>
        <v>https://github.com/Karanshrivastav/tds_project_1</v>
      </c>
      <c r="H666" s="3">
        <f t="shared" si="2"/>
        <v>0</v>
      </c>
      <c r="I666" s="3">
        <f t="shared" si="3"/>
        <v>10</v>
      </c>
      <c r="J666" s="3">
        <f t="shared" si="4"/>
        <v>0</v>
      </c>
      <c r="K666" s="3">
        <f t="shared" si="5"/>
        <v>2</v>
      </c>
      <c r="L666" s="7">
        <f t="shared" si="6"/>
        <v>0</v>
      </c>
      <c r="M666" s="7">
        <f t="shared" si="7"/>
        <v>8</v>
      </c>
      <c r="N666" s="7">
        <f t="shared" si="8"/>
        <v>5</v>
      </c>
    </row>
    <row r="667" hidden="1">
      <c r="B667" s="3" t="s">
        <v>239</v>
      </c>
      <c r="C667" s="5" t="s">
        <v>1070</v>
      </c>
      <c r="D667" s="3">
        <v>10.0</v>
      </c>
      <c r="E667" s="3">
        <v>10.0</v>
      </c>
      <c r="F667" s="3">
        <f t="shared" si="1"/>
        <v>1</v>
      </c>
      <c r="G667" s="5" t="str">
        <f>IFERROR(__xludf.DUMMYFUNCTION("""COMPUTED_VALUE"""),"https://github.com/404aalu/tds-project1/tree/main")</f>
        <v>https://github.com/404aalu/tds-project1/tree/main</v>
      </c>
      <c r="H667" s="3">
        <f t="shared" si="2"/>
        <v>0</v>
      </c>
      <c r="I667" s="3">
        <f t="shared" si="3"/>
        <v>8</v>
      </c>
      <c r="J667" s="3" t="str">
        <f t="shared" si="4"/>
        <v>No reviews</v>
      </c>
      <c r="K667" s="3" t="str">
        <f t="shared" si="5"/>
        <v>No reviews</v>
      </c>
      <c r="L667" s="7" t="str">
        <f t="shared" si="6"/>
        <v> </v>
      </c>
      <c r="M667" s="7" t="str">
        <f t="shared" si="7"/>
        <v> </v>
      </c>
      <c r="N667" s="7">
        <f t="shared" si="8"/>
        <v>4</v>
      </c>
    </row>
    <row r="668" hidden="1">
      <c r="B668" s="3" t="s">
        <v>241</v>
      </c>
      <c r="C668" s="5" t="s">
        <v>1071</v>
      </c>
      <c r="D668" s="3">
        <v>5.0</v>
      </c>
      <c r="E668" s="3">
        <v>4.0</v>
      </c>
      <c r="F668" s="3">
        <f t="shared" si="1"/>
        <v>2</v>
      </c>
      <c r="G668" s="5" t="str">
        <f>IFERROR(__xludf.DUMMYFUNCTION("""COMPUTED_VALUE"""),"https://github.com/anshulbaliga7/iitm-tds-project1")</f>
        <v>https://github.com/anshulbaliga7/iitm-tds-project1</v>
      </c>
      <c r="H668" s="3">
        <f t="shared" si="2"/>
        <v>10</v>
      </c>
      <c r="I668" s="3">
        <f t="shared" si="3"/>
        <v>10</v>
      </c>
      <c r="J668" s="3">
        <f t="shared" si="4"/>
        <v>10</v>
      </c>
      <c r="K668" s="3">
        <f t="shared" si="5"/>
        <v>10</v>
      </c>
      <c r="L668" s="7">
        <f t="shared" si="6"/>
        <v>0</v>
      </c>
      <c r="M668" s="7">
        <f t="shared" si="7"/>
        <v>0</v>
      </c>
      <c r="N668" s="7">
        <f t="shared" si="8"/>
        <v>10</v>
      </c>
    </row>
    <row r="669" hidden="1">
      <c r="B669" s="3" t="s">
        <v>243</v>
      </c>
      <c r="C669" s="5" t="s">
        <v>1039</v>
      </c>
      <c r="D669" s="3">
        <v>9.0</v>
      </c>
      <c r="E669" s="3">
        <v>10.0</v>
      </c>
      <c r="F669" s="3">
        <f t="shared" si="1"/>
        <v>2</v>
      </c>
      <c r="G669" s="5" t="str">
        <f>IFERROR(__xludf.DUMMYFUNCTION("""COMPUTED_VALUE"""),"https://github.com/nitesh-Sharma-IITM/IITM_TDS")</f>
        <v>https://github.com/nitesh-Sharma-IITM/IITM_TDS</v>
      </c>
      <c r="H669" s="3">
        <f t="shared" si="2"/>
        <v>6</v>
      </c>
      <c r="I669" s="3">
        <f t="shared" si="3"/>
        <v>6</v>
      </c>
      <c r="J669" s="3">
        <f t="shared" si="4"/>
        <v>10</v>
      </c>
      <c r="K669" s="3">
        <f t="shared" si="5"/>
        <v>10</v>
      </c>
      <c r="L669" s="7">
        <f t="shared" si="6"/>
        <v>4</v>
      </c>
      <c r="M669" s="7">
        <f t="shared" si="7"/>
        <v>4</v>
      </c>
      <c r="N669" s="7">
        <f t="shared" si="8"/>
        <v>10</v>
      </c>
    </row>
    <row r="670" hidden="1">
      <c r="B670" s="3" t="s">
        <v>244</v>
      </c>
      <c r="C670" s="5" t="s">
        <v>1072</v>
      </c>
      <c r="D670" s="3">
        <v>6.0</v>
      </c>
      <c r="E670" s="3">
        <v>10.0</v>
      </c>
      <c r="F670" s="3">
        <f t="shared" si="1"/>
        <v>2</v>
      </c>
      <c r="G670" s="5" t="str">
        <f>IFERROR(__xludf.DUMMYFUNCTION("""COMPUTED_VALUE"""),"https://github.com/VaishHa/Delhi100_TDS")</f>
        <v>https://github.com/VaishHa/Delhi100_TDS</v>
      </c>
      <c r="H670" s="3">
        <f t="shared" si="2"/>
        <v>10</v>
      </c>
      <c r="I670" s="3">
        <f t="shared" si="3"/>
        <v>10</v>
      </c>
      <c r="J670" s="3">
        <f t="shared" si="4"/>
        <v>8</v>
      </c>
      <c r="K670" s="3">
        <f t="shared" si="5"/>
        <v>7</v>
      </c>
      <c r="L670" s="7">
        <f t="shared" si="6"/>
        <v>2</v>
      </c>
      <c r="M670" s="7">
        <f t="shared" si="7"/>
        <v>3</v>
      </c>
      <c r="N670" s="7">
        <f t="shared" si="8"/>
        <v>10</v>
      </c>
    </row>
    <row r="671" hidden="1">
      <c r="B671" s="3" t="s">
        <v>246</v>
      </c>
      <c r="C671" s="5" t="s">
        <v>1073</v>
      </c>
      <c r="D671" s="3">
        <v>4.0</v>
      </c>
      <c r="E671" s="3">
        <v>5.0</v>
      </c>
      <c r="F671" s="3">
        <f t="shared" si="1"/>
        <v>1</v>
      </c>
      <c r="G671" s="3" t="str">
        <f>IFERROR(__xludf.DUMMYFUNCTION("""COMPUTED_VALUE"""),"ttps://github.com/swalihaattar/IITM_TDS_P1")</f>
        <v>ttps://github.com/swalihaattar/IITM_TDS_P1</v>
      </c>
      <c r="H671" s="3">
        <f t="shared" si="2"/>
        <v>6</v>
      </c>
      <c r="I671" s="3">
        <f t="shared" si="3"/>
        <v>2</v>
      </c>
      <c r="J671" s="3" t="str">
        <f t="shared" si="4"/>
        <v>No reviews</v>
      </c>
      <c r="K671" s="3" t="str">
        <f t="shared" si="5"/>
        <v>No reviews</v>
      </c>
      <c r="L671" s="7" t="str">
        <f t="shared" si="6"/>
        <v> </v>
      </c>
      <c r="M671" s="7" t="str">
        <f t="shared" si="7"/>
        <v> </v>
      </c>
      <c r="N671" s="7">
        <f t="shared" si="8"/>
        <v>4</v>
      </c>
    </row>
    <row r="672" hidden="1">
      <c r="B672" s="3" t="s">
        <v>248</v>
      </c>
      <c r="C672" s="5" t="s">
        <v>1074</v>
      </c>
      <c r="D672" s="3">
        <v>5.0</v>
      </c>
      <c r="E672" s="3">
        <v>0.0</v>
      </c>
      <c r="F672" s="3">
        <f t="shared" si="1"/>
        <v>1</v>
      </c>
      <c r="G672" s="5" t="str">
        <f>IFERROR(__xludf.DUMMYFUNCTION("""COMPUTED_VALUE"""),"https://github.com/tanmay8542/project1")</f>
        <v>https://github.com/tanmay8542/project1</v>
      </c>
      <c r="H672" s="3">
        <f t="shared" si="2"/>
        <v>9</v>
      </c>
      <c r="I672" s="3">
        <f t="shared" si="3"/>
        <v>10</v>
      </c>
      <c r="J672" s="3" t="str">
        <f t="shared" si="4"/>
        <v>No reviews</v>
      </c>
      <c r="K672" s="3" t="str">
        <f t="shared" si="5"/>
        <v>No reviews</v>
      </c>
      <c r="L672" s="7" t="str">
        <f t="shared" si="6"/>
        <v> </v>
      </c>
      <c r="M672" s="7" t="str">
        <f t="shared" si="7"/>
        <v> </v>
      </c>
      <c r="N672" s="7">
        <f t="shared" si="8"/>
        <v>9.5</v>
      </c>
    </row>
    <row r="673" hidden="1">
      <c r="B673" s="3" t="s">
        <v>250</v>
      </c>
      <c r="C673" s="5" t="s">
        <v>1075</v>
      </c>
      <c r="D673" s="3">
        <v>8.0</v>
      </c>
      <c r="E673" s="3">
        <v>9.0</v>
      </c>
      <c r="F673" s="3">
        <f t="shared" si="1"/>
        <v>1</v>
      </c>
      <c r="G673" s="5" t="str">
        <f>IFERROR(__xludf.DUMMYFUNCTION("""COMPUTED_VALUE"""),"https://github.com/SohamGhosh2510/Project")</f>
        <v>https://github.com/SohamGhosh2510/Project</v>
      </c>
      <c r="H673" s="3">
        <f t="shared" si="2"/>
        <v>10</v>
      </c>
      <c r="I673" s="3">
        <f t="shared" si="3"/>
        <v>10</v>
      </c>
      <c r="J673" s="3" t="str">
        <f t="shared" si="4"/>
        <v>No reviews</v>
      </c>
      <c r="K673" s="3" t="str">
        <f t="shared" si="5"/>
        <v>No reviews</v>
      </c>
      <c r="L673" s="7" t="str">
        <f t="shared" si="6"/>
        <v> </v>
      </c>
      <c r="M673" s="7" t="str">
        <f t="shared" si="7"/>
        <v> </v>
      </c>
      <c r="N673" s="7">
        <f t="shared" si="8"/>
        <v>10</v>
      </c>
    </row>
    <row r="674" hidden="1">
      <c r="B674" s="3" t="s">
        <v>252</v>
      </c>
      <c r="C674" s="5" t="s">
        <v>1076</v>
      </c>
      <c r="D674" s="3">
        <v>5.0</v>
      </c>
      <c r="E674" s="3">
        <v>6.0</v>
      </c>
      <c r="F674" s="3">
        <f t="shared" si="1"/>
        <v>1</v>
      </c>
      <c r="G674" s="5" t="str">
        <f>IFERROR(__xludf.DUMMYFUNCTION("""COMPUTED_VALUE"""),"https://github.com/23f3002916/TDSProject1")</f>
        <v>https://github.com/23f3002916/TDSProject1</v>
      </c>
      <c r="H674" s="3">
        <f t="shared" si="2"/>
        <v>7</v>
      </c>
      <c r="I674" s="3">
        <f t="shared" si="3"/>
        <v>8</v>
      </c>
      <c r="J674" s="3" t="str">
        <f t="shared" si="4"/>
        <v>No reviews</v>
      </c>
      <c r="K674" s="3" t="str">
        <f t="shared" si="5"/>
        <v>No reviews</v>
      </c>
      <c r="L674" s="7" t="str">
        <f t="shared" si="6"/>
        <v> </v>
      </c>
      <c r="M674" s="7" t="str">
        <f t="shared" si="7"/>
        <v> </v>
      </c>
      <c r="N674" s="7">
        <f t="shared" si="8"/>
        <v>7.5</v>
      </c>
    </row>
    <row r="675" hidden="1">
      <c r="B675" s="3" t="s">
        <v>254</v>
      </c>
      <c r="C675" s="5" t="s">
        <v>1077</v>
      </c>
      <c r="D675" s="3">
        <v>8.0</v>
      </c>
      <c r="E675" s="3">
        <v>8.0</v>
      </c>
      <c r="F675" s="3">
        <f t="shared" si="1"/>
        <v>1</v>
      </c>
      <c r="G675" s="5" t="str">
        <f>IFERROR(__xludf.DUMMYFUNCTION("""COMPUTED_VALUE"""),"https://github.com/aksarwar/tds-project/blob/main/project1.ipynb")</f>
        <v>https://github.com/aksarwar/tds-project/blob/main/project1.ipynb</v>
      </c>
      <c r="H675" s="3">
        <f t="shared" si="2"/>
        <v>9</v>
      </c>
      <c r="I675" s="3">
        <f t="shared" si="3"/>
        <v>9</v>
      </c>
      <c r="J675" s="3" t="str">
        <f t="shared" si="4"/>
        <v>No reviews</v>
      </c>
      <c r="K675" s="3" t="str">
        <f t="shared" si="5"/>
        <v>No reviews</v>
      </c>
      <c r="L675" s="7" t="str">
        <f t="shared" si="6"/>
        <v> </v>
      </c>
      <c r="M675" s="7" t="str">
        <f t="shared" si="7"/>
        <v> </v>
      </c>
      <c r="N675" s="7">
        <f t="shared" si="8"/>
        <v>9</v>
      </c>
    </row>
    <row r="676" hidden="1">
      <c r="B676" s="3" t="s">
        <v>256</v>
      </c>
      <c r="C676" s="5" t="s">
        <v>1078</v>
      </c>
      <c r="D676" s="3">
        <v>9.0</v>
      </c>
      <c r="E676" s="3">
        <v>9.0</v>
      </c>
      <c r="F676" s="3">
        <f t="shared" si="1"/>
        <v>1</v>
      </c>
      <c r="G676" s="5" t="str">
        <f>IFERROR(__xludf.DUMMYFUNCTION("""COMPUTED_VALUE"""),"https://github.com/Logikos1/iitm-tds-project1-berlin200")</f>
        <v>https://github.com/Logikos1/iitm-tds-project1-berlin200</v>
      </c>
      <c r="H676" s="3">
        <f t="shared" si="2"/>
        <v>10</v>
      </c>
      <c r="I676" s="3">
        <f t="shared" si="3"/>
        <v>10</v>
      </c>
      <c r="J676" s="3" t="str">
        <f t="shared" si="4"/>
        <v>No reviews</v>
      </c>
      <c r="K676" s="3" t="str">
        <f t="shared" si="5"/>
        <v>No reviews</v>
      </c>
      <c r="L676" s="7" t="str">
        <f t="shared" si="6"/>
        <v> </v>
      </c>
      <c r="M676" s="7" t="str">
        <f t="shared" si="7"/>
        <v> </v>
      </c>
      <c r="N676" s="7">
        <f t="shared" si="8"/>
        <v>10</v>
      </c>
    </row>
    <row r="677" hidden="1">
      <c r="B677" s="3" t="s">
        <v>258</v>
      </c>
      <c r="C677" s="5" t="s">
        <v>1079</v>
      </c>
      <c r="D677" s="3">
        <v>7.0</v>
      </c>
      <c r="E677" s="3">
        <v>7.0</v>
      </c>
      <c r="F677" s="3">
        <f t="shared" si="1"/>
        <v>1</v>
      </c>
      <c r="G677" s="5" t="str">
        <f>IFERROR(__xludf.DUMMYFUNCTION("""COMPUTED_VALUE"""),"https://github.com/22f2001300/TDS-P1")</f>
        <v>https://github.com/22f2001300/TDS-P1</v>
      </c>
      <c r="H677" s="3">
        <f t="shared" si="2"/>
        <v>10</v>
      </c>
      <c r="I677" s="3">
        <f t="shared" si="3"/>
        <v>10</v>
      </c>
      <c r="J677" s="3" t="str">
        <f t="shared" si="4"/>
        <v>No reviews</v>
      </c>
      <c r="K677" s="3" t="str">
        <f t="shared" si="5"/>
        <v>No reviews</v>
      </c>
      <c r="L677" s="7" t="str">
        <f t="shared" si="6"/>
        <v> </v>
      </c>
      <c r="M677" s="7" t="str">
        <f t="shared" si="7"/>
        <v> </v>
      </c>
      <c r="N677" s="7">
        <f t="shared" si="8"/>
        <v>10</v>
      </c>
    </row>
    <row r="678" hidden="1">
      <c r="B678" s="3" t="s">
        <v>260</v>
      </c>
      <c r="C678" s="5" t="s">
        <v>1050</v>
      </c>
      <c r="D678" s="3">
        <v>6.0</v>
      </c>
      <c r="E678" s="3">
        <v>6.0</v>
      </c>
      <c r="F678" s="3">
        <f t="shared" si="1"/>
        <v>1</v>
      </c>
      <c r="G678" s="5" t="str">
        <f>IFERROR(__xludf.DUMMYFUNCTION("""COMPUTED_VALUE"""),"https://github.com/palavallichaitanya/TDS-Project-1")</f>
        <v>https://github.com/palavallichaitanya/TDS-Project-1</v>
      </c>
      <c r="H678" s="3">
        <f t="shared" si="2"/>
        <v>9</v>
      </c>
      <c r="I678" s="3">
        <f t="shared" si="3"/>
        <v>10</v>
      </c>
      <c r="J678" s="3" t="str">
        <f t="shared" si="4"/>
        <v>No reviews</v>
      </c>
      <c r="K678" s="3" t="str">
        <f t="shared" si="5"/>
        <v>No reviews</v>
      </c>
      <c r="L678" s="7" t="str">
        <f t="shared" si="6"/>
        <v> </v>
      </c>
      <c r="M678" s="7" t="str">
        <f t="shared" si="7"/>
        <v> </v>
      </c>
      <c r="N678" s="7">
        <f t="shared" si="8"/>
        <v>9.5</v>
      </c>
    </row>
    <row r="679" hidden="1">
      <c r="B679" s="3" t="s">
        <v>261</v>
      </c>
      <c r="C679" s="5" t="s">
        <v>1080</v>
      </c>
      <c r="D679" s="3">
        <v>10.0</v>
      </c>
      <c r="E679" s="3">
        <v>10.0</v>
      </c>
      <c r="F679" s="3">
        <f t="shared" si="1"/>
        <v>1</v>
      </c>
      <c r="G679" s="5" t="str">
        <f>IFERROR(__xludf.DUMMYFUNCTION("""COMPUTED_VALUE"""),"https://github.com/Swag2002/TDS_Main_Project")</f>
        <v>https://github.com/Swag2002/TDS_Main_Project</v>
      </c>
      <c r="H679" s="3">
        <f t="shared" si="2"/>
        <v>5</v>
      </c>
      <c r="I679" s="3">
        <f t="shared" si="3"/>
        <v>0</v>
      </c>
      <c r="J679" s="3" t="str">
        <f t="shared" si="4"/>
        <v>No reviews</v>
      </c>
      <c r="K679" s="3" t="str">
        <f t="shared" si="5"/>
        <v>No reviews</v>
      </c>
      <c r="L679" s="7" t="str">
        <f t="shared" si="6"/>
        <v> </v>
      </c>
      <c r="M679" s="7" t="str">
        <f t="shared" si="7"/>
        <v> </v>
      </c>
      <c r="N679" s="7">
        <f t="shared" si="8"/>
        <v>2.5</v>
      </c>
    </row>
    <row r="680" hidden="1">
      <c r="B680" s="3" t="s">
        <v>263</v>
      </c>
      <c r="C680" s="5" t="s">
        <v>1081</v>
      </c>
      <c r="D680" s="3">
        <v>8.0</v>
      </c>
      <c r="E680" s="3">
        <v>9.0</v>
      </c>
      <c r="F680" s="3">
        <f t="shared" si="1"/>
        <v>2</v>
      </c>
      <c r="G680" s="5" t="str">
        <f>IFERROR(__xludf.DUMMYFUNCTION("""COMPUTED_VALUE"""),"https://github.com/NewDaci/tds-project1")</f>
        <v>https://github.com/NewDaci/tds-project1</v>
      </c>
      <c r="H680" s="3">
        <f t="shared" si="2"/>
        <v>10</v>
      </c>
      <c r="I680" s="3">
        <f t="shared" si="3"/>
        <v>10</v>
      </c>
      <c r="J680" s="3">
        <f t="shared" si="4"/>
        <v>10</v>
      </c>
      <c r="K680" s="3">
        <f t="shared" si="5"/>
        <v>8</v>
      </c>
      <c r="L680" s="7">
        <f t="shared" si="6"/>
        <v>0</v>
      </c>
      <c r="M680" s="7">
        <f t="shared" si="7"/>
        <v>2</v>
      </c>
      <c r="N680" s="7">
        <f t="shared" si="8"/>
        <v>10</v>
      </c>
    </row>
    <row r="681" hidden="1">
      <c r="B681" s="3" t="s">
        <v>265</v>
      </c>
      <c r="C681" s="5" t="s">
        <v>1082</v>
      </c>
      <c r="D681" s="3">
        <v>10.0</v>
      </c>
      <c r="E681" s="3">
        <v>10.0</v>
      </c>
      <c r="F681" s="3">
        <f t="shared" si="1"/>
        <v>2</v>
      </c>
      <c r="G681" s="5" t="str">
        <f>IFERROR(__xludf.DUMMYFUNCTION("""COMPUTED_VALUE"""),"https://github.com/kashishbansal920/Project-TDS")</f>
        <v>https://github.com/kashishbansal920/Project-TDS</v>
      </c>
      <c r="H681" s="3">
        <f t="shared" si="2"/>
        <v>9</v>
      </c>
      <c r="I681" s="3">
        <f t="shared" si="3"/>
        <v>10</v>
      </c>
      <c r="J681" s="3">
        <f t="shared" si="4"/>
        <v>10</v>
      </c>
      <c r="K681" s="3">
        <f t="shared" si="5"/>
        <v>10</v>
      </c>
      <c r="L681" s="7">
        <f t="shared" si="6"/>
        <v>1</v>
      </c>
      <c r="M681" s="7">
        <f t="shared" si="7"/>
        <v>0</v>
      </c>
      <c r="N681" s="7">
        <f t="shared" si="8"/>
        <v>10</v>
      </c>
    </row>
    <row r="682" hidden="1">
      <c r="B682" s="3" t="s">
        <v>267</v>
      </c>
      <c r="C682" s="5" t="s">
        <v>1083</v>
      </c>
      <c r="D682" s="3">
        <v>10.0</v>
      </c>
      <c r="E682" s="3">
        <v>10.0</v>
      </c>
      <c r="F682" s="3">
        <f t="shared" si="1"/>
        <v>1</v>
      </c>
      <c r="G682" s="5" t="str">
        <f>IFERROR(__xludf.DUMMYFUNCTION("""COMPUTED_VALUE"""),"https://github.com/Amrutkar-Kavya/TDS-Project1")</f>
        <v>https://github.com/Amrutkar-Kavya/TDS-Project1</v>
      </c>
      <c r="H682" s="3">
        <f t="shared" si="2"/>
        <v>8</v>
      </c>
      <c r="I682" s="3">
        <f t="shared" si="3"/>
        <v>10</v>
      </c>
      <c r="J682" s="3" t="str">
        <f t="shared" si="4"/>
        <v>No reviews</v>
      </c>
      <c r="K682" s="3" t="str">
        <f t="shared" si="5"/>
        <v>No reviews</v>
      </c>
      <c r="L682" s="7" t="str">
        <f t="shared" si="6"/>
        <v> </v>
      </c>
      <c r="M682" s="7" t="str">
        <f t="shared" si="7"/>
        <v> </v>
      </c>
      <c r="N682" s="7">
        <f t="shared" si="8"/>
        <v>9</v>
      </c>
    </row>
    <row r="683" hidden="1">
      <c r="B683" s="3" t="s">
        <v>269</v>
      </c>
      <c r="C683" s="5" t="s">
        <v>1084</v>
      </c>
      <c r="D683" s="3">
        <v>8.0</v>
      </c>
      <c r="E683" s="3">
        <v>0.0</v>
      </c>
      <c r="F683" s="3">
        <f t="shared" si="1"/>
        <v>1</v>
      </c>
      <c r="G683" s="5" t="str">
        <f>IFERROR(__xludf.DUMMYFUNCTION("""COMPUTED_VALUE"""),"https://github.com/yaqoob56/TDS_Project_1")</f>
        <v>https://github.com/yaqoob56/TDS_Project_1</v>
      </c>
      <c r="H683" s="3">
        <f t="shared" si="2"/>
        <v>7</v>
      </c>
      <c r="I683" s="3">
        <f t="shared" si="3"/>
        <v>7</v>
      </c>
      <c r="J683" s="3" t="str">
        <f t="shared" si="4"/>
        <v>No reviews</v>
      </c>
      <c r="K683" s="3" t="str">
        <f t="shared" si="5"/>
        <v>No reviews</v>
      </c>
      <c r="L683" s="7" t="str">
        <f t="shared" si="6"/>
        <v> </v>
      </c>
      <c r="M683" s="7" t="str">
        <f t="shared" si="7"/>
        <v> </v>
      </c>
      <c r="N683" s="7">
        <f t="shared" si="8"/>
        <v>7</v>
      </c>
    </row>
    <row r="684" hidden="1">
      <c r="B684" s="3" t="s">
        <v>271</v>
      </c>
      <c r="C684" s="5" t="s">
        <v>1085</v>
      </c>
      <c r="D684" s="3">
        <v>10.0</v>
      </c>
      <c r="E684" s="3">
        <v>7.0</v>
      </c>
      <c r="F684" s="3">
        <f t="shared" si="1"/>
        <v>1</v>
      </c>
      <c r="G684" s="5" t="str">
        <f>IFERROR(__xludf.DUMMYFUNCTION("""COMPUTED_VALUE"""),"https://github.com/Lokith-sharan/GitHub-Scraper-Singapore")</f>
        <v>https://github.com/Lokith-sharan/GitHub-Scraper-Singapore</v>
      </c>
      <c r="H684" s="3">
        <f t="shared" si="2"/>
        <v>10</v>
      </c>
      <c r="I684" s="3">
        <f t="shared" si="3"/>
        <v>9</v>
      </c>
      <c r="J684" s="3" t="str">
        <f t="shared" si="4"/>
        <v>No reviews</v>
      </c>
      <c r="K684" s="3" t="str">
        <f t="shared" si="5"/>
        <v>No reviews</v>
      </c>
      <c r="L684" s="7" t="str">
        <f t="shared" si="6"/>
        <v> </v>
      </c>
      <c r="M684" s="7" t="str">
        <f t="shared" si="7"/>
        <v> </v>
      </c>
      <c r="N684" s="7">
        <f t="shared" si="8"/>
        <v>9.5</v>
      </c>
    </row>
    <row r="685" hidden="1">
      <c r="B685" s="3" t="s">
        <v>273</v>
      </c>
      <c r="C685" s="5" t="s">
        <v>1086</v>
      </c>
      <c r="D685" s="3">
        <v>10.0</v>
      </c>
      <c r="E685" s="3">
        <v>10.0</v>
      </c>
      <c r="F685" s="3">
        <f t="shared" si="1"/>
        <v>2</v>
      </c>
      <c r="G685" s="5" t="str">
        <f>IFERROR(__xludf.DUMMYFUNCTION("""COMPUTED_VALUE"""),"https://github.com/anupam-21f2000522/Mumbai-50")</f>
        <v>https://github.com/anupam-21f2000522/Mumbai-50</v>
      </c>
      <c r="H685" s="3">
        <f t="shared" si="2"/>
        <v>8</v>
      </c>
      <c r="I685" s="3">
        <f t="shared" si="3"/>
        <v>0</v>
      </c>
      <c r="J685" s="3">
        <f t="shared" si="4"/>
        <v>8</v>
      </c>
      <c r="K685" s="3">
        <f t="shared" si="5"/>
        <v>0</v>
      </c>
      <c r="L685" s="7">
        <f t="shared" si="6"/>
        <v>0</v>
      </c>
      <c r="M685" s="7">
        <f t="shared" si="7"/>
        <v>0</v>
      </c>
      <c r="N685" s="7">
        <f t="shared" si="8"/>
        <v>4</v>
      </c>
    </row>
    <row r="686" hidden="1">
      <c r="B686" s="3" t="s">
        <v>275</v>
      </c>
      <c r="C686" s="5" t="s">
        <v>1087</v>
      </c>
      <c r="D686" s="3">
        <v>8.0</v>
      </c>
      <c r="E686" s="3">
        <v>4.0</v>
      </c>
      <c r="F686" s="3">
        <f t="shared" si="1"/>
        <v>1</v>
      </c>
      <c r="G686" s="5" t="str">
        <f>IFERROR(__xludf.DUMMYFUNCTION("""COMPUTED_VALUE"""),"https://github.com/2utkarsh2/TDS_Project1")</f>
        <v>https://github.com/2utkarsh2/TDS_Project1</v>
      </c>
      <c r="H686" s="3">
        <f t="shared" si="2"/>
        <v>10</v>
      </c>
      <c r="I686" s="3">
        <f t="shared" si="3"/>
        <v>9</v>
      </c>
      <c r="J686" s="3" t="str">
        <f t="shared" si="4"/>
        <v>No reviews</v>
      </c>
      <c r="K686" s="3" t="str">
        <f t="shared" si="5"/>
        <v>No reviews</v>
      </c>
      <c r="L686" s="7" t="str">
        <f t="shared" si="6"/>
        <v> </v>
      </c>
      <c r="M686" s="7" t="str">
        <f t="shared" si="7"/>
        <v> </v>
      </c>
      <c r="N686" s="7">
        <f t="shared" si="8"/>
        <v>9.5</v>
      </c>
    </row>
    <row r="687" hidden="1">
      <c r="B687" s="3" t="s">
        <v>277</v>
      </c>
      <c r="C687" s="5" t="s">
        <v>1088</v>
      </c>
      <c r="D687" s="3">
        <v>10.0</v>
      </c>
      <c r="E687" s="3">
        <v>10.0</v>
      </c>
      <c r="F687" s="3">
        <f t="shared" si="1"/>
        <v>1</v>
      </c>
      <c r="G687" s="5" t="str">
        <f>IFERROR(__xludf.DUMMYFUNCTION("""COMPUTED_VALUE"""),"https://github.com/24f1002325-Jagan/Project-1")</f>
        <v>https://github.com/24f1002325-Jagan/Project-1</v>
      </c>
      <c r="H687" s="3">
        <f t="shared" si="2"/>
        <v>9</v>
      </c>
      <c r="I687" s="3">
        <f t="shared" si="3"/>
        <v>0</v>
      </c>
      <c r="J687" s="3" t="str">
        <f t="shared" si="4"/>
        <v>No reviews</v>
      </c>
      <c r="K687" s="3" t="str">
        <f t="shared" si="5"/>
        <v>No reviews</v>
      </c>
      <c r="L687" s="7" t="str">
        <f t="shared" si="6"/>
        <v> </v>
      </c>
      <c r="M687" s="7" t="str">
        <f t="shared" si="7"/>
        <v> </v>
      </c>
      <c r="N687" s="7">
        <f t="shared" si="8"/>
        <v>4.5</v>
      </c>
    </row>
    <row r="688" hidden="1">
      <c r="B688" s="3" t="s">
        <v>279</v>
      </c>
      <c r="C688" s="5" t="s">
        <v>1089</v>
      </c>
      <c r="D688" s="3">
        <v>7.0</v>
      </c>
      <c r="E688" s="3">
        <v>8.0</v>
      </c>
      <c r="F688" s="3">
        <f t="shared" si="1"/>
        <v>1</v>
      </c>
      <c r="G688" s="5" t="str">
        <f>IFERROR(__xludf.DUMMYFUNCTION("""COMPUTED_VALUE"""),"https://github.com/vazemon/TDS_Project1")</f>
        <v>https://github.com/vazemon/TDS_Project1</v>
      </c>
      <c r="H688" s="3">
        <f t="shared" si="2"/>
        <v>8</v>
      </c>
      <c r="I688" s="3">
        <f t="shared" si="3"/>
        <v>9</v>
      </c>
      <c r="J688" s="3" t="str">
        <f t="shared" si="4"/>
        <v>No reviews</v>
      </c>
      <c r="K688" s="3" t="str">
        <f t="shared" si="5"/>
        <v>No reviews</v>
      </c>
      <c r="L688" s="7" t="str">
        <f t="shared" si="6"/>
        <v> </v>
      </c>
      <c r="M688" s="7" t="str">
        <f t="shared" si="7"/>
        <v> </v>
      </c>
      <c r="N688" s="7">
        <f t="shared" si="8"/>
        <v>8.5</v>
      </c>
    </row>
    <row r="689" hidden="1">
      <c r="B689" s="3" t="s">
        <v>281</v>
      </c>
      <c r="C689" s="5" t="s">
        <v>57</v>
      </c>
      <c r="D689" s="3">
        <v>9.0</v>
      </c>
      <c r="E689" s="3">
        <v>10.0</v>
      </c>
      <c r="F689" s="3">
        <f t="shared" si="1"/>
        <v>1</v>
      </c>
      <c r="G689" s="5" t="str">
        <f>IFERROR(__xludf.DUMMYFUNCTION("""COMPUTED_VALUE"""),"https://github.com/kthirumlaesh17/tdsproject-1")</f>
        <v>https://github.com/kthirumlaesh17/tdsproject-1</v>
      </c>
      <c r="H689" s="3">
        <f t="shared" si="2"/>
        <v>10</v>
      </c>
      <c r="I689" s="3">
        <f t="shared" si="3"/>
        <v>10</v>
      </c>
      <c r="J689" s="3" t="str">
        <f t="shared" si="4"/>
        <v>No reviews</v>
      </c>
      <c r="K689" s="3" t="str">
        <f t="shared" si="5"/>
        <v>No reviews</v>
      </c>
      <c r="L689" s="7" t="str">
        <f t="shared" si="6"/>
        <v> </v>
      </c>
      <c r="M689" s="7" t="str">
        <f t="shared" si="7"/>
        <v> </v>
      </c>
      <c r="N689" s="7">
        <f t="shared" si="8"/>
        <v>10</v>
      </c>
    </row>
    <row r="690" hidden="1">
      <c r="B690" s="3" t="s">
        <v>283</v>
      </c>
      <c r="C690" s="5" t="s">
        <v>1090</v>
      </c>
      <c r="D690" s="3">
        <v>10.0</v>
      </c>
      <c r="E690" s="3">
        <v>10.0</v>
      </c>
      <c r="F690" s="3">
        <f t="shared" si="1"/>
        <v>1</v>
      </c>
      <c r="G690" s="5" t="str">
        <f>IFERROR(__xludf.DUMMYFUNCTION("""COMPUTED_VALUE"""),"https://github.com/UnfairFinish/TDS-Project-1")</f>
        <v>https://github.com/UnfairFinish/TDS-Project-1</v>
      </c>
      <c r="H690" s="3">
        <f t="shared" si="2"/>
        <v>8</v>
      </c>
      <c r="I690" s="3">
        <f t="shared" si="3"/>
        <v>10</v>
      </c>
      <c r="J690" s="3" t="str">
        <f t="shared" si="4"/>
        <v>No reviews</v>
      </c>
      <c r="K690" s="3" t="str">
        <f t="shared" si="5"/>
        <v>No reviews</v>
      </c>
      <c r="L690" s="7" t="str">
        <f t="shared" si="6"/>
        <v> </v>
      </c>
      <c r="M690" s="7" t="str">
        <f t="shared" si="7"/>
        <v> </v>
      </c>
      <c r="N690" s="7">
        <f t="shared" si="8"/>
        <v>9</v>
      </c>
    </row>
    <row r="691" hidden="1">
      <c r="B691" s="3" t="s">
        <v>285</v>
      </c>
      <c r="C691" s="5" t="s">
        <v>1091</v>
      </c>
      <c r="D691" s="3">
        <v>8.0</v>
      </c>
      <c r="E691" s="3">
        <v>7.0</v>
      </c>
      <c r="F691" s="3">
        <f t="shared" si="1"/>
        <v>1</v>
      </c>
      <c r="G691" s="5" t="str">
        <f>IFERROR(__xludf.DUMMYFUNCTION("""COMPUTED_VALUE"""),"https://github.com/Imranrasheedpm/tds_proj_1")</f>
        <v>https://github.com/Imranrasheedpm/tds_proj_1</v>
      </c>
      <c r="H691" s="3">
        <f t="shared" si="2"/>
        <v>6</v>
      </c>
      <c r="I691" s="3">
        <f t="shared" si="3"/>
        <v>0</v>
      </c>
      <c r="J691" s="3" t="str">
        <f t="shared" si="4"/>
        <v>No reviews</v>
      </c>
      <c r="K691" s="3" t="str">
        <f t="shared" si="5"/>
        <v>No reviews</v>
      </c>
      <c r="L691" s="7" t="str">
        <f t="shared" si="6"/>
        <v> </v>
      </c>
      <c r="M691" s="7" t="str">
        <f t="shared" si="7"/>
        <v> </v>
      </c>
      <c r="N691" s="7">
        <f t="shared" si="8"/>
        <v>3</v>
      </c>
    </row>
    <row r="692" hidden="1">
      <c r="B692" s="3" t="s">
        <v>287</v>
      </c>
      <c r="C692" s="5" t="s">
        <v>1092</v>
      </c>
      <c r="D692" s="3">
        <v>10.0</v>
      </c>
      <c r="E692" s="3">
        <v>10.0</v>
      </c>
      <c r="F692" s="3">
        <f t="shared" si="1"/>
        <v>2</v>
      </c>
      <c r="G692" s="5" t="str">
        <f>IFERROR(__xludf.DUMMYFUNCTION("""COMPUTED_VALUE"""),"https://github.com/sunnykumardangi/TDS_project-1")</f>
        <v>https://github.com/sunnykumardangi/TDS_project-1</v>
      </c>
      <c r="H692" s="3">
        <f t="shared" si="2"/>
        <v>0</v>
      </c>
      <c r="I692" s="3">
        <f t="shared" si="3"/>
        <v>0</v>
      </c>
      <c r="J692" s="3">
        <f t="shared" si="4"/>
        <v>0</v>
      </c>
      <c r="K692" s="3">
        <f t="shared" si="5"/>
        <v>6</v>
      </c>
      <c r="L692" s="7">
        <f t="shared" si="6"/>
        <v>0</v>
      </c>
      <c r="M692" s="7">
        <f t="shared" si="7"/>
        <v>6</v>
      </c>
      <c r="N692" s="7">
        <f t="shared" si="8"/>
        <v>3</v>
      </c>
    </row>
    <row r="693" hidden="1">
      <c r="B693" s="3" t="s">
        <v>289</v>
      </c>
      <c r="C693" s="5" t="s">
        <v>1093</v>
      </c>
      <c r="D693" s="3">
        <v>9.0</v>
      </c>
      <c r="E693" s="3">
        <v>9.0</v>
      </c>
      <c r="F693" s="3">
        <f t="shared" si="1"/>
        <v>2</v>
      </c>
      <c r="G693" s="5" t="str">
        <f>IFERROR(__xludf.DUMMYFUNCTION("""COMPUTED_VALUE"""),"https://github.com/Nandhini-Ammaiappan/Project1")</f>
        <v>https://github.com/Nandhini-Ammaiappan/Project1</v>
      </c>
      <c r="H693" s="3">
        <f t="shared" si="2"/>
        <v>6</v>
      </c>
      <c r="I693" s="3">
        <f t="shared" si="3"/>
        <v>7</v>
      </c>
      <c r="J693" s="3">
        <f t="shared" si="4"/>
        <v>10</v>
      </c>
      <c r="K693" s="3">
        <f t="shared" si="5"/>
        <v>9</v>
      </c>
      <c r="L693" s="7">
        <f t="shared" si="6"/>
        <v>4</v>
      </c>
      <c r="M693" s="7">
        <f t="shared" si="7"/>
        <v>2</v>
      </c>
      <c r="N693" s="7">
        <f t="shared" si="8"/>
        <v>9.5</v>
      </c>
    </row>
    <row r="694" hidden="1">
      <c r="B694" s="3" t="s">
        <v>291</v>
      </c>
      <c r="C694" s="5" t="s">
        <v>1094</v>
      </c>
      <c r="D694" s="3">
        <v>10.0</v>
      </c>
      <c r="E694" s="3">
        <v>10.0</v>
      </c>
      <c r="F694" s="3">
        <f t="shared" si="1"/>
        <v>1</v>
      </c>
      <c r="G694" s="5" t="str">
        <f>IFERROR(__xludf.DUMMYFUNCTION("""COMPUTED_VALUE"""),"https://github.com/Ganesh002005/data_analysis_boostan")</f>
        <v>https://github.com/Ganesh002005/data_analysis_boostan</v>
      </c>
      <c r="H694" s="3">
        <f t="shared" si="2"/>
        <v>10</v>
      </c>
      <c r="I694" s="3">
        <f t="shared" si="3"/>
        <v>10</v>
      </c>
      <c r="J694" s="3" t="str">
        <f t="shared" si="4"/>
        <v>No reviews</v>
      </c>
      <c r="K694" s="3" t="str">
        <f t="shared" si="5"/>
        <v>No reviews</v>
      </c>
      <c r="L694" s="7" t="str">
        <f t="shared" si="6"/>
        <v> </v>
      </c>
      <c r="M694" s="7" t="str">
        <f t="shared" si="7"/>
        <v> </v>
      </c>
      <c r="N694" s="7">
        <f t="shared" si="8"/>
        <v>10</v>
      </c>
    </row>
    <row r="695" hidden="1">
      <c r="B695" s="3" t="s">
        <v>293</v>
      </c>
      <c r="C695" s="5" t="s">
        <v>1095</v>
      </c>
      <c r="D695" s="3">
        <v>10.0</v>
      </c>
      <c r="E695" s="3">
        <v>10.0</v>
      </c>
      <c r="F695" s="3">
        <f t="shared" si="1"/>
        <v>1</v>
      </c>
      <c r="G695" s="5" t="str">
        <f>IFERROR(__xludf.DUMMYFUNCTION("""COMPUTED_VALUE"""),"https://github.com/nemo0002/Tds_proj_1")</f>
        <v>https://github.com/nemo0002/Tds_proj_1</v>
      </c>
      <c r="H695" s="3">
        <f t="shared" si="2"/>
        <v>9</v>
      </c>
      <c r="I695" s="3">
        <f t="shared" si="3"/>
        <v>8</v>
      </c>
      <c r="J695" s="3" t="str">
        <f t="shared" si="4"/>
        <v>No reviews</v>
      </c>
      <c r="K695" s="3" t="str">
        <f t="shared" si="5"/>
        <v>No reviews</v>
      </c>
      <c r="L695" s="7" t="str">
        <f t="shared" si="6"/>
        <v> </v>
      </c>
      <c r="M695" s="7" t="str">
        <f t="shared" si="7"/>
        <v> </v>
      </c>
      <c r="N695" s="7">
        <f t="shared" si="8"/>
        <v>8.5</v>
      </c>
    </row>
    <row r="696" hidden="1">
      <c r="B696" s="3" t="s">
        <v>295</v>
      </c>
      <c r="C696" s="5" t="s">
        <v>1096</v>
      </c>
      <c r="D696" s="3">
        <v>9.0</v>
      </c>
      <c r="E696" s="3">
        <v>8.0</v>
      </c>
      <c r="F696" s="3">
        <f t="shared" si="1"/>
        <v>1</v>
      </c>
      <c r="G696" s="5" t="str">
        <f>IFERROR(__xludf.DUMMYFUNCTION("""COMPUTED_VALUE"""),"https://github.com/sanchit-in/sydney-github-users")</f>
        <v>https://github.com/sanchit-in/sydney-github-users</v>
      </c>
      <c r="H696" s="3">
        <f t="shared" si="2"/>
        <v>10</v>
      </c>
      <c r="I696" s="3">
        <f t="shared" si="3"/>
        <v>9</v>
      </c>
      <c r="J696" s="3" t="str">
        <f t="shared" si="4"/>
        <v>No reviews</v>
      </c>
      <c r="K696" s="3" t="str">
        <f t="shared" si="5"/>
        <v>No reviews</v>
      </c>
      <c r="L696" s="7" t="str">
        <f t="shared" si="6"/>
        <v> </v>
      </c>
      <c r="M696" s="7" t="str">
        <f t="shared" si="7"/>
        <v> </v>
      </c>
      <c r="N696" s="7">
        <f t="shared" si="8"/>
        <v>9.5</v>
      </c>
    </row>
    <row r="697" hidden="1">
      <c r="B697" s="3" t="s">
        <v>297</v>
      </c>
      <c r="C697" s="5" t="s">
        <v>1047</v>
      </c>
      <c r="D697" s="3">
        <v>6.0</v>
      </c>
      <c r="E697" s="3">
        <v>9.0</v>
      </c>
      <c r="F697" s="3">
        <f t="shared" si="1"/>
        <v>1</v>
      </c>
      <c r="G697" s="5" t="str">
        <f>IFERROR(__xludf.DUMMYFUNCTION("""COMPUTED_VALUE"""),"https://github.com/basubinayak/tds-project-1")</f>
        <v>https://github.com/basubinayak/tds-project-1</v>
      </c>
      <c r="H697" s="3">
        <f t="shared" si="2"/>
        <v>10</v>
      </c>
      <c r="I697" s="3">
        <f t="shared" si="3"/>
        <v>10</v>
      </c>
      <c r="J697" s="3" t="str">
        <f t="shared" si="4"/>
        <v>No reviews</v>
      </c>
      <c r="K697" s="3" t="str">
        <f t="shared" si="5"/>
        <v>No reviews</v>
      </c>
      <c r="L697" s="7" t="str">
        <f t="shared" si="6"/>
        <v> </v>
      </c>
      <c r="M697" s="7" t="str">
        <f t="shared" si="7"/>
        <v> </v>
      </c>
      <c r="N697" s="7">
        <f t="shared" si="8"/>
        <v>10</v>
      </c>
    </row>
    <row r="698" hidden="1">
      <c r="B698" s="3" t="s">
        <v>299</v>
      </c>
      <c r="C698" s="5" t="s">
        <v>1097</v>
      </c>
      <c r="D698" s="3">
        <v>10.0</v>
      </c>
      <c r="E698" s="3">
        <v>9.0</v>
      </c>
      <c r="F698" s="3">
        <f t="shared" si="1"/>
        <v>1</v>
      </c>
      <c r="G698" s="5" t="str">
        <f>IFERROR(__xludf.DUMMYFUNCTION("""COMPUTED_VALUE"""),"https://github.com/Mv98dell/Mv/tree/33999fa40510af74122c53f73c6b8df2b53129c9")</f>
        <v>https://github.com/Mv98dell/Mv/tree/33999fa40510af74122c53f73c6b8df2b53129c9</v>
      </c>
      <c r="H698" s="3">
        <f t="shared" si="2"/>
        <v>0</v>
      </c>
      <c r="I698" s="3">
        <f t="shared" si="3"/>
        <v>0</v>
      </c>
      <c r="J698" s="3" t="str">
        <f t="shared" si="4"/>
        <v>No reviews</v>
      </c>
      <c r="K698" s="3" t="str">
        <f t="shared" si="5"/>
        <v>No reviews</v>
      </c>
      <c r="L698" s="7" t="str">
        <f t="shared" si="6"/>
        <v> </v>
      </c>
      <c r="M698" s="7" t="str">
        <f t="shared" si="7"/>
        <v> </v>
      </c>
      <c r="N698" s="7">
        <f t="shared" si="8"/>
        <v>0</v>
      </c>
    </row>
    <row r="699" hidden="1">
      <c r="B699" s="3" t="s">
        <v>301</v>
      </c>
      <c r="C699" s="5" t="s">
        <v>1098</v>
      </c>
      <c r="D699" s="3">
        <v>10.0</v>
      </c>
      <c r="E699" s="3">
        <v>10.0</v>
      </c>
      <c r="F699" s="3">
        <f t="shared" si="1"/>
        <v>2</v>
      </c>
      <c r="G699" s="5" t="str">
        <f>IFERROR(__xludf.DUMMYFUNCTION("""COMPUTED_VALUE"""),"https://github.com/Anas007-lab/Toronto_Scraper")</f>
        <v>https://github.com/Anas007-lab/Toronto_Scraper</v>
      </c>
      <c r="H699" s="3">
        <f t="shared" si="2"/>
        <v>7</v>
      </c>
      <c r="I699" s="3">
        <f t="shared" si="3"/>
        <v>7</v>
      </c>
      <c r="J699" s="3">
        <f t="shared" si="4"/>
        <v>9</v>
      </c>
      <c r="K699" s="3">
        <f t="shared" si="5"/>
        <v>9</v>
      </c>
      <c r="L699" s="7">
        <f t="shared" si="6"/>
        <v>2</v>
      </c>
      <c r="M699" s="7">
        <f t="shared" si="7"/>
        <v>2</v>
      </c>
      <c r="N699" s="7">
        <f t="shared" si="8"/>
        <v>9</v>
      </c>
    </row>
    <row r="700" hidden="1">
      <c r="B700" s="3" t="s">
        <v>303</v>
      </c>
      <c r="C700" s="5" t="s">
        <v>1099</v>
      </c>
      <c r="D700" s="3">
        <v>0.0</v>
      </c>
      <c r="E700" s="3">
        <v>5.0</v>
      </c>
      <c r="F700" s="3">
        <f t="shared" si="1"/>
        <v>2</v>
      </c>
      <c r="G700" s="5" t="str">
        <f>IFERROR(__xludf.DUMMYFUNCTION("""COMPUTED_VALUE"""),"https://github.com/ThePenguin12345/TDS_Project1")</f>
        <v>https://github.com/ThePenguin12345/TDS_Project1</v>
      </c>
      <c r="H700" s="3">
        <f t="shared" si="2"/>
        <v>10</v>
      </c>
      <c r="I700" s="3">
        <f t="shared" si="3"/>
        <v>10</v>
      </c>
      <c r="J700" s="3">
        <f t="shared" si="4"/>
        <v>10</v>
      </c>
      <c r="K700" s="3">
        <f t="shared" si="5"/>
        <v>10</v>
      </c>
      <c r="L700" s="7">
        <f t="shared" si="6"/>
        <v>0</v>
      </c>
      <c r="M700" s="7">
        <f t="shared" si="7"/>
        <v>0</v>
      </c>
      <c r="N700" s="7">
        <f t="shared" si="8"/>
        <v>10</v>
      </c>
    </row>
    <row r="701" hidden="1">
      <c r="B701" s="3" t="s">
        <v>305</v>
      </c>
      <c r="C701" s="5" t="s">
        <v>1100</v>
      </c>
      <c r="D701" s="3">
        <v>4.0</v>
      </c>
      <c r="E701" s="3">
        <v>9.0</v>
      </c>
      <c r="F701" s="3">
        <f t="shared" si="1"/>
        <v>1</v>
      </c>
      <c r="G701" s="5" t="str">
        <f>IFERROR(__xludf.DUMMYFUNCTION("""COMPUTED_VALUE"""),"https://github.com/sneha-singh-12345578998/TDSProj-1")</f>
        <v>https://github.com/sneha-singh-12345578998/TDSProj-1</v>
      </c>
      <c r="H701" s="3">
        <f t="shared" si="2"/>
        <v>10</v>
      </c>
      <c r="I701" s="3">
        <f t="shared" si="3"/>
        <v>9</v>
      </c>
      <c r="J701" s="3" t="str">
        <f t="shared" si="4"/>
        <v>No reviews</v>
      </c>
      <c r="K701" s="3" t="str">
        <f t="shared" si="5"/>
        <v>No reviews</v>
      </c>
      <c r="L701" s="7" t="str">
        <f t="shared" si="6"/>
        <v> </v>
      </c>
      <c r="M701" s="7" t="str">
        <f t="shared" si="7"/>
        <v> </v>
      </c>
      <c r="N701" s="7">
        <f t="shared" si="8"/>
        <v>9.5</v>
      </c>
    </row>
    <row r="702" hidden="1">
      <c r="B702" s="3" t="s">
        <v>307</v>
      </c>
      <c r="C702" s="5" t="s">
        <v>1101</v>
      </c>
      <c r="D702" s="3">
        <v>10.0</v>
      </c>
      <c r="E702" s="3">
        <v>10.0</v>
      </c>
      <c r="F702" s="3">
        <f t="shared" si="1"/>
        <v>1</v>
      </c>
      <c r="G702" s="5" t="str">
        <f>IFERROR(__xludf.DUMMYFUNCTION("""COMPUTED_VALUE"""),"https://github.com/divyanshdixit09/tds_project1")</f>
        <v>https://github.com/divyanshdixit09/tds_project1</v>
      </c>
      <c r="H702" s="3">
        <f t="shared" si="2"/>
        <v>10</v>
      </c>
      <c r="I702" s="3">
        <f t="shared" si="3"/>
        <v>10</v>
      </c>
      <c r="J702" s="3" t="str">
        <f t="shared" si="4"/>
        <v>No reviews</v>
      </c>
      <c r="K702" s="3" t="str">
        <f t="shared" si="5"/>
        <v>No reviews</v>
      </c>
      <c r="L702" s="7" t="str">
        <f t="shared" si="6"/>
        <v> </v>
      </c>
      <c r="M702" s="7" t="str">
        <f t="shared" si="7"/>
        <v> </v>
      </c>
      <c r="N702" s="7">
        <f t="shared" si="8"/>
        <v>10</v>
      </c>
    </row>
    <row r="703" hidden="1">
      <c r="B703" s="3" t="s">
        <v>309</v>
      </c>
      <c r="C703" s="5" t="s">
        <v>1102</v>
      </c>
      <c r="D703" s="3">
        <v>10.0</v>
      </c>
      <c r="E703" s="3">
        <v>10.0</v>
      </c>
      <c r="F703" s="3">
        <f t="shared" si="1"/>
        <v>1</v>
      </c>
      <c r="G703" s="5" t="str">
        <f>IFERROR(__xludf.DUMMYFUNCTION("""COMPUTED_VALUE"""),"https://github.com/ajay-iit/TDS-Project-1")</f>
        <v>https://github.com/ajay-iit/TDS-Project-1</v>
      </c>
      <c r="H703" s="3">
        <f t="shared" si="2"/>
        <v>10</v>
      </c>
      <c r="I703" s="3">
        <f t="shared" si="3"/>
        <v>9</v>
      </c>
      <c r="J703" s="3" t="str">
        <f t="shared" si="4"/>
        <v>No reviews</v>
      </c>
      <c r="K703" s="3" t="str">
        <f t="shared" si="5"/>
        <v>No reviews</v>
      </c>
      <c r="L703" s="7" t="str">
        <f t="shared" si="6"/>
        <v> </v>
      </c>
      <c r="M703" s="7" t="str">
        <f t="shared" si="7"/>
        <v> </v>
      </c>
      <c r="N703" s="7">
        <f t="shared" si="8"/>
        <v>9.5</v>
      </c>
    </row>
    <row r="704" hidden="1">
      <c r="B704" s="3" t="s">
        <v>311</v>
      </c>
      <c r="C704" s="5" t="s">
        <v>1041</v>
      </c>
      <c r="D704" s="3">
        <v>6.0</v>
      </c>
      <c r="E704" s="3">
        <v>9.0</v>
      </c>
      <c r="F704" s="3">
        <f t="shared" si="1"/>
        <v>1</v>
      </c>
      <c r="G704" s="5" t="str">
        <f>IFERROR(__xludf.DUMMYFUNCTION("""COMPUTED_VALUE"""),"https://github.com/ArnoldMathew1998/TDS-project")</f>
        <v>https://github.com/ArnoldMathew1998/TDS-project</v>
      </c>
      <c r="H704" s="3">
        <f t="shared" si="2"/>
        <v>10</v>
      </c>
      <c r="I704" s="3">
        <f t="shared" si="3"/>
        <v>10</v>
      </c>
      <c r="J704" s="3" t="str">
        <f t="shared" si="4"/>
        <v>No reviews</v>
      </c>
      <c r="K704" s="3" t="str">
        <f t="shared" si="5"/>
        <v>No reviews</v>
      </c>
      <c r="L704" s="7" t="str">
        <f t="shared" si="6"/>
        <v> </v>
      </c>
      <c r="M704" s="7" t="str">
        <f t="shared" si="7"/>
        <v> </v>
      </c>
      <c r="N704" s="7">
        <f t="shared" si="8"/>
        <v>10</v>
      </c>
    </row>
    <row r="705" hidden="1">
      <c r="B705" s="3" t="s">
        <v>312</v>
      </c>
      <c r="C705" s="5" t="s">
        <v>1103</v>
      </c>
      <c r="D705" s="3">
        <v>10.0</v>
      </c>
      <c r="E705" s="3">
        <v>10.0</v>
      </c>
      <c r="F705" s="3">
        <f t="shared" si="1"/>
        <v>1</v>
      </c>
      <c r="G705" s="5" t="str">
        <f>IFERROR(__xludf.DUMMYFUNCTION("""COMPUTED_VALUE"""),"https://github.com/Skyehackerdoge/github-london-users")</f>
        <v>https://github.com/Skyehackerdoge/github-london-users</v>
      </c>
      <c r="H705" s="3">
        <f t="shared" si="2"/>
        <v>10</v>
      </c>
      <c r="I705" s="3">
        <f t="shared" si="3"/>
        <v>9</v>
      </c>
      <c r="J705" s="3" t="str">
        <f t="shared" si="4"/>
        <v>No reviews</v>
      </c>
      <c r="K705" s="3" t="str">
        <f t="shared" si="5"/>
        <v>No reviews</v>
      </c>
      <c r="L705" s="7" t="str">
        <f t="shared" si="6"/>
        <v> </v>
      </c>
      <c r="M705" s="7" t="str">
        <f t="shared" si="7"/>
        <v> </v>
      </c>
      <c r="N705" s="7">
        <f t="shared" si="8"/>
        <v>9.5</v>
      </c>
    </row>
    <row r="706" hidden="1">
      <c r="B706" s="3" t="s">
        <v>314</v>
      </c>
      <c r="C706" s="5" t="s">
        <v>1104</v>
      </c>
      <c r="D706" s="3">
        <v>8.0</v>
      </c>
      <c r="E706" s="3">
        <v>10.0</v>
      </c>
      <c r="F706" s="3">
        <f t="shared" si="1"/>
        <v>1</v>
      </c>
      <c r="G706" s="5" t="str">
        <f>IFERROR(__xludf.DUMMYFUNCTION("""COMPUTED_VALUE"""),"https://github.com/ashuiitm/tdsproject1/")</f>
        <v>https://github.com/ashuiitm/tdsproject1/</v>
      </c>
      <c r="H706" s="3">
        <f t="shared" si="2"/>
        <v>7</v>
      </c>
      <c r="I706" s="3">
        <f t="shared" si="3"/>
        <v>7</v>
      </c>
      <c r="J706" s="3" t="str">
        <f t="shared" si="4"/>
        <v>No reviews</v>
      </c>
      <c r="K706" s="3" t="str">
        <f t="shared" si="5"/>
        <v>No reviews</v>
      </c>
      <c r="L706" s="7" t="str">
        <f t="shared" si="6"/>
        <v> </v>
      </c>
      <c r="M706" s="7" t="str">
        <f t="shared" si="7"/>
        <v> </v>
      </c>
      <c r="N706" s="7">
        <f t="shared" si="8"/>
        <v>7</v>
      </c>
    </row>
    <row r="707" hidden="1">
      <c r="B707" s="3" t="s">
        <v>316</v>
      </c>
      <c r="C707" s="5" t="s">
        <v>1105</v>
      </c>
      <c r="D707" s="3">
        <v>10.0</v>
      </c>
      <c r="E707" s="3">
        <v>10.0</v>
      </c>
      <c r="F707" s="3">
        <f t="shared" si="1"/>
        <v>1</v>
      </c>
      <c r="G707" s="5" t="str">
        <f>IFERROR(__xludf.DUMMYFUNCTION("""COMPUTED_VALUE"""),"https://github.com/kamalesh-79/tdsproj/tree/main")</f>
        <v>https://github.com/kamalesh-79/tdsproj/tree/main</v>
      </c>
      <c r="H707" s="3">
        <f t="shared" si="2"/>
        <v>10</v>
      </c>
      <c r="I707" s="3">
        <f t="shared" si="3"/>
        <v>10</v>
      </c>
      <c r="J707" s="3" t="str">
        <f t="shared" si="4"/>
        <v>No reviews</v>
      </c>
      <c r="K707" s="3" t="str">
        <f t="shared" si="5"/>
        <v>No reviews</v>
      </c>
      <c r="L707" s="7" t="str">
        <f t="shared" si="6"/>
        <v> </v>
      </c>
      <c r="M707" s="7" t="str">
        <f t="shared" si="7"/>
        <v> </v>
      </c>
      <c r="N707" s="7">
        <f t="shared" si="8"/>
        <v>10</v>
      </c>
    </row>
    <row r="708" hidden="1">
      <c r="B708" s="3" t="s">
        <v>318</v>
      </c>
      <c r="C708" s="5" t="s">
        <v>1106</v>
      </c>
      <c r="D708" s="3">
        <v>8.0</v>
      </c>
      <c r="E708" s="3">
        <v>8.0</v>
      </c>
      <c r="F708" s="3">
        <f t="shared" si="1"/>
        <v>1</v>
      </c>
      <c r="G708" s="5" t="str">
        <f>IFERROR(__xludf.DUMMYFUNCTION("""COMPUTED_VALUE"""),"https://github.com/Rishi-Bhatt/TDS-Project1-Sept2024")</f>
        <v>https://github.com/Rishi-Bhatt/TDS-Project1-Sept2024</v>
      </c>
      <c r="H708" s="3">
        <f t="shared" si="2"/>
        <v>10</v>
      </c>
      <c r="I708" s="3">
        <f t="shared" si="3"/>
        <v>10</v>
      </c>
      <c r="J708" s="3" t="str">
        <f t="shared" si="4"/>
        <v>No reviews</v>
      </c>
      <c r="K708" s="3" t="str">
        <f t="shared" si="5"/>
        <v>No reviews</v>
      </c>
      <c r="L708" s="7" t="str">
        <f t="shared" si="6"/>
        <v> </v>
      </c>
      <c r="M708" s="7" t="str">
        <f t="shared" si="7"/>
        <v> </v>
      </c>
      <c r="N708" s="7">
        <f t="shared" si="8"/>
        <v>10</v>
      </c>
    </row>
    <row r="709" hidden="1">
      <c r="B709" s="3" t="s">
        <v>320</v>
      </c>
      <c r="C709" s="5" t="s">
        <v>1002</v>
      </c>
      <c r="D709" s="3">
        <v>7.0</v>
      </c>
      <c r="E709" s="3">
        <v>5.0</v>
      </c>
      <c r="F709" s="3">
        <f t="shared" si="1"/>
        <v>1</v>
      </c>
      <c r="G709" s="5" t="str">
        <f>IFERROR(__xludf.DUMMYFUNCTION("""COMPUTED_VALUE"""),"https://github.com/AMIRTHAKATESAN-M/TDS-PROJECT-1")</f>
        <v>https://github.com/AMIRTHAKATESAN-M/TDS-PROJECT-1</v>
      </c>
      <c r="H709" s="3">
        <f t="shared" si="2"/>
        <v>6</v>
      </c>
      <c r="I709" s="3">
        <f t="shared" si="3"/>
        <v>10</v>
      </c>
      <c r="J709" s="3" t="str">
        <f t="shared" si="4"/>
        <v>No reviews</v>
      </c>
      <c r="K709" s="3" t="str">
        <f t="shared" si="5"/>
        <v>No reviews</v>
      </c>
      <c r="L709" s="7" t="str">
        <f t="shared" si="6"/>
        <v> </v>
      </c>
      <c r="M709" s="7" t="str">
        <f t="shared" si="7"/>
        <v> </v>
      </c>
      <c r="N709" s="7">
        <f t="shared" si="8"/>
        <v>8</v>
      </c>
    </row>
    <row r="710" hidden="1">
      <c r="B710" s="3" t="s">
        <v>321</v>
      </c>
      <c r="C710" s="5" t="s">
        <v>1107</v>
      </c>
      <c r="D710" s="3">
        <v>0.0</v>
      </c>
      <c r="E710" s="3">
        <v>0.0</v>
      </c>
      <c r="F710" s="3">
        <f t="shared" si="1"/>
        <v>1</v>
      </c>
      <c r="G710" s="5" t="str">
        <f>IFERROR(__xludf.DUMMYFUNCTION("""COMPUTED_VALUE"""),"https://github.com/Jahnavi530/TDS-Project-1")</f>
        <v>https://github.com/Jahnavi530/TDS-Project-1</v>
      </c>
      <c r="H710" s="3">
        <f t="shared" si="2"/>
        <v>10</v>
      </c>
      <c r="I710" s="3">
        <f t="shared" si="3"/>
        <v>10</v>
      </c>
      <c r="J710" s="3" t="str">
        <f t="shared" si="4"/>
        <v>No reviews</v>
      </c>
      <c r="K710" s="3" t="str">
        <f t="shared" si="5"/>
        <v>No reviews</v>
      </c>
      <c r="L710" s="7" t="str">
        <f t="shared" si="6"/>
        <v> </v>
      </c>
      <c r="M710" s="7" t="str">
        <f t="shared" si="7"/>
        <v> </v>
      </c>
      <c r="N710" s="7">
        <f t="shared" si="8"/>
        <v>10</v>
      </c>
    </row>
    <row r="711" hidden="1">
      <c r="B711" s="3" t="s">
        <v>323</v>
      </c>
      <c r="C711" s="5" t="s">
        <v>1094</v>
      </c>
      <c r="D711" s="3">
        <v>8.0</v>
      </c>
      <c r="E711" s="3">
        <v>10.0</v>
      </c>
      <c r="F711" s="3">
        <f t="shared" si="1"/>
        <v>1</v>
      </c>
      <c r="G711" s="5" t="str">
        <f>IFERROR(__xludf.DUMMYFUNCTION("""COMPUTED_VALUE"""),"https://github.com/fahmeed1713/GitHub-Users-and-Repositories-Data-Scraper")</f>
        <v>https://github.com/fahmeed1713/GitHub-Users-and-Repositories-Data-Scraper</v>
      </c>
      <c r="H711" s="3">
        <f t="shared" si="2"/>
        <v>10</v>
      </c>
      <c r="I711" s="3">
        <f t="shared" si="3"/>
        <v>10</v>
      </c>
      <c r="J711" s="3" t="str">
        <f t="shared" si="4"/>
        <v>No reviews</v>
      </c>
      <c r="K711" s="3" t="str">
        <f t="shared" si="5"/>
        <v>No reviews</v>
      </c>
      <c r="L711" s="7" t="str">
        <f t="shared" si="6"/>
        <v> </v>
      </c>
      <c r="M711" s="7" t="str">
        <f t="shared" si="7"/>
        <v> </v>
      </c>
      <c r="N711" s="7">
        <f t="shared" si="8"/>
        <v>10</v>
      </c>
    </row>
    <row r="712" hidden="1">
      <c r="B712" s="3" t="s">
        <v>324</v>
      </c>
      <c r="C712" s="5" t="s">
        <v>1108</v>
      </c>
      <c r="D712" s="3">
        <v>10.0</v>
      </c>
      <c r="E712" s="3">
        <v>10.0</v>
      </c>
      <c r="F712" s="3">
        <f t="shared" si="1"/>
        <v>1</v>
      </c>
      <c r="G712" s="5" t="str">
        <f>IFERROR(__xludf.DUMMYFUNCTION("""COMPUTED_VALUE"""),"https://github.com/RITIK-CHAUDHRY/project-1")</f>
        <v>https://github.com/RITIK-CHAUDHRY/project-1</v>
      </c>
      <c r="H712" s="3">
        <f t="shared" si="2"/>
        <v>9</v>
      </c>
      <c r="I712" s="3">
        <f t="shared" si="3"/>
        <v>9</v>
      </c>
      <c r="J712" s="3" t="str">
        <f t="shared" si="4"/>
        <v>No reviews</v>
      </c>
      <c r="K712" s="3" t="str">
        <f t="shared" si="5"/>
        <v>No reviews</v>
      </c>
      <c r="L712" s="7" t="str">
        <f t="shared" si="6"/>
        <v> </v>
      </c>
      <c r="M712" s="7" t="str">
        <f t="shared" si="7"/>
        <v> </v>
      </c>
      <c r="N712" s="7">
        <f t="shared" si="8"/>
        <v>9</v>
      </c>
    </row>
    <row r="713" hidden="1">
      <c r="B713" s="3" t="s">
        <v>326</v>
      </c>
      <c r="C713" s="5" t="s">
        <v>1109</v>
      </c>
      <c r="D713" s="3">
        <v>5.0</v>
      </c>
      <c r="E713" s="3">
        <v>8.0</v>
      </c>
      <c r="F713" s="3">
        <f t="shared" si="1"/>
        <v>1</v>
      </c>
      <c r="G713" s="5" t="str">
        <f>IFERROR(__xludf.DUMMYFUNCTION("""COMPUTED_VALUE"""),"https://github.com/aksarwar/tds-project ")</f>
        <v>https://github.com/aksarwar/tds-project </v>
      </c>
      <c r="H713" s="3">
        <f t="shared" si="2"/>
        <v>10</v>
      </c>
      <c r="I713" s="3">
        <f t="shared" si="3"/>
        <v>10</v>
      </c>
      <c r="J713" s="3" t="str">
        <f t="shared" si="4"/>
        <v>No reviews</v>
      </c>
      <c r="K713" s="3" t="str">
        <f t="shared" si="5"/>
        <v>No reviews</v>
      </c>
      <c r="L713" s="7" t="str">
        <f t="shared" si="6"/>
        <v> </v>
      </c>
      <c r="M713" s="7" t="str">
        <f t="shared" si="7"/>
        <v> </v>
      </c>
      <c r="N713" s="7">
        <f t="shared" si="8"/>
        <v>10</v>
      </c>
    </row>
    <row r="714" hidden="1">
      <c r="B714" s="3" t="s">
        <v>328</v>
      </c>
      <c r="C714" s="5" t="s">
        <v>985</v>
      </c>
      <c r="D714" s="3">
        <v>0.0</v>
      </c>
      <c r="E714" s="3">
        <v>0.0</v>
      </c>
      <c r="F714" s="3">
        <f t="shared" si="1"/>
        <v>0</v>
      </c>
      <c r="N714" s="7"/>
    </row>
    <row r="715" hidden="1">
      <c r="B715" s="3" t="s">
        <v>329</v>
      </c>
      <c r="C715" s="5" t="s">
        <v>1110</v>
      </c>
      <c r="D715" s="3">
        <v>7.0</v>
      </c>
      <c r="E715" s="3">
        <v>8.0</v>
      </c>
      <c r="F715" s="3">
        <f t="shared" si="1"/>
        <v>0</v>
      </c>
      <c r="N715" s="7"/>
    </row>
    <row r="716" hidden="1">
      <c r="B716" s="3" t="s">
        <v>331</v>
      </c>
      <c r="C716" s="5" t="s">
        <v>1111</v>
      </c>
      <c r="D716" s="3">
        <v>8.0</v>
      </c>
      <c r="E716" s="3">
        <v>10.0</v>
      </c>
      <c r="F716" s="3">
        <f t="shared" si="1"/>
        <v>0</v>
      </c>
      <c r="N716" s="7"/>
    </row>
    <row r="717" hidden="1">
      <c r="B717" s="3" t="s">
        <v>333</v>
      </c>
      <c r="C717" s="5" t="s">
        <v>1112</v>
      </c>
      <c r="D717" s="3">
        <v>10.0</v>
      </c>
      <c r="E717" s="3">
        <v>0.0</v>
      </c>
      <c r="F717" s="3">
        <f t="shared" si="1"/>
        <v>0</v>
      </c>
      <c r="N717" s="7"/>
    </row>
    <row r="718" hidden="1">
      <c r="B718" s="3" t="s">
        <v>335</v>
      </c>
      <c r="C718" s="5" t="s">
        <v>1113</v>
      </c>
      <c r="D718" s="3">
        <v>10.0</v>
      </c>
      <c r="E718" s="3">
        <v>10.0</v>
      </c>
      <c r="F718" s="3">
        <f t="shared" si="1"/>
        <v>0</v>
      </c>
      <c r="N718" s="7"/>
    </row>
    <row r="719" hidden="1">
      <c r="B719" s="3" t="s">
        <v>337</v>
      </c>
      <c r="C719" s="5" t="s">
        <v>1114</v>
      </c>
      <c r="D719" s="3">
        <v>10.0</v>
      </c>
      <c r="E719" s="3">
        <v>8.0</v>
      </c>
      <c r="F719" s="3">
        <f t="shared" si="1"/>
        <v>0</v>
      </c>
      <c r="N719" s="7"/>
    </row>
    <row r="720" hidden="1">
      <c r="B720" s="3" t="s">
        <v>339</v>
      </c>
      <c r="C720" s="5" t="s">
        <v>1115</v>
      </c>
      <c r="D720" s="3">
        <v>9.0</v>
      </c>
      <c r="E720" s="3">
        <v>9.0</v>
      </c>
      <c r="F720" s="3">
        <f t="shared" si="1"/>
        <v>0</v>
      </c>
      <c r="N720" s="7"/>
    </row>
    <row r="721" hidden="1">
      <c r="B721" s="3" t="s">
        <v>341</v>
      </c>
      <c r="C721" s="5" t="s">
        <v>1116</v>
      </c>
      <c r="D721" s="3">
        <v>6.0</v>
      </c>
      <c r="E721" s="3">
        <v>9.0</v>
      </c>
      <c r="F721" s="3">
        <f t="shared" si="1"/>
        <v>0</v>
      </c>
      <c r="N721" s="7"/>
    </row>
    <row r="722" hidden="1">
      <c r="B722" s="3" t="s">
        <v>343</v>
      </c>
      <c r="C722" s="5" t="s">
        <v>1032</v>
      </c>
      <c r="D722" s="3">
        <v>10.0</v>
      </c>
      <c r="E722" s="3">
        <v>10.0</v>
      </c>
      <c r="F722" s="3">
        <f t="shared" si="1"/>
        <v>0</v>
      </c>
      <c r="N722" s="7"/>
    </row>
    <row r="723" hidden="1">
      <c r="B723" s="3" t="s">
        <v>344</v>
      </c>
      <c r="C723" s="5" t="s">
        <v>1117</v>
      </c>
      <c r="D723" s="3">
        <v>9.0</v>
      </c>
      <c r="E723" s="3">
        <v>8.0</v>
      </c>
      <c r="F723" s="3">
        <f t="shared" si="1"/>
        <v>0</v>
      </c>
      <c r="N723" s="7"/>
    </row>
    <row r="724" hidden="1">
      <c r="B724" s="3" t="s">
        <v>346</v>
      </c>
      <c r="C724" s="5" t="s">
        <v>1118</v>
      </c>
      <c r="D724" s="3">
        <v>10.0</v>
      </c>
      <c r="E724" s="3">
        <v>0.0</v>
      </c>
      <c r="F724" s="3">
        <f t="shared" si="1"/>
        <v>0</v>
      </c>
      <c r="N724" s="7"/>
    </row>
    <row r="725" hidden="1">
      <c r="B725" s="3" t="s">
        <v>348</v>
      </c>
      <c r="C725" s="5" t="s">
        <v>551</v>
      </c>
      <c r="D725" s="3">
        <v>9.0</v>
      </c>
      <c r="E725" s="3">
        <v>10.0</v>
      </c>
      <c r="F725" s="3">
        <f t="shared" si="1"/>
        <v>0</v>
      </c>
      <c r="N725" s="7"/>
    </row>
    <row r="726" hidden="1">
      <c r="B726" s="3" t="s">
        <v>350</v>
      </c>
      <c r="C726" s="5" t="s">
        <v>762</v>
      </c>
      <c r="D726" s="3">
        <v>10.0</v>
      </c>
      <c r="E726" s="3">
        <v>10.0</v>
      </c>
      <c r="F726" s="3">
        <f t="shared" si="1"/>
        <v>0</v>
      </c>
      <c r="N726" s="7"/>
    </row>
    <row r="727" hidden="1">
      <c r="B727" s="3" t="s">
        <v>352</v>
      </c>
      <c r="C727" s="5" t="s">
        <v>1119</v>
      </c>
      <c r="D727" s="3">
        <v>10.0</v>
      </c>
      <c r="E727" s="3">
        <v>10.0</v>
      </c>
      <c r="F727" s="3">
        <f t="shared" si="1"/>
        <v>0</v>
      </c>
      <c r="N727" s="7"/>
    </row>
    <row r="728" hidden="1">
      <c r="B728" s="3" t="s">
        <v>354</v>
      </c>
      <c r="C728" s="5" t="s">
        <v>1120</v>
      </c>
      <c r="D728" s="3">
        <v>10.0</v>
      </c>
      <c r="E728" s="3">
        <v>10.0</v>
      </c>
      <c r="F728" s="3">
        <f t="shared" si="1"/>
        <v>0</v>
      </c>
      <c r="N728" s="7"/>
    </row>
    <row r="729" hidden="1">
      <c r="B729" s="3" t="s">
        <v>356</v>
      </c>
      <c r="C729" s="5" t="s">
        <v>1121</v>
      </c>
      <c r="D729" s="3">
        <v>10.0</v>
      </c>
      <c r="E729" s="3">
        <v>10.0</v>
      </c>
      <c r="F729" s="3">
        <f t="shared" si="1"/>
        <v>0</v>
      </c>
      <c r="N729" s="7"/>
    </row>
    <row r="730" hidden="1">
      <c r="B730" s="3" t="s">
        <v>358</v>
      </c>
      <c r="C730" s="5" t="s">
        <v>1122</v>
      </c>
      <c r="D730" s="3">
        <v>8.0</v>
      </c>
      <c r="E730" s="3">
        <v>8.0</v>
      </c>
      <c r="F730" s="3">
        <f t="shared" si="1"/>
        <v>0</v>
      </c>
      <c r="N730" s="7"/>
    </row>
    <row r="731" hidden="1">
      <c r="B731" s="3" t="s">
        <v>360</v>
      </c>
      <c r="C731" s="5" t="s">
        <v>1038</v>
      </c>
      <c r="D731" s="3">
        <v>10.0</v>
      </c>
      <c r="E731" s="3">
        <v>10.0</v>
      </c>
      <c r="F731" s="3">
        <f t="shared" si="1"/>
        <v>0</v>
      </c>
      <c r="N731" s="7"/>
    </row>
    <row r="732" hidden="1">
      <c r="B732" s="3" t="s">
        <v>361</v>
      </c>
      <c r="C732" s="5" t="s">
        <v>1055</v>
      </c>
      <c r="D732" s="3">
        <v>2.0</v>
      </c>
      <c r="E732" s="3">
        <v>10.0</v>
      </c>
      <c r="F732" s="3">
        <f t="shared" si="1"/>
        <v>0</v>
      </c>
      <c r="N732" s="7"/>
    </row>
    <row r="733" hidden="1">
      <c r="B733" s="3" t="s">
        <v>362</v>
      </c>
      <c r="C733" s="5" t="s">
        <v>1123</v>
      </c>
      <c r="D733" s="3">
        <v>10.0</v>
      </c>
      <c r="E733" s="3">
        <v>8.0</v>
      </c>
      <c r="F733" s="3">
        <f t="shared" si="1"/>
        <v>0</v>
      </c>
      <c r="N733" s="7"/>
    </row>
    <row r="734" hidden="1">
      <c r="B734" s="3" t="s">
        <v>364</v>
      </c>
      <c r="C734" s="5" t="s">
        <v>1030</v>
      </c>
      <c r="D734" s="3">
        <v>10.0</v>
      </c>
      <c r="E734" s="3">
        <v>10.0</v>
      </c>
      <c r="F734" s="3">
        <f t="shared" si="1"/>
        <v>0</v>
      </c>
      <c r="N734" s="7"/>
    </row>
    <row r="735" hidden="1">
      <c r="B735" s="3" t="s">
        <v>365</v>
      </c>
      <c r="C735" s="5" t="s">
        <v>1026</v>
      </c>
      <c r="D735" s="3">
        <v>10.0</v>
      </c>
      <c r="E735" s="3">
        <v>9.0</v>
      </c>
      <c r="F735" s="3">
        <f t="shared" si="1"/>
        <v>0</v>
      </c>
      <c r="N735" s="7"/>
    </row>
    <row r="736" hidden="1">
      <c r="B736" s="3" t="s">
        <v>366</v>
      </c>
      <c r="C736" s="5" t="s">
        <v>1124</v>
      </c>
      <c r="D736" s="3">
        <v>10.0</v>
      </c>
      <c r="E736" s="3">
        <v>10.0</v>
      </c>
      <c r="F736" s="3">
        <f t="shared" si="1"/>
        <v>0</v>
      </c>
      <c r="N736" s="7"/>
    </row>
    <row r="737" hidden="1">
      <c r="B737" s="3" t="s">
        <v>368</v>
      </c>
      <c r="C737" s="5" t="s">
        <v>1125</v>
      </c>
      <c r="D737" s="3">
        <v>10.0</v>
      </c>
      <c r="E737" s="3">
        <v>10.0</v>
      </c>
      <c r="F737" s="3">
        <f t="shared" si="1"/>
        <v>0</v>
      </c>
      <c r="N737" s="7"/>
    </row>
    <row r="738" hidden="1">
      <c r="B738" s="3" t="s">
        <v>370</v>
      </c>
      <c r="C738" s="5" t="s">
        <v>1085</v>
      </c>
      <c r="D738" s="3">
        <v>9.0</v>
      </c>
      <c r="E738" s="3">
        <v>8.0</v>
      </c>
      <c r="F738" s="3">
        <f t="shared" si="1"/>
        <v>0</v>
      </c>
      <c r="N738" s="7"/>
    </row>
    <row r="739" hidden="1">
      <c r="B739" s="3" t="s">
        <v>371</v>
      </c>
      <c r="C739" s="5" t="s">
        <v>1126</v>
      </c>
      <c r="D739" s="3">
        <v>10.0</v>
      </c>
      <c r="E739" s="3">
        <v>10.0</v>
      </c>
      <c r="F739" s="3">
        <f t="shared" si="1"/>
        <v>0</v>
      </c>
      <c r="N739" s="7"/>
    </row>
    <row r="740" hidden="1">
      <c r="B740" s="3" t="s">
        <v>373</v>
      </c>
      <c r="C740" s="5" t="s">
        <v>1057</v>
      </c>
      <c r="D740" s="3">
        <v>9.0</v>
      </c>
      <c r="E740" s="3">
        <v>9.0</v>
      </c>
      <c r="F740" s="3">
        <f t="shared" si="1"/>
        <v>0</v>
      </c>
      <c r="N740" s="7"/>
    </row>
    <row r="741" hidden="1">
      <c r="B741" s="3" t="s">
        <v>374</v>
      </c>
      <c r="C741" s="5" t="s">
        <v>1127</v>
      </c>
      <c r="D741" s="3">
        <v>10.0</v>
      </c>
      <c r="E741" s="3">
        <v>10.0</v>
      </c>
      <c r="F741" s="3">
        <f t="shared" si="1"/>
        <v>0</v>
      </c>
      <c r="N741" s="7"/>
    </row>
    <row r="742" hidden="1">
      <c r="B742" s="3" t="s">
        <v>376</v>
      </c>
      <c r="C742" s="5" t="s">
        <v>1128</v>
      </c>
      <c r="D742" s="3">
        <v>10.0</v>
      </c>
      <c r="E742" s="3">
        <v>10.0</v>
      </c>
      <c r="F742" s="3">
        <f t="shared" si="1"/>
        <v>0</v>
      </c>
      <c r="N742" s="7"/>
    </row>
    <row r="743" hidden="1">
      <c r="B743" s="3" t="s">
        <v>378</v>
      </c>
      <c r="C743" s="5" t="s">
        <v>1129</v>
      </c>
      <c r="D743" s="3">
        <v>10.0</v>
      </c>
      <c r="E743" s="3">
        <v>10.0</v>
      </c>
      <c r="F743" s="3">
        <f t="shared" si="1"/>
        <v>0</v>
      </c>
      <c r="N743" s="7"/>
    </row>
    <row r="744" hidden="1">
      <c r="B744" s="3" t="s">
        <v>380</v>
      </c>
      <c r="C744" s="5" t="s">
        <v>1130</v>
      </c>
      <c r="D744" s="3">
        <v>10.0</v>
      </c>
      <c r="E744" s="3">
        <v>10.0</v>
      </c>
      <c r="F744" s="3">
        <f t="shared" si="1"/>
        <v>0</v>
      </c>
      <c r="N744" s="7"/>
    </row>
    <row r="745" hidden="1">
      <c r="B745" s="3" t="s">
        <v>382</v>
      </c>
      <c r="C745" s="5" t="s">
        <v>1131</v>
      </c>
      <c r="D745" s="3">
        <v>10.0</v>
      </c>
      <c r="E745" s="3">
        <v>10.0</v>
      </c>
      <c r="F745" s="3">
        <f t="shared" si="1"/>
        <v>0</v>
      </c>
      <c r="N745" s="7"/>
    </row>
    <row r="746" hidden="1">
      <c r="B746" s="3" t="s">
        <v>384</v>
      </c>
      <c r="C746" s="5" t="s">
        <v>1114</v>
      </c>
      <c r="D746" s="3">
        <v>10.0</v>
      </c>
      <c r="E746" s="3">
        <v>10.0</v>
      </c>
      <c r="F746" s="3">
        <f t="shared" si="1"/>
        <v>0</v>
      </c>
      <c r="N746" s="7"/>
    </row>
    <row r="747" hidden="1">
      <c r="B747" s="3" t="s">
        <v>385</v>
      </c>
      <c r="C747" s="5" t="s">
        <v>1132</v>
      </c>
      <c r="D747" s="3">
        <v>9.0</v>
      </c>
      <c r="E747" s="3">
        <v>9.0</v>
      </c>
      <c r="F747" s="3">
        <f t="shared" si="1"/>
        <v>0</v>
      </c>
      <c r="N747" s="7"/>
    </row>
    <row r="748" hidden="1">
      <c r="B748" s="3" t="s">
        <v>387</v>
      </c>
      <c r="C748" s="5" t="s">
        <v>1133</v>
      </c>
      <c r="D748" s="3">
        <v>8.0</v>
      </c>
      <c r="E748" s="3">
        <v>9.0</v>
      </c>
      <c r="F748" s="3">
        <f t="shared" si="1"/>
        <v>0</v>
      </c>
      <c r="N748" s="7"/>
    </row>
    <row r="749" hidden="1">
      <c r="B749" s="3" t="s">
        <v>389</v>
      </c>
      <c r="C749" s="5" t="s">
        <v>1087</v>
      </c>
      <c r="D749" s="3">
        <v>8.0</v>
      </c>
      <c r="E749" s="3">
        <v>9.0</v>
      </c>
      <c r="F749" s="3">
        <f t="shared" si="1"/>
        <v>0</v>
      </c>
      <c r="N749" s="7"/>
    </row>
    <row r="750" hidden="1">
      <c r="B750" s="3" t="s">
        <v>390</v>
      </c>
      <c r="C750" s="5" t="s">
        <v>1134</v>
      </c>
      <c r="D750" s="3">
        <v>10.0</v>
      </c>
      <c r="E750" s="3">
        <v>9.0</v>
      </c>
      <c r="F750" s="3">
        <f t="shared" si="1"/>
        <v>0</v>
      </c>
      <c r="N750" s="7"/>
    </row>
    <row r="751" hidden="1">
      <c r="B751" s="3" t="s">
        <v>392</v>
      </c>
      <c r="C751" s="5" t="s">
        <v>1135</v>
      </c>
      <c r="D751" s="3">
        <v>7.0</v>
      </c>
      <c r="E751" s="3">
        <v>10.0</v>
      </c>
      <c r="F751" s="3">
        <f t="shared" si="1"/>
        <v>0</v>
      </c>
      <c r="N751" s="7"/>
    </row>
    <row r="752" hidden="1">
      <c r="B752" s="3" t="s">
        <v>394</v>
      </c>
      <c r="C752" s="5" t="s">
        <v>1136</v>
      </c>
      <c r="D752" s="3">
        <v>10.0</v>
      </c>
      <c r="E752" s="3">
        <v>10.0</v>
      </c>
      <c r="F752" s="3">
        <f t="shared" si="1"/>
        <v>0</v>
      </c>
      <c r="N752" s="7"/>
    </row>
    <row r="753" hidden="1">
      <c r="B753" s="3" t="s">
        <v>396</v>
      </c>
      <c r="C753" s="5" t="s">
        <v>1137</v>
      </c>
      <c r="D753" s="3">
        <v>7.0</v>
      </c>
      <c r="E753" s="3">
        <v>7.0</v>
      </c>
      <c r="F753" s="3">
        <f t="shared" si="1"/>
        <v>0</v>
      </c>
      <c r="N753" s="7"/>
    </row>
    <row r="754" hidden="1">
      <c r="B754" s="3" t="s">
        <v>398</v>
      </c>
      <c r="C754" s="5" t="s">
        <v>1138</v>
      </c>
      <c r="D754" s="3">
        <v>10.0</v>
      </c>
      <c r="E754" s="3">
        <v>10.0</v>
      </c>
      <c r="F754" s="3">
        <f t="shared" si="1"/>
        <v>0</v>
      </c>
      <c r="N754" s="7"/>
    </row>
    <row r="755" hidden="1">
      <c r="B755" s="3" t="s">
        <v>400</v>
      </c>
      <c r="C755" s="5" t="s">
        <v>1133</v>
      </c>
      <c r="D755" s="3">
        <v>10.0</v>
      </c>
      <c r="E755" s="3">
        <v>10.0</v>
      </c>
      <c r="F755" s="3">
        <f t="shared" si="1"/>
        <v>0</v>
      </c>
      <c r="N755" s="7"/>
    </row>
    <row r="756" hidden="1">
      <c r="B756" s="3" t="s">
        <v>401</v>
      </c>
      <c r="C756" s="5" t="s">
        <v>1139</v>
      </c>
      <c r="D756" s="3">
        <v>1.0</v>
      </c>
      <c r="E756" s="3">
        <v>0.0</v>
      </c>
      <c r="F756" s="3">
        <f t="shared" si="1"/>
        <v>0</v>
      </c>
      <c r="N756" s="7"/>
    </row>
    <row r="757" hidden="1">
      <c r="B757" s="3" t="s">
        <v>403</v>
      </c>
      <c r="C757" s="5" t="s">
        <v>1140</v>
      </c>
      <c r="D757" s="3">
        <v>10.0</v>
      </c>
      <c r="E757" s="3">
        <v>10.0</v>
      </c>
      <c r="F757" s="3">
        <f t="shared" si="1"/>
        <v>0</v>
      </c>
      <c r="N757" s="7"/>
    </row>
    <row r="758" hidden="1">
      <c r="B758" s="3" t="s">
        <v>405</v>
      </c>
      <c r="C758" s="5" t="s">
        <v>1141</v>
      </c>
      <c r="D758" s="3">
        <v>10.0</v>
      </c>
      <c r="E758" s="3">
        <v>9.0</v>
      </c>
      <c r="F758" s="3">
        <f t="shared" si="1"/>
        <v>0</v>
      </c>
      <c r="N758" s="7"/>
    </row>
    <row r="759" hidden="1">
      <c r="B759" s="3" t="s">
        <v>407</v>
      </c>
      <c r="C759" s="5" t="s">
        <v>1142</v>
      </c>
      <c r="D759" s="3">
        <v>8.0</v>
      </c>
      <c r="E759" s="3">
        <v>10.0</v>
      </c>
      <c r="F759" s="3">
        <f t="shared" si="1"/>
        <v>0</v>
      </c>
      <c r="N759" s="7"/>
    </row>
    <row r="760" hidden="1">
      <c r="B760" s="3" t="s">
        <v>409</v>
      </c>
      <c r="C760" s="5" t="s">
        <v>1118</v>
      </c>
      <c r="D760" s="3">
        <v>10.0</v>
      </c>
      <c r="E760" s="3">
        <v>10.0</v>
      </c>
      <c r="F760" s="3">
        <f t="shared" si="1"/>
        <v>0</v>
      </c>
      <c r="N760" s="7"/>
    </row>
    <row r="761" hidden="1">
      <c r="B761" s="3" t="s">
        <v>411</v>
      </c>
      <c r="C761" s="5" t="s">
        <v>1143</v>
      </c>
      <c r="D761" s="3">
        <v>10.0</v>
      </c>
      <c r="E761" s="3">
        <v>9.0</v>
      </c>
      <c r="F761" s="3">
        <f t="shared" si="1"/>
        <v>0</v>
      </c>
      <c r="N761" s="7"/>
    </row>
    <row r="762" hidden="1">
      <c r="B762" s="3" t="s">
        <v>413</v>
      </c>
      <c r="C762" s="5" t="s">
        <v>1144</v>
      </c>
      <c r="D762" s="3">
        <v>8.0</v>
      </c>
      <c r="E762" s="3">
        <v>8.0</v>
      </c>
      <c r="F762" s="3">
        <f t="shared" si="1"/>
        <v>0</v>
      </c>
      <c r="N762" s="7"/>
    </row>
    <row r="763" hidden="1">
      <c r="B763" s="3" t="s">
        <v>415</v>
      </c>
      <c r="C763" s="5" t="s">
        <v>1145</v>
      </c>
      <c r="D763" s="3">
        <v>10.0</v>
      </c>
      <c r="E763" s="3">
        <v>10.0</v>
      </c>
      <c r="F763" s="3">
        <f t="shared" si="1"/>
        <v>0</v>
      </c>
      <c r="N763" s="7"/>
    </row>
    <row r="764" hidden="1">
      <c r="B764" s="3" t="s">
        <v>417</v>
      </c>
      <c r="C764" s="5" t="s">
        <v>1146</v>
      </c>
      <c r="D764" s="3">
        <v>10.0</v>
      </c>
      <c r="E764" s="3">
        <v>10.0</v>
      </c>
      <c r="F764" s="3">
        <f t="shared" si="1"/>
        <v>0</v>
      </c>
      <c r="N764" s="7"/>
    </row>
    <row r="765" hidden="1">
      <c r="B765" s="3" t="s">
        <v>419</v>
      </c>
      <c r="C765" s="3" t="s">
        <v>1147</v>
      </c>
      <c r="D765" s="3">
        <v>10.0</v>
      </c>
      <c r="E765" s="3">
        <v>10.0</v>
      </c>
      <c r="F765" s="3">
        <f t="shared" si="1"/>
        <v>0</v>
      </c>
      <c r="N765" s="7"/>
    </row>
    <row r="766" hidden="1">
      <c r="B766" s="3" t="s">
        <v>421</v>
      </c>
      <c r="C766" s="5" t="s">
        <v>1124</v>
      </c>
      <c r="D766" s="3">
        <v>10.0</v>
      </c>
      <c r="E766" s="3">
        <v>10.0</v>
      </c>
      <c r="F766" s="3">
        <f t="shared" si="1"/>
        <v>0</v>
      </c>
      <c r="N766" s="7"/>
    </row>
    <row r="767" hidden="1">
      <c r="B767" s="3" t="s">
        <v>422</v>
      </c>
      <c r="C767" s="3" t="s">
        <v>423</v>
      </c>
      <c r="D767" s="3">
        <v>8.0</v>
      </c>
      <c r="E767" s="3">
        <v>0.0</v>
      </c>
      <c r="F767" s="3">
        <f t="shared" si="1"/>
        <v>0</v>
      </c>
      <c r="N767" s="7"/>
    </row>
    <row r="768" hidden="1">
      <c r="B768" s="3" t="s">
        <v>424</v>
      </c>
      <c r="C768" s="5" t="s">
        <v>1148</v>
      </c>
      <c r="D768" s="3">
        <v>5.0</v>
      </c>
      <c r="E768" s="3">
        <v>10.0</v>
      </c>
      <c r="F768" s="3">
        <f t="shared" si="1"/>
        <v>0</v>
      </c>
      <c r="N768" s="7"/>
    </row>
    <row r="769" hidden="1">
      <c r="B769" s="3" t="s">
        <v>426</v>
      </c>
      <c r="C769" s="5" t="s">
        <v>1149</v>
      </c>
      <c r="D769" s="3">
        <v>10.0</v>
      </c>
      <c r="E769" s="3">
        <v>10.0</v>
      </c>
      <c r="F769" s="3">
        <f t="shared" si="1"/>
        <v>0</v>
      </c>
      <c r="N769" s="7"/>
    </row>
    <row r="770" hidden="1">
      <c r="B770" s="3" t="s">
        <v>428</v>
      </c>
      <c r="C770" s="5" t="s">
        <v>1143</v>
      </c>
      <c r="D770" s="3">
        <v>10.0</v>
      </c>
      <c r="E770" s="3">
        <v>10.0</v>
      </c>
      <c r="F770" s="3">
        <f t="shared" si="1"/>
        <v>0</v>
      </c>
      <c r="N770" s="7"/>
    </row>
    <row r="771" hidden="1">
      <c r="B771" s="3" t="s">
        <v>429</v>
      </c>
      <c r="C771" s="5" t="s">
        <v>1150</v>
      </c>
      <c r="D771" s="3">
        <v>8.0</v>
      </c>
      <c r="E771" s="3">
        <v>5.0</v>
      </c>
      <c r="F771" s="3">
        <f t="shared" si="1"/>
        <v>0</v>
      </c>
      <c r="N771" s="7"/>
    </row>
    <row r="772" hidden="1">
      <c r="B772" s="3" t="s">
        <v>431</v>
      </c>
      <c r="C772" s="5" t="s">
        <v>1151</v>
      </c>
      <c r="D772" s="3">
        <v>10.0</v>
      </c>
      <c r="E772" s="3">
        <v>10.0</v>
      </c>
      <c r="F772" s="3">
        <f t="shared" si="1"/>
        <v>0</v>
      </c>
      <c r="N772" s="7"/>
    </row>
    <row r="773" hidden="1">
      <c r="B773" s="3" t="s">
        <v>433</v>
      </c>
      <c r="C773" s="5" t="s">
        <v>1152</v>
      </c>
      <c r="D773" s="3">
        <v>10.0</v>
      </c>
      <c r="E773" s="3">
        <v>10.0</v>
      </c>
      <c r="F773" s="3">
        <f t="shared" si="1"/>
        <v>0</v>
      </c>
      <c r="N773" s="7"/>
    </row>
    <row r="774" hidden="1">
      <c r="B774" s="3" t="s">
        <v>435</v>
      </c>
      <c r="C774" s="5" t="s">
        <v>1153</v>
      </c>
      <c r="D774" s="3">
        <v>6.0</v>
      </c>
      <c r="E774" s="3">
        <v>10.0</v>
      </c>
      <c r="F774" s="3">
        <f t="shared" si="1"/>
        <v>0</v>
      </c>
      <c r="N774" s="7"/>
    </row>
    <row r="775" hidden="1">
      <c r="B775" s="3" t="s">
        <v>437</v>
      </c>
      <c r="C775" s="5" t="s">
        <v>1154</v>
      </c>
      <c r="D775" s="3">
        <v>10.0</v>
      </c>
      <c r="E775" s="3">
        <v>10.0</v>
      </c>
      <c r="F775" s="3">
        <f t="shared" si="1"/>
        <v>0</v>
      </c>
      <c r="N775" s="7"/>
    </row>
    <row r="776" hidden="1">
      <c r="B776" s="3" t="s">
        <v>439</v>
      </c>
      <c r="C776" s="5" t="s">
        <v>1155</v>
      </c>
      <c r="D776" s="3">
        <v>10.0</v>
      </c>
      <c r="E776" s="3">
        <v>10.0</v>
      </c>
      <c r="F776" s="3">
        <f t="shared" si="1"/>
        <v>0</v>
      </c>
      <c r="N776" s="7"/>
    </row>
    <row r="777" hidden="1">
      <c r="B777" s="3" t="s">
        <v>441</v>
      </c>
      <c r="C777" s="5" t="s">
        <v>1025</v>
      </c>
      <c r="D777" s="3">
        <v>0.0</v>
      </c>
      <c r="E777" s="3">
        <v>0.0</v>
      </c>
      <c r="F777" s="3">
        <f t="shared" si="1"/>
        <v>0</v>
      </c>
      <c r="N777" s="7"/>
    </row>
    <row r="778" hidden="1">
      <c r="B778" s="3" t="s">
        <v>443</v>
      </c>
      <c r="C778" s="5" t="s">
        <v>1156</v>
      </c>
      <c r="D778" s="3">
        <v>9.0</v>
      </c>
      <c r="E778" s="3">
        <v>10.0</v>
      </c>
      <c r="F778" s="3">
        <f t="shared" si="1"/>
        <v>0</v>
      </c>
      <c r="N778" s="7"/>
    </row>
    <row r="779" hidden="1">
      <c r="B779" s="3" t="s">
        <v>445</v>
      </c>
      <c r="C779" s="5" t="s">
        <v>1157</v>
      </c>
      <c r="D779" s="3">
        <v>5.0</v>
      </c>
      <c r="E779" s="3">
        <v>10.0</v>
      </c>
      <c r="F779" s="3">
        <f t="shared" si="1"/>
        <v>0</v>
      </c>
      <c r="N779" s="7"/>
    </row>
    <row r="780" hidden="1">
      <c r="B780" s="3" t="s">
        <v>447</v>
      </c>
      <c r="C780" s="5" t="s">
        <v>1158</v>
      </c>
      <c r="D780" s="3">
        <v>10.0</v>
      </c>
      <c r="E780" s="3">
        <v>7.0</v>
      </c>
      <c r="F780" s="3">
        <f t="shared" si="1"/>
        <v>0</v>
      </c>
      <c r="N780" s="7"/>
    </row>
    <row r="781" hidden="1">
      <c r="B781" s="3" t="s">
        <v>449</v>
      </c>
      <c r="C781" s="5" t="s">
        <v>1159</v>
      </c>
      <c r="D781" s="3">
        <v>9.0</v>
      </c>
      <c r="E781" s="3">
        <v>10.0</v>
      </c>
      <c r="F781" s="3">
        <f t="shared" si="1"/>
        <v>0</v>
      </c>
      <c r="N781" s="7"/>
    </row>
    <row r="782" hidden="1">
      <c r="B782" s="3" t="s">
        <v>451</v>
      </c>
      <c r="C782" s="5" t="s">
        <v>1137</v>
      </c>
      <c r="D782" s="3">
        <v>4.0</v>
      </c>
      <c r="E782" s="3">
        <v>9.0</v>
      </c>
      <c r="F782" s="3">
        <f t="shared" si="1"/>
        <v>0</v>
      </c>
      <c r="N782" s="7"/>
    </row>
    <row r="783" hidden="1">
      <c r="B783" s="3" t="s">
        <v>452</v>
      </c>
      <c r="C783" s="5" t="s">
        <v>1027</v>
      </c>
      <c r="D783" s="3">
        <v>10.0</v>
      </c>
      <c r="E783" s="3">
        <v>8.0</v>
      </c>
      <c r="F783" s="3">
        <f t="shared" si="1"/>
        <v>0</v>
      </c>
      <c r="N783" s="7"/>
    </row>
    <row r="784" hidden="1">
      <c r="B784" s="3" t="s">
        <v>453</v>
      </c>
      <c r="C784" s="5" t="s">
        <v>1160</v>
      </c>
      <c r="D784" s="3">
        <v>9.0</v>
      </c>
      <c r="E784" s="3">
        <v>6.0</v>
      </c>
      <c r="F784" s="3">
        <f t="shared" si="1"/>
        <v>0</v>
      </c>
      <c r="N784" s="7"/>
    </row>
    <row r="785" hidden="1">
      <c r="B785" s="3" t="s">
        <v>455</v>
      </c>
      <c r="C785" s="5" t="s">
        <v>1161</v>
      </c>
      <c r="D785" s="3">
        <v>10.0</v>
      </c>
      <c r="E785" s="3">
        <v>10.0</v>
      </c>
      <c r="F785" s="3">
        <f t="shared" si="1"/>
        <v>0</v>
      </c>
      <c r="N785" s="7"/>
    </row>
    <row r="786" hidden="1">
      <c r="B786" s="3" t="s">
        <v>457</v>
      </c>
      <c r="C786" s="5" t="s">
        <v>1127</v>
      </c>
      <c r="D786" s="3">
        <v>10.0</v>
      </c>
      <c r="E786" s="3">
        <v>10.0</v>
      </c>
      <c r="F786" s="3">
        <f t="shared" si="1"/>
        <v>0</v>
      </c>
      <c r="N786" s="7"/>
    </row>
    <row r="787" hidden="1">
      <c r="B787" s="3" t="s">
        <v>459</v>
      </c>
      <c r="C787" s="5" t="s">
        <v>1107</v>
      </c>
      <c r="D787" s="3">
        <v>0.0</v>
      </c>
      <c r="E787" s="3">
        <v>0.0</v>
      </c>
      <c r="F787" s="3">
        <f t="shared" si="1"/>
        <v>0</v>
      </c>
      <c r="N787" s="7"/>
    </row>
    <row r="788" hidden="1">
      <c r="B788" s="3" t="s">
        <v>460</v>
      </c>
      <c r="C788" s="5" t="s">
        <v>1162</v>
      </c>
      <c r="D788" s="3">
        <v>9.0</v>
      </c>
      <c r="E788" s="3">
        <v>9.0</v>
      </c>
      <c r="F788" s="3">
        <f t="shared" si="1"/>
        <v>0</v>
      </c>
      <c r="N788" s="7"/>
    </row>
    <row r="789" hidden="1">
      <c r="B789" s="3" t="s">
        <v>462</v>
      </c>
      <c r="C789" s="5" t="s">
        <v>1163</v>
      </c>
      <c r="D789" s="3">
        <v>7.0</v>
      </c>
      <c r="E789" s="3">
        <v>9.0</v>
      </c>
      <c r="F789" s="3">
        <f t="shared" si="1"/>
        <v>0</v>
      </c>
      <c r="N789" s="7"/>
    </row>
    <row r="790" hidden="1">
      <c r="B790" s="3" t="s">
        <v>464</v>
      </c>
      <c r="C790" s="5" t="s">
        <v>1164</v>
      </c>
      <c r="D790" s="3">
        <v>10.0</v>
      </c>
      <c r="E790" s="3">
        <v>10.0</v>
      </c>
      <c r="F790" s="3">
        <f t="shared" si="1"/>
        <v>0</v>
      </c>
      <c r="N790" s="7"/>
    </row>
    <row r="791" hidden="1">
      <c r="B791" s="3" t="s">
        <v>466</v>
      </c>
      <c r="C791" s="5" t="s">
        <v>1165</v>
      </c>
      <c r="D791" s="3">
        <v>10.0</v>
      </c>
      <c r="E791" s="3">
        <v>10.0</v>
      </c>
      <c r="F791" s="3">
        <f t="shared" si="1"/>
        <v>0</v>
      </c>
      <c r="N791" s="7"/>
    </row>
    <row r="792" hidden="1">
      <c r="B792" s="3" t="s">
        <v>468</v>
      </c>
      <c r="C792" s="5" t="s">
        <v>1166</v>
      </c>
      <c r="D792" s="3">
        <v>10.0</v>
      </c>
      <c r="E792" s="3">
        <v>10.0</v>
      </c>
      <c r="F792" s="3">
        <f t="shared" si="1"/>
        <v>0</v>
      </c>
      <c r="N792" s="7"/>
    </row>
    <row r="793" hidden="1">
      <c r="B793" s="3" t="s">
        <v>470</v>
      </c>
      <c r="C793" s="5" t="s">
        <v>1110</v>
      </c>
      <c r="D793" s="3">
        <v>10.0</v>
      </c>
      <c r="E793" s="3">
        <v>10.0</v>
      </c>
      <c r="F793" s="3">
        <f t="shared" si="1"/>
        <v>0</v>
      </c>
      <c r="N793" s="7"/>
    </row>
    <row r="794" hidden="1">
      <c r="B794" s="3" t="s">
        <v>471</v>
      </c>
      <c r="C794" s="5" t="s">
        <v>1090</v>
      </c>
      <c r="D794" s="3">
        <v>6.0</v>
      </c>
      <c r="E794" s="3">
        <v>3.0</v>
      </c>
      <c r="F794" s="3">
        <f t="shared" si="1"/>
        <v>0</v>
      </c>
      <c r="N794" s="7"/>
    </row>
    <row r="795" hidden="1">
      <c r="B795" s="3" t="s">
        <v>472</v>
      </c>
      <c r="C795" s="5" t="s">
        <v>1024</v>
      </c>
      <c r="D795" s="3">
        <v>1.0</v>
      </c>
      <c r="E795" s="3">
        <v>0.0</v>
      </c>
      <c r="F795" s="3">
        <f t="shared" si="1"/>
        <v>0</v>
      </c>
      <c r="N795" s="7"/>
    </row>
    <row r="796" hidden="1">
      <c r="B796" s="3" t="s">
        <v>473</v>
      </c>
      <c r="C796" s="5" t="s">
        <v>1151</v>
      </c>
      <c r="D796" s="3">
        <v>10.0</v>
      </c>
      <c r="E796" s="3">
        <v>10.0</v>
      </c>
      <c r="F796" s="3">
        <f t="shared" si="1"/>
        <v>0</v>
      </c>
      <c r="N796" s="7"/>
    </row>
    <row r="797" hidden="1">
      <c r="B797" s="3" t="s">
        <v>474</v>
      </c>
      <c r="C797" s="5" t="s">
        <v>1167</v>
      </c>
      <c r="D797" s="3">
        <v>5.0</v>
      </c>
      <c r="E797" s="3">
        <v>0.0</v>
      </c>
      <c r="F797" s="3">
        <f t="shared" si="1"/>
        <v>0</v>
      </c>
      <c r="N797" s="7"/>
    </row>
    <row r="798" hidden="1">
      <c r="B798" s="3" t="s">
        <v>476</v>
      </c>
      <c r="C798" s="5" t="s">
        <v>1168</v>
      </c>
      <c r="D798" s="3">
        <v>8.0</v>
      </c>
      <c r="E798" s="3">
        <v>9.0</v>
      </c>
      <c r="F798" s="3">
        <f t="shared" si="1"/>
        <v>0</v>
      </c>
      <c r="N798" s="7"/>
    </row>
    <row r="799" hidden="1">
      <c r="B799" s="3" t="s">
        <v>478</v>
      </c>
      <c r="C799" s="5" t="s">
        <v>1169</v>
      </c>
      <c r="D799" s="3">
        <v>10.0</v>
      </c>
      <c r="E799" s="3">
        <v>10.0</v>
      </c>
      <c r="F799" s="3">
        <f t="shared" si="1"/>
        <v>0</v>
      </c>
      <c r="N799" s="7"/>
    </row>
    <row r="800" hidden="1">
      <c r="B800" s="3" t="s">
        <v>480</v>
      </c>
      <c r="C800" s="5" t="s">
        <v>1170</v>
      </c>
      <c r="D800" s="3">
        <v>9.0</v>
      </c>
      <c r="E800" s="3">
        <v>10.0</v>
      </c>
      <c r="F800" s="3">
        <f t="shared" si="1"/>
        <v>0</v>
      </c>
      <c r="N800" s="7"/>
    </row>
    <row r="801" hidden="1">
      <c r="B801" s="3" t="s">
        <v>482</v>
      </c>
      <c r="C801" s="5" t="s">
        <v>1166</v>
      </c>
      <c r="D801" s="3">
        <v>10.0</v>
      </c>
      <c r="E801" s="3">
        <v>10.0</v>
      </c>
      <c r="F801" s="3">
        <f t="shared" si="1"/>
        <v>0</v>
      </c>
      <c r="N801" s="7"/>
    </row>
    <row r="802" hidden="1">
      <c r="B802" s="3" t="s">
        <v>483</v>
      </c>
      <c r="C802" s="5" t="s">
        <v>1171</v>
      </c>
      <c r="D802" s="3">
        <v>10.0</v>
      </c>
      <c r="E802" s="3">
        <v>10.0</v>
      </c>
      <c r="F802" s="3">
        <f t="shared" si="1"/>
        <v>0</v>
      </c>
      <c r="N802" s="7"/>
    </row>
    <row r="803" hidden="1">
      <c r="B803" s="3" t="s">
        <v>485</v>
      </c>
      <c r="C803" s="5" t="s">
        <v>1172</v>
      </c>
      <c r="D803" s="3">
        <v>10.0</v>
      </c>
      <c r="E803" s="3">
        <v>10.0</v>
      </c>
      <c r="F803" s="3">
        <f t="shared" si="1"/>
        <v>0</v>
      </c>
      <c r="N803" s="7"/>
    </row>
    <row r="804" hidden="1">
      <c r="B804" s="3" t="s">
        <v>487</v>
      </c>
      <c r="C804" s="5" t="s">
        <v>1173</v>
      </c>
      <c r="D804" s="3">
        <v>5.0</v>
      </c>
      <c r="E804" s="3">
        <v>4.0</v>
      </c>
      <c r="F804" s="3">
        <f t="shared" si="1"/>
        <v>0</v>
      </c>
      <c r="N804" s="7"/>
    </row>
    <row r="805" hidden="1">
      <c r="B805" s="3" t="s">
        <v>489</v>
      </c>
      <c r="C805" s="5" t="s">
        <v>1174</v>
      </c>
      <c r="D805" s="3">
        <v>9.0</v>
      </c>
      <c r="E805" s="3">
        <v>10.0</v>
      </c>
      <c r="F805" s="3">
        <f t="shared" si="1"/>
        <v>0</v>
      </c>
      <c r="N805" s="7"/>
    </row>
    <row r="806" hidden="1">
      <c r="B806" s="3" t="s">
        <v>491</v>
      </c>
      <c r="C806" s="5" t="s">
        <v>1175</v>
      </c>
      <c r="D806" s="3">
        <v>10.0</v>
      </c>
      <c r="E806" s="3">
        <v>10.0</v>
      </c>
      <c r="F806" s="3">
        <f t="shared" si="1"/>
        <v>0</v>
      </c>
      <c r="N806" s="7"/>
    </row>
    <row r="807" hidden="1">
      <c r="B807" s="3" t="s">
        <v>493</v>
      </c>
      <c r="C807" s="5" t="s">
        <v>1115</v>
      </c>
      <c r="D807" s="3">
        <v>10.0</v>
      </c>
      <c r="E807" s="3">
        <v>10.0</v>
      </c>
      <c r="F807" s="3">
        <f t="shared" si="1"/>
        <v>0</v>
      </c>
      <c r="N807" s="7"/>
    </row>
    <row r="808" hidden="1">
      <c r="B808" s="3" t="s">
        <v>494</v>
      </c>
      <c r="C808" s="5" t="s">
        <v>1176</v>
      </c>
      <c r="D808" s="3">
        <v>10.0</v>
      </c>
      <c r="E808" s="3">
        <v>10.0</v>
      </c>
      <c r="F808" s="3">
        <f t="shared" si="1"/>
        <v>0</v>
      </c>
      <c r="N808" s="7"/>
    </row>
    <row r="809" hidden="1">
      <c r="B809" s="3" t="s">
        <v>496</v>
      </c>
      <c r="C809" s="5" t="s">
        <v>1177</v>
      </c>
      <c r="D809" s="3">
        <v>9.0</v>
      </c>
      <c r="E809" s="3">
        <v>9.0</v>
      </c>
      <c r="F809" s="3">
        <f t="shared" si="1"/>
        <v>0</v>
      </c>
      <c r="N809" s="7"/>
    </row>
    <row r="810" hidden="1">
      <c r="B810" s="3" t="s">
        <v>498</v>
      </c>
      <c r="C810" s="5" t="s">
        <v>1178</v>
      </c>
      <c r="D810" s="3">
        <v>10.0</v>
      </c>
      <c r="E810" s="3">
        <v>10.0</v>
      </c>
      <c r="F810" s="3">
        <f t="shared" si="1"/>
        <v>0</v>
      </c>
      <c r="N810" s="7"/>
    </row>
    <row r="811" hidden="1">
      <c r="B811" s="3" t="s">
        <v>500</v>
      </c>
      <c r="C811" s="5" t="s">
        <v>1179</v>
      </c>
      <c r="D811" s="3">
        <v>10.0</v>
      </c>
      <c r="E811" s="3">
        <v>10.0</v>
      </c>
      <c r="F811" s="3">
        <f t="shared" si="1"/>
        <v>0</v>
      </c>
      <c r="N811" s="7"/>
    </row>
    <row r="812" hidden="1">
      <c r="B812" s="3" t="s">
        <v>502</v>
      </c>
      <c r="C812" s="5" t="s">
        <v>1180</v>
      </c>
      <c r="D812" s="3">
        <v>8.0</v>
      </c>
      <c r="E812" s="3">
        <v>9.0</v>
      </c>
      <c r="F812" s="3">
        <f t="shared" si="1"/>
        <v>0</v>
      </c>
      <c r="N812" s="7"/>
    </row>
    <row r="813" hidden="1">
      <c r="B813" s="3" t="s">
        <v>504</v>
      </c>
      <c r="C813" s="5" t="s">
        <v>1164</v>
      </c>
      <c r="D813" s="3">
        <v>2.0</v>
      </c>
      <c r="E813" s="3">
        <v>8.0</v>
      </c>
      <c r="F813" s="3">
        <f t="shared" si="1"/>
        <v>0</v>
      </c>
      <c r="N813" s="7"/>
    </row>
    <row r="814" hidden="1">
      <c r="B814" s="3" t="s">
        <v>505</v>
      </c>
      <c r="C814" s="5" t="s">
        <v>1181</v>
      </c>
      <c r="D814" s="3">
        <v>7.0</v>
      </c>
      <c r="E814" s="3">
        <v>10.0</v>
      </c>
      <c r="F814" s="3">
        <f t="shared" si="1"/>
        <v>0</v>
      </c>
      <c r="N814" s="7"/>
    </row>
    <row r="815" hidden="1">
      <c r="B815" s="3" t="s">
        <v>507</v>
      </c>
      <c r="C815" s="5" t="s">
        <v>1182</v>
      </c>
      <c r="D815" s="3">
        <v>10.0</v>
      </c>
      <c r="E815" s="3">
        <v>10.0</v>
      </c>
      <c r="F815" s="3">
        <f t="shared" si="1"/>
        <v>0</v>
      </c>
      <c r="N815" s="7"/>
    </row>
    <row r="816" hidden="1">
      <c r="B816" s="3" t="s">
        <v>509</v>
      </c>
      <c r="C816" s="5" t="s">
        <v>1183</v>
      </c>
      <c r="D816" s="3">
        <v>5.0</v>
      </c>
      <c r="E816" s="3">
        <v>9.0</v>
      </c>
      <c r="F816" s="3">
        <f t="shared" si="1"/>
        <v>0</v>
      </c>
      <c r="N816" s="7"/>
    </row>
    <row r="817" hidden="1">
      <c r="B817" s="3" t="s">
        <v>511</v>
      </c>
      <c r="C817" s="3" t="s">
        <v>1184</v>
      </c>
      <c r="D817" s="3">
        <v>10.0</v>
      </c>
      <c r="E817" s="3">
        <v>10.0</v>
      </c>
      <c r="F817" s="3">
        <f t="shared" si="1"/>
        <v>0</v>
      </c>
      <c r="N817" s="7"/>
    </row>
    <row r="818" hidden="1">
      <c r="B818" s="3" t="s">
        <v>513</v>
      </c>
      <c r="C818" s="5" t="s">
        <v>1185</v>
      </c>
      <c r="D818" s="3">
        <v>10.0</v>
      </c>
      <c r="E818" s="3">
        <v>10.0</v>
      </c>
      <c r="F818" s="3">
        <f t="shared" si="1"/>
        <v>0</v>
      </c>
      <c r="N818" s="7"/>
    </row>
    <row r="819" hidden="1">
      <c r="B819" s="3" t="s">
        <v>515</v>
      </c>
      <c r="C819" s="5" t="s">
        <v>117</v>
      </c>
      <c r="D819" s="3">
        <v>10.0</v>
      </c>
      <c r="E819" s="3">
        <v>10.0</v>
      </c>
      <c r="F819" s="3">
        <f t="shared" si="1"/>
        <v>0</v>
      </c>
      <c r="N819" s="7"/>
    </row>
    <row r="820" hidden="1">
      <c r="B820" s="3" t="s">
        <v>517</v>
      </c>
      <c r="C820" s="5" t="s">
        <v>1186</v>
      </c>
      <c r="D820" s="3">
        <v>7.0</v>
      </c>
      <c r="E820" s="3">
        <v>9.0</v>
      </c>
      <c r="F820" s="3">
        <f t="shared" si="1"/>
        <v>0</v>
      </c>
      <c r="N820" s="7"/>
    </row>
    <row r="821" hidden="1">
      <c r="B821" s="3" t="s">
        <v>519</v>
      </c>
      <c r="C821" s="5" t="s">
        <v>1187</v>
      </c>
      <c r="D821" s="3">
        <v>10.0</v>
      </c>
      <c r="E821" s="3">
        <v>9.0</v>
      </c>
      <c r="F821" s="3">
        <f t="shared" si="1"/>
        <v>0</v>
      </c>
      <c r="N821" s="7"/>
    </row>
    <row r="822" hidden="1">
      <c r="B822" s="3" t="s">
        <v>521</v>
      </c>
      <c r="C822" s="5" t="s">
        <v>1187</v>
      </c>
      <c r="D822" s="3">
        <v>6.0</v>
      </c>
      <c r="E822" s="3">
        <v>10.0</v>
      </c>
      <c r="F822" s="3">
        <f t="shared" si="1"/>
        <v>0</v>
      </c>
      <c r="N822" s="7"/>
    </row>
    <row r="823" hidden="1">
      <c r="B823" s="3" t="s">
        <v>522</v>
      </c>
      <c r="C823" s="5" t="s">
        <v>1188</v>
      </c>
      <c r="D823" s="3">
        <v>8.0</v>
      </c>
      <c r="E823" s="3">
        <v>8.0</v>
      </c>
      <c r="F823" s="3">
        <f t="shared" si="1"/>
        <v>0</v>
      </c>
      <c r="N823" s="7"/>
    </row>
    <row r="824" hidden="1">
      <c r="B824" s="3" t="s">
        <v>524</v>
      </c>
      <c r="C824" s="5" t="s">
        <v>1189</v>
      </c>
      <c r="D824" s="3">
        <v>10.0</v>
      </c>
      <c r="E824" s="3">
        <v>10.0</v>
      </c>
      <c r="F824" s="3">
        <f t="shared" si="1"/>
        <v>0</v>
      </c>
      <c r="N824" s="7"/>
    </row>
    <row r="825" hidden="1">
      <c r="B825" s="3" t="s">
        <v>526</v>
      </c>
      <c r="C825" s="5" t="s">
        <v>1190</v>
      </c>
      <c r="D825" s="3">
        <v>8.0</v>
      </c>
      <c r="E825" s="3">
        <v>10.0</v>
      </c>
      <c r="F825" s="3">
        <f t="shared" si="1"/>
        <v>0</v>
      </c>
      <c r="N825" s="7"/>
    </row>
    <row r="826" hidden="1">
      <c r="B826" s="3" t="s">
        <v>528</v>
      </c>
      <c r="C826" s="5" t="s">
        <v>1191</v>
      </c>
      <c r="D826" s="3">
        <v>10.0</v>
      </c>
      <c r="E826" s="3">
        <v>10.0</v>
      </c>
      <c r="F826" s="3">
        <f t="shared" si="1"/>
        <v>0</v>
      </c>
      <c r="N826" s="7"/>
    </row>
    <row r="827" hidden="1">
      <c r="B827" s="3" t="s">
        <v>530</v>
      </c>
      <c r="C827" s="5" t="s">
        <v>1192</v>
      </c>
      <c r="D827" s="3">
        <v>10.0</v>
      </c>
      <c r="E827" s="3">
        <v>8.0</v>
      </c>
      <c r="F827" s="3">
        <f t="shared" si="1"/>
        <v>0</v>
      </c>
      <c r="N827" s="7"/>
    </row>
    <row r="828" hidden="1">
      <c r="B828" s="3" t="s">
        <v>532</v>
      </c>
      <c r="C828" s="5" t="s">
        <v>1193</v>
      </c>
      <c r="D828" s="3">
        <v>10.0</v>
      </c>
      <c r="E828" s="3">
        <v>10.0</v>
      </c>
      <c r="F828" s="3">
        <f t="shared" si="1"/>
        <v>0</v>
      </c>
      <c r="N828" s="7"/>
    </row>
    <row r="829" hidden="1">
      <c r="B829" s="3" t="s">
        <v>534</v>
      </c>
      <c r="C829" s="5" t="s">
        <v>1194</v>
      </c>
      <c r="D829" s="3">
        <v>10.0</v>
      </c>
      <c r="E829" s="3">
        <v>10.0</v>
      </c>
      <c r="F829" s="3">
        <f t="shared" si="1"/>
        <v>0</v>
      </c>
      <c r="N829" s="7"/>
    </row>
    <row r="830" hidden="1">
      <c r="B830" s="3" t="s">
        <v>536</v>
      </c>
      <c r="C830" s="5" t="s">
        <v>1195</v>
      </c>
      <c r="D830" s="3">
        <v>6.0</v>
      </c>
      <c r="E830" s="3">
        <v>0.0</v>
      </c>
      <c r="F830" s="3">
        <f t="shared" si="1"/>
        <v>0</v>
      </c>
      <c r="N830" s="7"/>
    </row>
    <row r="831" hidden="1">
      <c r="B831" s="3" t="s">
        <v>538</v>
      </c>
      <c r="C831" s="5" t="s">
        <v>1196</v>
      </c>
      <c r="D831" s="3">
        <v>5.0</v>
      </c>
      <c r="E831" s="3">
        <v>3.0</v>
      </c>
      <c r="F831" s="3">
        <f t="shared" si="1"/>
        <v>0</v>
      </c>
      <c r="N831" s="7"/>
    </row>
    <row r="832" hidden="1">
      <c r="B832" s="3" t="s">
        <v>540</v>
      </c>
      <c r="C832" s="5" t="s">
        <v>1197</v>
      </c>
      <c r="D832" s="3">
        <v>10.0</v>
      </c>
      <c r="E832" s="3">
        <v>10.0</v>
      </c>
      <c r="F832" s="3">
        <f t="shared" si="1"/>
        <v>0</v>
      </c>
      <c r="N832" s="7"/>
    </row>
    <row r="833" hidden="1">
      <c r="B833" s="3" t="s">
        <v>541</v>
      </c>
      <c r="C833" s="5" t="s">
        <v>1198</v>
      </c>
      <c r="D833" s="3">
        <v>8.0</v>
      </c>
      <c r="E833" s="3">
        <v>10.0</v>
      </c>
      <c r="F833" s="3">
        <f t="shared" si="1"/>
        <v>0</v>
      </c>
      <c r="N833" s="7"/>
    </row>
    <row r="834" hidden="1">
      <c r="B834" s="3" t="s">
        <v>543</v>
      </c>
      <c r="C834" s="5" t="s">
        <v>1023</v>
      </c>
      <c r="D834" s="3">
        <v>10.0</v>
      </c>
      <c r="E834" s="3">
        <v>10.0</v>
      </c>
      <c r="F834" s="3">
        <f t="shared" si="1"/>
        <v>0</v>
      </c>
      <c r="N834" s="7"/>
    </row>
    <row r="835" hidden="1">
      <c r="B835" s="3" t="s">
        <v>544</v>
      </c>
      <c r="C835" s="5" t="s">
        <v>1199</v>
      </c>
      <c r="D835" s="3">
        <v>9.0</v>
      </c>
      <c r="E835" s="3">
        <v>10.0</v>
      </c>
      <c r="F835" s="3">
        <f t="shared" si="1"/>
        <v>0</v>
      </c>
      <c r="N835" s="7"/>
    </row>
    <row r="836" hidden="1">
      <c r="B836" s="3" t="s">
        <v>546</v>
      </c>
      <c r="C836" s="5" t="s">
        <v>1200</v>
      </c>
      <c r="D836" s="3">
        <v>10.0</v>
      </c>
      <c r="E836" s="3">
        <v>10.0</v>
      </c>
      <c r="F836" s="3">
        <f t="shared" si="1"/>
        <v>0</v>
      </c>
      <c r="N836" s="7"/>
    </row>
    <row r="837" hidden="1">
      <c r="B837" s="3" t="s">
        <v>548</v>
      </c>
      <c r="C837" s="5" t="s">
        <v>1201</v>
      </c>
      <c r="D837" s="3">
        <v>9.0</v>
      </c>
      <c r="E837" s="3">
        <v>9.0</v>
      </c>
      <c r="F837" s="3">
        <f t="shared" si="1"/>
        <v>0</v>
      </c>
      <c r="N837" s="7"/>
    </row>
    <row r="838" hidden="1">
      <c r="B838" s="3" t="s">
        <v>550</v>
      </c>
      <c r="C838" s="5" t="s">
        <v>349</v>
      </c>
      <c r="D838" s="3">
        <v>7.0</v>
      </c>
      <c r="E838" s="3">
        <v>8.0</v>
      </c>
      <c r="F838" s="3">
        <f t="shared" si="1"/>
        <v>0</v>
      </c>
      <c r="N838" s="7"/>
    </row>
    <row r="839" hidden="1">
      <c r="B839" s="3" t="s">
        <v>552</v>
      </c>
      <c r="C839" s="5" t="s">
        <v>1202</v>
      </c>
      <c r="D839" s="3">
        <v>10.0</v>
      </c>
      <c r="E839" s="3">
        <v>10.0</v>
      </c>
      <c r="F839" s="3">
        <f t="shared" si="1"/>
        <v>0</v>
      </c>
      <c r="N839" s="7"/>
    </row>
    <row r="840" hidden="1">
      <c r="B840" s="3" t="s">
        <v>554</v>
      </c>
      <c r="C840" s="5" t="s">
        <v>1145</v>
      </c>
      <c r="D840" s="3">
        <v>9.0</v>
      </c>
      <c r="E840" s="3">
        <v>10.0</v>
      </c>
      <c r="F840" s="3">
        <f t="shared" si="1"/>
        <v>0</v>
      </c>
      <c r="N840" s="7"/>
    </row>
    <row r="841" hidden="1">
      <c r="B841" s="3" t="s">
        <v>555</v>
      </c>
      <c r="C841" s="5" t="s">
        <v>1203</v>
      </c>
      <c r="D841" s="3">
        <v>10.0</v>
      </c>
      <c r="E841" s="3">
        <v>10.0</v>
      </c>
      <c r="F841" s="3">
        <f t="shared" si="1"/>
        <v>0</v>
      </c>
      <c r="N841" s="7"/>
    </row>
    <row r="842" hidden="1">
      <c r="B842" s="3" t="s">
        <v>557</v>
      </c>
      <c r="C842" s="5" t="s">
        <v>931</v>
      </c>
      <c r="D842" s="3">
        <v>10.0</v>
      </c>
      <c r="E842" s="3">
        <v>10.0</v>
      </c>
      <c r="F842" s="3">
        <f t="shared" si="1"/>
        <v>0</v>
      </c>
      <c r="N842" s="7"/>
    </row>
    <row r="843" hidden="1">
      <c r="B843" s="3" t="s">
        <v>559</v>
      </c>
      <c r="C843" s="5" t="s">
        <v>1204</v>
      </c>
      <c r="D843" s="3">
        <v>10.0</v>
      </c>
      <c r="E843" s="3">
        <v>10.0</v>
      </c>
      <c r="F843" s="3">
        <f t="shared" si="1"/>
        <v>0</v>
      </c>
      <c r="N843" s="7"/>
    </row>
    <row r="844" hidden="1">
      <c r="B844" s="3" t="s">
        <v>561</v>
      </c>
      <c r="C844" s="5" t="s">
        <v>1205</v>
      </c>
      <c r="D844" s="3">
        <v>9.0</v>
      </c>
      <c r="E844" s="3">
        <v>9.0</v>
      </c>
      <c r="F844" s="3">
        <f t="shared" si="1"/>
        <v>0</v>
      </c>
      <c r="N844" s="7"/>
    </row>
    <row r="845" hidden="1">
      <c r="B845" s="3" t="s">
        <v>563</v>
      </c>
      <c r="C845" s="5" t="s">
        <v>1101</v>
      </c>
      <c r="D845" s="3">
        <v>10.0</v>
      </c>
      <c r="E845" s="3">
        <v>10.0</v>
      </c>
      <c r="F845" s="3">
        <f t="shared" si="1"/>
        <v>0</v>
      </c>
      <c r="N845" s="7"/>
    </row>
    <row r="846" hidden="1">
      <c r="B846" s="3" t="s">
        <v>564</v>
      </c>
      <c r="C846" s="5" t="s">
        <v>1067</v>
      </c>
      <c r="D846" s="3">
        <v>8.0</v>
      </c>
      <c r="E846" s="3">
        <v>10.0</v>
      </c>
      <c r="F846" s="3">
        <f t="shared" si="1"/>
        <v>0</v>
      </c>
      <c r="N846" s="7"/>
    </row>
    <row r="847" hidden="1">
      <c r="B847" s="3" t="s">
        <v>565</v>
      </c>
      <c r="C847" s="5" t="s">
        <v>841</v>
      </c>
      <c r="D847" s="3">
        <v>9.0</v>
      </c>
      <c r="E847" s="3">
        <v>10.0</v>
      </c>
      <c r="F847" s="3">
        <f t="shared" si="1"/>
        <v>0</v>
      </c>
      <c r="N847" s="7"/>
    </row>
    <row r="848" hidden="1">
      <c r="B848" s="3" t="s">
        <v>567</v>
      </c>
      <c r="C848" s="5" t="s">
        <v>1206</v>
      </c>
      <c r="D848" s="3">
        <v>10.0</v>
      </c>
      <c r="E848" s="3">
        <v>10.0</v>
      </c>
      <c r="F848" s="3">
        <f t="shared" si="1"/>
        <v>0</v>
      </c>
      <c r="N848" s="7"/>
    </row>
    <row r="849" hidden="1">
      <c r="B849" s="3" t="s">
        <v>569</v>
      </c>
      <c r="C849" s="5" t="s">
        <v>1207</v>
      </c>
      <c r="D849" s="3">
        <v>9.0</v>
      </c>
      <c r="E849" s="3">
        <v>10.0</v>
      </c>
      <c r="F849" s="3">
        <f t="shared" si="1"/>
        <v>0</v>
      </c>
      <c r="N849" s="7"/>
    </row>
    <row r="850" hidden="1">
      <c r="B850" s="3" t="s">
        <v>571</v>
      </c>
      <c r="C850" s="5" t="s">
        <v>1040</v>
      </c>
      <c r="D850" s="3">
        <v>10.0</v>
      </c>
      <c r="E850" s="3">
        <v>10.0</v>
      </c>
      <c r="F850" s="3">
        <f t="shared" si="1"/>
        <v>0</v>
      </c>
      <c r="N850" s="7"/>
    </row>
    <row r="851" hidden="1">
      <c r="B851" s="3" t="s">
        <v>572</v>
      </c>
      <c r="C851" s="5" t="s">
        <v>1208</v>
      </c>
      <c r="D851" s="3">
        <v>8.0</v>
      </c>
      <c r="E851" s="3">
        <v>10.0</v>
      </c>
      <c r="F851" s="3">
        <f t="shared" si="1"/>
        <v>0</v>
      </c>
      <c r="N851" s="7"/>
    </row>
    <row r="852" hidden="1">
      <c r="B852" s="3" t="s">
        <v>574</v>
      </c>
      <c r="C852" s="5" t="s">
        <v>1209</v>
      </c>
      <c r="D852" s="3">
        <v>1.0</v>
      </c>
      <c r="E852" s="3">
        <v>8.0</v>
      </c>
      <c r="F852" s="3">
        <f t="shared" si="1"/>
        <v>0</v>
      </c>
      <c r="N852" s="7"/>
    </row>
    <row r="853" hidden="1">
      <c r="B853" s="3" t="s">
        <v>576</v>
      </c>
      <c r="C853" s="5" t="s">
        <v>1210</v>
      </c>
      <c r="D853" s="3">
        <v>8.0</v>
      </c>
      <c r="E853" s="3">
        <v>9.0</v>
      </c>
      <c r="F853" s="3">
        <f t="shared" si="1"/>
        <v>0</v>
      </c>
      <c r="N853" s="7"/>
    </row>
    <row r="854" hidden="1">
      <c r="B854" s="3" t="s">
        <v>578</v>
      </c>
      <c r="C854" s="5" t="s">
        <v>1211</v>
      </c>
      <c r="D854" s="3">
        <v>5.0</v>
      </c>
      <c r="E854" s="3">
        <v>5.0</v>
      </c>
      <c r="F854" s="3">
        <f t="shared" si="1"/>
        <v>0</v>
      </c>
      <c r="N854" s="7"/>
    </row>
    <row r="855" hidden="1">
      <c r="B855" s="3" t="s">
        <v>580</v>
      </c>
      <c r="C855" s="5" t="s">
        <v>1010</v>
      </c>
      <c r="D855" s="3">
        <v>10.0</v>
      </c>
      <c r="E855" s="3">
        <v>10.0</v>
      </c>
      <c r="F855" s="3">
        <f t="shared" si="1"/>
        <v>0</v>
      </c>
      <c r="N855" s="7"/>
    </row>
    <row r="856" hidden="1">
      <c r="B856" s="3" t="s">
        <v>581</v>
      </c>
      <c r="C856" s="5" t="s">
        <v>1212</v>
      </c>
      <c r="D856" s="3">
        <v>10.0</v>
      </c>
      <c r="E856" s="3">
        <v>10.0</v>
      </c>
      <c r="F856" s="3">
        <f t="shared" si="1"/>
        <v>0</v>
      </c>
      <c r="N856" s="7"/>
    </row>
    <row r="857" hidden="1">
      <c r="B857" s="3" t="s">
        <v>583</v>
      </c>
      <c r="C857" s="5" t="s">
        <v>995</v>
      </c>
      <c r="D857" s="3">
        <v>9.0</v>
      </c>
      <c r="E857" s="3">
        <v>10.0</v>
      </c>
      <c r="F857" s="3">
        <f t="shared" si="1"/>
        <v>0</v>
      </c>
      <c r="N857" s="7"/>
    </row>
    <row r="858" hidden="1">
      <c r="B858" s="3" t="s">
        <v>584</v>
      </c>
      <c r="C858" s="5" t="s">
        <v>1080</v>
      </c>
      <c r="D858" s="3">
        <v>10.0</v>
      </c>
      <c r="E858" s="3">
        <v>10.0</v>
      </c>
      <c r="F858" s="3">
        <f t="shared" si="1"/>
        <v>0</v>
      </c>
      <c r="N858" s="7"/>
    </row>
    <row r="859" hidden="1">
      <c r="B859" s="3" t="s">
        <v>585</v>
      </c>
      <c r="C859" s="5" t="s">
        <v>1213</v>
      </c>
      <c r="D859" s="3">
        <v>10.0</v>
      </c>
      <c r="E859" s="3">
        <v>10.0</v>
      </c>
      <c r="F859" s="3">
        <f t="shared" si="1"/>
        <v>0</v>
      </c>
      <c r="N859" s="7"/>
    </row>
    <row r="860" hidden="1">
      <c r="B860" s="3" t="s">
        <v>587</v>
      </c>
      <c r="C860" s="5" t="s">
        <v>1214</v>
      </c>
      <c r="D860" s="3">
        <v>8.0</v>
      </c>
      <c r="E860" s="3">
        <v>10.0</v>
      </c>
      <c r="F860" s="3">
        <f t="shared" si="1"/>
        <v>0</v>
      </c>
      <c r="N860" s="7"/>
    </row>
    <row r="861" hidden="1">
      <c r="B861" s="3" t="s">
        <v>589</v>
      </c>
      <c r="C861" s="5" t="s">
        <v>1215</v>
      </c>
      <c r="D861" s="3">
        <v>10.0</v>
      </c>
      <c r="E861" s="3">
        <v>10.0</v>
      </c>
      <c r="F861" s="3">
        <f t="shared" si="1"/>
        <v>0</v>
      </c>
      <c r="N861" s="7"/>
    </row>
    <row r="862" hidden="1">
      <c r="B862" s="3" t="s">
        <v>591</v>
      </c>
      <c r="C862" s="5" t="s">
        <v>1204</v>
      </c>
      <c r="D862" s="3">
        <v>10.0</v>
      </c>
      <c r="E862" s="3">
        <v>10.0</v>
      </c>
      <c r="F862" s="3">
        <f t="shared" si="1"/>
        <v>0</v>
      </c>
      <c r="N862" s="7"/>
    </row>
    <row r="863" hidden="1">
      <c r="B863" s="3" t="s">
        <v>592</v>
      </c>
      <c r="C863" s="5" t="s">
        <v>1216</v>
      </c>
      <c r="D863" s="3">
        <v>10.0</v>
      </c>
      <c r="E863" s="3">
        <v>7.0</v>
      </c>
      <c r="F863" s="3">
        <f t="shared" si="1"/>
        <v>0</v>
      </c>
      <c r="N863" s="7"/>
    </row>
    <row r="864" hidden="1">
      <c r="B864" s="3" t="s">
        <v>594</v>
      </c>
      <c r="C864" s="5" t="s">
        <v>1188</v>
      </c>
      <c r="D864" s="3">
        <v>10.0</v>
      </c>
      <c r="E864" s="3">
        <v>10.0</v>
      </c>
      <c r="F864" s="3">
        <f t="shared" si="1"/>
        <v>0</v>
      </c>
      <c r="N864" s="7"/>
    </row>
    <row r="865" hidden="1">
      <c r="B865" s="3" t="s">
        <v>595</v>
      </c>
      <c r="C865" s="5" t="s">
        <v>1089</v>
      </c>
      <c r="D865" s="3">
        <v>9.0</v>
      </c>
      <c r="E865" s="3">
        <v>9.0</v>
      </c>
      <c r="F865" s="3">
        <f t="shared" si="1"/>
        <v>0</v>
      </c>
      <c r="N865" s="7"/>
    </row>
    <row r="866" hidden="1">
      <c r="B866" s="3" t="s">
        <v>596</v>
      </c>
      <c r="C866" s="5" t="s">
        <v>1123</v>
      </c>
      <c r="D866" s="3">
        <v>10.0</v>
      </c>
      <c r="E866" s="3">
        <v>10.0</v>
      </c>
      <c r="F866" s="3">
        <f t="shared" si="1"/>
        <v>0</v>
      </c>
      <c r="N866" s="7"/>
    </row>
    <row r="867" hidden="1">
      <c r="B867" s="3" t="s">
        <v>597</v>
      </c>
      <c r="C867" s="5" t="s">
        <v>1217</v>
      </c>
      <c r="D867" s="3">
        <v>10.0</v>
      </c>
      <c r="E867" s="3">
        <v>10.0</v>
      </c>
      <c r="F867" s="3">
        <f t="shared" si="1"/>
        <v>0</v>
      </c>
      <c r="N867" s="7"/>
    </row>
    <row r="868" hidden="1">
      <c r="B868" s="3" t="s">
        <v>599</v>
      </c>
      <c r="C868" s="5" t="s">
        <v>1218</v>
      </c>
      <c r="D868" s="3">
        <v>10.0</v>
      </c>
      <c r="E868" s="3">
        <v>10.0</v>
      </c>
      <c r="F868" s="3">
        <f t="shared" si="1"/>
        <v>0</v>
      </c>
      <c r="N868" s="7"/>
    </row>
    <row r="869" hidden="1">
      <c r="B869" s="3" t="s">
        <v>601</v>
      </c>
      <c r="C869" s="5" t="s">
        <v>1111</v>
      </c>
      <c r="D869" s="3">
        <v>5.0</v>
      </c>
      <c r="E869" s="3">
        <v>8.0</v>
      </c>
      <c r="F869" s="3">
        <f t="shared" si="1"/>
        <v>0</v>
      </c>
      <c r="N869" s="7"/>
    </row>
    <row r="870" hidden="1">
      <c r="B870" s="3" t="s">
        <v>602</v>
      </c>
      <c r="C870" s="5" t="s">
        <v>1219</v>
      </c>
      <c r="D870" s="3">
        <v>9.0</v>
      </c>
      <c r="E870" s="3">
        <v>1.0</v>
      </c>
      <c r="F870" s="3">
        <f t="shared" si="1"/>
        <v>0</v>
      </c>
      <c r="N870" s="7"/>
    </row>
    <row r="871" hidden="1">
      <c r="B871" s="3" t="s">
        <v>604</v>
      </c>
      <c r="C871" s="5" t="s">
        <v>1146</v>
      </c>
      <c r="D871" s="3">
        <v>7.0</v>
      </c>
      <c r="E871" s="3">
        <v>9.0</v>
      </c>
      <c r="F871" s="3">
        <f t="shared" si="1"/>
        <v>0</v>
      </c>
      <c r="N871" s="7"/>
    </row>
    <row r="872" hidden="1">
      <c r="B872" s="3" t="s">
        <v>605</v>
      </c>
      <c r="C872" s="5" t="s">
        <v>1220</v>
      </c>
      <c r="D872" s="3">
        <v>8.0</v>
      </c>
      <c r="E872" s="3">
        <v>10.0</v>
      </c>
      <c r="F872" s="3">
        <f t="shared" si="1"/>
        <v>0</v>
      </c>
      <c r="N872" s="7"/>
    </row>
    <row r="873" hidden="1">
      <c r="B873" s="3" t="s">
        <v>607</v>
      </c>
      <c r="C873" s="5" t="s">
        <v>1221</v>
      </c>
      <c r="D873" s="3">
        <v>9.0</v>
      </c>
      <c r="E873" s="3">
        <v>8.0</v>
      </c>
      <c r="F873" s="3">
        <f t="shared" si="1"/>
        <v>0</v>
      </c>
      <c r="N873" s="7"/>
    </row>
    <row r="874" hidden="1">
      <c r="B874" s="3" t="s">
        <v>609</v>
      </c>
      <c r="C874" s="5" t="s">
        <v>1222</v>
      </c>
      <c r="D874" s="3">
        <v>10.0</v>
      </c>
      <c r="E874" s="3">
        <v>10.0</v>
      </c>
      <c r="F874" s="3">
        <f t="shared" si="1"/>
        <v>0</v>
      </c>
      <c r="N874" s="7"/>
    </row>
    <row r="875" hidden="1">
      <c r="B875" s="3" t="s">
        <v>611</v>
      </c>
      <c r="C875" s="5" t="s">
        <v>1148</v>
      </c>
      <c r="D875" s="3">
        <v>8.0</v>
      </c>
      <c r="E875" s="3">
        <v>9.0</v>
      </c>
      <c r="F875" s="3">
        <f t="shared" si="1"/>
        <v>0</v>
      </c>
      <c r="N875" s="7"/>
    </row>
    <row r="876" hidden="1">
      <c r="B876" s="3" t="s">
        <v>612</v>
      </c>
      <c r="C876" s="5" t="s">
        <v>1091</v>
      </c>
      <c r="D876" s="3">
        <v>10.0</v>
      </c>
      <c r="E876" s="3">
        <v>10.0</v>
      </c>
      <c r="F876" s="3">
        <f t="shared" si="1"/>
        <v>0</v>
      </c>
      <c r="N876" s="7"/>
    </row>
    <row r="877" hidden="1">
      <c r="B877" s="3" t="s">
        <v>613</v>
      </c>
      <c r="C877" s="5" t="s">
        <v>1223</v>
      </c>
      <c r="D877" s="3">
        <v>10.0</v>
      </c>
      <c r="E877" s="3">
        <v>10.0</v>
      </c>
      <c r="F877" s="3">
        <f t="shared" si="1"/>
        <v>0</v>
      </c>
      <c r="N877" s="7"/>
    </row>
    <row r="878" hidden="1">
      <c r="B878" s="3" t="s">
        <v>615</v>
      </c>
      <c r="C878" s="5" t="s">
        <v>1224</v>
      </c>
      <c r="D878" s="3">
        <v>8.0</v>
      </c>
      <c r="E878" s="3">
        <v>0.0</v>
      </c>
      <c r="F878" s="3">
        <f t="shared" si="1"/>
        <v>0</v>
      </c>
      <c r="N878" s="7"/>
    </row>
    <row r="879" hidden="1">
      <c r="B879" s="3" t="s">
        <v>617</v>
      </c>
      <c r="C879" s="5" t="s">
        <v>1128</v>
      </c>
      <c r="D879" s="3">
        <v>10.0</v>
      </c>
      <c r="E879" s="3">
        <v>10.0</v>
      </c>
      <c r="F879" s="3">
        <f t="shared" si="1"/>
        <v>0</v>
      </c>
      <c r="N879" s="7"/>
    </row>
    <row r="880" hidden="1">
      <c r="B880" s="3" t="s">
        <v>618</v>
      </c>
      <c r="C880" s="5" t="s">
        <v>1225</v>
      </c>
      <c r="D880" s="3">
        <v>10.0</v>
      </c>
      <c r="E880" s="3">
        <v>10.0</v>
      </c>
      <c r="F880" s="3">
        <f t="shared" si="1"/>
        <v>0</v>
      </c>
      <c r="N880" s="7"/>
    </row>
    <row r="881" hidden="1">
      <c r="B881" s="3" t="s">
        <v>620</v>
      </c>
      <c r="C881" s="5" t="s">
        <v>1226</v>
      </c>
      <c r="D881" s="3">
        <v>10.0</v>
      </c>
      <c r="E881" s="3">
        <v>0.0</v>
      </c>
      <c r="F881" s="3">
        <f t="shared" si="1"/>
        <v>0</v>
      </c>
      <c r="N881" s="7"/>
    </row>
    <row r="882" hidden="1">
      <c r="B882" s="3" t="s">
        <v>622</v>
      </c>
      <c r="C882" s="5" t="s">
        <v>1191</v>
      </c>
      <c r="D882" s="3">
        <v>8.0</v>
      </c>
      <c r="E882" s="3">
        <v>9.0</v>
      </c>
      <c r="F882" s="3">
        <f t="shared" si="1"/>
        <v>0</v>
      </c>
      <c r="N882" s="7"/>
    </row>
    <row r="883" hidden="1">
      <c r="B883" s="3" t="s">
        <v>623</v>
      </c>
      <c r="C883" s="5" t="s">
        <v>1227</v>
      </c>
      <c r="D883" s="3">
        <v>10.0</v>
      </c>
      <c r="E883" s="3">
        <v>10.0</v>
      </c>
      <c r="F883" s="3">
        <f t="shared" si="1"/>
        <v>0</v>
      </c>
      <c r="N883" s="7"/>
    </row>
    <row r="884" hidden="1">
      <c r="B884" s="3" t="s">
        <v>625</v>
      </c>
      <c r="C884" s="5" t="s">
        <v>1043</v>
      </c>
      <c r="D884" s="3">
        <v>5.0</v>
      </c>
      <c r="E884" s="3">
        <v>10.0</v>
      </c>
      <c r="F884" s="3">
        <f t="shared" si="1"/>
        <v>0</v>
      </c>
      <c r="N884" s="7"/>
    </row>
    <row r="885" hidden="1">
      <c r="B885" s="3" t="s">
        <v>626</v>
      </c>
      <c r="C885" s="5" t="s">
        <v>1228</v>
      </c>
      <c r="D885" s="3">
        <v>10.0</v>
      </c>
      <c r="E885" s="3">
        <v>10.0</v>
      </c>
      <c r="F885" s="3">
        <f t="shared" si="1"/>
        <v>0</v>
      </c>
      <c r="N885" s="7"/>
    </row>
    <row r="886" hidden="1">
      <c r="B886" s="3" t="s">
        <v>628</v>
      </c>
      <c r="C886" s="5" t="s">
        <v>1229</v>
      </c>
      <c r="D886" s="3">
        <v>10.0</v>
      </c>
      <c r="E886" s="3">
        <v>5.0</v>
      </c>
      <c r="F886" s="3">
        <f t="shared" si="1"/>
        <v>0</v>
      </c>
      <c r="N886" s="7"/>
    </row>
    <row r="887" hidden="1">
      <c r="B887" s="3" t="s">
        <v>630</v>
      </c>
      <c r="C887" s="5" t="s">
        <v>1230</v>
      </c>
      <c r="D887" s="3">
        <v>10.0</v>
      </c>
      <c r="E887" s="3">
        <v>10.0</v>
      </c>
      <c r="F887" s="3">
        <f t="shared" si="1"/>
        <v>0</v>
      </c>
      <c r="N887" s="7"/>
    </row>
    <row r="888" hidden="1">
      <c r="B888" s="3" t="s">
        <v>632</v>
      </c>
      <c r="C888" s="5" t="s">
        <v>107</v>
      </c>
      <c r="D888" s="3">
        <v>9.0</v>
      </c>
      <c r="E888" s="3">
        <v>10.0</v>
      </c>
      <c r="F888" s="3">
        <f t="shared" si="1"/>
        <v>0</v>
      </c>
      <c r="N888" s="7"/>
    </row>
    <row r="889" hidden="1">
      <c r="B889" s="3" t="s">
        <v>634</v>
      </c>
      <c r="C889" s="5" t="s">
        <v>1120</v>
      </c>
      <c r="D889" s="3">
        <v>10.0</v>
      </c>
      <c r="E889" s="3">
        <v>10.0</v>
      </c>
      <c r="F889" s="3">
        <f t="shared" si="1"/>
        <v>0</v>
      </c>
      <c r="N889" s="7"/>
    </row>
    <row r="890" hidden="1">
      <c r="B890" s="3" t="s">
        <v>635</v>
      </c>
      <c r="C890" s="5" t="s">
        <v>1231</v>
      </c>
      <c r="D890" s="3">
        <v>9.0</v>
      </c>
      <c r="E890" s="3">
        <v>8.0</v>
      </c>
      <c r="F890" s="3">
        <f t="shared" si="1"/>
        <v>0</v>
      </c>
      <c r="N890" s="7"/>
    </row>
    <row r="891" hidden="1">
      <c r="B891" s="3" t="s">
        <v>637</v>
      </c>
      <c r="C891" s="5" t="s">
        <v>1232</v>
      </c>
      <c r="D891" s="3">
        <v>10.0</v>
      </c>
      <c r="E891" s="3">
        <v>8.0</v>
      </c>
      <c r="F891" s="3">
        <f t="shared" si="1"/>
        <v>0</v>
      </c>
      <c r="N891" s="7"/>
    </row>
    <row r="892" hidden="1">
      <c r="B892" s="3" t="s">
        <v>639</v>
      </c>
      <c r="C892" s="5" t="s">
        <v>1233</v>
      </c>
      <c r="D892" s="3">
        <v>6.0</v>
      </c>
      <c r="E892" s="3">
        <v>10.0</v>
      </c>
      <c r="F892" s="3">
        <f t="shared" si="1"/>
        <v>0</v>
      </c>
      <c r="N892" s="7"/>
    </row>
    <row r="893" hidden="1">
      <c r="B893" s="3" t="s">
        <v>641</v>
      </c>
      <c r="C893" s="5" t="s">
        <v>1042</v>
      </c>
      <c r="D893" s="3">
        <v>10.0</v>
      </c>
      <c r="E893" s="3">
        <v>10.0</v>
      </c>
      <c r="F893" s="3">
        <f t="shared" si="1"/>
        <v>0</v>
      </c>
      <c r="N893" s="7"/>
    </row>
    <row r="894" hidden="1">
      <c r="B894" s="3" t="s">
        <v>642</v>
      </c>
      <c r="C894" s="5" t="s">
        <v>1075</v>
      </c>
      <c r="D894" s="3">
        <v>10.0</v>
      </c>
      <c r="E894" s="3">
        <v>10.0</v>
      </c>
      <c r="F894" s="3">
        <f t="shared" si="1"/>
        <v>0</v>
      </c>
      <c r="N894" s="7"/>
    </row>
    <row r="895" hidden="1">
      <c r="B895" s="3" t="s">
        <v>643</v>
      </c>
      <c r="C895" s="5" t="s">
        <v>867</v>
      </c>
      <c r="D895" s="3">
        <v>8.0</v>
      </c>
      <c r="E895" s="3">
        <v>8.0</v>
      </c>
      <c r="F895" s="3">
        <f t="shared" si="1"/>
        <v>0</v>
      </c>
      <c r="N895" s="7"/>
    </row>
    <row r="896" hidden="1">
      <c r="B896" s="3" t="s">
        <v>645</v>
      </c>
      <c r="C896" s="5" t="s">
        <v>1125</v>
      </c>
      <c r="D896" s="3">
        <v>10.0</v>
      </c>
      <c r="E896" s="3">
        <v>10.0</v>
      </c>
      <c r="F896" s="3">
        <f t="shared" si="1"/>
        <v>0</v>
      </c>
      <c r="N896" s="7"/>
    </row>
    <row r="897" hidden="1">
      <c r="B897" s="3" t="s">
        <v>646</v>
      </c>
      <c r="C897" s="5" t="s">
        <v>1208</v>
      </c>
      <c r="D897" s="3">
        <v>10.0</v>
      </c>
      <c r="E897" s="3">
        <v>10.0</v>
      </c>
      <c r="F897" s="3">
        <f t="shared" si="1"/>
        <v>0</v>
      </c>
      <c r="N897" s="7"/>
    </row>
    <row r="898" hidden="1">
      <c r="B898" s="3" t="s">
        <v>647</v>
      </c>
      <c r="C898" s="5" t="s">
        <v>1234</v>
      </c>
      <c r="D898" s="3">
        <v>1.0</v>
      </c>
      <c r="E898" s="3">
        <v>7.0</v>
      </c>
      <c r="F898" s="3">
        <f t="shared" si="1"/>
        <v>0</v>
      </c>
      <c r="N898" s="7"/>
    </row>
    <row r="899" hidden="1">
      <c r="B899" s="3" t="s">
        <v>649</v>
      </c>
      <c r="C899" s="5" t="s">
        <v>1102</v>
      </c>
      <c r="D899" s="3">
        <v>10.0</v>
      </c>
      <c r="E899" s="3">
        <v>10.0</v>
      </c>
      <c r="F899" s="3">
        <f t="shared" si="1"/>
        <v>0</v>
      </c>
      <c r="N899" s="7"/>
    </row>
    <row r="900" hidden="1">
      <c r="B900" s="3" t="s">
        <v>650</v>
      </c>
      <c r="C900" s="5" t="s">
        <v>1116</v>
      </c>
      <c r="D900" s="3">
        <v>8.0</v>
      </c>
      <c r="E900" s="3">
        <v>10.0</v>
      </c>
      <c r="F900" s="3">
        <f t="shared" si="1"/>
        <v>0</v>
      </c>
      <c r="N900" s="7"/>
    </row>
    <row r="901" hidden="1">
      <c r="B901" s="3" t="s">
        <v>651</v>
      </c>
      <c r="C901" s="5" t="s">
        <v>1049</v>
      </c>
      <c r="D901" s="3">
        <v>9.0</v>
      </c>
      <c r="E901" s="3">
        <v>9.0</v>
      </c>
      <c r="F901" s="3">
        <f t="shared" si="1"/>
        <v>0</v>
      </c>
      <c r="N901" s="7"/>
    </row>
    <row r="902" hidden="1">
      <c r="B902" s="3" t="s">
        <v>652</v>
      </c>
      <c r="C902" s="5" t="s">
        <v>1235</v>
      </c>
      <c r="D902" s="3">
        <v>8.0</v>
      </c>
      <c r="E902" s="3">
        <v>9.0</v>
      </c>
      <c r="F902" s="3">
        <f t="shared" si="1"/>
        <v>0</v>
      </c>
      <c r="N902" s="7"/>
    </row>
    <row r="903" hidden="1">
      <c r="B903" s="3" t="s">
        <v>654</v>
      </c>
      <c r="C903" s="5" t="s">
        <v>1176</v>
      </c>
      <c r="D903" s="3">
        <v>6.0</v>
      </c>
      <c r="E903" s="3">
        <v>10.0</v>
      </c>
      <c r="F903" s="3">
        <f t="shared" si="1"/>
        <v>0</v>
      </c>
      <c r="N903" s="7"/>
    </row>
    <row r="904" hidden="1">
      <c r="B904" s="3" t="s">
        <v>655</v>
      </c>
      <c r="C904" s="5" t="s">
        <v>1236</v>
      </c>
      <c r="D904" s="3">
        <v>5.0</v>
      </c>
      <c r="E904" s="3">
        <v>8.0</v>
      </c>
      <c r="F904" s="3">
        <f t="shared" si="1"/>
        <v>0</v>
      </c>
      <c r="N904" s="7"/>
    </row>
    <row r="905" hidden="1">
      <c r="B905" s="3" t="s">
        <v>657</v>
      </c>
      <c r="C905" s="5" t="s">
        <v>1237</v>
      </c>
      <c r="D905" s="3">
        <v>7.0</v>
      </c>
      <c r="E905" s="3">
        <v>6.0</v>
      </c>
      <c r="F905" s="3">
        <f t="shared" si="1"/>
        <v>0</v>
      </c>
      <c r="N905" s="7"/>
    </row>
    <row r="906" hidden="1">
      <c r="B906" s="3" t="s">
        <v>659</v>
      </c>
      <c r="C906" s="5" t="s">
        <v>1005</v>
      </c>
      <c r="D906" s="3">
        <v>10.0</v>
      </c>
      <c r="E906" s="3">
        <v>10.0</v>
      </c>
      <c r="F906" s="3">
        <f t="shared" si="1"/>
        <v>0</v>
      </c>
      <c r="N906" s="7"/>
    </row>
    <row r="907" hidden="1">
      <c r="B907" s="3" t="s">
        <v>660</v>
      </c>
      <c r="C907" s="5" t="s">
        <v>1234</v>
      </c>
      <c r="D907" s="3">
        <v>0.0</v>
      </c>
      <c r="E907" s="3">
        <v>10.0</v>
      </c>
      <c r="F907" s="3">
        <f t="shared" si="1"/>
        <v>0</v>
      </c>
      <c r="N907" s="7"/>
    </row>
    <row r="908" hidden="1">
      <c r="B908" s="3" t="s">
        <v>661</v>
      </c>
      <c r="C908" s="5" t="s">
        <v>1052</v>
      </c>
      <c r="D908" s="3">
        <v>10.0</v>
      </c>
      <c r="E908" s="3">
        <v>0.0</v>
      </c>
      <c r="F908" s="3">
        <f t="shared" si="1"/>
        <v>0</v>
      </c>
      <c r="N908" s="7"/>
    </row>
    <row r="909" hidden="1">
      <c r="B909" s="3" t="s">
        <v>662</v>
      </c>
      <c r="C909" s="5" t="s">
        <v>1012</v>
      </c>
      <c r="D909" s="3">
        <v>0.0</v>
      </c>
      <c r="E909" s="3">
        <v>0.0</v>
      </c>
      <c r="F909" s="3">
        <f t="shared" si="1"/>
        <v>0</v>
      </c>
      <c r="N909" s="7"/>
    </row>
    <row r="910" hidden="1">
      <c r="B910" s="3" t="s">
        <v>663</v>
      </c>
      <c r="C910" s="5" t="s">
        <v>1238</v>
      </c>
      <c r="D910" s="3">
        <v>8.0</v>
      </c>
      <c r="E910" s="3">
        <v>8.0</v>
      </c>
      <c r="F910" s="3">
        <f t="shared" si="1"/>
        <v>0</v>
      </c>
      <c r="N910" s="7"/>
    </row>
    <row r="911" hidden="1">
      <c r="B911" s="3" t="s">
        <v>665</v>
      </c>
      <c r="C911" s="5" t="s">
        <v>1215</v>
      </c>
      <c r="D911" s="3">
        <v>8.0</v>
      </c>
      <c r="E911" s="3">
        <v>10.0</v>
      </c>
      <c r="F911" s="3">
        <f t="shared" si="1"/>
        <v>0</v>
      </c>
      <c r="N911" s="7"/>
    </row>
    <row r="912" hidden="1">
      <c r="B912" s="3" t="s">
        <v>666</v>
      </c>
      <c r="C912" s="5" t="s">
        <v>1225</v>
      </c>
      <c r="D912" s="3">
        <v>8.0</v>
      </c>
      <c r="E912" s="3">
        <v>0.0</v>
      </c>
      <c r="F912" s="3">
        <f t="shared" si="1"/>
        <v>0</v>
      </c>
      <c r="N912" s="7"/>
    </row>
    <row r="913" hidden="1">
      <c r="B913" s="3" t="s">
        <v>667</v>
      </c>
      <c r="C913" s="5" t="s">
        <v>1239</v>
      </c>
      <c r="D913" s="3">
        <v>5.0</v>
      </c>
      <c r="E913" s="3">
        <v>10.0</v>
      </c>
      <c r="F913" s="3">
        <f t="shared" si="1"/>
        <v>0</v>
      </c>
      <c r="N913" s="7"/>
    </row>
    <row r="914" hidden="1">
      <c r="B914" s="3" t="s">
        <v>669</v>
      </c>
      <c r="C914" s="5" t="s">
        <v>1222</v>
      </c>
      <c r="D914" s="3">
        <v>9.0</v>
      </c>
      <c r="E914" s="3">
        <v>10.0</v>
      </c>
      <c r="F914" s="3">
        <f t="shared" si="1"/>
        <v>0</v>
      </c>
      <c r="N914" s="7"/>
    </row>
    <row r="915" hidden="1">
      <c r="B915" s="3" t="s">
        <v>670</v>
      </c>
      <c r="C915" s="5" t="s">
        <v>1099</v>
      </c>
      <c r="D915" s="3">
        <v>0.0</v>
      </c>
      <c r="E915" s="3">
        <v>0.0</v>
      </c>
      <c r="F915" s="3">
        <f t="shared" si="1"/>
        <v>0</v>
      </c>
      <c r="N915" s="7"/>
    </row>
    <row r="916" hidden="1">
      <c r="B916" s="3" t="s">
        <v>671</v>
      </c>
      <c r="C916" s="5" t="s">
        <v>1004</v>
      </c>
      <c r="D916" s="3">
        <v>10.0</v>
      </c>
      <c r="E916" s="3">
        <v>10.0</v>
      </c>
      <c r="F916" s="3">
        <f t="shared" si="1"/>
        <v>0</v>
      </c>
      <c r="N916" s="7"/>
    </row>
    <row r="917" hidden="1">
      <c r="B917" s="3" t="s">
        <v>672</v>
      </c>
      <c r="C917" s="5" t="s">
        <v>992</v>
      </c>
      <c r="D917" s="3">
        <v>9.0</v>
      </c>
      <c r="E917" s="3">
        <v>10.0</v>
      </c>
      <c r="F917" s="3">
        <f t="shared" si="1"/>
        <v>0</v>
      </c>
      <c r="N917" s="7"/>
    </row>
    <row r="918" hidden="1">
      <c r="B918" s="3" t="s">
        <v>673</v>
      </c>
      <c r="C918" s="5" t="s">
        <v>1240</v>
      </c>
      <c r="D918" s="3">
        <v>4.0</v>
      </c>
      <c r="E918" s="3">
        <v>9.0</v>
      </c>
      <c r="F918" s="3">
        <f t="shared" si="1"/>
        <v>0</v>
      </c>
      <c r="N918" s="7"/>
    </row>
    <row r="919" hidden="1">
      <c r="B919" s="3" t="s">
        <v>675</v>
      </c>
      <c r="C919" s="5" t="s">
        <v>1241</v>
      </c>
      <c r="D919" s="3">
        <v>10.0</v>
      </c>
      <c r="E919" s="3">
        <v>10.0</v>
      </c>
      <c r="F919" s="3">
        <f t="shared" si="1"/>
        <v>0</v>
      </c>
      <c r="N919" s="7"/>
    </row>
    <row r="920" hidden="1">
      <c r="B920" s="3" t="s">
        <v>677</v>
      </c>
      <c r="C920" s="5" t="s">
        <v>1218</v>
      </c>
      <c r="D920" s="3">
        <v>10.0</v>
      </c>
      <c r="E920" s="3">
        <v>10.0</v>
      </c>
      <c r="F920" s="3">
        <f t="shared" si="1"/>
        <v>0</v>
      </c>
      <c r="N920" s="7"/>
    </row>
    <row r="921" hidden="1">
      <c r="B921" s="3" t="s">
        <v>678</v>
      </c>
      <c r="C921" s="5" t="s">
        <v>1242</v>
      </c>
      <c r="D921" s="3">
        <v>9.0</v>
      </c>
      <c r="E921" s="3">
        <v>8.0</v>
      </c>
      <c r="F921" s="3">
        <f t="shared" si="1"/>
        <v>0</v>
      </c>
      <c r="N921" s="7"/>
    </row>
    <row r="922" hidden="1">
      <c r="B922" s="3" t="s">
        <v>680</v>
      </c>
      <c r="C922" s="5" t="s">
        <v>1077</v>
      </c>
      <c r="D922" s="3">
        <v>10.0</v>
      </c>
      <c r="E922" s="3">
        <v>10.0</v>
      </c>
      <c r="F922" s="3">
        <f t="shared" si="1"/>
        <v>0</v>
      </c>
      <c r="N922" s="7"/>
    </row>
    <row r="923" hidden="1">
      <c r="B923" s="3" t="s">
        <v>681</v>
      </c>
      <c r="C923" s="5" t="s">
        <v>1243</v>
      </c>
      <c r="D923" s="3">
        <v>10.0</v>
      </c>
      <c r="E923" s="3">
        <v>10.0</v>
      </c>
      <c r="F923" s="3">
        <f t="shared" si="1"/>
        <v>0</v>
      </c>
      <c r="N923" s="7"/>
    </row>
    <row r="924" hidden="1">
      <c r="B924" s="3" t="s">
        <v>683</v>
      </c>
      <c r="C924" s="5" t="s">
        <v>1241</v>
      </c>
      <c r="D924" s="3">
        <v>10.0</v>
      </c>
      <c r="E924" s="3">
        <v>10.0</v>
      </c>
      <c r="F924" s="3">
        <f t="shared" si="1"/>
        <v>0</v>
      </c>
      <c r="N924" s="7"/>
    </row>
    <row r="925" hidden="1">
      <c r="B925" s="3" t="s">
        <v>684</v>
      </c>
      <c r="C925" s="5" t="s">
        <v>1106</v>
      </c>
      <c r="D925" s="3">
        <v>10.0</v>
      </c>
      <c r="E925" s="3">
        <v>10.0</v>
      </c>
      <c r="F925" s="3">
        <f t="shared" si="1"/>
        <v>0</v>
      </c>
      <c r="N925" s="7"/>
    </row>
    <row r="926" hidden="1">
      <c r="B926" s="3" t="s">
        <v>685</v>
      </c>
      <c r="C926" s="5" t="s">
        <v>1244</v>
      </c>
      <c r="D926" s="3">
        <v>8.0</v>
      </c>
      <c r="E926" s="3">
        <v>10.0</v>
      </c>
      <c r="F926" s="3">
        <f t="shared" si="1"/>
        <v>0</v>
      </c>
      <c r="N926" s="7"/>
    </row>
    <row r="927" hidden="1">
      <c r="B927" s="3" t="s">
        <v>687</v>
      </c>
      <c r="C927" s="5" t="s">
        <v>1200</v>
      </c>
      <c r="D927" s="3">
        <v>10.0</v>
      </c>
      <c r="E927" s="3">
        <v>10.0</v>
      </c>
      <c r="F927" s="3">
        <f t="shared" si="1"/>
        <v>0</v>
      </c>
      <c r="N927" s="7"/>
    </row>
    <row r="928" hidden="1">
      <c r="B928" s="3" t="s">
        <v>688</v>
      </c>
      <c r="C928" s="5" t="s">
        <v>1245</v>
      </c>
      <c r="D928" s="3">
        <v>10.0</v>
      </c>
      <c r="E928" s="3">
        <v>0.0</v>
      </c>
      <c r="F928" s="3">
        <f t="shared" si="1"/>
        <v>0</v>
      </c>
      <c r="N928" s="7"/>
    </row>
    <row r="929" hidden="1">
      <c r="B929" s="3" t="s">
        <v>690</v>
      </c>
      <c r="C929" s="5" t="s">
        <v>1246</v>
      </c>
      <c r="D929" s="3">
        <v>5.0</v>
      </c>
      <c r="E929" s="3">
        <v>0.0</v>
      </c>
      <c r="F929" s="3">
        <f t="shared" si="1"/>
        <v>0</v>
      </c>
      <c r="N929" s="7"/>
    </row>
    <row r="930" hidden="1">
      <c r="B930" s="3" t="s">
        <v>692</v>
      </c>
      <c r="C930" s="5" t="s">
        <v>1220</v>
      </c>
      <c r="D930" s="3">
        <v>9.0</v>
      </c>
      <c r="E930" s="3">
        <v>10.0</v>
      </c>
      <c r="F930" s="3">
        <f t="shared" si="1"/>
        <v>0</v>
      </c>
      <c r="N930" s="7"/>
    </row>
    <row r="931" hidden="1">
      <c r="B931" s="3" t="s">
        <v>693</v>
      </c>
      <c r="C931" s="5" t="s">
        <v>1135</v>
      </c>
      <c r="D931" s="3">
        <v>10.0</v>
      </c>
      <c r="E931" s="3">
        <v>10.0</v>
      </c>
      <c r="F931" s="3">
        <f t="shared" si="1"/>
        <v>0</v>
      </c>
      <c r="N931" s="7"/>
    </row>
    <row r="932" hidden="1">
      <c r="B932" s="3" t="s">
        <v>694</v>
      </c>
      <c r="C932" s="5" t="s">
        <v>1247</v>
      </c>
      <c r="D932" s="3">
        <v>8.0</v>
      </c>
      <c r="E932" s="3">
        <v>10.0</v>
      </c>
      <c r="F932" s="3">
        <f t="shared" si="1"/>
        <v>0</v>
      </c>
      <c r="N932" s="7"/>
    </row>
    <row r="933" hidden="1">
      <c r="B933" s="3" t="s">
        <v>696</v>
      </c>
      <c r="C933" s="5" t="s">
        <v>1248</v>
      </c>
      <c r="D933" s="3">
        <v>8.0</v>
      </c>
      <c r="E933" s="3">
        <v>7.0</v>
      </c>
      <c r="F933" s="3">
        <f t="shared" si="1"/>
        <v>0</v>
      </c>
      <c r="N933" s="7"/>
    </row>
    <row r="934" hidden="1">
      <c r="B934" s="3" t="s">
        <v>698</v>
      </c>
      <c r="C934" s="5" t="s">
        <v>1059</v>
      </c>
      <c r="D934" s="3">
        <v>9.0</v>
      </c>
      <c r="E934" s="3">
        <v>10.0</v>
      </c>
      <c r="F934" s="3">
        <f t="shared" si="1"/>
        <v>0</v>
      </c>
      <c r="N934" s="7"/>
    </row>
    <row r="935" hidden="1">
      <c r="B935" s="3" t="s">
        <v>699</v>
      </c>
      <c r="C935" s="5" t="s">
        <v>1109</v>
      </c>
      <c r="D935" s="3">
        <v>10.0</v>
      </c>
      <c r="E935" s="3">
        <v>5.0</v>
      </c>
      <c r="F935" s="3">
        <f t="shared" si="1"/>
        <v>0</v>
      </c>
      <c r="N935" s="7"/>
    </row>
    <row r="936" hidden="1">
      <c r="B936" s="3" t="s">
        <v>700</v>
      </c>
      <c r="C936" s="5" t="s">
        <v>1249</v>
      </c>
      <c r="D936" s="3">
        <v>8.0</v>
      </c>
      <c r="E936" s="3">
        <v>9.0</v>
      </c>
      <c r="F936" s="3">
        <f t="shared" si="1"/>
        <v>0</v>
      </c>
      <c r="N936" s="7"/>
    </row>
    <row r="937" hidden="1">
      <c r="B937" s="3" t="s">
        <v>702</v>
      </c>
      <c r="C937" s="5" t="s">
        <v>1196</v>
      </c>
      <c r="D937" s="3">
        <v>6.0</v>
      </c>
      <c r="E937" s="3">
        <v>8.0</v>
      </c>
      <c r="F937" s="3">
        <f t="shared" si="1"/>
        <v>0</v>
      </c>
      <c r="N937" s="7"/>
    </row>
    <row r="938" hidden="1">
      <c r="B938" s="3" t="s">
        <v>703</v>
      </c>
      <c r="C938" s="5" t="s">
        <v>1100</v>
      </c>
      <c r="D938" s="3">
        <v>9.0</v>
      </c>
      <c r="E938" s="3">
        <v>8.0</v>
      </c>
      <c r="F938" s="3">
        <f t="shared" si="1"/>
        <v>0</v>
      </c>
      <c r="N938" s="7"/>
    </row>
    <row r="939" hidden="1">
      <c r="B939" s="3" t="s">
        <v>704</v>
      </c>
      <c r="C939" s="5" t="s">
        <v>1250</v>
      </c>
      <c r="D939" s="3">
        <v>8.0</v>
      </c>
      <c r="E939" s="3">
        <v>0.0</v>
      </c>
      <c r="F939" s="3">
        <f t="shared" si="1"/>
        <v>0</v>
      </c>
      <c r="N939" s="7"/>
    </row>
    <row r="940" hidden="1">
      <c r="B940" s="3" t="s">
        <v>706</v>
      </c>
      <c r="C940" s="5" t="s">
        <v>1003</v>
      </c>
      <c r="D940" s="3">
        <v>3.0</v>
      </c>
      <c r="E940" s="3">
        <v>8.0</v>
      </c>
      <c r="F940" s="3">
        <f t="shared" si="1"/>
        <v>0</v>
      </c>
      <c r="N940" s="7"/>
    </row>
    <row r="941" hidden="1">
      <c r="B941" s="3" t="s">
        <v>707</v>
      </c>
      <c r="C941" s="5" t="s">
        <v>1244</v>
      </c>
      <c r="D941" s="3">
        <v>10.0</v>
      </c>
      <c r="E941" s="3">
        <v>10.0</v>
      </c>
      <c r="F941" s="3">
        <f t="shared" si="1"/>
        <v>0</v>
      </c>
      <c r="N941" s="7"/>
    </row>
    <row r="942" hidden="1">
      <c r="B942" s="3" t="s">
        <v>708</v>
      </c>
      <c r="C942" s="5" t="s">
        <v>1251</v>
      </c>
      <c r="D942" s="3">
        <v>9.0</v>
      </c>
      <c r="E942" s="3">
        <v>8.0</v>
      </c>
      <c r="F942" s="3">
        <f t="shared" si="1"/>
        <v>0</v>
      </c>
      <c r="N942" s="7"/>
    </row>
    <row r="943" hidden="1">
      <c r="B943" s="3" t="s">
        <v>710</v>
      </c>
      <c r="C943" s="5" t="s">
        <v>1252</v>
      </c>
      <c r="D943" s="3">
        <v>4.0</v>
      </c>
      <c r="E943" s="3">
        <v>0.0</v>
      </c>
      <c r="F943" s="3">
        <f t="shared" si="1"/>
        <v>0</v>
      </c>
      <c r="N943" s="7"/>
    </row>
    <row r="944" hidden="1">
      <c r="B944" s="3" t="s">
        <v>712</v>
      </c>
      <c r="C944" s="5" t="s">
        <v>1253</v>
      </c>
      <c r="D944" s="3">
        <v>6.0</v>
      </c>
      <c r="E944" s="3">
        <v>7.0</v>
      </c>
      <c r="F944" s="3">
        <f t="shared" si="1"/>
        <v>0</v>
      </c>
      <c r="N944" s="7"/>
    </row>
    <row r="945" hidden="1">
      <c r="B945" s="3" t="s">
        <v>714</v>
      </c>
      <c r="C945" s="5" t="s">
        <v>1254</v>
      </c>
      <c r="D945" s="3">
        <v>8.0</v>
      </c>
      <c r="E945" s="3">
        <v>8.0</v>
      </c>
      <c r="F945" s="3">
        <f t="shared" si="1"/>
        <v>0</v>
      </c>
      <c r="N945" s="7"/>
    </row>
    <row r="946" hidden="1">
      <c r="B946" s="3" t="s">
        <v>716</v>
      </c>
      <c r="C946" s="5" t="s">
        <v>1255</v>
      </c>
      <c r="D946" s="3">
        <v>9.0</v>
      </c>
      <c r="E946" s="3">
        <v>9.0</v>
      </c>
      <c r="F946" s="3">
        <f t="shared" si="1"/>
        <v>0</v>
      </c>
      <c r="N946" s="7"/>
    </row>
    <row r="947" hidden="1">
      <c r="B947" s="3" t="s">
        <v>718</v>
      </c>
      <c r="C947" s="5" t="s">
        <v>829</v>
      </c>
      <c r="D947" s="3">
        <v>2.0</v>
      </c>
      <c r="E947" s="3">
        <v>10.0</v>
      </c>
      <c r="F947" s="3">
        <f t="shared" si="1"/>
        <v>0</v>
      </c>
      <c r="N947" s="7"/>
    </row>
    <row r="948" hidden="1">
      <c r="B948" s="3" t="s">
        <v>720</v>
      </c>
      <c r="C948" s="5" t="s">
        <v>1255</v>
      </c>
      <c r="D948" s="3">
        <v>8.0</v>
      </c>
      <c r="E948" s="3">
        <v>9.0</v>
      </c>
      <c r="F948" s="3">
        <f t="shared" si="1"/>
        <v>0</v>
      </c>
      <c r="N948" s="7"/>
    </row>
    <row r="949" hidden="1">
      <c r="B949" s="3" t="s">
        <v>721</v>
      </c>
      <c r="C949" s="5" t="s">
        <v>1072</v>
      </c>
      <c r="D949" s="3">
        <v>10.0</v>
      </c>
      <c r="E949" s="3">
        <v>10.0</v>
      </c>
      <c r="F949" s="3">
        <f t="shared" si="1"/>
        <v>0</v>
      </c>
      <c r="N949" s="7"/>
    </row>
    <row r="950" hidden="1">
      <c r="B950" s="3" t="s">
        <v>722</v>
      </c>
      <c r="C950" s="5" t="s">
        <v>1256</v>
      </c>
      <c r="D950" s="3">
        <v>9.0</v>
      </c>
      <c r="E950" s="3">
        <v>9.0</v>
      </c>
      <c r="F950" s="3">
        <f t="shared" si="1"/>
        <v>0</v>
      </c>
      <c r="N950" s="7"/>
    </row>
    <row r="951" hidden="1">
      <c r="B951" s="3" t="s">
        <v>724</v>
      </c>
      <c r="C951" s="5" t="s">
        <v>1121</v>
      </c>
      <c r="D951" s="3">
        <v>10.0</v>
      </c>
      <c r="E951" s="3">
        <v>10.0</v>
      </c>
      <c r="F951" s="3">
        <f t="shared" si="1"/>
        <v>0</v>
      </c>
      <c r="N951" s="7"/>
    </row>
    <row r="952" hidden="1">
      <c r="B952" s="3" t="s">
        <v>725</v>
      </c>
      <c r="C952" s="5" t="s">
        <v>1257</v>
      </c>
      <c r="D952" s="3">
        <v>5.0</v>
      </c>
      <c r="E952" s="3">
        <v>10.0</v>
      </c>
      <c r="F952" s="3">
        <f t="shared" si="1"/>
        <v>0</v>
      </c>
      <c r="N952" s="7"/>
    </row>
    <row r="953" hidden="1">
      <c r="B953" s="3" t="s">
        <v>727</v>
      </c>
      <c r="C953" s="5" t="s">
        <v>1258</v>
      </c>
      <c r="D953" s="3">
        <v>6.0</v>
      </c>
      <c r="E953" s="3">
        <v>5.0</v>
      </c>
      <c r="F953" s="3">
        <f t="shared" si="1"/>
        <v>0</v>
      </c>
      <c r="N953" s="7"/>
    </row>
    <row r="954" hidden="1">
      <c r="B954" s="3" t="s">
        <v>729</v>
      </c>
      <c r="C954" s="5" t="s">
        <v>1202</v>
      </c>
      <c r="D954" s="3">
        <v>9.0</v>
      </c>
      <c r="E954" s="3">
        <v>10.0</v>
      </c>
      <c r="F954" s="3">
        <f t="shared" si="1"/>
        <v>0</v>
      </c>
      <c r="N954" s="7"/>
    </row>
    <row r="955" hidden="1">
      <c r="B955" s="3" t="s">
        <v>730</v>
      </c>
      <c r="C955" s="5" t="s">
        <v>1259</v>
      </c>
      <c r="D955" s="3">
        <v>10.0</v>
      </c>
      <c r="E955" s="3">
        <v>10.0</v>
      </c>
      <c r="F955" s="3">
        <f t="shared" si="1"/>
        <v>0</v>
      </c>
      <c r="N955" s="7"/>
    </row>
    <row r="956" hidden="1">
      <c r="B956" s="3" t="s">
        <v>732</v>
      </c>
      <c r="C956" s="5" t="s">
        <v>1260</v>
      </c>
      <c r="D956" s="3">
        <v>2.0</v>
      </c>
      <c r="E956" s="3">
        <v>10.0</v>
      </c>
      <c r="F956" s="3">
        <f t="shared" si="1"/>
        <v>0</v>
      </c>
      <c r="N956" s="7"/>
    </row>
    <row r="957" hidden="1">
      <c r="B957" s="3" t="s">
        <v>734</v>
      </c>
      <c r="C957" s="5" t="s">
        <v>1251</v>
      </c>
      <c r="D957" s="3">
        <v>8.0</v>
      </c>
      <c r="E957" s="3">
        <v>8.0</v>
      </c>
      <c r="F957" s="3">
        <f t="shared" si="1"/>
        <v>0</v>
      </c>
      <c r="N957" s="7"/>
    </row>
    <row r="958" hidden="1">
      <c r="B958" s="3" t="s">
        <v>735</v>
      </c>
      <c r="C958" s="5" t="s">
        <v>1033</v>
      </c>
      <c r="D958" s="3">
        <v>10.0</v>
      </c>
      <c r="E958" s="3">
        <v>10.0</v>
      </c>
      <c r="F958" s="3">
        <f t="shared" si="1"/>
        <v>0</v>
      </c>
      <c r="N958" s="7"/>
    </row>
    <row r="959" hidden="1">
      <c r="B959" s="3" t="s">
        <v>736</v>
      </c>
      <c r="C959" s="5" t="s">
        <v>1105</v>
      </c>
      <c r="D959" s="3">
        <v>8.0</v>
      </c>
      <c r="E959" s="3">
        <v>9.0</v>
      </c>
      <c r="F959" s="3">
        <f t="shared" si="1"/>
        <v>0</v>
      </c>
      <c r="N959" s="7"/>
    </row>
    <row r="960" hidden="1">
      <c r="B960" s="3" t="s">
        <v>737</v>
      </c>
      <c r="C960" s="5" t="s">
        <v>1203</v>
      </c>
      <c r="D960" s="3">
        <v>8.0</v>
      </c>
      <c r="E960" s="3">
        <v>10.0</v>
      </c>
      <c r="F960" s="3">
        <f t="shared" si="1"/>
        <v>0</v>
      </c>
      <c r="N960" s="7"/>
    </row>
    <row r="961" hidden="1">
      <c r="B961" s="3" t="s">
        <v>738</v>
      </c>
      <c r="C961" s="5" t="s">
        <v>1261</v>
      </c>
      <c r="D961" s="3">
        <v>10.0</v>
      </c>
      <c r="E961" s="3">
        <v>10.0</v>
      </c>
      <c r="F961" s="3">
        <f t="shared" si="1"/>
        <v>0</v>
      </c>
      <c r="N961" s="7"/>
    </row>
    <row r="962" hidden="1">
      <c r="B962" s="3" t="s">
        <v>740</v>
      </c>
      <c r="C962" s="5" t="s">
        <v>1262</v>
      </c>
      <c r="D962" s="3">
        <v>10.0</v>
      </c>
      <c r="E962" s="3">
        <v>10.0</v>
      </c>
      <c r="F962" s="3">
        <f t="shared" si="1"/>
        <v>0</v>
      </c>
      <c r="N962" s="7"/>
    </row>
    <row r="963" hidden="1">
      <c r="B963" s="3" t="s">
        <v>742</v>
      </c>
      <c r="C963" s="5" t="s">
        <v>1263</v>
      </c>
      <c r="D963" s="3">
        <v>10.0</v>
      </c>
      <c r="E963" s="3">
        <v>7.0</v>
      </c>
      <c r="F963" s="3">
        <f t="shared" si="1"/>
        <v>0</v>
      </c>
      <c r="N963" s="7"/>
    </row>
    <row r="964" hidden="1">
      <c r="B964" s="3" t="s">
        <v>744</v>
      </c>
      <c r="C964" s="5" t="s">
        <v>1264</v>
      </c>
      <c r="D964" s="3">
        <v>10.0</v>
      </c>
      <c r="E964" s="3">
        <v>10.0</v>
      </c>
      <c r="F964" s="3">
        <f t="shared" si="1"/>
        <v>0</v>
      </c>
      <c r="N964" s="7"/>
    </row>
    <row r="965" hidden="1">
      <c r="B965" s="3" t="s">
        <v>745</v>
      </c>
      <c r="C965" s="5" t="s">
        <v>1231</v>
      </c>
      <c r="D965" s="3">
        <v>8.0</v>
      </c>
      <c r="E965" s="3">
        <v>10.0</v>
      </c>
      <c r="F965" s="3">
        <f t="shared" si="1"/>
        <v>0</v>
      </c>
      <c r="N965" s="7"/>
    </row>
    <row r="966" hidden="1">
      <c r="B966" s="3" t="s">
        <v>746</v>
      </c>
      <c r="C966" s="5" t="s">
        <v>1265</v>
      </c>
      <c r="D966" s="3">
        <v>10.0</v>
      </c>
      <c r="E966" s="3">
        <v>5.0</v>
      </c>
      <c r="F966" s="3">
        <f t="shared" si="1"/>
        <v>0</v>
      </c>
      <c r="N966" s="7"/>
    </row>
    <row r="967" hidden="1">
      <c r="B967" s="3" t="s">
        <v>748</v>
      </c>
      <c r="C967" s="5" t="s">
        <v>63</v>
      </c>
      <c r="D967" s="3">
        <v>9.0</v>
      </c>
      <c r="E967" s="3">
        <v>6.0</v>
      </c>
      <c r="F967" s="3">
        <f t="shared" si="1"/>
        <v>0</v>
      </c>
      <c r="N967" s="7"/>
    </row>
    <row r="968" hidden="1">
      <c r="B968" s="3" t="s">
        <v>750</v>
      </c>
      <c r="C968" s="5" t="s">
        <v>1096</v>
      </c>
      <c r="D968" s="3">
        <v>0.0</v>
      </c>
      <c r="E968" s="3">
        <v>0.0</v>
      </c>
      <c r="F968" s="3">
        <f t="shared" si="1"/>
        <v>0</v>
      </c>
      <c r="N968" s="7"/>
    </row>
    <row r="969" hidden="1">
      <c r="B969" s="3" t="s">
        <v>751</v>
      </c>
      <c r="C969" s="5" t="s">
        <v>1266</v>
      </c>
      <c r="D969" s="3">
        <v>10.0</v>
      </c>
      <c r="E969" s="3">
        <v>9.0</v>
      </c>
      <c r="F969" s="3">
        <f t="shared" si="1"/>
        <v>0</v>
      </c>
      <c r="N969" s="7"/>
    </row>
    <row r="970" hidden="1">
      <c r="B970" s="3" t="s">
        <v>753</v>
      </c>
      <c r="C970" s="5" t="s">
        <v>1212</v>
      </c>
      <c r="D970" s="3">
        <v>9.0</v>
      </c>
      <c r="E970" s="3">
        <v>9.0</v>
      </c>
      <c r="F970" s="3">
        <f t="shared" si="1"/>
        <v>0</v>
      </c>
      <c r="N970" s="7"/>
    </row>
    <row r="971" hidden="1">
      <c r="B971" s="3" t="s">
        <v>754</v>
      </c>
      <c r="C971" s="5" t="s">
        <v>1267</v>
      </c>
      <c r="D971" s="3">
        <v>10.0</v>
      </c>
      <c r="E971" s="3">
        <v>9.0</v>
      </c>
      <c r="F971" s="3">
        <f t="shared" si="1"/>
        <v>0</v>
      </c>
      <c r="N971" s="7"/>
    </row>
    <row r="972" hidden="1">
      <c r="B972" s="3" t="s">
        <v>756</v>
      </c>
      <c r="C972" s="5" t="s">
        <v>1194</v>
      </c>
      <c r="D972" s="3">
        <v>4.0</v>
      </c>
      <c r="E972" s="3">
        <v>10.0</v>
      </c>
      <c r="F972" s="3">
        <f t="shared" si="1"/>
        <v>0</v>
      </c>
      <c r="N972" s="7"/>
    </row>
    <row r="973" hidden="1">
      <c r="B973" s="3" t="s">
        <v>757</v>
      </c>
      <c r="C973" s="5" t="s">
        <v>1268</v>
      </c>
      <c r="D973" s="3">
        <v>10.0</v>
      </c>
      <c r="E973" s="3">
        <v>10.0</v>
      </c>
      <c r="F973" s="3">
        <f t="shared" si="1"/>
        <v>0</v>
      </c>
      <c r="N973" s="7"/>
    </row>
    <row r="974" hidden="1">
      <c r="B974" s="3" t="s">
        <v>759</v>
      </c>
      <c r="C974" s="5" t="s">
        <v>1269</v>
      </c>
      <c r="D974" s="3">
        <v>5.0</v>
      </c>
      <c r="E974" s="3">
        <v>4.0</v>
      </c>
      <c r="F974" s="3">
        <f t="shared" si="1"/>
        <v>0</v>
      </c>
      <c r="N974" s="7"/>
    </row>
    <row r="975" hidden="1">
      <c r="B975" s="3" t="s">
        <v>761</v>
      </c>
      <c r="C975" s="5" t="s">
        <v>351</v>
      </c>
      <c r="D975" s="3">
        <v>10.0</v>
      </c>
      <c r="E975" s="3">
        <v>9.0</v>
      </c>
      <c r="F975" s="3">
        <f t="shared" si="1"/>
        <v>0</v>
      </c>
      <c r="N975" s="7"/>
    </row>
    <row r="976" hidden="1">
      <c r="B976" s="3" t="s">
        <v>763</v>
      </c>
      <c r="C976" s="5" t="s">
        <v>1270</v>
      </c>
      <c r="D976" s="3">
        <v>10.0</v>
      </c>
      <c r="E976" s="3">
        <v>10.0</v>
      </c>
      <c r="F976" s="3">
        <f t="shared" si="1"/>
        <v>0</v>
      </c>
      <c r="N976" s="7"/>
    </row>
    <row r="977" hidden="1">
      <c r="B977" s="3" t="s">
        <v>764</v>
      </c>
      <c r="C977" s="5" t="s">
        <v>1268</v>
      </c>
      <c r="D977" s="3">
        <v>10.0</v>
      </c>
      <c r="E977" s="3">
        <v>10.0</v>
      </c>
      <c r="F977" s="3">
        <f t="shared" si="1"/>
        <v>0</v>
      </c>
      <c r="N977" s="7"/>
    </row>
    <row r="978" hidden="1">
      <c r="B978" s="3" t="s">
        <v>765</v>
      </c>
      <c r="C978" s="5" t="s">
        <v>1271</v>
      </c>
      <c r="D978" s="3">
        <v>6.0</v>
      </c>
      <c r="E978" s="3">
        <v>9.0</v>
      </c>
      <c r="F978" s="3">
        <f t="shared" si="1"/>
        <v>0</v>
      </c>
      <c r="N978" s="7"/>
    </row>
    <row r="979" hidden="1">
      <c r="B979" s="3" t="s">
        <v>766</v>
      </c>
      <c r="C979" s="5" t="s">
        <v>1235</v>
      </c>
      <c r="D979" s="3">
        <v>10.0</v>
      </c>
      <c r="E979" s="3">
        <v>10.0</v>
      </c>
      <c r="F979" s="3">
        <f t="shared" si="1"/>
        <v>0</v>
      </c>
      <c r="N979" s="7"/>
    </row>
    <row r="980" hidden="1">
      <c r="B980" s="3" t="s">
        <v>767</v>
      </c>
      <c r="C980" s="5" t="s">
        <v>1213</v>
      </c>
      <c r="D980" s="3">
        <v>10.0</v>
      </c>
      <c r="E980" s="3">
        <v>10.0</v>
      </c>
      <c r="F980" s="3">
        <f t="shared" si="1"/>
        <v>0</v>
      </c>
      <c r="N980" s="7"/>
    </row>
    <row r="981" hidden="1">
      <c r="B981" s="3" t="s">
        <v>768</v>
      </c>
      <c r="C981" s="5" t="s">
        <v>1272</v>
      </c>
      <c r="D981" s="3">
        <v>10.0</v>
      </c>
      <c r="E981" s="3">
        <v>10.0</v>
      </c>
      <c r="F981" s="3">
        <f t="shared" si="1"/>
        <v>0</v>
      </c>
      <c r="N981" s="7"/>
    </row>
    <row r="982" hidden="1">
      <c r="B982" s="3" t="s">
        <v>770</v>
      </c>
      <c r="C982" s="5" t="s">
        <v>1273</v>
      </c>
      <c r="D982" s="3">
        <v>6.0</v>
      </c>
      <c r="E982" s="3">
        <v>5.0</v>
      </c>
      <c r="F982" s="3">
        <f t="shared" si="1"/>
        <v>0</v>
      </c>
      <c r="N982" s="7"/>
    </row>
    <row r="983" hidden="1">
      <c r="B983" s="3" t="s">
        <v>772</v>
      </c>
      <c r="C983" s="5" t="s">
        <v>1136</v>
      </c>
      <c r="D983" s="3">
        <v>8.0</v>
      </c>
      <c r="E983" s="3">
        <v>8.0</v>
      </c>
      <c r="F983" s="3">
        <f t="shared" si="1"/>
        <v>0</v>
      </c>
      <c r="N983" s="7"/>
    </row>
    <row r="984" hidden="1">
      <c r="B984" s="3" t="s">
        <v>773</v>
      </c>
      <c r="C984" s="5" t="s">
        <v>1274</v>
      </c>
      <c r="D984" s="3">
        <v>10.0</v>
      </c>
      <c r="E984" s="3">
        <v>10.0</v>
      </c>
      <c r="F984" s="3">
        <f t="shared" si="1"/>
        <v>0</v>
      </c>
      <c r="N984" s="7"/>
    </row>
    <row r="985" hidden="1">
      <c r="B985" s="3" t="s">
        <v>775</v>
      </c>
      <c r="C985" s="5" t="s">
        <v>1275</v>
      </c>
      <c r="D985" s="3">
        <v>8.0</v>
      </c>
      <c r="E985" s="3">
        <v>10.0</v>
      </c>
      <c r="F985" s="3">
        <f t="shared" si="1"/>
        <v>0</v>
      </c>
      <c r="N985" s="7"/>
    </row>
    <row r="986" hidden="1">
      <c r="B986" s="3" t="s">
        <v>777</v>
      </c>
      <c r="C986" s="5" t="s">
        <v>1276</v>
      </c>
      <c r="D986" s="3">
        <v>5.0</v>
      </c>
      <c r="E986" s="3">
        <v>5.0</v>
      </c>
      <c r="F986" s="3">
        <f t="shared" si="1"/>
        <v>0</v>
      </c>
      <c r="N986" s="7"/>
    </row>
    <row r="987" hidden="1">
      <c r="B987" s="3" t="s">
        <v>779</v>
      </c>
      <c r="C987" s="5" t="s">
        <v>1277</v>
      </c>
      <c r="D987" s="3">
        <v>7.0</v>
      </c>
      <c r="E987" s="3">
        <v>9.0</v>
      </c>
      <c r="F987" s="3">
        <f t="shared" si="1"/>
        <v>0</v>
      </c>
      <c r="N987" s="7"/>
    </row>
    <row r="988" hidden="1">
      <c r="B988" s="3" t="s">
        <v>781</v>
      </c>
      <c r="C988" s="5" t="s">
        <v>1062</v>
      </c>
      <c r="D988" s="3">
        <v>10.0</v>
      </c>
      <c r="E988" s="3">
        <v>10.0</v>
      </c>
      <c r="F988" s="3">
        <f t="shared" si="1"/>
        <v>0</v>
      </c>
      <c r="N988" s="7"/>
    </row>
    <row r="989" hidden="1">
      <c r="B989" s="3" t="s">
        <v>782</v>
      </c>
      <c r="C989" s="5" t="s">
        <v>1278</v>
      </c>
      <c r="D989" s="3">
        <v>8.0</v>
      </c>
      <c r="E989" s="3">
        <v>10.0</v>
      </c>
      <c r="F989" s="3">
        <f t="shared" si="1"/>
        <v>0</v>
      </c>
      <c r="N989" s="7"/>
    </row>
    <row r="990" hidden="1">
      <c r="B990" s="3" t="s">
        <v>784</v>
      </c>
      <c r="C990" s="5" t="s">
        <v>1279</v>
      </c>
      <c r="D990" s="3">
        <v>10.0</v>
      </c>
      <c r="E990" s="3">
        <v>9.0</v>
      </c>
      <c r="F990" s="3">
        <f t="shared" si="1"/>
        <v>0</v>
      </c>
      <c r="N990" s="7"/>
    </row>
    <row r="991" hidden="1">
      <c r="B991" s="3" t="s">
        <v>786</v>
      </c>
      <c r="C991" s="5" t="s">
        <v>1169</v>
      </c>
      <c r="D991" s="3">
        <v>10.0</v>
      </c>
      <c r="E991" s="3">
        <v>10.0</v>
      </c>
      <c r="F991" s="3">
        <f t="shared" si="1"/>
        <v>0</v>
      </c>
      <c r="N991" s="7"/>
    </row>
    <row r="992" hidden="1">
      <c r="B992" s="3" t="s">
        <v>787</v>
      </c>
      <c r="C992" s="5" t="s">
        <v>1280</v>
      </c>
      <c r="D992" s="3">
        <v>10.0</v>
      </c>
      <c r="E992" s="3">
        <v>10.0</v>
      </c>
      <c r="F992" s="3">
        <f t="shared" si="1"/>
        <v>0</v>
      </c>
      <c r="N992" s="7"/>
    </row>
    <row r="993" hidden="1">
      <c r="B993" s="3" t="s">
        <v>789</v>
      </c>
      <c r="C993" s="5" t="s">
        <v>1281</v>
      </c>
      <c r="D993" s="3">
        <v>0.0</v>
      </c>
      <c r="E993" s="3">
        <v>10.0</v>
      </c>
      <c r="F993" s="3">
        <f t="shared" si="1"/>
        <v>0</v>
      </c>
      <c r="N993" s="7"/>
    </row>
    <row r="994" hidden="1">
      <c r="B994" s="3" t="s">
        <v>791</v>
      </c>
      <c r="C994" s="5" t="s">
        <v>1282</v>
      </c>
      <c r="D994" s="3">
        <v>0.0</v>
      </c>
      <c r="E994" s="3">
        <v>8.0</v>
      </c>
      <c r="F994" s="3">
        <f t="shared" si="1"/>
        <v>0</v>
      </c>
      <c r="N994" s="7"/>
    </row>
    <row r="995" hidden="1">
      <c r="B995" s="3" t="s">
        <v>792</v>
      </c>
      <c r="C995" s="5" t="s">
        <v>1283</v>
      </c>
      <c r="D995" s="3">
        <v>10.0</v>
      </c>
      <c r="E995" s="3">
        <v>10.0</v>
      </c>
      <c r="F995" s="3">
        <f t="shared" si="1"/>
        <v>0</v>
      </c>
      <c r="N995" s="7"/>
    </row>
    <row r="996" hidden="1">
      <c r="B996" s="3" t="s">
        <v>794</v>
      </c>
      <c r="C996" s="5" t="s">
        <v>1037</v>
      </c>
      <c r="D996" s="3">
        <v>10.0</v>
      </c>
      <c r="E996" s="3">
        <v>9.0</v>
      </c>
      <c r="F996" s="3">
        <f t="shared" si="1"/>
        <v>0</v>
      </c>
      <c r="N996" s="7"/>
    </row>
    <row r="997" hidden="1">
      <c r="B997" s="3" t="s">
        <v>795</v>
      </c>
      <c r="C997" s="5" t="s">
        <v>1284</v>
      </c>
      <c r="D997" s="3">
        <v>6.0</v>
      </c>
      <c r="E997" s="3">
        <v>6.0</v>
      </c>
      <c r="F997" s="3">
        <f t="shared" si="1"/>
        <v>0</v>
      </c>
      <c r="N997" s="7"/>
    </row>
    <row r="998" hidden="1">
      <c r="B998" s="3" t="s">
        <v>797</v>
      </c>
      <c r="C998" s="5" t="s">
        <v>1285</v>
      </c>
      <c r="D998" s="3">
        <v>10.0</v>
      </c>
      <c r="E998" s="3">
        <v>10.0</v>
      </c>
      <c r="F998" s="3">
        <f t="shared" si="1"/>
        <v>0</v>
      </c>
      <c r="N998" s="7"/>
    </row>
    <row r="999" hidden="1">
      <c r="B999" s="3" t="s">
        <v>799</v>
      </c>
      <c r="C999" s="5" t="s">
        <v>1006</v>
      </c>
      <c r="D999" s="3">
        <v>10.0</v>
      </c>
      <c r="E999" s="3">
        <v>10.0</v>
      </c>
      <c r="F999" s="3">
        <f t="shared" si="1"/>
        <v>0</v>
      </c>
      <c r="N999" s="7"/>
    </row>
    <row r="1000" hidden="1">
      <c r="B1000" s="3" t="s">
        <v>800</v>
      </c>
      <c r="C1000" s="5" t="s">
        <v>1073</v>
      </c>
      <c r="D1000" s="3">
        <v>10.0</v>
      </c>
      <c r="E1000" s="3">
        <v>10.0</v>
      </c>
      <c r="F1000" s="3">
        <f t="shared" si="1"/>
        <v>0</v>
      </c>
      <c r="N1000" s="7"/>
    </row>
    <row r="1001" hidden="1">
      <c r="B1001" s="3" t="s">
        <v>801</v>
      </c>
      <c r="C1001" s="3" t="s">
        <v>1286</v>
      </c>
      <c r="D1001" s="3">
        <v>6.0</v>
      </c>
      <c r="E1001" s="3">
        <v>2.0</v>
      </c>
      <c r="F1001" s="3">
        <f t="shared" si="1"/>
        <v>0</v>
      </c>
      <c r="N1001" s="7"/>
    </row>
    <row r="1002" hidden="1">
      <c r="B1002" s="3" t="s">
        <v>802</v>
      </c>
      <c r="C1002" s="5" t="s">
        <v>1035</v>
      </c>
      <c r="D1002" s="3">
        <v>10.0</v>
      </c>
      <c r="E1002" s="3">
        <v>10.0</v>
      </c>
      <c r="F1002" s="3">
        <f t="shared" si="1"/>
        <v>0</v>
      </c>
      <c r="N1002" s="7"/>
    </row>
    <row r="1003" hidden="1">
      <c r="B1003" s="3" t="s">
        <v>803</v>
      </c>
      <c r="C1003" s="5" t="s">
        <v>1287</v>
      </c>
      <c r="D1003" s="3">
        <v>9.0</v>
      </c>
      <c r="E1003" s="3">
        <v>10.0</v>
      </c>
      <c r="F1003" s="3">
        <f t="shared" si="1"/>
        <v>0</v>
      </c>
      <c r="N1003" s="7"/>
    </row>
    <row r="1004" hidden="1">
      <c r="B1004" s="3" t="s">
        <v>805</v>
      </c>
      <c r="C1004" s="5" t="s">
        <v>1288</v>
      </c>
      <c r="D1004" s="3">
        <v>10.0</v>
      </c>
      <c r="E1004" s="3">
        <v>10.0</v>
      </c>
      <c r="F1004" s="3">
        <f t="shared" si="1"/>
        <v>0</v>
      </c>
      <c r="N1004" s="7"/>
    </row>
    <row r="1005" hidden="1">
      <c r="B1005" s="3" t="s">
        <v>807</v>
      </c>
      <c r="C1005" s="5" t="s">
        <v>1289</v>
      </c>
      <c r="D1005" s="3">
        <v>7.0</v>
      </c>
      <c r="E1005" s="3">
        <v>8.0</v>
      </c>
      <c r="F1005" s="3">
        <f t="shared" si="1"/>
        <v>0</v>
      </c>
      <c r="N1005" s="7"/>
    </row>
    <row r="1006" hidden="1">
      <c r="B1006" s="3" t="s">
        <v>809</v>
      </c>
      <c r="C1006" s="5" t="s">
        <v>1240</v>
      </c>
      <c r="D1006" s="3">
        <v>0.0</v>
      </c>
      <c r="E1006" s="3">
        <v>8.0</v>
      </c>
      <c r="F1006" s="3">
        <f t="shared" si="1"/>
        <v>0</v>
      </c>
      <c r="N1006" s="7"/>
    </row>
    <row r="1007" hidden="1">
      <c r="B1007" s="3" t="s">
        <v>810</v>
      </c>
      <c r="C1007" s="5" t="s">
        <v>1245</v>
      </c>
      <c r="D1007" s="3">
        <v>7.0</v>
      </c>
      <c r="E1007" s="3">
        <v>8.0</v>
      </c>
      <c r="F1007" s="3">
        <f t="shared" si="1"/>
        <v>0</v>
      </c>
      <c r="N1007" s="7"/>
    </row>
    <row r="1008" hidden="1">
      <c r="B1008" s="3" t="s">
        <v>811</v>
      </c>
      <c r="C1008" s="5" t="s">
        <v>1290</v>
      </c>
      <c r="D1008" s="3">
        <v>9.0</v>
      </c>
      <c r="E1008" s="3">
        <v>9.0</v>
      </c>
      <c r="F1008" s="3">
        <f t="shared" si="1"/>
        <v>0</v>
      </c>
      <c r="N1008" s="7"/>
    </row>
    <row r="1009" hidden="1">
      <c r="B1009" s="3" t="s">
        <v>813</v>
      </c>
      <c r="C1009" s="5" t="s">
        <v>1274</v>
      </c>
      <c r="D1009" s="3">
        <v>10.0</v>
      </c>
      <c r="E1009" s="3">
        <v>10.0</v>
      </c>
      <c r="F1009" s="3">
        <f t="shared" si="1"/>
        <v>0</v>
      </c>
      <c r="N1009" s="7"/>
    </row>
    <row r="1010" hidden="1">
      <c r="B1010" s="3" t="s">
        <v>814</v>
      </c>
      <c r="C1010" s="5" t="s">
        <v>989</v>
      </c>
      <c r="D1010" s="3">
        <v>9.0</v>
      </c>
      <c r="E1010" s="3">
        <v>7.0</v>
      </c>
      <c r="F1010" s="3">
        <f t="shared" si="1"/>
        <v>0</v>
      </c>
      <c r="N1010" s="7"/>
    </row>
    <row r="1011" hidden="1">
      <c r="B1011" s="3" t="s">
        <v>815</v>
      </c>
      <c r="C1011" s="5" t="s">
        <v>1291</v>
      </c>
      <c r="D1011" s="3">
        <v>10.0</v>
      </c>
      <c r="E1011" s="3">
        <v>10.0</v>
      </c>
      <c r="F1011" s="3">
        <f t="shared" si="1"/>
        <v>0</v>
      </c>
      <c r="N1011" s="7"/>
    </row>
    <row r="1012" hidden="1">
      <c r="B1012" s="3" t="s">
        <v>816</v>
      </c>
      <c r="C1012" s="5" t="s">
        <v>1292</v>
      </c>
      <c r="D1012" s="3">
        <v>10.0</v>
      </c>
      <c r="E1012" s="3">
        <v>10.0</v>
      </c>
      <c r="F1012" s="3">
        <f t="shared" si="1"/>
        <v>0</v>
      </c>
      <c r="N1012" s="7"/>
    </row>
    <row r="1013" hidden="1">
      <c r="B1013" s="3" t="s">
        <v>818</v>
      </c>
      <c r="C1013" s="5" t="s">
        <v>1242</v>
      </c>
      <c r="D1013" s="3">
        <v>8.0</v>
      </c>
      <c r="E1013" s="3">
        <v>10.0</v>
      </c>
      <c r="F1013" s="3">
        <f t="shared" si="1"/>
        <v>0</v>
      </c>
      <c r="N1013" s="7"/>
    </row>
    <row r="1014" hidden="1">
      <c r="B1014" s="3" t="s">
        <v>819</v>
      </c>
      <c r="C1014" s="5" t="s">
        <v>1054</v>
      </c>
      <c r="D1014" s="3">
        <v>10.0</v>
      </c>
      <c r="E1014" s="3">
        <v>10.0</v>
      </c>
      <c r="F1014" s="3">
        <f t="shared" si="1"/>
        <v>0</v>
      </c>
      <c r="N1014" s="7"/>
    </row>
    <row r="1015" hidden="1">
      <c r="B1015" s="3" t="s">
        <v>820</v>
      </c>
      <c r="C1015" s="5" t="s">
        <v>1256</v>
      </c>
      <c r="D1015" s="3">
        <v>10.0</v>
      </c>
      <c r="E1015" s="3">
        <v>10.0</v>
      </c>
      <c r="F1015" s="3">
        <f t="shared" si="1"/>
        <v>0</v>
      </c>
      <c r="N1015" s="7"/>
    </row>
    <row r="1016" hidden="1">
      <c r="B1016" s="3" t="s">
        <v>821</v>
      </c>
      <c r="C1016" s="5" t="s">
        <v>1293</v>
      </c>
      <c r="D1016" s="3">
        <v>9.0</v>
      </c>
      <c r="E1016" s="3">
        <v>10.0</v>
      </c>
      <c r="F1016" s="3">
        <f t="shared" si="1"/>
        <v>0</v>
      </c>
      <c r="N1016" s="7"/>
    </row>
    <row r="1017" hidden="1">
      <c r="B1017" s="3" t="s">
        <v>823</v>
      </c>
      <c r="C1017" s="5" t="s">
        <v>1294</v>
      </c>
      <c r="D1017" s="3">
        <v>5.0</v>
      </c>
      <c r="E1017" s="3">
        <v>0.0</v>
      </c>
      <c r="F1017" s="3">
        <f t="shared" si="1"/>
        <v>0</v>
      </c>
      <c r="N1017" s="7"/>
    </row>
    <row r="1018" hidden="1">
      <c r="B1018" s="3" t="s">
        <v>825</v>
      </c>
      <c r="C1018" s="5" t="s">
        <v>1056</v>
      </c>
      <c r="D1018" s="3">
        <v>9.0</v>
      </c>
      <c r="E1018" s="3">
        <v>8.0</v>
      </c>
      <c r="F1018" s="3">
        <f t="shared" si="1"/>
        <v>0</v>
      </c>
      <c r="N1018" s="7"/>
    </row>
    <row r="1019" hidden="1">
      <c r="B1019" s="3" t="s">
        <v>826</v>
      </c>
      <c r="C1019" s="5" t="s">
        <v>1295</v>
      </c>
      <c r="D1019" s="3">
        <v>10.0</v>
      </c>
      <c r="E1019" s="3">
        <v>10.0</v>
      </c>
      <c r="F1019" s="3">
        <f t="shared" si="1"/>
        <v>0</v>
      </c>
      <c r="N1019" s="7"/>
    </row>
    <row r="1020" hidden="1">
      <c r="B1020" s="3" t="s">
        <v>828</v>
      </c>
      <c r="C1020" s="5" t="s">
        <v>719</v>
      </c>
      <c r="D1020" s="3">
        <v>6.0</v>
      </c>
      <c r="E1020" s="3">
        <v>4.0</v>
      </c>
      <c r="F1020" s="3">
        <f t="shared" si="1"/>
        <v>0</v>
      </c>
      <c r="N1020" s="7"/>
    </row>
    <row r="1021" hidden="1">
      <c r="B1021" s="3" t="s">
        <v>830</v>
      </c>
      <c r="C1021" s="5" t="s">
        <v>1296</v>
      </c>
      <c r="D1021" s="3">
        <v>9.0</v>
      </c>
      <c r="E1021" s="3">
        <v>10.0</v>
      </c>
      <c r="F1021" s="3">
        <f t="shared" si="1"/>
        <v>0</v>
      </c>
      <c r="N1021" s="7"/>
    </row>
    <row r="1022" hidden="1">
      <c r="B1022" s="3" t="s">
        <v>832</v>
      </c>
      <c r="C1022" s="5" t="s">
        <v>1201</v>
      </c>
      <c r="D1022" s="3">
        <v>8.0</v>
      </c>
      <c r="E1022" s="3">
        <v>8.0</v>
      </c>
      <c r="F1022" s="3">
        <f t="shared" si="1"/>
        <v>0</v>
      </c>
      <c r="N1022" s="7"/>
    </row>
    <row r="1023" hidden="1">
      <c r="B1023" s="3" t="s">
        <v>833</v>
      </c>
      <c r="C1023" s="5" t="s">
        <v>1162</v>
      </c>
      <c r="D1023" s="3">
        <v>10.0</v>
      </c>
      <c r="E1023" s="3">
        <v>10.0</v>
      </c>
      <c r="F1023" s="3">
        <f t="shared" si="1"/>
        <v>0</v>
      </c>
      <c r="N1023" s="7"/>
    </row>
    <row r="1024" hidden="1">
      <c r="B1024" s="3" t="s">
        <v>834</v>
      </c>
      <c r="C1024" s="5" t="s">
        <v>1045</v>
      </c>
      <c r="D1024" s="3">
        <v>10.0</v>
      </c>
      <c r="E1024" s="3">
        <v>10.0</v>
      </c>
      <c r="F1024" s="3">
        <f t="shared" si="1"/>
        <v>0</v>
      </c>
      <c r="N1024" s="7"/>
    </row>
    <row r="1025" hidden="1">
      <c r="B1025" s="3" t="s">
        <v>835</v>
      </c>
      <c r="C1025" s="5" t="s">
        <v>1297</v>
      </c>
      <c r="D1025" s="3">
        <v>8.0</v>
      </c>
      <c r="E1025" s="3">
        <v>10.0</v>
      </c>
      <c r="F1025" s="3">
        <f t="shared" si="1"/>
        <v>0</v>
      </c>
      <c r="N1025" s="7"/>
    </row>
    <row r="1026" hidden="1">
      <c r="B1026" s="3" t="s">
        <v>837</v>
      </c>
      <c r="C1026" s="5" t="s">
        <v>996</v>
      </c>
      <c r="D1026" s="3">
        <v>10.0</v>
      </c>
      <c r="E1026" s="3">
        <v>10.0</v>
      </c>
      <c r="F1026" s="3">
        <f t="shared" si="1"/>
        <v>0</v>
      </c>
      <c r="N1026" s="7"/>
    </row>
    <row r="1027" hidden="1">
      <c r="B1027" s="3" t="s">
        <v>838</v>
      </c>
      <c r="C1027" s="5" t="s">
        <v>1298</v>
      </c>
      <c r="D1027" s="3">
        <v>7.0</v>
      </c>
      <c r="E1027" s="3">
        <v>7.0</v>
      </c>
      <c r="F1027" s="3">
        <f t="shared" si="1"/>
        <v>0</v>
      </c>
      <c r="N1027" s="7"/>
    </row>
    <row r="1028" hidden="1">
      <c r="B1028" s="3" t="s">
        <v>840</v>
      </c>
      <c r="C1028" s="5" t="s">
        <v>566</v>
      </c>
      <c r="D1028" s="3">
        <v>5.0</v>
      </c>
      <c r="E1028" s="3">
        <v>7.0</v>
      </c>
      <c r="F1028" s="3">
        <f t="shared" si="1"/>
        <v>0</v>
      </c>
      <c r="N1028" s="7"/>
    </row>
    <row r="1029" hidden="1">
      <c r="B1029" s="3" t="s">
        <v>842</v>
      </c>
      <c r="C1029" s="5" t="s">
        <v>1299</v>
      </c>
      <c r="D1029" s="3">
        <v>10.0</v>
      </c>
      <c r="E1029" s="3">
        <v>9.0</v>
      </c>
      <c r="F1029" s="3">
        <f t="shared" si="1"/>
        <v>0</v>
      </c>
      <c r="N1029" s="7"/>
    </row>
    <row r="1030" hidden="1">
      <c r="B1030" s="3" t="s">
        <v>844</v>
      </c>
      <c r="C1030" s="5" t="s">
        <v>918</v>
      </c>
      <c r="D1030" s="3">
        <v>9.0</v>
      </c>
      <c r="E1030" s="3">
        <v>8.0</v>
      </c>
      <c r="F1030" s="3">
        <f t="shared" si="1"/>
        <v>0</v>
      </c>
      <c r="N1030" s="7"/>
    </row>
    <row r="1031" hidden="1">
      <c r="B1031" s="3" t="s">
        <v>846</v>
      </c>
      <c r="C1031" s="5" t="s">
        <v>1278</v>
      </c>
      <c r="D1031" s="3">
        <v>10.0</v>
      </c>
      <c r="E1031" s="3">
        <v>10.0</v>
      </c>
      <c r="F1031" s="3">
        <f t="shared" si="1"/>
        <v>0</v>
      </c>
      <c r="N1031" s="7"/>
    </row>
    <row r="1032" hidden="1">
      <c r="B1032" s="3" t="s">
        <v>847</v>
      </c>
      <c r="C1032" s="5" t="s">
        <v>1157</v>
      </c>
      <c r="D1032" s="3">
        <v>10.0</v>
      </c>
      <c r="E1032" s="3">
        <v>10.0</v>
      </c>
      <c r="F1032" s="3">
        <f t="shared" si="1"/>
        <v>0</v>
      </c>
      <c r="N1032" s="7"/>
    </row>
    <row r="1033" hidden="1">
      <c r="B1033" s="3" t="s">
        <v>848</v>
      </c>
      <c r="C1033" s="5" t="s">
        <v>1247</v>
      </c>
      <c r="D1033" s="3">
        <v>5.0</v>
      </c>
      <c r="E1033" s="3">
        <v>7.0</v>
      </c>
      <c r="F1033" s="3">
        <f t="shared" si="1"/>
        <v>0</v>
      </c>
      <c r="N1033" s="7"/>
    </row>
    <row r="1034" hidden="1">
      <c r="B1034" s="3" t="s">
        <v>849</v>
      </c>
      <c r="C1034" s="5" t="s">
        <v>1083</v>
      </c>
      <c r="D1034" s="3">
        <v>8.0</v>
      </c>
      <c r="E1034" s="3">
        <v>8.0</v>
      </c>
      <c r="F1034" s="3">
        <f t="shared" si="1"/>
        <v>0</v>
      </c>
      <c r="N1034" s="7"/>
    </row>
    <row r="1035" hidden="1">
      <c r="B1035" s="3" t="s">
        <v>850</v>
      </c>
      <c r="C1035" s="5" t="s">
        <v>1238</v>
      </c>
      <c r="D1035" s="3">
        <v>10.0</v>
      </c>
      <c r="E1035" s="3">
        <v>10.0</v>
      </c>
      <c r="F1035" s="3">
        <f t="shared" si="1"/>
        <v>0</v>
      </c>
      <c r="N1035" s="7"/>
    </row>
    <row r="1036" hidden="1">
      <c r="B1036" s="3" t="s">
        <v>851</v>
      </c>
      <c r="C1036" s="5" t="s">
        <v>1300</v>
      </c>
      <c r="D1036" s="3">
        <v>8.0</v>
      </c>
      <c r="E1036" s="3">
        <v>0.0</v>
      </c>
      <c r="F1036" s="3">
        <f t="shared" si="1"/>
        <v>0</v>
      </c>
      <c r="N1036" s="7"/>
    </row>
    <row r="1037" hidden="1">
      <c r="B1037" s="3" t="s">
        <v>853</v>
      </c>
      <c r="C1037" s="5" t="s">
        <v>1301</v>
      </c>
      <c r="D1037" s="3">
        <v>10.0</v>
      </c>
      <c r="E1037" s="3">
        <v>9.0</v>
      </c>
      <c r="F1037" s="3">
        <f t="shared" si="1"/>
        <v>0</v>
      </c>
      <c r="N1037" s="7"/>
    </row>
    <row r="1038" hidden="1">
      <c r="B1038" s="3" t="s">
        <v>855</v>
      </c>
      <c r="C1038" s="5" t="s">
        <v>79</v>
      </c>
      <c r="D1038" s="3">
        <v>10.0</v>
      </c>
      <c r="E1038" s="3">
        <v>10.0</v>
      </c>
      <c r="F1038" s="3">
        <f t="shared" si="1"/>
        <v>0</v>
      </c>
      <c r="N1038" s="7"/>
    </row>
    <row r="1039" hidden="1">
      <c r="B1039" s="3" t="s">
        <v>857</v>
      </c>
      <c r="C1039" s="5" t="s">
        <v>1173</v>
      </c>
      <c r="D1039" s="3">
        <v>9.0</v>
      </c>
      <c r="E1039" s="3">
        <v>9.0</v>
      </c>
      <c r="F1039" s="3">
        <f t="shared" si="1"/>
        <v>0</v>
      </c>
      <c r="N1039" s="7"/>
    </row>
    <row r="1040" hidden="1">
      <c r="B1040" s="3" t="s">
        <v>858</v>
      </c>
      <c r="C1040" s="5" t="s">
        <v>1302</v>
      </c>
      <c r="D1040" s="3">
        <v>9.0</v>
      </c>
      <c r="E1040" s="3">
        <v>0.0</v>
      </c>
      <c r="F1040" s="3">
        <f t="shared" si="1"/>
        <v>0</v>
      </c>
      <c r="N1040" s="7"/>
    </row>
    <row r="1041" hidden="1">
      <c r="B1041" s="3" t="s">
        <v>859</v>
      </c>
      <c r="C1041" s="5" t="s">
        <v>1303</v>
      </c>
      <c r="D1041" s="3">
        <v>8.0</v>
      </c>
      <c r="E1041" s="3">
        <v>9.0</v>
      </c>
      <c r="F1041" s="3">
        <f t="shared" si="1"/>
        <v>0</v>
      </c>
      <c r="N1041" s="7"/>
    </row>
    <row r="1042" hidden="1">
      <c r="B1042" s="3" t="s">
        <v>860</v>
      </c>
      <c r="C1042" s="5" t="s">
        <v>1304</v>
      </c>
      <c r="D1042" s="3">
        <v>10.0</v>
      </c>
      <c r="E1042" s="3">
        <v>10.0</v>
      </c>
      <c r="F1042" s="3">
        <f t="shared" si="1"/>
        <v>0</v>
      </c>
      <c r="N1042" s="7"/>
    </row>
    <row r="1043" hidden="1">
      <c r="B1043" s="3" t="s">
        <v>862</v>
      </c>
      <c r="C1043" s="5" t="s">
        <v>1016</v>
      </c>
      <c r="D1043" s="3">
        <v>8.0</v>
      </c>
      <c r="E1043" s="3">
        <v>10.0</v>
      </c>
      <c r="F1043" s="3">
        <f t="shared" si="1"/>
        <v>0</v>
      </c>
      <c r="N1043" s="7"/>
    </row>
    <row r="1044" hidden="1">
      <c r="B1044" s="3" t="s">
        <v>863</v>
      </c>
      <c r="C1044" s="5" t="s">
        <v>1305</v>
      </c>
      <c r="D1044" s="3">
        <v>8.0</v>
      </c>
      <c r="E1044" s="3">
        <v>10.0</v>
      </c>
      <c r="F1044" s="3">
        <f t="shared" si="1"/>
        <v>0</v>
      </c>
      <c r="N1044" s="7"/>
    </row>
    <row r="1045" hidden="1">
      <c r="B1045" s="3" t="s">
        <v>865</v>
      </c>
      <c r="C1045" s="5" t="s">
        <v>1098</v>
      </c>
      <c r="D1045" s="3">
        <v>10.0</v>
      </c>
      <c r="E1045" s="3">
        <v>10.0</v>
      </c>
      <c r="F1045" s="3">
        <f t="shared" si="1"/>
        <v>0</v>
      </c>
      <c r="N1045" s="7"/>
    </row>
    <row r="1046" hidden="1">
      <c r="B1046" s="3" t="s">
        <v>866</v>
      </c>
      <c r="C1046" s="5" t="s">
        <v>644</v>
      </c>
      <c r="D1046" s="3">
        <v>5.0</v>
      </c>
      <c r="E1046" s="3">
        <v>8.0</v>
      </c>
      <c r="F1046" s="3">
        <f t="shared" si="1"/>
        <v>0</v>
      </c>
      <c r="N1046" s="7"/>
    </row>
    <row r="1047" hidden="1">
      <c r="B1047" s="3" t="s">
        <v>868</v>
      </c>
      <c r="C1047" s="5" t="s">
        <v>1306</v>
      </c>
      <c r="D1047" s="3">
        <v>6.0</v>
      </c>
      <c r="E1047" s="3">
        <v>0.0</v>
      </c>
      <c r="F1047" s="3">
        <f t="shared" si="1"/>
        <v>0</v>
      </c>
      <c r="N1047" s="7"/>
    </row>
    <row r="1048" hidden="1">
      <c r="B1048" s="3" t="s">
        <v>870</v>
      </c>
      <c r="C1048" s="5" t="s">
        <v>1275</v>
      </c>
      <c r="D1048" s="3">
        <v>7.0</v>
      </c>
      <c r="E1048" s="3">
        <v>8.0</v>
      </c>
      <c r="F1048" s="3">
        <f t="shared" si="1"/>
        <v>0</v>
      </c>
      <c r="N1048" s="7"/>
    </row>
    <row r="1049" hidden="1">
      <c r="B1049" s="3" t="s">
        <v>871</v>
      </c>
      <c r="C1049" s="5" t="s">
        <v>1117</v>
      </c>
      <c r="D1049" s="3">
        <v>10.0</v>
      </c>
      <c r="E1049" s="3">
        <v>10.0</v>
      </c>
      <c r="F1049" s="3">
        <f t="shared" si="1"/>
        <v>0</v>
      </c>
      <c r="N1049" s="7"/>
    </row>
    <row r="1050" hidden="1">
      <c r="B1050" s="3" t="s">
        <v>872</v>
      </c>
      <c r="C1050" s="5" t="s">
        <v>1129</v>
      </c>
      <c r="D1050" s="3">
        <v>10.0</v>
      </c>
      <c r="E1050" s="3">
        <v>10.0</v>
      </c>
      <c r="F1050" s="3">
        <f t="shared" si="1"/>
        <v>0</v>
      </c>
      <c r="N1050" s="7"/>
    </row>
    <row r="1051" hidden="1">
      <c r="B1051" s="3" t="s">
        <v>873</v>
      </c>
      <c r="C1051" s="5" t="s">
        <v>1307</v>
      </c>
      <c r="D1051" s="3">
        <v>0.0</v>
      </c>
      <c r="E1051" s="3">
        <v>0.0</v>
      </c>
      <c r="F1051" s="3">
        <f t="shared" si="1"/>
        <v>0</v>
      </c>
      <c r="N1051" s="7"/>
    </row>
    <row r="1052" hidden="1">
      <c r="B1052" s="3" t="s">
        <v>875</v>
      </c>
      <c r="C1052" s="5" t="s">
        <v>1069</v>
      </c>
      <c r="D1052" s="3">
        <v>7.0</v>
      </c>
      <c r="E1052" s="3">
        <v>10.0</v>
      </c>
      <c r="F1052" s="3">
        <f t="shared" si="1"/>
        <v>0</v>
      </c>
      <c r="N1052" s="7"/>
    </row>
    <row r="1053" hidden="1">
      <c r="B1053" s="3" t="s">
        <v>876</v>
      </c>
      <c r="C1053" s="5" t="s">
        <v>1308</v>
      </c>
      <c r="D1053" s="3">
        <v>6.0</v>
      </c>
      <c r="E1053" s="3">
        <v>7.0</v>
      </c>
      <c r="F1053" s="3">
        <f t="shared" si="1"/>
        <v>0</v>
      </c>
      <c r="N1053" s="7"/>
    </row>
    <row r="1054" hidden="1">
      <c r="B1054" s="3" t="s">
        <v>878</v>
      </c>
      <c r="C1054" s="5" t="s">
        <v>1309</v>
      </c>
      <c r="D1054" s="3">
        <v>10.0</v>
      </c>
      <c r="E1054" s="3">
        <v>10.0</v>
      </c>
      <c r="F1054" s="3">
        <f t="shared" si="1"/>
        <v>0</v>
      </c>
      <c r="N1054" s="7"/>
    </row>
    <row r="1055" hidden="1">
      <c r="B1055" s="3" t="s">
        <v>880</v>
      </c>
      <c r="C1055" s="5" t="s">
        <v>1284</v>
      </c>
      <c r="D1055" s="3">
        <v>10.0</v>
      </c>
      <c r="E1055" s="3">
        <v>10.0</v>
      </c>
      <c r="F1055" s="3">
        <f t="shared" si="1"/>
        <v>0</v>
      </c>
      <c r="N1055" s="7"/>
    </row>
    <row r="1056" hidden="1">
      <c r="B1056" s="3" t="s">
        <v>881</v>
      </c>
      <c r="C1056" s="5" t="s">
        <v>1134</v>
      </c>
      <c r="D1056" s="3">
        <v>10.0</v>
      </c>
      <c r="E1056" s="3">
        <v>10.0</v>
      </c>
      <c r="F1056" s="3">
        <f t="shared" si="1"/>
        <v>0</v>
      </c>
      <c r="N1056" s="7"/>
    </row>
    <row r="1057" hidden="1">
      <c r="B1057" s="3" t="s">
        <v>882</v>
      </c>
      <c r="C1057" s="5" t="s">
        <v>1263</v>
      </c>
      <c r="D1057" s="3">
        <v>10.0</v>
      </c>
      <c r="E1057" s="3">
        <v>10.0</v>
      </c>
      <c r="F1057" s="3">
        <f t="shared" si="1"/>
        <v>0</v>
      </c>
      <c r="N1057" s="7"/>
    </row>
    <row r="1058" hidden="1">
      <c r="B1058" s="3" t="s">
        <v>883</v>
      </c>
      <c r="C1058" s="5" t="s">
        <v>1310</v>
      </c>
      <c r="D1058" s="3">
        <v>9.0</v>
      </c>
      <c r="E1058" s="3">
        <v>8.0</v>
      </c>
      <c r="F1058" s="3">
        <f t="shared" si="1"/>
        <v>0</v>
      </c>
      <c r="N1058" s="7"/>
    </row>
    <row r="1059" hidden="1">
      <c r="B1059" s="3" t="s">
        <v>885</v>
      </c>
      <c r="C1059" s="5" t="s">
        <v>1311</v>
      </c>
      <c r="D1059" s="3">
        <v>10.0</v>
      </c>
      <c r="E1059" s="3">
        <v>9.0</v>
      </c>
      <c r="F1059" s="3">
        <f t="shared" si="1"/>
        <v>0</v>
      </c>
      <c r="N1059" s="7"/>
    </row>
    <row r="1060" hidden="1">
      <c r="B1060" s="3" t="s">
        <v>887</v>
      </c>
      <c r="C1060" s="5" t="s">
        <v>1312</v>
      </c>
      <c r="D1060" s="3">
        <v>10.0</v>
      </c>
      <c r="E1060" s="3">
        <v>10.0</v>
      </c>
      <c r="F1060" s="3">
        <f t="shared" si="1"/>
        <v>0</v>
      </c>
      <c r="N1060" s="7"/>
    </row>
    <row r="1061" hidden="1">
      <c r="B1061" s="3" t="s">
        <v>889</v>
      </c>
      <c r="C1061" s="5" t="s">
        <v>1266</v>
      </c>
      <c r="D1061" s="3">
        <v>9.0</v>
      </c>
      <c r="E1061" s="3">
        <v>10.0</v>
      </c>
      <c r="F1061" s="3">
        <f t="shared" si="1"/>
        <v>0</v>
      </c>
      <c r="N1061" s="7"/>
    </row>
    <row r="1062" hidden="1">
      <c r="B1062" s="3" t="s">
        <v>890</v>
      </c>
      <c r="C1062" s="5" t="s">
        <v>1313</v>
      </c>
      <c r="D1062" s="3">
        <v>0.0</v>
      </c>
      <c r="E1062" s="3">
        <v>0.0</v>
      </c>
      <c r="F1062" s="3">
        <f t="shared" si="1"/>
        <v>0</v>
      </c>
      <c r="N1062" s="7"/>
    </row>
    <row r="1063" hidden="1">
      <c r="B1063" s="3" t="s">
        <v>892</v>
      </c>
      <c r="C1063" s="5" t="s">
        <v>1314</v>
      </c>
      <c r="D1063" s="3">
        <v>7.0</v>
      </c>
      <c r="E1063" s="3">
        <v>7.0</v>
      </c>
      <c r="F1063" s="3">
        <f t="shared" si="1"/>
        <v>0</v>
      </c>
      <c r="N1063" s="7"/>
    </row>
    <row r="1064" hidden="1">
      <c r="B1064" s="3" t="s">
        <v>894</v>
      </c>
      <c r="C1064" s="5" t="s">
        <v>1307</v>
      </c>
      <c r="D1064" s="3">
        <v>0.0</v>
      </c>
      <c r="E1064" s="3">
        <v>6.0</v>
      </c>
      <c r="F1064" s="3">
        <f t="shared" si="1"/>
        <v>0</v>
      </c>
      <c r="N1064" s="7"/>
    </row>
    <row r="1065" hidden="1">
      <c r="B1065" s="3" t="s">
        <v>895</v>
      </c>
      <c r="C1065" s="5" t="s">
        <v>1192</v>
      </c>
      <c r="D1065" s="3">
        <v>9.0</v>
      </c>
      <c r="E1065" s="3">
        <v>9.0</v>
      </c>
      <c r="F1065" s="3">
        <f t="shared" si="1"/>
        <v>0</v>
      </c>
      <c r="N1065" s="7"/>
    </row>
    <row r="1066" hidden="1">
      <c r="B1066" s="3" t="s">
        <v>896</v>
      </c>
      <c r="C1066" s="5" t="s">
        <v>1248</v>
      </c>
      <c r="D1066" s="3">
        <v>10.0</v>
      </c>
      <c r="E1066" s="3">
        <v>10.0</v>
      </c>
      <c r="F1066" s="3">
        <f t="shared" si="1"/>
        <v>0</v>
      </c>
      <c r="N1066" s="7"/>
    </row>
    <row r="1067" hidden="1">
      <c r="B1067" s="3" t="s">
        <v>897</v>
      </c>
      <c r="C1067" s="5" t="s">
        <v>1034</v>
      </c>
      <c r="D1067" s="3">
        <v>7.0</v>
      </c>
      <c r="E1067" s="3">
        <v>8.0</v>
      </c>
      <c r="F1067" s="3">
        <f t="shared" si="1"/>
        <v>0</v>
      </c>
      <c r="N1067" s="7"/>
    </row>
    <row r="1068" hidden="1">
      <c r="B1068" s="3" t="s">
        <v>898</v>
      </c>
      <c r="C1068" s="5" t="s">
        <v>1158</v>
      </c>
      <c r="D1068" s="3">
        <v>9.0</v>
      </c>
      <c r="E1068" s="3">
        <v>10.0</v>
      </c>
      <c r="F1068" s="3">
        <f t="shared" si="1"/>
        <v>0</v>
      </c>
      <c r="N1068" s="7"/>
    </row>
    <row r="1069" hidden="1">
      <c r="B1069" s="3" t="s">
        <v>899</v>
      </c>
      <c r="C1069" s="5" t="s">
        <v>1315</v>
      </c>
      <c r="D1069" s="3">
        <v>10.0</v>
      </c>
      <c r="E1069" s="3">
        <v>10.0</v>
      </c>
      <c r="F1069" s="3">
        <f t="shared" si="1"/>
        <v>0</v>
      </c>
      <c r="N1069" s="7"/>
    </row>
    <row r="1070" hidden="1">
      <c r="B1070" s="3" t="s">
        <v>901</v>
      </c>
      <c r="C1070" s="5" t="s">
        <v>1138</v>
      </c>
      <c r="D1070" s="3">
        <v>9.0</v>
      </c>
      <c r="E1070" s="3">
        <v>10.0</v>
      </c>
      <c r="F1070" s="3">
        <f t="shared" si="1"/>
        <v>0</v>
      </c>
      <c r="N1070" s="7"/>
    </row>
    <row r="1071" hidden="1">
      <c r="B1071" s="3" t="s">
        <v>902</v>
      </c>
      <c r="C1071" s="5" t="s">
        <v>1020</v>
      </c>
      <c r="D1071" s="3">
        <v>10.0</v>
      </c>
      <c r="E1071" s="3">
        <v>10.0</v>
      </c>
      <c r="F1071" s="3">
        <f t="shared" si="1"/>
        <v>0</v>
      </c>
      <c r="N1071" s="7"/>
    </row>
    <row r="1072" hidden="1">
      <c r="B1072" s="3" t="s">
        <v>903</v>
      </c>
      <c r="C1072" s="5" t="s">
        <v>1066</v>
      </c>
      <c r="D1072" s="3">
        <v>9.0</v>
      </c>
      <c r="E1072" s="3">
        <v>9.0</v>
      </c>
      <c r="F1072" s="3">
        <f t="shared" si="1"/>
        <v>0</v>
      </c>
      <c r="N1072" s="7"/>
    </row>
    <row r="1073" hidden="1">
      <c r="B1073" s="3" t="s">
        <v>904</v>
      </c>
      <c r="C1073" s="5" t="s">
        <v>1254</v>
      </c>
      <c r="D1073" s="3">
        <v>8.0</v>
      </c>
      <c r="E1073" s="3">
        <v>8.0</v>
      </c>
      <c r="F1073" s="3">
        <f t="shared" si="1"/>
        <v>0</v>
      </c>
      <c r="N1073" s="7"/>
    </row>
    <row r="1074" hidden="1">
      <c r="B1074" s="3" t="s">
        <v>905</v>
      </c>
      <c r="C1074" s="5" t="s">
        <v>1074</v>
      </c>
      <c r="D1074" s="3">
        <v>10.0</v>
      </c>
      <c r="E1074" s="3">
        <v>10.0</v>
      </c>
      <c r="F1074" s="3">
        <f t="shared" si="1"/>
        <v>0</v>
      </c>
      <c r="N1074" s="7"/>
    </row>
    <row r="1075" hidden="1">
      <c r="B1075" s="3" t="s">
        <v>907</v>
      </c>
      <c r="C1075" s="5" t="s">
        <v>1280</v>
      </c>
      <c r="D1075" s="3">
        <v>10.0</v>
      </c>
      <c r="E1075" s="3">
        <v>10.0</v>
      </c>
      <c r="F1075" s="3">
        <f t="shared" si="1"/>
        <v>0</v>
      </c>
      <c r="N1075" s="7"/>
    </row>
    <row r="1076" hidden="1">
      <c r="B1076" s="3" t="s">
        <v>908</v>
      </c>
      <c r="C1076" s="5" t="s">
        <v>1236</v>
      </c>
      <c r="D1076" s="3">
        <v>10.0</v>
      </c>
      <c r="E1076" s="3">
        <v>10.0</v>
      </c>
      <c r="F1076" s="3">
        <f t="shared" si="1"/>
        <v>0</v>
      </c>
      <c r="N1076" s="7"/>
    </row>
    <row r="1077" hidden="1">
      <c r="B1077" s="3" t="s">
        <v>909</v>
      </c>
      <c r="C1077" s="5" t="s">
        <v>1224</v>
      </c>
      <c r="D1077" s="3">
        <v>7.0</v>
      </c>
      <c r="E1077" s="3">
        <v>0.0</v>
      </c>
      <c r="F1077" s="3">
        <f t="shared" si="1"/>
        <v>0</v>
      </c>
      <c r="N1077" s="7"/>
    </row>
    <row r="1078" hidden="1">
      <c r="B1078" s="3" t="s">
        <v>910</v>
      </c>
      <c r="C1078" s="5" t="s">
        <v>1126</v>
      </c>
      <c r="D1078" s="3">
        <v>0.0</v>
      </c>
      <c r="E1078" s="3">
        <v>0.0</v>
      </c>
      <c r="F1078" s="3">
        <f t="shared" si="1"/>
        <v>0</v>
      </c>
      <c r="N1078" s="7"/>
    </row>
    <row r="1079" hidden="1">
      <c r="B1079" s="3" t="s">
        <v>911</v>
      </c>
      <c r="C1079" s="5" t="s">
        <v>1315</v>
      </c>
      <c r="D1079" s="3">
        <v>10.0</v>
      </c>
      <c r="E1079" s="3">
        <v>10.0</v>
      </c>
      <c r="F1079" s="3">
        <f t="shared" si="1"/>
        <v>0</v>
      </c>
      <c r="N1079" s="7"/>
    </row>
    <row r="1080" hidden="1">
      <c r="B1080" s="3" t="s">
        <v>912</v>
      </c>
      <c r="C1080" s="5" t="s">
        <v>1316</v>
      </c>
      <c r="D1080" s="3">
        <v>10.0</v>
      </c>
      <c r="E1080" s="3">
        <v>9.0</v>
      </c>
      <c r="F1080" s="3">
        <f t="shared" si="1"/>
        <v>0</v>
      </c>
      <c r="N1080" s="7"/>
    </row>
    <row r="1081" hidden="1">
      <c r="B1081" s="3" t="s">
        <v>914</v>
      </c>
      <c r="C1081" s="5" t="s">
        <v>1295</v>
      </c>
      <c r="D1081" s="3">
        <v>10.0</v>
      </c>
      <c r="E1081" s="3">
        <v>8.0</v>
      </c>
      <c r="F1081" s="3">
        <f t="shared" si="1"/>
        <v>0</v>
      </c>
      <c r="N1081" s="7"/>
    </row>
    <row r="1082" hidden="1">
      <c r="B1082" s="3" t="s">
        <v>915</v>
      </c>
      <c r="C1082" s="5" t="s">
        <v>1300</v>
      </c>
      <c r="D1082" s="3">
        <v>8.0</v>
      </c>
      <c r="E1082" s="3">
        <v>0.0</v>
      </c>
      <c r="F1082" s="3">
        <f t="shared" si="1"/>
        <v>0</v>
      </c>
      <c r="N1082" s="7"/>
    </row>
    <row r="1083" hidden="1">
      <c r="B1083" s="3" t="s">
        <v>916</v>
      </c>
      <c r="C1083" s="5" t="s">
        <v>1267</v>
      </c>
      <c r="D1083" s="3">
        <v>10.0</v>
      </c>
      <c r="E1083" s="3">
        <v>10.0</v>
      </c>
      <c r="F1083" s="3">
        <f t="shared" si="1"/>
        <v>0</v>
      </c>
      <c r="N1083" s="7"/>
    </row>
    <row r="1084" hidden="1">
      <c r="B1084" s="3" t="s">
        <v>917</v>
      </c>
      <c r="C1084" s="5" t="s">
        <v>845</v>
      </c>
      <c r="D1084" s="3">
        <v>8.0</v>
      </c>
      <c r="E1084" s="3">
        <v>8.0</v>
      </c>
      <c r="F1084" s="3">
        <f t="shared" si="1"/>
        <v>0</v>
      </c>
      <c r="N1084" s="7"/>
    </row>
    <row r="1085" hidden="1">
      <c r="B1085" s="3" t="s">
        <v>919</v>
      </c>
      <c r="C1085" s="5" t="s">
        <v>1178</v>
      </c>
      <c r="D1085" s="3">
        <v>7.0</v>
      </c>
      <c r="E1085" s="3">
        <v>5.0</v>
      </c>
      <c r="F1085" s="3">
        <f t="shared" si="1"/>
        <v>0</v>
      </c>
      <c r="N1085" s="7"/>
    </row>
    <row r="1086" hidden="1">
      <c r="B1086" s="3" t="s">
        <v>920</v>
      </c>
      <c r="C1086" s="5" t="s">
        <v>1097</v>
      </c>
      <c r="D1086" s="3">
        <v>10.0</v>
      </c>
      <c r="E1086" s="3">
        <v>10.0</v>
      </c>
      <c r="F1086" s="3">
        <f t="shared" si="1"/>
        <v>0</v>
      </c>
      <c r="N1086" s="7"/>
    </row>
    <row r="1087" hidden="1">
      <c r="B1087" s="3" t="s">
        <v>921</v>
      </c>
      <c r="C1087" s="5" t="s">
        <v>1199</v>
      </c>
      <c r="D1087" s="3">
        <v>10.0</v>
      </c>
      <c r="E1087" s="3">
        <v>10.0</v>
      </c>
      <c r="F1087" s="3">
        <f t="shared" si="1"/>
        <v>0</v>
      </c>
      <c r="N1087" s="7"/>
    </row>
    <row r="1088" hidden="1">
      <c r="B1088" s="3" t="s">
        <v>922</v>
      </c>
      <c r="C1088" s="5" t="s">
        <v>1317</v>
      </c>
      <c r="D1088" s="3">
        <v>10.0</v>
      </c>
      <c r="E1088" s="3">
        <v>10.0</v>
      </c>
      <c r="F1088" s="3">
        <f t="shared" si="1"/>
        <v>0</v>
      </c>
      <c r="N1088" s="7"/>
    </row>
    <row r="1089" hidden="1">
      <c r="B1089" s="3" t="s">
        <v>924</v>
      </c>
      <c r="C1089" s="5" t="s">
        <v>1205</v>
      </c>
      <c r="D1089" s="3">
        <v>9.0</v>
      </c>
      <c r="E1089" s="3">
        <v>0.0</v>
      </c>
      <c r="F1089" s="3">
        <f t="shared" si="1"/>
        <v>0</v>
      </c>
      <c r="N1089" s="7"/>
    </row>
    <row r="1090" hidden="1">
      <c r="B1090" s="3" t="s">
        <v>925</v>
      </c>
      <c r="C1090" s="5" t="s">
        <v>1318</v>
      </c>
      <c r="D1090" s="3">
        <v>10.0</v>
      </c>
      <c r="E1090" s="3">
        <v>9.0</v>
      </c>
      <c r="F1090" s="3">
        <f t="shared" si="1"/>
        <v>0</v>
      </c>
      <c r="N1090" s="7"/>
    </row>
    <row r="1091" hidden="1">
      <c r="B1091" s="3" t="s">
        <v>927</v>
      </c>
      <c r="C1091" s="5" t="s">
        <v>975</v>
      </c>
      <c r="D1091" s="3">
        <v>7.0</v>
      </c>
      <c r="E1091" s="3">
        <v>10.0</v>
      </c>
      <c r="F1091" s="3">
        <f t="shared" si="1"/>
        <v>0</v>
      </c>
      <c r="N1091" s="7"/>
    </row>
    <row r="1092" hidden="1">
      <c r="B1092" s="3" t="s">
        <v>929</v>
      </c>
      <c r="C1092" s="5" t="s">
        <v>1167</v>
      </c>
      <c r="D1092" s="3">
        <v>6.0</v>
      </c>
      <c r="E1092" s="3">
        <v>7.0</v>
      </c>
      <c r="F1092" s="3">
        <f t="shared" si="1"/>
        <v>0</v>
      </c>
      <c r="N1092" s="7"/>
    </row>
    <row r="1093" hidden="1">
      <c r="B1093" s="3" t="s">
        <v>930</v>
      </c>
      <c r="C1093" s="5" t="s">
        <v>558</v>
      </c>
      <c r="D1093" s="3">
        <v>8.0</v>
      </c>
      <c r="E1093" s="3">
        <v>8.0</v>
      </c>
      <c r="F1093" s="3">
        <f t="shared" si="1"/>
        <v>0</v>
      </c>
      <c r="N1093" s="7"/>
    </row>
    <row r="1094" hidden="1">
      <c r="B1094" s="3" t="s">
        <v>932</v>
      </c>
      <c r="C1094" s="5" t="s">
        <v>1131</v>
      </c>
      <c r="D1094" s="3">
        <v>9.0</v>
      </c>
      <c r="E1094" s="3">
        <v>9.0</v>
      </c>
      <c r="F1094" s="3">
        <f t="shared" si="1"/>
        <v>0</v>
      </c>
      <c r="N1094" s="7"/>
    </row>
    <row r="1095" hidden="1">
      <c r="B1095" s="3" t="s">
        <v>933</v>
      </c>
      <c r="C1095" s="5" t="s">
        <v>1319</v>
      </c>
      <c r="D1095" s="3">
        <v>10.0</v>
      </c>
      <c r="E1095" s="3">
        <v>10.0</v>
      </c>
      <c r="F1095" s="3">
        <f t="shared" si="1"/>
        <v>0</v>
      </c>
      <c r="N1095" s="7"/>
    </row>
    <row r="1096" hidden="1">
      <c r="B1096" s="3" t="s">
        <v>935</v>
      </c>
      <c r="C1096" s="5" t="s">
        <v>1273</v>
      </c>
      <c r="D1096" s="3">
        <v>10.0</v>
      </c>
      <c r="E1096" s="3">
        <v>10.0</v>
      </c>
      <c r="F1096" s="3">
        <f t="shared" si="1"/>
        <v>0</v>
      </c>
      <c r="N1096" s="7"/>
    </row>
    <row r="1097" hidden="1">
      <c r="B1097" s="3" t="s">
        <v>936</v>
      </c>
      <c r="C1097" s="5" t="s">
        <v>1277</v>
      </c>
      <c r="D1097" s="3">
        <v>6.0</v>
      </c>
      <c r="E1097" s="3">
        <v>10.0</v>
      </c>
      <c r="F1097" s="3">
        <f t="shared" si="1"/>
        <v>0</v>
      </c>
      <c r="N1097" s="7"/>
    </row>
    <row r="1098" hidden="1">
      <c r="B1098" s="3" t="s">
        <v>937</v>
      </c>
      <c r="C1098" s="5" t="s">
        <v>1320</v>
      </c>
      <c r="D1098" s="3">
        <v>10.0</v>
      </c>
      <c r="E1098" s="3">
        <v>9.0</v>
      </c>
      <c r="F1098" s="3">
        <f t="shared" si="1"/>
        <v>0</v>
      </c>
      <c r="N1098" s="7"/>
    </row>
    <row r="1099" hidden="1">
      <c r="B1099" s="3" t="s">
        <v>939</v>
      </c>
      <c r="C1099" s="5" t="s">
        <v>1321</v>
      </c>
      <c r="D1099" s="3">
        <v>7.0</v>
      </c>
      <c r="E1099" s="3">
        <v>7.0</v>
      </c>
      <c r="F1099" s="3">
        <f t="shared" si="1"/>
        <v>0</v>
      </c>
      <c r="N1099" s="7"/>
    </row>
    <row r="1100" hidden="1">
      <c r="B1100" s="3" t="s">
        <v>941</v>
      </c>
      <c r="C1100" s="5" t="s">
        <v>1285</v>
      </c>
      <c r="D1100" s="3">
        <v>8.0</v>
      </c>
      <c r="E1100" s="3">
        <v>7.0</v>
      </c>
      <c r="F1100" s="3">
        <f t="shared" si="1"/>
        <v>0</v>
      </c>
      <c r="N1100" s="7"/>
    </row>
    <row r="1101" hidden="1">
      <c r="B1101" s="3" t="s">
        <v>942</v>
      </c>
      <c r="C1101" s="5" t="s">
        <v>1079</v>
      </c>
      <c r="D1101" s="3">
        <v>5.0</v>
      </c>
      <c r="E1101" s="3">
        <v>7.0</v>
      </c>
      <c r="F1101" s="3">
        <f t="shared" si="1"/>
        <v>0</v>
      </c>
      <c r="N1101" s="7"/>
    </row>
    <row r="1102" hidden="1">
      <c r="B1102" s="3" t="s">
        <v>943</v>
      </c>
      <c r="C1102" s="5" t="s">
        <v>1322</v>
      </c>
      <c r="D1102" s="3">
        <v>10.0</v>
      </c>
      <c r="E1102" s="3">
        <v>10.0</v>
      </c>
      <c r="F1102" s="3">
        <f t="shared" si="1"/>
        <v>0</v>
      </c>
      <c r="N1102" s="7"/>
    </row>
    <row r="1103" hidden="1">
      <c r="B1103" s="3" t="s">
        <v>944</v>
      </c>
      <c r="C1103" s="5" t="s">
        <v>1323</v>
      </c>
      <c r="D1103" s="3">
        <v>10.0</v>
      </c>
      <c r="E1103" s="3">
        <v>10.0</v>
      </c>
      <c r="F1103" s="3">
        <f t="shared" si="1"/>
        <v>0</v>
      </c>
      <c r="N1103" s="7"/>
    </row>
    <row r="1104" hidden="1">
      <c r="B1104" s="3" t="s">
        <v>946</v>
      </c>
      <c r="C1104" s="5" t="s">
        <v>1257</v>
      </c>
      <c r="D1104" s="3">
        <v>10.0</v>
      </c>
      <c r="E1104" s="3">
        <v>10.0</v>
      </c>
      <c r="F1104" s="3">
        <f t="shared" si="1"/>
        <v>0</v>
      </c>
      <c r="N1104" s="7"/>
    </row>
    <row r="1105" hidden="1">
      <c r="B1105" s="3" t="s">
        <v>947</v>
      </c>
      <c r="C1105" s="5" t="s">
        <v>1324</v>
      </c>
      <c r="D1105" s="3">
        <v>6.0</v>
      </c>
      <c r="E1105" s="3">
        <v>10.0</v>
      </c>
      <c r="F1105" s="3">
        <f t="shared" si="1"/>
        <v>0</v>
      </c>
      <c r="N1105" s="7"/>
    </row>
    <row r="1106" hidden="1">
      <c r="B1106" s="3" t="s">
        <v>949</v>
      </c>
      <c r="C1106" s="5" t="s">
        <v>1198</v>
      </c>
      <c r="D1106" s="3">
        <v>6.0</v>
      </c>
      <c r="E1106" s="3">
        <v>9.0</v>
      </c>
      <c r="F1106" s="3">
        <f t="shared" si="1"/>
        <v>0</v>
      </c>
      <c r="N1106" s="7"/>
    </row>
    <row r="1107" hidden="1">
      <c r="B1107" s="3" t="s">
        <v>950</v>
      </c>
      <c r="C1107" s="5" t="s">
        <v>990</v>
      </c>
      <c r="D1107" s="3">
        <v>3.0</v>
      </c>
      <c r="E1107" s="3">
        <v>5.0</v>
      </c>
      <c r="F1107" s="3">
        <f t="shared" si="1"/>
        <v>0</v>
      </c>
      <c r="N1107" s="7"/>
    </row>
    <row r="1108" hidden="1">
      <c r="B1108" s="3" t="s">
        <v>951</v>
      </c>
      <c r="C1108" s="5" t="s">
        <v>1325</v>
      </c>
      <c r="D1108" s="3">
        <v>10.0</v>
      </c>
      <c r="E1108" s="3">
        <v>10.0</v>
      </c>
      <c r="F1108" s="3">
        <f t="shared" si="1"/>
        <v>0</v>
      </c>
      <c r="N1108" s="7"/>
    </row>
    <row r="1109" hidden="1">
      <c r="B1109" s="3" t="s">
        <v>953</v>
      </c>
      <c r="C1109" s="5" t="s">
        <v>891</v>
      </c>
      <c r="D1109" s="3">
        <v>9.0</v>
      </c>
      <c r="E1109" s="3">
        <v>10.0</v>
      </c>
      <c r="F1109" s="3">
        <f t="shared" si="1"/>
        <v>0</v>
      </c>
      <c r="N1109" s="7"/>
    </row>
    <row r="1110" hidden="1">
      <c r="B1110" s="3" t="s">
        <v>955</v>
      </c>
      <c r="C1110" s="5" t="s">
        <v>1068</v>
      </c>
      <c r="D1110" s="3">
        <v>10.0</v>
      </c>
      <c r="E1110" s="3">
        <v>10.0</v>
      </c>
      <c r="F1110" s="3">
        <f t="shared" si="1"/>
        <v>0</v>
      </c>
      <c r="N1110" s="7"/>
    </row>
    <row r="1111" hidden="1">
      <c r="B1111" s="3" t="s">
        <v>956</v>
      </c>
      <c r="C1111" s="5" t="s">
        <v>1281</v>
      </c>
      <c r="D1111" s="3">
        <v>0.0</v>
      </c>
      <c r="E1111" s="3">
        <v>2.0</v>
      </c>
      <c r="F1111" s="3">
        <f t="shared" si="1"/>
        <v>0</v>
      </c>
      <c r="N1111" s="7"/>
    </row>
    <row r="1112" hidden="1">
      <c r="B1112" s="3" t="s">
        <v>957</v>
      </c>
      <c r="C1112" s="5" t="s">
        <v>1029</v>
      </c>
      <c r="D1112" s="3">
        <v>9.0</v>
      </c>
      <c r="E1112" s="3">
        <v>9.0</v>
      </c>
      <c r="F1112" s="3">
        <f t="shared" si="1"/>
        <v>0</v>
      </c>
      <c r="N1112" s="7"/>
    </row>
    <row r="1113" hidden="1">
      <c r="B1113" s="3" t="s">
        <v>958</v>
      </c>
      <c r="C1113" s="5" t="s">
        <v>1269</v>
      </c>
      <c r="D1113" s="3">
        <v>10.0</v>
      </c>
      <c r="E1113" s="3">
        <v>10.0</v>
      </c>
      <c r="F1113" s="3">
        <f t="shared" si="1"/>
        <v>0</v>
      </c>
      <c r="N1113" s="7"/>
    </row>
    <row r="1114" hidden="1">
      <c r="B1114" s="3" t="s">
        <v>959</v>
      </c>
      <c r="C1114" s="5" t="s">
        <v>1065</v>
      </c>
      <c r="D1114" s="3">
        <v>10.0</v>
      </c>
      <c r="E1114" s="3">
        <v>10.0</v>
      </c>
      <c r="F1114" s="3">
        <f t="shared" si="1"/>
        <v>0</v>
      </c>
      <c r="N1114" s="7"/>
    </row>
    <row r="1115" hidden="1">
      <c r="B1115" s="3" t="s">
        <v>960</v>
      </c>
      <c r="C1115" s="5" t="s">
        <v>1246</v>
      </c>
      <c r="D1115" s="3">
        <v>10.0</v>
      </c>
      <c r="E1115" s="3">
        <v>10.0</v>
      </c>
      <c r="F1115" s="3">
        <f t="shared" si="1"/>
        <v>0</v>
      </c>
      <c r="N1115" s="7"/>
    </row>
    <row r="1116" hidden="1">
      <c r="B1116" s="3" t="s">
        <v>961</v>
      </c>
      <c r="C1116" s="5" t="s">
        <v>1296</v>
      </c>
      <c r="D1116" s="3">
        <v>10.0</v>
      </c>
      <c r="E1116" s="3">
        <v>10.0</v>
      </c>
      <c r="F1116" s="3">
        <f t="shared" si="1"/>
        <v>0</v>
      </c>
      <c r="N1116" s="7"/>
    </row>
    <row r="1117" hidden="1">
      <c r="B1117" s="3" t="s">
        <v>962</v>
      </c>
      <c r="C1117" s="5" t="s">
        <v>1283</v>
      </c>
      <c r="D1117" s="3">
        <v>10.0</v>
      </c>
      <c r="E1117" s="3">
        <v>10.0</v>
      </c>
      <c r="F1117" s="3">
        <f t="shared" si="1"/>
        <v>0</v>
      </c>
      <c r="N1117" s="7"/>
    </row>
    <row r="1118" hidden="1">
      <c r="B1118" s="3" t="s">
        <v>963</v>
      </c>
      <c r="C1118" s="5" t="s">
        <v>1108</v>
      </c>
      <c r="D1118" s="3">
        <v>10.0</v>
      </c>
      <c r="E1118" s="3">
        <v>10.0</v>
      </c>
      <c r="F1118" s="3">
        <f t="shared" si="1"/>
        <v>0</v>
      </c>
      <c r="N1118" s="7"/>
    </row>
    <row r="1119" hidden="1">
      <c r="B1119" s="3" t="s">
        <v>964</v>
      </c>
      <c r="C1119" s="5" t="s">
        <v>1326</v>
      </c>
      <c r="D1119" s="3">
        <v>10.0</v>
      </c>
      <c r="E1119" s="3">
        <v>10.0</v>
      </c>
      <c r="F1119" s="3">
        <f t="shared" si="1"/>
        <v>0</v>
      </c>
      <c r="N1119" s="7"/>
    </row>
    <row r="1120" hidden="1">
      <c r="B1120" s="3" t="s">
        <v>965</v>
      </c>
      <c r="C1120" s="5" t="s">
        <v>1104</v>
      </c>
      <c r="D1120" s="3">
        <v>9.0</v>
      </c>
      <c r="E1120" s="3">
        <v>9.0</v>
      </c>
      <c r="F1120" s="3">
        <f t="shared" si="1"/>
        <v>0</v>
      </c>
      <c r="N1120" s="7"/>
    </row>
    <row r="1121" hidden="1">
      <c r="B1121" s="3" t="s">
        <v>966</v>
      </c>
      <c r="C1121" s="5" t="s">
        <v>1308</v>
      </c>
      <c r="D1121" s="3">
        <v>10.0</v>
      </c>
      <c r="E1121" s="3">
        <v>9.0</v>
      </c>
      <c r="F1121" s="3">
        <f t="shared" si="1"/>
        <v>0</v>
      </c>
      <c r="N1121" s="7"/>
    </row>
    <row r="1122" hidden="1">
      <c r="B1122" s="3" t="s">
        <v>967</v>
      </c>
      <c r="C1122" s="5" t="s">
        <v>1142</v>
      </c>
      <c r="D1122" s="3">
        <v>10.0</v>
      </c>
      <c r="E1122" s="3">
        <v>10.0</v>
      </c>
      <c r="F1122" s="3">
        <f t="shared" si="1"/>
        <v>0</v>
      </c>
      <c r="N1122" s="7"/>
    </row>
    <row r="1123" hidden="1">
      <c r="B1123" s="3" t="s">
        <v>968</v>
      </c>
      <c r="C1123" s="5" t="s">
        <v>1000</v>
      </c>
      <c r="D1123" s="3">
        <v>8.0</v>
      </c>
      <c r="E1123" s="3">
        <v>10.0</v>
      </c>
      <c r="F1123" s="3">
        <f t="shared" si="1"/>
        <v>0</v>
      </c>
      <c r="N1123" s="7"/>
    </row>
    <row r="1124" hidden="1">
      <c r="B1124" s="3" t="s">
        <v>969</v>
      </c>
      <c r="C1124" s="5" t="s">
        <v>1046</v>
      </c>
      <c r="D1124" s="3">
        <v>10.0</v>
      </c>
      <c r="E1124" s="3">
        <v>10.0</v>
      </c>
      <c r="F1124" s="3">
        <f t="shared" si="1"/>
        <v>0</v>
      </c>
      <c r="N1124" s="7"/>
    </row>
    <row r="1125" hidden="1">
      <c r="B1125" s="3" t="s">
        <v>970</v>
      </c>
      <c r="C1125" s="5" t="s">
        <v>1183</v>
      </c>
      <c r="D1125" s="3">
        <v>8.0</v>
      </c>
      <c r="E1125" s="3">
        <v>8.0</v>
      </c>
      <c r="F1125" s="3">
        <f t="shared" si="1"/>
        <v>0</v>
      </c>
      <c r="N1125" s="7"/>
    </row>
    <row r="1126" hidden="1">
      <c r="B1126" s="3" t="s">
        <v>971</v>
      </c>
      <c r="C1126" s="5" t="s">
        <v>1092</v>
      </c>
      <c r="D1126" s="3">
        <v>7.0</v>
      </c>
      <c r="E1126" s="3">
        <v>8.0</v>
      </c>
      <c r="F1126" s="3">
        <f t="shared" si="1"/>
        <v>0</v>
      </c>
      <c r="N1126" s="7"/>
    </row>
    <row r="1127" hidden="1">
      <c r="B1127" s="3" t="s">
        <v>972</v>
      </c>
      <c r="C1127" s="5" t="s">
        <v>1018</v>
      </c>
      <c r="D1127" s="3">
        <v>8.0</v>
      </c>
      <c r="E1127" s="3">
        <v>10.0</v>
      </c>
      <c r="F1127" s="3">
        <f t="shared" si="1"/>
        <v>0</v>
      </c>
      <c r="N1127" s="7"/>
    </row>
    <row r="1128" hidden="1">
      <c r="B1128" s="3" t="s">
        <v>973</v>
      </c>
      <c r="C1128" s="5" t="s">
        <v>1314</v>
      </c>
      <c r="D1128" s="3">
        <v>9.0</v>
      </c>
      <c r="E1128" s="3">
        <v>9.0</v>
      </c>
      <c r="F1128" s="3">
        <f t="shared" si="1"/>
        <v>0</v>
      </c>
      <c r="N1128" s="7"/>
    </row>
    <row r="1129" hidden="1">
      <c r="B1129" s="3" t="s">
        <v>974</v>
      </c>
      <c r="C1129" s="5" t="s">
        <v>928</v>
      </c>
      <c r="D1129" s="3">
        <v>10.0</v>
      </c>
      <c r="E1129" s="3">
        <v>10.0</v>
      </c>
      <c r="F1129" s="3">
        <f t="shared" si="1"/>
        <v>0</v>
      </c>
      <c r="N1129" s="7"/>
    </row>
    <row r="1130" hidden="1">
      <c r="B1130" s="3" t="s">
        <v>976</v>
      </c>
      <c r="C1130" s="5" t="s">
        <v>119</v>
      </c>
      <c r="D1130" s="3">
        <v>10.0</v>
      </c>
      <c r="E1130" s="3">
        <v>10.0</v>
      </c>
      <c r="F1130" s="3">
        <f t="shared" si="1"/>
        <v>0</v>
      </c>
      <c r="N1130" s="7"/>
    </row>
    <row r="1131" hidden="1">
      <c r="B1131" s="3" t="s">
        <v>978</v>
      </c>
      <c r="C1131" s="5" t="s">
        <v>1327</v>
      </c>
      <c r="D1131" s="3">
        <v>9.0</v>
      </c>
      <c r="E1131" s="3">
        <v>9.0</v>
      </c>
      <c r="F1131" s="3">
        <f t="shared" si="1"/>
        <v>0</v>
      </c>
      <c r="N1131" s="7"/>
    </row>
    <row r="1132" hidden="1">
      <c r="B1132" s="3" t="s">
        <v>980</v>
      </c>
      <c r="C1132" s="5" t="s">
        <v>1262</v>
      </c>
      <c r="D1132" s="3">
        <v>7.0</v>
      </c>
      <c r="E1132" s="3">
        <v>7.0</v>
      </c>
      <c r="F1132" s="3">
        <f t="shared" si="1"/>
        <v>0</v>
      </c>
      <c r="N1132" s="7"/>
    </row>
    <row r="1133" hidden="1">
      <c r="B1133" s="3" t="s">
        <v>981</v>
      </c>
      <c r="C1133" s="5" t="s">
        <v>1177</v>
      </c>
      <c r="D1133" s="3">
        <v>7.0</v>
      </c>
      <c r="E1133" s="3">
        <v>9.0</v>
      </c>
      <c r="F1133" s="3">
        <f t="shared" si="1"/>
        <v>0</v>
      </c>
      <c r="N1133" s="7"/>
    </row>
    <row r="1134" hidden="1">
      <c r="B1134" s="3" t="s">
        <v>982</v>
      </c>
      <c r="C1134" s="5" t="s">
        <v>1229</v>
      </c>
      <c r="D1134" s="3">
        <v>8.0</v>
      </c>
      <c r="E1134" s="3">
        <v>6.0</v>
      </c>
      <c r="F1134" s="3">
        <f t="shared" si="1"/>
        <v>0</v>
      </c>
      <c r="N1134" s="7"/>
    </row>
    <row r="1135" hidden="1">
      <c r="B1135" s="3" t="s">
        <v>983</v>
      </c>
      <c r="C1135" s="5" t="s">
        <v>1328</v>
      </c>
      <c r="D1135" s="3">
        <v>10.0</v>
      </c>
      <c r="E1135" s="3">
        <v>10.0</v>
      </c>
      <c r="F1135" s="3">
        <f t="shared" si="1"/>
        <v>0</v>
      </c>
      <c r="N1135" s="7"/>
    </row>
  </sheetData>
  <autoFilter ref="$B$1:$N$1135">
    <filterColumn colId="4">
      <filters>
        <filter val="4"/>
      </filters>
    </filterColumn>
  </autoFilter>
  <hyperlinks>
    <hyperlink r:id="rId1" ref="C2"/>
    <hyperlink r:id="rId2" ref="G2"/>
    <hyperlink r:id="rId3" ref="C3"/>
    <hyperlink r:id="rId4" ref="G3"/>
    <hyperlink r:id="rId5" ref="C4"/>
    <hyperlink r:id="rId6" ref="G4"/>
    <hyperlink r:id="rId7" ref="C5"/>
    <hyperlink r:id="rId8" ref="G5"/>
    <hyperlink r:id="rId9" ref="C6"/>
    <hyperlink r:id="rId10" ref="G6"/>
    <hyperlink r:id="rId11" ref="C7"/>
    <hyperlink r:id="rId12" ref="G7"/>
    <hyperlink r:id="rId13" ref="C8"/>
    <hyperlink r:id="rId14" ref="G8"/>
    <hyperlink r:id="rId15" ref="C9"/>
    <hyperlink r:id="rId16" ref="G9"/>
    <hyperlink r:id="rId17" ref="C10"/>
    <hyperlink r:id="rId18" ref="G10"/>
    <hyperlink r:id="rId19" ref="C11"/>
    <hyperlink r:id="rId20" ref="G11"/>
    <hyperlink r:id="rId21" ref="C12"/>
    <hyperlink r:id="rId22" ref="G12"/>
    <hyperlink r:id="rId23" ref="C13"/>
    <hyperlink r:id="rId24" ref="G13"/>
    <hyperlink r:id="rId25" ref="C14"/>
    <hyperlink r:id="rId26" ref="G14"/>
    <hyperlink r:id="rId27" ref="C15"/>
    <hyperlink r:id="rId28" ref="G15"/>
    <hyperlink r:id="rId29" ref="C16"/>
    <hyperlink r:id="rId30" ref="G16"/>
    <hyperlink r:id="rId31" ref="C17"/>
    <hyperlink r:id="rId32" ref="G17"/>
    <hyperlink r:id="rId33" ref="C18"/>
    <hyperlink r:id="rId34" ref="G18"/>
    <hyperlink r:id="rId35" ref="C19"/>
    <hyperlink r:id="rId36" ref="G19"/>
    <hyperlink r:id="rId37" ref="C21"/>
    <hyperlink r:id="rId38" ref="G21"/>
    <hyperlink r:id="rId39" ref="C22"/>
    <hyperlink r:id="rId40" ref="G22"/>
    <hyperlink r:id="rId41" ref="C23"/>
    <hyperlink r:id="rId42" ref="G23"/>
    <hyperlink r:id="rId43" ref="C24"/>
    <hyperlink r:id="rId44" ref="G24"/>
    <hyperlink r:id="rId45" ref="C25"/>
    <hyperlink r:id="rId46" ref="G25"/>
    <hyperlink r:id="rId47" ref="C26"/>
    <hyperlink r:id="rId48" ref="G26"/>
    <hyperlink r:id="rId49" ref="C27"/>
    <hyperlink r:id="rId50" ref="G27"/>
    <hyperlink r:id="rId51" ref="C28"/>
    <hyperlink r:id="rId52" ref="G28"/>
    <hyperlink r:id="rId53" ref="C29"/>
    <hyperlink r:id="rId54" ref="G29"/>
    <hyperlink r:id="rId55" ref="C30"/>
    <hyperlink r:id="rId56" ref="G30"/>
    <hyperlink r:id="rId57" ref="C31"/>
    <hyperlink r:id="rId58" ref="G31"/>
    <hyperlink r:id="rId59" ref="C32"/>
    <hyperlink r:id="rId60" ref="G32"/>
    <hyperlink r:id="rId61" ref="C33"/>
    <hyperlink r:id="rId62" ref="G33"/>
    <hyperlink r:id="rId63" ref="C34"/>
    <hyperlink r:id="rId64" ref="G34"/>
    <hyperlink r:id="rId65" ref="C35"/>
    <hyperlink r:id="rId66" ref="G35"/>
    <hyperlink r:id="rId67" ref="C36"/>
    <hyperlink r:id="rId68" ref="G36"/>
    <hyperlink r:id="rId69" ref="C37"/>
    <hyperlink r:id="rId70" ref="G37"/>
    <hyperlink r:id="rId71" ref="C38"/>
    <hyperlink r:id="rId72" ref="G38"/>
    <hyperlink r:id="rId73" ref="C39"/>
    <hyperlink r:id="rId74" ref="G39"/>
    <hyperlink r:id="rId75" ref="C40"/>
    <hyperlink r:id="rId76" ref="G40"/>
    <hyperlink r:id="rId77" ref="C41"/>
    <hyperlink r:id="rId78" ref="G41"/>
    <hyperlink r:id="rId79" ref="C42"/>
    <hyperlink r:id="rId80" ref="G42"/>
    <hyperlink r:id="rId81" ref="C43"/>
    <hyperlink r:id="rId82" ref="G43"/>
    <hyperlink r:id="rId83" ref="C44"/>
    <hyperlink r:id="rId84" ref="G44"/>
    <hyperlink r:id="rId85" ref="C45"/>
    <hyperlink r:id="rId86" ref="G45"/>
    <hyperlink r:id="rId87" ref="C46"/>
    <hyperlink r:id="rId88" ref="G46"/>
    <hyperlink r:id="rId89" ref="C47"/>
    <hyperlink r:id="rId90" ref="G47"/>
    <hyperlink r:id="rId91" ref="C48"/>
    <hyperlink r:id="rId92" ref="G48"/>
    <hyperlink r:id="rId93" ref="C49"/>
    <hyperlink r:id="rId94" ref="G49"/>
    <hyperlink r:id="rId95" ref="C50"/>
    <hyperlink r:id="rId96" ref="G50"/>
    <hyperlink r:id="rId97" ref="C51"/>
    <hyperlink r:id="rId98" ref="G51"/>
    <hyperlink r:id="rId99" ref="C52"/>
    <hyperlink r:id="rId100" ref="G52"/>
    <hyperlink r:id="rId101" ref="C53"/>
    <hyperlink r:id="rId102" ref="G53"/>
    <hyperlink r:id="rId103" ref="C54"/>
    <hyperlink r:id="rId104" ref="G54"/>
    <hyperlink r:id="rId105" ref="C55"/>
    <hyperlink r:id="rId106" ref="G55"/>
    <hyperlink r:id="rId107" ref="C56"/>
    <hyperlink r:id="rId108" ref="G56"/>
    <hyperlink r:id="rId109" ref="C57"/>
    <hyperlink r:id="rId110" ref="G57"/>
    <hyperlink r:id="rId111" ref="C58"/>
    <hyperlink r:id="rId112" ref="G58"/>
    <hyperlink r:id="rId113" ref="C59"/>
    <hyperlink r:id="rId114" ref="G59"/>
    <hyperlink r:id="rId115" ref="C60"/>
    <hyperlink r:id="rId116" ref="G60"/>
    <hyperlink r:id="rId117" ref="C61"/>
    <hyperlink r:id="rId118" ref="G61"/>
    <hyperlink r:id="rId119" ref="C62"/>
    <hyperlink r:id="rId120" ref="G62"/>
    <hyperlink r:id="rId121" ref="C63"/>
    <hyperlink r:id="rId122" ref="G63"/>
    <hyperlink r:id="rId123" ref="C64"/>
    <hyperlink r:id="rId124" ref="G64"/>
    <hyperlink r:id="rId125" ref="C65"/>
    <hyperlink r:id="rId126" ref="G65"/>
    <hyperlink r:id="rId127" ref="C66"/>
    <hyperlink r:id="rId128" ref="G66"/>
    <hyperlink r:id="rId129" ref="C67"/>
    <hyperlink r:id="rId130" ref="G67"/>
    <hyperlink r:id="rId131" ref="C68"/>
    <hyperlink r:id="rId132" ref="G68"/>
    <hyperlink r:id="rId133" ref="C69"/>
    <hyperlink r:id="rId134" ref="G69"/>
    <hyperlink r:id="rId135" ref="C70"/>
    <hyperlink r:id="rId136" ref="G70"/>
    <hyperlink r:id="rId137" ref="C71"/>
    <hyperlink r:id="rId138" ref="G71"/>
    <hyperlink r:id="rId139" ref="C72"/>
    <hyperlink r:id="rId140" ref="G72"/>
    <hyperlink r:id="rId141" ref="C73"/>
    <hyperlink r:id="rId142" ref="G73"/>
    <hyperlink r:id="rId143" ref="C74"/>
    <hyperlink r:id="rId144" ref="G74"/>
    <hyperlink r:id="rId145" ref="C75"/>
    <hyperlink r:id="rId146" ref="G75"/>
    <hyperlink r:id="rId147" ref="C76"/>
    <hyperlink r:id="rId148" ref="G76"/>
    <hyperlink r:id="rId149" ref="C77"/>
    <hyperlink r:id="rId150" ref="G77"/>
    <hyperlink r:id="rId151" ref="C78"/>
    <hyperlink r:id="rId152" ref="G78"/>
    <hyperlink r:id="rId153" ref="C79"/>
    <hyperlink r:id="rId154" ref="G79"/>
    <hyperlink r:id="rId155" ref="C80"/>
    <hyperlink r:id="rId156" ref="G80"/>
    <hyperlink r:id="rId157" ref="C81"/>
    <hyperlink r:id="rId158" ref="G81"/>
    <hyperlink r:id="rId159" ref="C82"/>
    <hyperlink r:id="rId160" ref="G82"/>
    <hyperlink r:id="rId161" ref="C83"/>
    <hyperlink r:id="rId162" ref="G83"/>
    <hyperlink r:id="rId163" ref="C84"/>
    <hyperlink r:id="rId164" ref="G84"/>
    <hyperlink r:id="rId165" ref="C85"/>
    <hyperlink r:id="rId166" ref="G85"/>
    <hyperlink r:id="rId167" ref="C86"/>
    <hyperlink r:id="rId168" ref="G86"/>
    <hyperlink r:id="rId169" ref="C87"/>
    <hyperlink r:id="rId170" ref="G87"/>
    <hyperlink r:id="rId171" ref="C88"/>
    <hyperlink r:id="rId172" ref="G88"/>
    <hyperlink r:id="rId173" ref="C89"/>
    <hyperlink r:id="rId174" ref="G89"/>
    <hyperlink r:id="rId175" ref="C90"/>
    <hyperlink r:id="rId176" ref="G90"/>
    <hyperlink r:id="rId177" ref="C91"/>
    <hyperlink r:id="rId178" ref="G91"/>
    <hyperlink r:id="rId179" ref="C92"/>
    <hyperlink r:id="rId180" ref="G92"/>
    <hyperlink r:id="rId181" ref="C93"/>
    <hyperlink r:id="rId182" ref="G93"/>
    <hyperlink r:id="rId183" ref="C94"/>
    <hyperlink r:id="rId184" ref="G94"/>
    <hyperlink r:id="rId185" ref="C95"/>
    <hyperlink r:id="rId186" ref="G95"/>
    <hyperlink r:id="rId187" ref="C96"/>
    <hyperlink r:id="rId188" ref="G96"/>
    <hyperlink r:id="rId189" ref="C97"/>
    <hyperlink r:id="rId190" ref="G97"/>
    <hyperlink r:id="rId191" ref="C98"/>
    <hyperlink r:id="rId192" ref="G98"/>
    <hyperlink r:id="rId193" ref="C99"/>
    <hyperlink r:id="rId194" ref="G99"/>
    <hyperlink r:id="rId195" ref="C100"/>
    <hyperlink r:id="rId196" ref="G100"/>
    <hyperlink r:id="rId197" ref="C101"/>
    <hyperlink r:id="rId198" ref="G101"/>
    <hyperlink r:id="rId199" ref="C102"/>
    <hyperlink r:id="rId200" ref="G102"/>
    <hyperlink r:id="rId201" ref="C103"/>
    <hyperlink r:id="rId202" ref="G103"/>
    <hyperlink r:id="rId203" ref="C104"/>
    <hyperlink r:id="rId204" ref="G104"/>
    <hyperlink r:id="rId205" ref="C105"/>
    <hyperlink r:id="rId206" ref="G105"/>
    <hyperlink r:id="rId207" ref="C106"/>
    <hyperlink r:id="rId208" ref="G106"/>
    <hyperlink r:id="rId209" ref="C107"/>
    <hyperlink r:id="rId210" ref="G107"/>
    <hyperlink r:id="rId211" ref="C108"/>
    <hyperlink r:id="rId212" ref="G108"/>
    <hyperlink r:id="rId213" ref="C109"/>
    <hyperlink r:id="rId214" ref="G109"/>
    <hyperlink r:id="rId215" ref="C110"/>
    <hyperlink r:id="rId216" ref="G110"/>
    <hyperlink r:id="rId217" ref="C111"/>
    <hyperlink r:id="rId218" ref="G111"/>
    <hyperlink r:id="rId219" ref="C112"/>
    <hyperlink r:id="rId220" ref="G112"/>
    <hyperlink r:id="rId221" ref="C113"/>
    <hyperlink r:id="rId222" ref="G113"/>
    <hyperlink r:id="rId223" ref="C114"/>
    <hyperlink r:id="rId224" ref="G114"/>
    <hyperlink r:id="rId225" ref="C115"/>
    <hyperlink r:id="rId226" ref="G115"/>
    <hyperlink r:id="rId227" ref="C116"/>
    <hyperlink r:id="rId228" ref="G116"/>
    <hyperlink r:id="rId229" ref="C117"/>
    <hyperlink r:id="rId230" ref="G117"/>
    <hyperlink r:id="rId231" ref="C118"/>
    <hyperlink r:id="rId232" ref="G118"/>
    <hyperlink r:id="rId233" ref="C119"/>
    <hyperlink r:id="rId234" ref="G119"/>
    <hyperlink r:id="rId235" ref="C120"/>
    <hyperlink r:id="rId236" ref="G120"/>
    <hyperlink r:id="rId237" ref="C121"/>
    <hyperlink r:id="rId238" ref="G121"/>
    <hyperlink r:id="rId239" ref="C122"/>
    <hyperlink r:id="rId240" ref="G122"/>
    <hyperlink r:id="rId241" ref="C123"/>
    <hyperlink r:id="rId242" ref="G123"/>
    <hyperlink r:id="rId243" ref="C124"/>
    <hyperlink r:id="rId244" ref="G124"/>
    <hyperlink r:id="rId245" ref="C125"/>
    <hyperlink r:id="rId246" ref="G125"/>
    <hyperlink r:id="rId247" ref="C126"/>
    <hyperlink r:id="rId248" ref="G126"/>
    <hyperlink r:id="rId249" ref="C127"/>
    <hyperlink r:id="rId250" ref="G127"/>
    <hyperlink r:id="rId251" ref="C128"/>
    <hyperlink r:id="rId252" ref="G128"/>
    <hyperlink r:id="rId253" ref="C129"/>
    <hyperlink r:id="rId254" ref="G129"/>
    <hyperlink r:id="rId255" ref="C130"/>
    <hyperlink r:id="rId256" ref="G130"/>
    <hyperlink r:id="rId257" ref="C131"/>
    <hyperlink r:id="rId258" ref="G131"/>
    <hyperlink r:id="rId259" ref="C132"/>
    <hyperlink r:id="rId260" ref="G132"/>
    <hyperlink r:id="rId261" ref="C133"/>
    <hyperlink r:id="rId262" ref="G133"/>
    <hyperlink r:id="rId263" ref="C134"/>
    <hyperlink r:id="rId264" ref="G134"/>
    <hyperlink r:id="rId265" ref="C135"/>
    <hyperlink r:id="rId266" ref="G135"/>
    <hyperlink r:id="rId267" ref="C136"/>
    <hyperlink r:id="rId268" ref="G136"/>
    <hyperlink r:id="rId269" ref="C137"/>
    <hyperlink r:id="rId270" ref="G137"/>
    <hyperlink r:id="rId271" ref="C138"/>
    <hyperlink r:id="rId272" ref="G138"/>
    <hyperlink r:id="rId273" ref="C139"/>
    <hyperlink r:id="rId274" ref="G139"/>
    <hyperlink r:id="rId275" ref="C140"/>
    <hyperlink r:id="rId276" ref="G140"/>
    <hyperlink r:id="rId277" ref="C141"/>
    <hyperlink r:id="rId278" ref="G141"/>
    <hyperlink r:id="rId279" ref="C142"/>
    <hyperlink r:id="rId280" ref="G142"/>
    <hyperlink r:id="rId281" ref="C143"/>
    <hyperlink r:id="rId282" ref="G143"/>
    <hyperlink r:id="rId283" ref="C144"/>
    <hyperlink r:id="rId284" ref="G144"/>
    <hyperlink r:id="rId285" ref="C145"/>
    <hyperlink r:id="rId286" ref="G145"/>
    <hyperlink r:id="rId287" ref="C146"/>
    <hyperlink r:id="rId288" ref="G146"/>
    <hyperlink r:id="rId289" ref="C147"/>
    <hyperlink r:id="rId290" ref="G147"/>
    <hyperlink r:id="rId291" ref="C148"/>
    <hyperlink r:id="rId292" ref="G148"/>
    <hyperlink r:id="rId293" ref="C149"/>
    <hyperlink r:id="rId294" ref="G149"/>
    <hyperlink r:id="rId295" ref="C150"/>
    <hyperlink r:id="rId296" ref="G150"/>
    <hyperlink r:id="rId297" ref="C151"/>
    <hyperlink r:id="rId298" ref="G151"/>
    <hyperlink r:id="rId299" ref="C152"/>
    <hyperlink r:id="rId300" ref="G152"/>
    <hyperlink r:id="rId301" ref="C153"/>
    <hyperlink r:id="rId302" ref="G153"/>
    <hyperlink r:id="rId303" ref="C154"/>
    <hyperlink r:id="rId304" ref="G154"/>
    <hyperlink r:id="rId305" ref="C155"/>
    <hyperlink r:id="rId306" ref="G155"/>
    <hyperlink r:id="rId307" ref="C156"/>
    <hyperlink r:id="rId308" ref="G156"/>
    <hyperlink r:id="rId309" ref="C157"/>
    <hyperlink r:id="rId310" ref="G157"/>
    <hyperlink r:id="rId311" ref="C158"/>
    <hyperlink r:id="rId312" ref="G158"/>
    <hyperlink r:id="rId313" ref="C159"/>
    <hyperlink r:id="rId314" ref="G159"/>
    <hyperlink r:id="rId315" ref="C160"/>
    <hyperlink r:id="rId316" ref="G160"/>
    <hyperlink r:id="rId317" ref="C161"/>
    <hyperlink r:id="rId318" ref="G161"/>
    <hyperlink r:id="rId319" ref="C162"/>
    <hyperlink r:id="rId320" ref="G162"/>
    <hyperlink r:id="rId321" ref="C163"/>
    <hyperlink r:id="rId322" ref="G163"/>
    <hyperlink r:id="rId323" ref="C164"/>
    <hyperlink r:id="rId324" ref="G164"/>
    <hyperlink r:id="rId325" ref="C165"/>
    <hyperlink r:id="rId326" ref="G165"/>
    <hyperlink r:id="rId327" ref="C166"/>
    <hyperlink r:id="rId328" ref="G166"/>
    <hyperlink r:id="rId329" ref="C167"/>
    <hyperlink r:id="rId330" ref="G167"/>
    <hyperlink r:id="rId331" ref="C168"/>
    <hyperlink r:id="rId332" ref="G168"/>
    <hyperlink r:id="rId333" ref="C169"/>
    <hyperlink r:id="rId334" ref="G169"/>
    <hyperlink r:id="rId335" ref="C170"/>
    <hyperlink r:id="rId336" ref="G170"/>
    <hyperlink r:id="rId337" ref="C171"/>
    <hyperlink r:id="rId338" ref="G171"/>
    <hyperlink r:id="rId339" ref="C172"/>
    <hyperlink r:id="rId340" ref="G172"/>
    <hyperlink r:id="rId341" ref="C173"/>
    <hyperlink r:id="rId342" ref="G173"/>
    <hyperlink r:id="rId343" ref="C174"/>
    <hyperlink r:id="rId344" ref="G174"/>
    <hyperlink r:id="rId345" ref="C175"/>
    <hyperlink r:id="rId346" ref="C176"/>
    <hyperlink r:id="rId347" ref="C177"/>
    <hyperlink r:id="rId348" ref="G177"/>
    <hyperlink r:id="rId349" ref="C178"/>
    <hyperlink r:id="rId350" ref="G178"/>
    <hyperlink r:id="rId351" ref="C179"/>
    <hyperlink r:id="rId352" ref="G179"/>
    <hyperlink r:id="rId353" ref="C180"/>
    <hyperlink r:id="rId354" ref="G180"/>
    <hyperlink r:id="rId355" ref="C181"/>
    <hyperlink r:id="rId356" ref="G181"/>
    <hyperlink r:id="rId357" ref="C182"/>
    <hyperlink r:id="rId358" ref="G182"/>
    <hyperlink r:id="rId359" ref="C183"/>
    <hyperlink r:id="rId360" ref="G183"/>
    <hyperlink r:id="rId361" ref="C184"/>
    <hyperlink r:id="rId362" ref="G184"/>
    <hyperlink r:id="rId363" ref="C185"/>
    <hyperlink r:id="rId364" ref="G185"/>
    <hyperlink r:id="rId365" ref="C186"/>
    <hyperlink r:id="rId366" ref="G186"/>
    <hyperlink r:id="rId367" ref="C187"/>
    <hyperlink r:id="rId368" ref="G187"/>
    <hyperlink r:id="rId369" ref="C188"/>
    <hyperlink r:id="rId370" ref="G188"/>
    <hyperlink r:id="rId371" ref="C189"/>
    <hyperlink r:id="rId372" ref="G189"/>
    <hyperlink r:id="rId373" ref="C190"/>
    <hyperlink r:id="rId374" ref="G190"/>
    <hyperlink r:id="rId375" ref="C191"/>
    <hyperlink r:id="rId376" ref="G191"/>
    <hyperlink r:id="rId377" ref="C192"/>
    <hyperlink r:id="rId378" ref="G192"/>
    <hyperlink r:id="rId379" ref="C193"/>
    <hyperlink r:id="rId380" ref="G193"/>
    <hyperlink r:id="rId381" ref="C194"/>
    <hyperlink r:id="rId382" ref="G194"/>
    <hyperlink r:id="rId383" ref="C195"/>
    <hyperlink r:id="rId384" ref="G195"/>
    <hyperlink r:id="rId385" ref="C196"/>
    <hyperlink r:id="rId386" ref="G196"/>
    <hyperlink r:id="rId387" ref="C197"/>
    <hyperlink r:id="rId388" ref="G197"/>
    <hyperlink r:id="rId389" ref="G198"/>
    <hyperlink r:id="rId390" ref="C199"/>
    <hyperlink r:id="rId391" ref="G199"/>
    <hyperlink r:id="rId392" ref="G200"/>
    <hyperlink r:id="rId393" ref="C201"/>
    <hyperlink r:id="rId394" ref="G201"/>
    <hyperlink r:id="rId395" ref="C202"/>
    <hyperlink r:id="rId396" ref="G202"/>
    <hyperlink r:id="rId397" ref="C203"/>
    <hyperlink r:id="rId398" ref="G203"/>
    <hyperlink r:id="rId399" ref="C204"/>
    <hyperlink r:id="rId400" ref="G204"/>
    <hyperlink r:id="rId401" ref="C205"/>
    <hyperlink r:id="rId402" ref="G205"/>
    <hyperlink r:id="rId403" ref="C206"/>
    <hyperlink r:id="rId404" ref="G206"/>
    <hyperlink r:id="rId405" ref="C207"/>
    <hyperlink r:id="rId406" ref="G207"/>
    <hyperlink r:id="rId407" ref="C208"/>
    <hyperlink r:id="rId408" ref="G208"/>
    <hyperlink r:id="rId409" ref="C209"/>
    <hyperlink r:id="rId410" ref="G209"/>
    <hyperlink r:id="rId411" ref="C210"/>
    <hyperlink r:id="rId412" ref="G210"/>
    <hyperlink r:id="rId413" ref="C211"/>
    <hyperlink r:id="rId414" ref="G211"/>
    <hyperlink r:id="rId415" ref="C212"/>
    <hyperlink r:id="rId416" ref="G212"/>
    <hyperlink r:id="rId417" ref="C213"/>
    <hyperlink r:id="rId418" ref="G213"/>
    <hyperlink r:id="rId419" ref="C214"/>
    <hyperlink r:id="rId420" ref="G214"/>
    <hyperlink r:id="rId421" ref="C215"/>
    <hyperlink r:id="rId422" ref="C216"/>
    <hyperlink r:id="rId423" ref="G216"/>
    <hyperlink r:id="rId424" ref="C217"/>
    <hyperlink r:id="rId425" ref="G217"/>
    <hyperlink r:id="rId426" ref="C218"/>
    <hyperlink r:id="rId427" ref="G218"/>
    <hyperlink r:id="rId428" ref="C219"/>
    <hyperlink r:id="rId429" ref="G219"/>
    <hyperlink r:id="rId430" ref="C220"/>
    <hyperlink r:id="rId431" ref="G220"/>
    <hyperlink r:id="rId432" ref="C221"/>
    <hyperlink r:id="rId433" ref="G221"/>
    <hyperlink r:id="rId434" ref="C222"/>
    <hyperlink r:id="rId435" ref="G222"/>
    <hyperlink r:id="rId436" ref="C223"/>
    <hyperlink r:id="rId437" ref="G223"/>
    <hyperlink r:id="rId438" ref="C224"/>
    <hyperlink r:id="rId439" ref="G224"/>
    <hyperlink r:id="rId440" ref="C225"/>
    <hyperlink r:id="rId441" ref="G225"/>
    <hyperlink r:id="rId442" ref="C226"/>
    <hyperlink r:id="rId443" ref="G226"/>
    <hyperlink r:id="rId444" ref="C227"/>
    <hyperlink r:id="rId445" ref="G227"/>
    <hyperlink r:id="rId446" ref="C228"/>
    <hyperlink r:id="rId447" ref="G228"/>
    <hyperlink r:id="rId448" ref="C229"/>
    <hyperlink r:id="rId449" ref="G229"/>
    <hyperlink r:id="rId450" ref="C230"/>
    <hyperlink r:id="rId451" ref="G230"/>
    <hyperlink r:id="rId452" ref="C231"/>
    <hyperlink r:id="rId453" ref="G231"/>
    <hyperlink r:id="rId454" ref="C232"/>
    <hyperlink r:id="rId455" ref="G232"/>
    <hyperlink r:id="rId456" ref="C233"/>
    <hyperlink r:id="rId457" ref="G233"/>
    <hyperlink r:id="rId458" ref="C234"/>
    <hyperlink r:id="rId459" ref="G234"/>
    <hyperlink r:id="rId460" ref="C235"/>
    <hyperlink r:id="rId461" ref="G235"/>
    <hyperlink r:id="rId462" ref="C236"/>
    <hyperlink r:id="rId463" ref="G236"/>
    <hyperlink r:id="rId464" ref="C237"/>
    <hyperlink r:id="rId465" ref="G237"/>
    <hyperlink r:id="rId466" ref="C238"/>
    <hyperlink r:id="rId467" ref="G238"/>
    <hyperlink r:id="rId468" ref="C239"/>
    <hyperlink r:id="rId469" ref="G239"/>
    <hyperlink r:id="rId470" ref="C240"/>
    <hyperlink r:id="rId471" ref="G240"/>
    <hyperlink r:id="rId472" ref="C241"/>
    <hyperlink r:id="rId473" ref="G241"/>
    <hyperlink r:id="rId474" ref="C242"/>
    <hyperlink r:id="rId475" ref="G242"/>
    <hyperlink r:id="rId476" ref="C243"/>
    <hyperlink r:id="rId477" ref="G243"/>
    <hyperlink r:id="rId478" ref="C244"/>
    <hyperlink r:id="rId479" ref="G244"/>
    <hyperlink r:id="rId480" ref="C245"/>
    <hyperlink r:id="rId481" ref="G245"/>
    <hyperlink r:id="rId482" ref="C246"/>
    <hyperlink r:id="rId483" ref="G246"/>
    <hyperlink r:id="rId484" ref="C247"/>
    <hyperlink r:id="rId485" ref="G247"/>
    <hyperlink r:id="rId486" ref="C248"/>
    <hyperlink r:id="rId487" ref="G248"/>
    <hyperlink r:id="rId488" ref="C249"/>
    <hyperlink r:id="rId489" ref="G249"/>
    <hyperlink r:id="rId490" ref="G250"/>
    <hyperlink r:id="rId491" ref="C251"/>
    <hyperlink r:id="rId492" ref="G251"/>
    <hyperlink r:id="rId493" ref="C252"/>
    <hyperlink r:id="rId494" ref="G252"/>
    <hyperlink r:id="rId495" ref="C253"/>
    <hyperlink r:id="rId496" ref="G253"/>
    <hyperlink r:id="rId497" ref="C254"/>
    <hyperlink r:id="rId498" ref="G254"/>
    <hyperlink r:id="rId499" ref="C255"/>
    <hyperlink r:id="rId500" ref="G255"/>
    <hyperlink r:id="rId501" ref="C256"/>
    <hyperlink r:id="rId502" ref="G256"/>
    <hyperlink r:id="rId503" ref="C257"/>
    <hyperlink r:id="rId504" ref="G257"/>
    <hyperlink r:id="rId505" ref="C258"/>
    <hyperlink r:id="rId506" ref="G258"/>
    <hyperlink r:id="rId507" ref="C259"/>
    <hyperlink r:id="rId508" ref="G259"/>
    <hyperlink r:id="rId509" ref="C260"/>
    <hyperlink r:id="rId510" ref="G260"/>
    <hyperlink r:id="rId511" ref="C261"/>
    <hyperlink r:id="rId512" ref="G261"/>
    <hyperlink r:id="rId513" ref="C262"/>
    <hyperlink r:id="rId514" ref="G262"/>
    <hyperlink r:id="rId515" ref="C263"/>
    <hyperlink r:id="rId516" ref="G263"/>
    <hyperlink r:id="rId517" ref="C264"/>
    <hyperlink r:id="rId518" ref="G264"/>
    <hyperlink r:id="rId519" ref="C265"/>
    <hyperlink r:id="rId520" ref="G265"/>
    <hyperlink r:id="rId521" ref="C266"/>
    <hyperlink r:id="rId522" ref="G266"/>
    <hyperlink r:id="rId523" ref="C267"/>
    <hyperlink r:id="rId524" ref="G267"/>
    <hyperlink r:id="rId525" ref="C268"/>
    <hyperlink r:id="rId526" ref="G268"/>
    <hyperlink r:id="rId527" ref="C269"/>
    <hyperlink r:id="rId528" ref="G269"/>
    <hyperlink r:id="rId529" ref="C270"/>
    <hyperlink r:id="rId530" ref="G270"/>
    <hyperlink r:id="rId531" ref="C271"/>
    <hyperlink r:id="rId532" ref="G271"/>
    <hyperlink r:id="rId533" ref="C272"/>
    <hyperlink r:id="rId534" ref="G272"/>
    <hyperlink r:id="rId535" ref="C273"/>
    <hyperlink r:id="rId536" ref="G273"/>
    <hyperlink r:id="rId537" ref="C274"/>
    <hyperlink r:id="rId538" ref="G274"/>
    <hyperlink r:id="rId539" ref="C275"/>
    <hyperlink r:id="rId540" ref="G275"/>
    <hyperlink r:id="rId541" ref="C276"/>
    <hyperlink r:id="rId542" ref="G276"/>
    <hyperlink r:id="rId543" ref="C277"/>
    <hyperlink r:id="rId544" ref="G277"/>
    <hyperlink r:id="rId545" ref="C278"/>
    <hyperlink r:id="rId546" ref="G278"/>
    <hyperlink r:id="rId547" ref="C279"/>
    <hyperlink r:id="rId548" ref="G279"/>
    <hyperlink r:id="rId549" ref="C280"/>
    <hyperlink r:id="rId550" ref="G280"/>
    <hyperlink r:id="rId551" ref="C281"/>
    <hyperlink r:id="rId552" ref="G281"/>
    <hyperlink r:id="rId553" ref="C282"/>
    <hyperlink r:id="rId554" ref="G282"/>
    <hyperlink r:id="rId555" ref="C283"/>
    <hyperlink r:id="rId556" ref="G283"/>
    <hyperlink r:id="rId557" ref="C284"/>
    <hyperlink r:id="rId558" ref="G284"/>
    <hyperlink r:id="rId559" ref="C285"/>
    <hyperlink r:id="rId560" ref="G285"/>
    <hyperlink r:id="rId561" ref="C286"/>
    <hyperlink r:id="rId562" ref="G286"/>
    <hyperlink r:id="rId563" ref="C287"/>
    <hyperlink r:id="rId564" ref="G287"/>
    <hyperlink r:id="rId565" ref="C288"/>
    <hyperlink r:id="rId566" ref="G288"/>
    <hyperlink r:id="rId567" ref="C289"/>
    <hyperlink r:id="rId568" ref="G289"/>
    <hyperlink r:id="rId569" ref="C290"/>
    <hyperlink r:id="rId570" ref="G290"/>
    <hyperlink r:id="rId571" ref="C291"/>
    <hyperlink r:id="rId572" ref="G291"/>
    <hyperlink r:id="rId573" ref="C292"/>
    <hyperlink r:id="rId574" ref="G292"/>
    <hyperlink r:id="rId575" ref="C293"/>
    <hyperlink r:id="rId576" ref="G293"/>
    <hyperlink r:id="rId577" ref="C294"/>
    <hyperlink r:id="rId578" ref="G294"/>
    <hyperlink r:id="rId579" ref="C295"/>
    <hyperlink r:id="rId580" ref="G295"/>
    <hyperlink r:id="rId581" ref="C296"/>
    <hyperlink r:id="rId582" ref="G296"/>
    <hyperlink r:id="rId583" ref="C297"/>
    <hyperlink r:id="rId584" ref="G297"/>
    <hyperlink r:id="rId585" ref="C298"/>
    <hyperlink r:id="rId586" ref="G298"/>
    <hyperlink r:id="rId587" ref="C299"/>
    <hyperlink r:id="rId588" ref="G299"/>
    <hyperlink r:id="rId589" ref="C300"/>
    <hyperlink r:id="rId590" ref="G300"/>
    <hyperlink r:id="rId591" ref="C301"/>
    <hyperlink r:id="rId592" ref="G301"/>
    <hyperlink r:id="rId593" ref="C302"/>
    <hyperlink r:id="rId594" ref="G302"/>
    <hyperlink r:id="rId595" ref="C303"/>
    <hyperlink r:id="rId596" ref="G303"/>
    <hyperlink r:id="rId597" ref="C304"/>
    <hyperlink r:id="rId598" ref="G304"/>
    <hyperlink r:id="rId599" ref="C305"/>
    <hyperlink r:id="rId600" ref="G305"/>
    <hyperlink r:id="rId601" ref="C306"/>
    <hyperlink r:id="rId602" ref="G306"/>
    <hyperlink r:id="rId603" ref="C307"/>
    <hyperlink r:id="rId604" ref="G307"/>
    <hyperlink r:id="rId605" ref="C308"/>
    <hyperlink r:id="rId606" ref="G308"/>
    <hyperlink r:id="rId607" ref="C309"/>
    <hyperlink r:id="rId608" ref="G309"/>
    <hyperlink r:id="rId609" ref="C310"/>
    <hyperlink r:id="rId610" ref="G310"/>
    <hyperlink r:id="rId611" ref="C311"/>
    <hyperlink r:id="rId612" ref="G311"/>
    <hyperlink r:id="rId613" ref="C312"/>
    <hyperlink r:id="rId614" ref="G312"/>
    <hyperlink r:id="rId615" ref="C313"/>
    <hyperlink r:id="rId616" ref="G313"/>
    <hyperlink r:id="rId617" ref="C314"/>
    <hyperlink r:id="rId618" ref="G314"/>
    <hyperlink r:id="rId619" ref="C315"/>
    <hyperlink r:id="rId620" ref="G315"/>
    <hyperlink r:id="rId621" ref="C316"/>
    <hyperlink r:id="rId622" ref="G316"/>
    <hyperlink r:id="rId623" ref="C317"/>
    <hyperlink r:id="rId624" ref="G317"/>
    <hyperlink r:id="rId625" ref="C318"/>
    <hyperlink r:id="rId626" ref="G318"/>
    <hyperlink r:id="rId627" ref="C319"/>
    <hyperlink r:id="rId628" ref="G319"/>
    <hyperlink r:id="rId629" ref="C320"/>
    <hyperlink r:id="rId630" ref="G320"/>
    <hyperlink r:id="rId631" ref="C321"/>
    <hyperlink r:id="rId632" ref="G321"/>
    <hyperlink r:id="rId633" ref="C322"/>
    <hyperlink r:id="rId634" ref="G322"/>
    <hyperlink r:id="rId635" ref="C323"/>
    <hyperlink r:id="rId636" ref="G323"/>
    <hyperlink r:id="rId637" ref="C324"/>
    <hyperlink r:id="rId638" ref="G324"/>
    <hyperlink r:id="rId639" ref="C325"/>
    <hyperlink r:id="rId640" ref="G325"/>
    <hyperlink r:id="rId641" ref="C326"/>
    <hyperlink r:id="rId642" ref="G326"/>
    <hyperlink r:id="rId643" ref="C327"/>
    <hyperlink r:id="rId644" ref="G327"/>
    <hyperlink r:id="rId645" ref="C328"/>
    <hyperlink r:id="rId646" ref="G328"/>
    <hyperlink r:id="rId647" ref="C329"/>
    <hyperlink r:id="rId648" ref="G329"/>
    <hyperlink r:id="rId649" ref="C330"/>
    <hyperlink r:id="rId650" ref="G330"/>
    <hyperlink r:id="rId651" ref="C331"/>
    <hyperlink r:id="rId652" ref="G331"/>
    <hyperlink r:id="rId653" ref="C332"/>
    <hyperlink r:id="rId654" ref="G332"/>
    <hyperlink r:id="rId655" ref="C333"/>
    <hyperlink r:id="rId656" ref="G333"/>
    <hyperlink r:id="rId657" ref="C334"/>
    <hyperlink r:id="rId658" ref="G334"/>
    <hyperlink r:id="rId659" ref="C335"/>
    <hyperlink r:id="rId660" ref="G335"/>
    <hyperlink r:id="rId661" ref="C336"/>
    <hyperlink r:id="rId662" ref="G336"/>
    <hyperlink r:id="rId663" ref="C337"/>
    <hyperlink r:id="rId664" ref="G337"/>
    <hyperlink r:id="rId665" ref="C338"/>
    <hyperlink r:id="rId666" ref="G338"/>
    <hyperlink r:id="rId667" ref="C339"/>
    <hyperlink r:id="rId668" ref="G339"/>
    <hyperlink r:id="rId669" ref="C340"/>
    <hyperlink r:id="rId670" ref="G340"/>
    <hyperlink r:id="rId671" ref="C341"/>
    <hyperlink r:id="rId672" ref="G341"/>
    <hyperlink r:id="rId673" ref="C342"/>
    <hyperlink r:id="rId674" ref="G342"/>
    <hyperlink r:id="rId675" ref="C343"/>
    <hyperlink r:id="rId676" ref="G343"/>
    <hyperlink r:id="rId677" ref="C344"/>
    <hyperlink r:id="rId678" ref="G344"/>
    <hyperlink r:id="rId679" ref="C345"/>
    <hyperlink r:id="rId680" ref="G345"/>
    <hyperlink r:id="rId681" ref="C346"/>
    <hyperlink r:id="rId682" ref="G346"/>
    <hyperlink r:id="rId683" ref="C347"/>
    <hyperlink r:id="rId684" ref="G347"/>
    <hyperlink r:id="rId685" ref="C348"/>
    <hyperlink r:id="rId686" ref="G348"/>
    <hyperlink r:id="rId687" ref="C349"/>
    <hyperlink r:id="rId688" ref="G349"/>
    <hyperlink r:id="rId689" ref="C350"/>
    <hyperlink r:id="rId690" ref="G350"/>
    <hyperlink r:id="rId691" ref="C351"/>
    <hyperlink r:id="rId692" ref="G351"/>
    <hyperlink r:id="rId693" ref="C352"/>
    <hyperlink r:id="rId694" ref="G352"/>
    <hyperlink r:id="rId695" ref="C353"/>
    <hyperlink r:id="rId696" ref="G353"/>
    <hyperlink r:id="rId697" ref="C354"/>
    <hyperlink r:id="rId698" ref="G354"/>
    <hyperlink r:id="rId699" ref="C355"/>
    <hyperlink r:id="rId700" ref="G355"/>
    <hyperlink r:id="rId701" ref="C356"/>
    <hyperlink r:id="rId702" ref="G356"/>
    <hyperlink r:id="rId703" ref="C357"/>
    <hyperlink r:id="rId704" ref="G357"/>
    <hyperlink r:id="rId705" ref="C358"/>
    <hyperlink r:id="rId706" ref="G358"/>
    <hyperlink r:id="rId707" ref="C359"/>
    <hyperlink r:id="rId708" ref="G359"/>
    <hyperlink r:id="rId709" ref="C360"/>
    <hyperlink r:id="rId710" ref="G360"/>
    <hyperlink r:id="rId711" ref="C361"/>
    <hyperlink r:id="rId712" ref="G361"/>
    <hyperlink r:id="rId713" ref="C362"/>
    <hyperlink r:id="rId714" ref="G362"/>
    <hyperlink r:id="rId715" ref="C363"/>
    <hyperlink r:id="rId716" ref="G363"/>
    <hyperlink r:id="rId717" ref="C364"/>
    <hyperlink r:id="rId718" ref="G364"/>
    <hyperlink r:id="rId719" ref="C365"/>
    <hyperlink r:id="rId720" ref="G365"/>
    <hyperlink r:id="rId721" ref="C366"/>
    <hyperlink r:id="rId722" ref="G366"/>
    <hyperlink r:id="rId723" ref="C367"/>
    <hyperlink r:id="rId724" ref="G367"/>
    <hyperlink r:id="rId725" ref="C368"/>
    <hyperlink r:id="rId726" ref="G368"/>
    <hyperlink r:id="rId727" ref="C369"/>
    <hyperlink r:id="rId728" ref="G369"/>
    <hyperlink r:id="rId729" ref="C370"/>
    <hyperlink r:id="rId730" ref="G370"/>
    <hyperlink r:id="rId731" ref="C371"/>
    <hyperlink r:id="rId732" ref="G371"/>
    <hyperlink r:id="rId733" ref="C372"/>
    <hyperlink r:id="rId734" ref="G372"/>
    <hyperlink r:id="rId735" ref="C373"/>
    <hyperlink r:id="rId736" ref="G373"/>
    <hyperlink r:id="rId737" ref="C374"/>
    <hyperlink r:id="rId738" ref="G374"/>
    <hyperlink r:id="rId739" ref="C375"/>
    <hyperlink r:id="rId740" ref="G375"/>
    <hyperlink r:id="rId741" ref="C376"/>
    <hyperlink r:id="rId742" ref="G376"/>
    <hyperlink r:id="rId743" ref="C377"/>
    <hyperlink r:id="rId744" ref="G377"/>
    <hyperlink r:id="rId745" ref="C378"/>
    <hyperlink r:id="rId746" ref="G378"/>
    <hyperlink r:id="rId747" ref="C379"/>
    <hyperlink r:id="rId748" ref="G379"/>
    <hyperlink r:id="rId749" ref="C380"/>
    <hyperlink r:id="rId750" ref="G380"/>
    <hyperlink r:id="rId751" ref="C381"/>
    <hyperlink r:id="rId752" ref="G381"/>
    <hyperlink r:id="rId753" ref="C382"/>
    <hyperlink r:id="rId754" ref="G382"/>
    <hyperlink r:id="rId755" ref="C383"/>
    <hyperlink r:id="rId756" ref="G383"/>
    <hyperlink r:id="rId757" ref="C384"/>
    <hyperlink r:id="rId758" ref="G384"/>
    <hyperlink r:id="rId759" ref="C385"/>
    <hyperlink r:id="rId760" ref="G385"/>
    <hyperlink r:id="rId761" ref="C386"/>
    <hyperlink r:id="rId762" ref="G386"/>
    <hyperlink r:id="rId763" ref="C387"/>
    <hyperlink r:id="rId764" ref="G387"/>
    <hyperlink r:id="rId765" ref="C388"/>
    <hyperlink r:id="rId766" ref="G388"/>
    <hyperlink r:id="rId767" ref="C389"/>
    <hyperlink r:id="rId768" ref="G389"/>
    <hyperlink r:id="rId769" ref="C390"/>
    <hyperlink r:id="rId770" ref="G390"/>
    <hyperlink r:id="rId771" ref="C391"/>
    <hyperlink r:id="rId772" ref="G391"/>
    <hyperlink r:id="rId773" ref="C392"/>
    <hyperlink r:id="rId774" ref="G392"/>
    <hyperlink r:id="rId775" ref="C393"/>
    <hyperlink r:id="rId776" ref="G393"/>
    <hyperlink r:id="rId777" ref="C394"/>
    <hyperlink r:id="rId778" ref="G394"/>
    <hyperlink r:id="rId779" ref="C395"/>
    <hyperlink r:id="rId780" ref="G395"/>
    <hyperlink r:id="rId781" ref="C396"/>
    <hyperlink r:id="rId782" ref="G396"/>
    <hyperlink r:id="rId783" ref="C397"/>
    <hyperlink r:id="rId784" ref="G397"/>
    <hyperlink r:id="rId785" ref="C398"/>
    <hyperlink r:id="rId786" ref="G398"/>
    <hyperlink r:id="rId787" ref="C399"/>
    <hyperlink r:id="rId788" ref="G399"/>
    <hyperlink r:id="rId789" ref="C400"/>
    <hyperlink r:id="rId790" ref="G400"/>
    <hyperlink r:id="rId791" ref="C401"/>
    <hyperlink r:id="rId792" ref="G401"/>
    <hyperlink r:id="rId793" ref="C402"/>
    <hyperlink r:id="rId794" ref="G402"/>
    <hyperlink r:id="rId795" ref="C403"/>
    <hyperlink r:id="rId796" ref="G403"/>
    <hyperlink r:id="rId797" ref="C404"/>
    <hyperlink r:id="rId798" ref="G404"/>
    <hyperlink r:id="rId799" ref="C405"/>
    <hyperlink r:id="rId800" ref="G405"/>
    <hyperlink r:id="rId801" ref="C406"/>
    <hyperlink r:id="rId802" ref="G406"/>
    <hyperlink r:id="rId803" ref="C407"/>
    <hyperlink r:id="rId804" ref="G407"/>
    <hyperlink r:id="rId805" ref="C408"/>
    <hyperlink r:id="rId806" ref="G408"/>
    <hyperlink r:id="rId807" ref="C409"/>
    <hyperlink r:id="rId808" ref="G409"/>
    <hyperlink r:id="rId809" ref="C410"/>
    <hyperlink r:id="rId810" ref="G410"/>
    <hyperlink r:id="rId811" ref="C411"/>
    <hyperlink r:id="rId812" ref="G411"/>
    <hyperlink r:id="rId813" ref="C412"/>
    <hyperlink r:id="rId814" ref="G412"/>
    <hyperlink r:id="rId815" ref="C413"/>
    <hyperlink r:id="rId816" ref="G413"/>
    <hyperlink r:id="rId817" ref="C414"/>
    <hyperlink r:id="rId818" ref="G414"/>
    <hyperlink r:id="rId819" ref="C415"/>
    <hyperlink r:id="rId820" ref="G415"/>
    <hyperlink r:id="rId821" ref="C416"/>
    <hyperlink r:id="rId822" ref="G416"/>
    <hyperlink r:id="rId823" ref="C417"/>
    <hyperlink r:id="rId824" ref="G417"/>
    <hyperlink r:id="rId825" ref="C418"/>
    <hyperlink r:id="rId826" ref="G418"/>
    <hyperlink r:id="rId827" ref="C419"/>
    <hyperlink r:id="rId828" ref="G419"/>
    <hyperlink r:id="rId829" ref="C420"/>
    <hyperlink r:id="rId830" ref="G420"/>
    <hyperlink r:id="rId831" ref="C421"/>
    <hyperlink r:id="rId832" ref="G421"/>
    <hyperlink r:id="rId833" ref="C422"/>
    <hyperlink r:id="rId834" ref="G422"/>
    <hyperlink r:id="rId835" ref="C423"/>
    <hyperlink r:id="rId836" ref="G423"/>
    <hyperlink r:id="rId837" ref="C424"/>
    <hyperlink r:id="rId838" ref="G424"/>
    <hyperlink r:id="rId839" ref="C425"/>
    <hyperlink r:id="rId840" ref="G425"/>
    <hyperlink r:id="rId841" ref="C426"/>
    <hyperlink r:id="rId842" ref="G426"/>
    <hyperlink r:id="rId843" ref="C427"/>
    <hyperlink r:id="rId844" ref="G427"/>
    <hyperlink r:id="rId845" ref="C428"/>
    <hyperlink r:id="rId846" ref="G428"/>
    <hyperlink r:id="rId847" ref="C429"/>
    <hyperlink r:id="rId848" ref="G429"/>
    <hyperlink r:id="rId849" ref="C430"/>
    <hyperlink r:id="rId850" ref="G430"/>
    <hyperlink r:id="rId851" ref="C431"/>
    <hyperlink r:id="rId852" ref="G431"/>
    <hyperlink r:id="rId853" ref="C432"/>
    <hyperlink r:id="rId854" ref="G432"/>
    <hyperlink r:id="rId855" ref="C433"/>
    <hyperlink r:id="rId856" ref="G433"/>
    <hyperlink r:id="rId857" ref="C434"/>
    <hyperlink r:id="rId858" ref="G434"/>
    <hyperlink r:id="rId859" ref="C435"/>
    <hyperlink r:id="rId860" ref="G435"/>
    <hyperlink r:id="rId861" ref="C436"/>
    <hyperlink r:id="rId862" ref="G436"/>
    <hyperlink r:id="rId863" ref="C437"/>
    <hyperlink r:id="rId864" ref="G437"/>
    <hyperlink r:id="rId865" ref="C438"/>
    <hyperlink r:id="rId866" ref="G438"/>
    <hyperlink r:id="rId867" ref="C439"/>
    <hyperlink r:id="rId868" ref="G439"/>
    <hyperlink r:id="rId869" ref="C440"/>
    <hyperlink r:id="rId870" ref="G440"/>
    <hyperlink r:id="rId871" ref="C441"/>
    <hyperlink r:id="rId872" ref="G441"/>
    <hyperlink r:id="rId873" ref="C442"/>
    <hyperlink r:id="rId874" ref="G442"/>
    <hyperlink r:id="rId875" ref="C443"/>
    <hyperlink r:id="rId876" ref="G443"/>
    <hyperlink r:id="rId877" ref="C444"/>
    <hyperlink r:id="rId878" ref="G444"/>
    <hyperlink r:id="rId879" ref="C445"/>
    <hyperlink r:id="rId880" ref="G445"/>
    <hyperlink r:id="rId881" ref="C446"/>
    <hyperlink r:id="rId882" ref="G446"/>
    <hyperlink r:id="rId883" ref="C447"/>
    <hyperlink r:id="rId884" ref="G447"/>
    <hyperlink r:id="rId885" ref="C448"/>
    <hyperlink r:id="rId886" ref="G448"/>
    <hyperlink r:id="rId887" ref="C449"/>
    <hyperlink r:id="rId888" ref="G449"/>
    <hyperlink r:id="rId889" ref="C450"/>
    <hyperlink r:id="rId890" ref="G450"/>
    <hyperlink r:id="rId891" ref="C451"/>
    <hyperlink r:id="rId892" ref="G451"/>
    <hyperlink r:id="rId893" ref="C452"/>
    <hyperlink r:id="rId894" ref="G452"/>
    <hyperlink r:id="rId895" ref="C453"/>
    <hyperlink r:id="rId896" ref="G453"/>
    <hyperlink r:id="rId897" ref="C454"/>
    <hyperlink r:id="rId898" ref="G454"/>
    <hyperlink r:id="rId899" ref="C455"/>
    <hyperlink r:id="rId900" ref="G455"/>
    <hyperlink r:id="rId901" ref="C456"/>
    <hyperlink r:id="rId902" ref="G456"/>
    <hyperlink r:id="rId903" ref="C457"/>
    <hyperlink r:id="rId904" ref="G457"/>
    <hyperlink r:id="rId905" ref="C458"/>
    <hyperlink r:id="rId906" ref="G458"/>
    <hyperlink r:id="rId907" ref="C459"/>
    <hyperlink r:id="rId908" ref="G459"/>
    <hyperlink r:id="rId909" ref="C460"/>
    <hyperlink r:id="rId910" ref="G460"/>
    <hyperlink r:id="rId911" ref="C461"/>
    <hyperlink r:id="rId912" ref="G461"/>
    <hyperlink r:id="rId913" ref="C462"/>
    <hyperlink r:id="rId914" ref="G462"/>
    <hyperlink r:id="rId915" ref="C463"/>
    <hyperlink r:id="rId916" ref="G463"/>
    <hyperlink r:id="rId917" ref="C464"/>
    <hyperlink r:id="rId918" ref="G464"/>
    <hyperlink r:id="rId919" ref="C465"/>
    <hyperlink r:id="rId920" ref="G465"/>
    <hyperlink r:id="rId921" ref="C466"/>
    <hyperlink r:id="rId922" ref="G466"/>
    <hyperlink r:id="rId923" ref="C467"/>
    <hyperlink r:id="rId924" ref="G467"/>
    <hyperlink r:id="rId925" ref="C468"/>
    <hyperlink r:id="rId926" ref="G468"/>
    <hyperlink r:id="rId927" ref="C469"/>
    <hyperlink r:id="rId928" ref="G469"/>
    <hyperlink r:id="rId929" ref="C470"/>
    <hyperlink r:id="rId930" ref="G470"/>
    <hyperlink r:id="rId931" ref="C471"/>
    <hyperlink r:id="rId932" ref="G471"/>
    <hyperlink r:id="rId933" ref="C472"/>
    <hyperlink r:id="rId934" ref="G472"/>
    <hyperlink r:id="rId935" ref="C473"/>
    <hyperlink r:id="rId936" ref="G473"/>
    <hyperlink r:id="rId937" ref="C474"/>
    <hyperlink r:id="rId938" ref="G474"/>
    <hyperlink r:id="rId939" ref="C475"/>
    <hyperlink r:id="rId940" ref="G475"/>
    <hyperlink r:id="rId941" ref="C476"/>
    <hyperlink r:id="rId942" ref="G476"/>
    <hyperlink r:id="rId943" ref="C477"/>
    <hyperlink r:id="rId944" ref="G477"/>
    <hyperlink r:id="rId945" ref="C478"/>
    <hyperlink r:id="rId946" ref="G478"/>
    <hyperlink r:id="rId947" ref="C479"/>
    <hyperlink r:id="rId948" ref="G479"/>
    <hyperlink r:id="rId949" ref="C480"/>
    <hyperlink r:id="rId950" ref="G480"/>
    <hyperlink r:id="rId951" ref="C481"/>
    <hyperlink r:id="rId952" ref="G481"/>
    <hyperlink r:id="rId953" ref="C482"/>
    <hyperlink r:id="rId954" ref="G482"/>
    <hyperlink r:id="rId955" ref="C483"/>
    <hyperlink r:id="rId956" ref="G483"/>
    <hyperlink r:id="rId957" ref="C484"/>
    <hyperlink r:id="rId958" ref="G484"/>
    <hyperlink r:id="rId959" ref="C485"/>
    <hyperlink r:id="rId960" ref="G485"/>
    <hyperlink r:id="rId961" ref="C486"/>
    <hyperlink r:id="rId962" ref="G486"/>
    <hyperlink r:id="rId963" ref="C487"/>
    <hyperlink r:id="rId964" ref="G487"/>
    <hyperlink r:id="rId965" ref="C488"/>
    <hyperlink r:id="rId966" ref="G488"/>
    <hyperlink r:id="rId967" ref="C489"/>
    <hyperlink r:id="rId968" ref="G489"/>
    <hyperlink r:id="rId969" ref="C490"/>
    <hyperlink r:id="rId970" ref="G490"/>
    <hyperlink r:id="rId971" ref="C491"/>
    <hyperlink r:id="rId972" ref="G491"/>
    <hyperlink r:id="rId973" ref="C492"/>
    <hyperlink r:id="rId974" ref="G492"/>
    <hyperlink r:id="rId975" ref="C493"/>
    <hyperlink r:id="rId976" ref="G493"/>
    <hyperlink r:id="rId977" ref="C494"/>
    <hyperlink r:id="rId978" ref="G494"/>
    <hyperlink r:id="rId979" ref="C495"/>
    <hyperlink r:id="rId980" ref="G495"/>
    <hyperlink r:id="rId981" ref="C496"/>
    <hyperlink r:id="rId982" ref="G496"/>
    <hyperlink r:id="rId983" ref="C497"/>
    <hyperlink r:id="rId984" ref="G497"/>
    <hyperlink r:id="rId985" ref="C498"/>
    <hyperlink r:id="rId986" ref="G498"/>
    <hyperlink r:id="rId987" ref="C499"/>
    <hyperlink r:id="rId988" ref="G499"/>
    <hyperlink r:id="rId989" ref="C500"/>
    <hyperlink r:id="rId990" ref="G500"/>
    <hyperlink r:id="rId991" ref="C501"/>
    <hyperlink r:id="rId992" ref="G501"/>
    <hyperlink r:id="rId993" ref="C502"/>
    <hyperlink r:id="rId994" ref="G502"/>
    <hyperlink r:id="rId995" ref="C503"/>
    <hyperlink r:id="rId996" ref="G503"/>
    <hyperlink r:id="rId997" ref="C504"/>
    <hyperlink r:id="rId998" ref="G504"/>
    <hyperlink r:id="rId999" ref="C505"/>
    <hyperlink r:id="rId1000" ref="G505"/>
    <hyperlink r:id="rId1001" ref="C506"/>
    <hyperlink r:id="rId1002" ref="G506"/>
    <hyperlink r:id="rId1003" ref="C507"/>
    <hyperlink r:id="rId1004" ref="G507"/>
    <hyperlink r:id="rId1005" ref="C508"/>
    <hyperlink r:id="rId1006" ref="G508"/>
    <hyperlink r:id="rId1007" ref="C509"/>
    <hyperlink r:id="rId1008" ref="G509"/>
    <hyperlink r:id="rId1009" ref="C510"/>
    <hyperlink r:id="rId1010" ref="G510"/>
    <hyperlink r:id="rId1011" ref="C511"/>
    <hyperlink r:id="rId1012" ref="G511"/>
    <hyperlink r:id="rId1013" ref="C512"/>
    <hyperlink r:id="rId1014" ref="G512"/>
    <hyperlink r:id="rId1015" ref="C513"/>
    <hyperlink r:id="rId1016" ref="G513"/>
    <hyperlink r:id="rId1017" ref="C514"/>
    <hyperlink r:id="rId1018" ref="G514"/>
    <hyperlink r:id="rId1019" ref="C515"/>
    <hyperlink r:id="rId1020" ref="G515"/>
    <hyperlink r:id="rId1021" ref="C516"/>
    <hyperlink r:id="rId1022" ref="G516"/>
    <hyperlink r:id="rId1023" ref="C517"/>
    <hyperlink r:id="rId1024" ref="G517"/>
    <hyperlink r:id="rId1025" ref="C518"/>
    <hyperlink r:id="rId1026" ref="G518"/>
    <hyperlink r:id="rId1027" ref="C519"/>
    <hyperlink r:id="rId1028" ref="G519"/>
    <hyperlink r:id="rId1029" ref="C520"/>
    <hyperlink r:id="rId1030" ref="G520"/>
    <hyperlink r:id="rId1031" ref="C521"/>
    <hyperlink r:id="rId1032" ref="G521"/>
    <hyperlink r:id="rId1033" ref="C522"/>
    <hyperlink r:id="rId1034" ref="G522"/>
    <hyperlink r:id="rId1035" ref="C523"/>
    <hyperlink r:id="rId1036" ref="G523"/>
    <hyperlink r:id="rId1037" ref="C524"/>
    <hyperlink r:id="rId1038" ref="G524"/>
    <hyperlink r:id="rId1039" ref="C525"/>
    <hyperlink r:id="rId1040" ref="G525"/>
    <hyperlink r:id="rId1041" ref="C526"/>
    <hyperlink r:id="rId1042" ref="G526"/>
    <hyperlink r:id="rId1043" ref="C527"/>
    <hyperlink r:id="rId1044" ref="G527"/>
    <hyperlink r:id="rId1045" ref="C528"/>
    <hyperlink r:id="rId1046" ref="G528"/>
    <hyperlink r:id="rId1047" ref="C529"/>
    <hyperlink r:id="rId1048" ref="G529"/>
    <hyperlink r:id="rId1049" ref="C530"/>
    <hyperlink r:id="rId1050" ref="G530"/>
    <hyperlink r:id="rId1051" ref="C531"/>
    <hyperlink r:id="rId1052" ref="G531"/>
    <hyperlink r:id="rId1053" ref="C532"/>
    <hyperlink r:id="rId1054" ref="C533"/>
    <hyperlink r:id="rId1055" ref="G533"/>
    <hyperlink r:id="rId1056" ref="C534"/>
    <hyperlink r:id="rId1057" ref="G534"/>
    <hyperlink r:id="rId1058" ref="C535"/>
    <hyperlink r:id="rId1059" ref="G535"/>
    <hyperlink r:id="rId1060" ref="C536"/>
    <hyperlink r:id="rId1061" ref="G536"/>
    <hyperlink r:id="rId1062" ref="C537"/>
    <hyperlink r:id="rId1063" ref="G537"/>
    <hyperlink r:id="rId1064" ref="C538"/>
    <hyperlink r:id="rId1065" ref="G538"/>
    <hyperlink r:id="rId1066" ref="C539"/>
    <hyperlink r:id="rId1067" ref="G539"/>
    <hyperlink r:id="rId1068" ref="C540"/>
    <hyperlink r:id="rId1069" ref="G540"/>
    <hyperlink r:id="rId1070" ref="C541"/>
    <hyperlink r:id="rId1071" ref="G541"/>
    <hyperlink r:id="rId1072" ref="C542"/>
    <hyperlink r:id="rId1073" ref="G542"/>
    <hyperlink r:id="rId1074" ref="C543"/>
    <hyperlink r:id="rId1075" ref="G543"/>
    <hyperlink r:id="rId1076" ref="C544"/>
    <hyperlink r:id="rId1077" ref="G544"/>
    <hyperlink r:id="rId1078" ref="C545"/>
    <hyperlink r:id="rId1079" ref="G545"/>
    <hyperlink r:id="rId1080" ref="C546"/>
    <hyperlink r:id="rId1081" ref="G546"/>
    <hyperlink r:id="rId1082" ref="C547"/>
    <hyperlink r:id="rId1083" ref="G547"/>
    <hyperlink r:id="rId1084" ref="C548"/>
    <hyperlink r:id="rId1085" ref="G548"/>
    <hyperlink r:id="rId1086" ref="C549"/>
    <hyperlink r:id="rId1087" ref="G549"/>
    <hyperlink r:id="rId1088" ref="C550"/>
    <hyperlink r:id="rId1089" ref="G550"/>
    <hyperlink r:id="rId1090" ref="C551"/>
    <hyperlink r:id="rId1091" ref="G551"/>
    <hyperlink r:id="rId1092" ref="C552"/>
    <hyperlink r:id="rId1093" ref="G552"/>
    <hyperlink r:id="rId1094" ref="C553"/>
    <hyperlink r:id="rId1095" ref="G553"/>
    <hyperlink r:id="rId1096" ref="C554"/>
    <hyperlink r:id="rId1097" ref="G554"/>
    <hyperlink r:id="rId1098" ref="C555"/>
    <hyperlink r:id="rId1099" ref="G555"/>
    <hyperlink r:id="rId1100" ref="C556"/>
    <hyperlink r:id="rId1101" ref="G556"/>
    <hyperlink r:id="rId1102" ref="C557"/>
    <hyperlink r:id="rId1103" ref="G557"/>
    <hyperlink r:id="rId1104" ref="C558"/>
    <hyperlink r:id="rId1105" ref="G558"/>
    <hyperlink r:id="rId1106" ref="C559"/>
    <hyperlink r:id="rId1107" ref="G559"/>
    <hyperlink r:id="rId1108" ref="C560"/>
    <hyperlink r:id="rId1109" ref="G560"/>
    <hyperlink r:id="rId1110" ref="C561"/>
    <hyperlink r:id="rId1111" ref="G561"/>
    <hyperlink r:id="rId1112" ref="C562"/>
    <hyperlink r:id="rId1113" ref="G562"/>
    <hyperlink r:id="rId1114" ref="C563"/>
    <hyperlink r:id="rId1115" ref="G563"/>
    <hyperlink r:id="rId1116" ref="C564"/>
    <hyperlink r:id="rId1117" ref="G564"/>
    <hyperlink r:id="rId1118" ref="C565"/>
    <hyperlink r:id="rId1119" ref="G565"/>
    <hyperlink r:id="rId1120" ref="C566"/>
    <hyperlink r:id="rId1121" ref="G566"/>
    <hyperlink r:id="rId1122" ref="C567"/>
    <hyperlink r:id="rId1123" ref="G567"/>
    <hyperlink r:id="rId1124" ref="C568"/>
    <hyperlink r:id="rId1125" ref="G568"/>
    <hyperlink r:id="rId1126" ref="C569"/>
    <hyperlink r:id="rId1127" ref="C570"/>
    <hyperlink r:id="rId1128" ref="G570"/>
    <hyperlink r:id="rId1129" ref="C571"/>
    <hyperlink r:id="rId1130" ref="G571"/>
    <hyperlink r:id="rId1131" ref="C572"/>
    <hyperlink r:id="rId1132" ref="G572"/>
    <hyperlink r:id="rId1133" ref="C573"/>
    <hyperlink r:id="rId1134" ref="G573"/>
    <hyperlink r:id="rId1135" ref="C574"/>
    <hyperlink r:id="rId1136" ref="G574"/>
    <hyperlink r:id="rId1137" ref="C575"/>
    <hyperlink r:id="rId1138" ref="G575"/>
    <hyperlink r:id="rId1139" ref="C576"/>
    <hyperlink r:id="rId1140" ref="G576"/>
    <hyperlink r:id="rId1141" ref="C577"/>
    <hyperlink r:id="rId1142" ref="G577"/>
    <hyperlink r:id="rId1143" ref="C578"/>
    <hyperlink r:id="rId1144" ref="G578"/>
    <hyperlink r:id="rId1145" ref="C579"/>
    <hyperlink r:id="rId1146" ref="G579"/>
    <hyperlink r:id="rId1147" ref="C580"/>
    <hyperlink r:id="rId1148" ref="G580"/>
    <hyperlink r:id="rId1149" ref="C581"/>
    <hyperlink r:id="rId1150" ref="G581"/>
    <hyperlink r:id="rId1151" ref="C582"/>
    <hyperlink r:id="rId1152" ref="G582"/>
    <hyperlink r:id="rId1153" ref="C583"/>
    <hyperlink r:id="rId1154" ref="G583"/>
    <hyperlink r:id="rId1155" ref="C584"/>
    <hyperlink r:id="rId1156" ref="G584"/>
    <hyperlink r:id="rId1157" ref="C585"/>
    <hyperlink r:id="rId1158" ref="G585"/>
    <hyperlink r:id="rId1159" ref="C586"/>
    <hyperlink r:id="rId1160" ref="G586"/>
    <hyperlink r:id="rId1161" ref="G587"/>
    <hyperlink r:id="rId1162" ref="C588"/>
    <hyperlink r:id="rId1163" ref="G588"/>
    <hyperlink r:id="rId1164" ref="C589"/>
    <hyperlink r:id="rId1165" ref="G589"/>
    <hyperlink r:id="rId1166" ref="C590"/>
    <hyperlink r:id="rId1167" ref="G590"/>
    <hyperlink r:id="rId1168" ref="C591"/>
    <hyperlink r:id="rId1169" ref="G591"/>
    <hyperlink r:id="rId1170" ref="C592"/>
    <hyperlink r:id="rId1171" ref="G592"/>
    <hyperlink r:id="rId1172" ref="C593"/>
    <hyperlink r:id="rId1173" ref="G593"/>
    <hyperlink r:id="rId1174" ref="C594"/>
    <hyperlink r:id="rId1175" ref="G594"/>
    <hyperlink r:id="rId1176" ref="C595"/>
    <hyperlink r:id="rId1177" ref="G595"/>
    <hyperlink r:id="rId1178" ref="C596"/>
    <hyperlink r:id="rId1179" ref="G596"/>
    <hyperlink r:id="rId1180" ref="C597"/>
    <hyperlink r:id="rId1181" ref="G597"/>
    <hyperlink r:id="rId1182" ref="C598"/>
    <hyperlink r:id="rId1183" ref="G598"/>
    <hyperlink r:id="rId1184" ref="C599"/>
    <hyperlink r:id="rId1185" ref="G599"/>
    <hyperlink r:id="rId1186" ref="C600"/>
    <hyperlink r:id="rId1187" ref="G600"/>
    <hyperlink r:id="rId1188" ref="C601"/>
    <hyperlink r:id="rId1189" ref="G601"/>
    <hyperlink r:id="rId1190" ref="C602"/>
    <hyperlink r:id="rId1191" ref="G602"/>
    <hyperlink r:id="rId1192" ref="C603"/>
    <hyperlink r:id="rId1193" ref="G603"/>
    <hyperlink r:id="rId1194" ref="C604"/>
    <hyperlink r:id="rId1195" ref="G604"/>
    <hyperlink r:id="rId1196" ref="C605"/>
    <hyperlink r:id="rId1197" ref="G605"/>
    <hyperlink r:id="rId1198" ref="C606"/>
    <hyperlink r:id="rId1199" ref="G606"/>
    <hyperlink r:id="rId1200" ref="C607"/>
    <hyperlink r:id="rId1201" ref="G607"/>
    <hyperlink r:id="rId1202" ref="C608"/>
    <hyperlink r:id="rId1203" ref="G608"/>
    <hyperlink r:id="rId1204" ref="C609"/>
    <hyperlink r:id="rId1205" ref="G609"/>
    <hyperlink r:id="rId1206" ref="C610"/>
    <hyperlink r:id="rId1207" ref="G610"/>
    <hyperlink r:id="rId1208" ref="C611"/>
    <hyperlink r:id="rId1209" ref="G611"/>
    <hyperlink r:id="rId1210" ref="C612"/>
    <hyperlink r:id="rId1211" ref="G612"/>
    <hyperlink r:id="rId1212" ref="C613"/>
    <hyperlink r:id="rId1213" ref="G613"/>
    <hyperlink r:id="rId1214" ref="C614"/>
    <hyperlink r:id="rId1215" ref="G614"/>
    <hyperlink r:id="rId1216" ref="C615"/>
    <hyperlink r:id="rId1217" ref="G615"/>
    <hyperlink r:id="rId1218" ref="C616"/>
    <hyperlink r:id="rId1219" ref="G616"/>
    <hyperlink r:id="rId1220" ref="C617"/>
    <hyperlink r:id="rId1221" ref="G617"/>
    <hyperlink r:id="rId1222" ref="C618"/>
    <hyperlink r:id="rId1223" ref="G618"/>
    <hyperlink r:id="rId1224" ref="C619"/>
    <hyperlink r:id="rId1225" ref="G619"/>
    <hyperlink r:id="rId1226" ref="C620"/>
    <hyperlink r:id="rId1227" ref="G620"/>
    <hyperlink r:id="rId1228" ref="C621"/>
    <hyperlink r:id="rId1229" ref="G621"/>
    <hyperlink r:id="rId1230" ref="C622"/>
    <hyperlink r:id="rId1231" ref="G622"/>
    <hyperlink r:id="rId1232" ref="C623"/>
    <hyperlink r:id="rId1233" ref="G623"/>
    <hyperlink r:id="rId1234" ref="C624"/>
    <hyperlink r:id="rId1235" ref="G624"/>
    <hyperlink r:id="rId1236" ref="C625"/>
    <hyperlink r:id="rId1237" ref="G625"/>
    <hyperlink r:id="rId1238" ref="C626"/>
    <hyperlink r:id="rId1239" ref="G626"/>
    <hyperlink r:id="rId1240" ref="C627"/>
    <hyperlink r:id="rId1241" ref="G627"/>
    <hyperlink r:id="rId1242" ref="C628"/>
    <hyperlink r:id="rId1243" ref="G628"/>
    <hyperlink r:id="rId1244" ref="C629"/>
    <hyperlink r:id="rId1245" ref="G629"/>
    <hyperlink r:id="rId1246" ref="C630"/>
    <hyperlink r:id="rId1247" ref="G630"/>
    <hyperlink r:id="rId1248" ref="C631"/>
    <hyperlink r:id="rId1249" ref="G631"/>
    <hyperlink r:id="rId1250" ref="C632"/>
    <hyperlink r:id="rId1251" ref="G632"/>
    <hyperlink r:id="rId1252" ref="C633"/>
    <hyperlink r:id="rId1253" ref="G633"/>
    <hyperlink r:id="rId1254" ref="C634"/>
    <hyperlink r:id="rId1255" ref="G634"/>
    <hyperlink r:id="rId1256" ref="C635"/>
    <hyperlink r:id="rId1257" ref="G635"/>
    <hyperlink r:id="rId1258" ref="C636"/>
    <hyperlink r:id="rId1259" ref="G636"/>
    <hyperlink r:id="rId1260" ref="C637"/>
    <hyperlink r:id="rId1261" ref="G637"/>
    <hyperlink r:id="rId1262" ref="C638"/>
    <hyperlink r:id="rId1263" ref="G638"/>
    <hyperlink r:id="rId1264" ref="C639"/>
    <hyperlink r:id="rId1265" ref="G639"/>
    <hyperlink r:id="rId1266" ref="C640"/>
    <hyperlink r:id="rId1267" ref="G640"/>
    <hyperlink r:id="rId1268" ref="C641"/>
    <hyperlink r:id="rId1269" ref="G641"/>
    <hyperlink r:id="rId1270" ref="C642"/>
    <hyperlink r:id="rId1271" ref="G642"/>
    <hyperlink r:id="rId1272" ref="C643"/>
    <hyperlink r:id="rId1273" ref="G643"/>
    <hyperlink r:id="rId1274" ref="C644"/>
    <hyperlink r:id="rId1275" ref="G644"/>
    <hyperlink r:id="rId1276" ref="C645"/>
    <hyperlink r:id="rId1277" ref="G645"/>
    <hyperlink r:id="rId1278" ref="C646"/>
    <hyperlink r:id="rId1279" ref="G646"/>
    <hyperlink r:id="rId1280" ref="C647"/>
    <hyperlink r:id="rId1281" ref="G647"/>
    <hyperlink r:id="rId1282" ref="C648"/>
    <hyperlink r:id="rId1283" ref="G648"/>
    <hyperlink r:id="rId1284" ref="C649"/>
    <hyperlink r:id="rId1285" ref="G649"/>
    <hyperlink r:id="rId1286" ref="C650"/>
    <hyperlink r:id="rId1287" ref="G650"/>
    <hyperlink r:id="rId1288" ref="C651"/>
    <hyperlink r:id="rId1289" ref="G651"/>
    <hyperlink r:id="rId1290" ref="C652"/>
    <hyperlink r:id="rId1291" ref="G652"/>
    <hyperlink r:id="rId1292" ref="C653"/>
    <hyperlink r:id="rId1293" ref="G653"/>
    <hyperlink r:id="rId1294" ref="C654"/>
    <hyperlink r:id="rId1295" ref="G654"/>
    <hyperlink r:id="rId1296" ref="C655"/>
    <hyperlink r:id="rId1297" ref="G655"/>
    <hyperlink r:id="rId1298" ref="C656"/>
    <hyperlink r:id="rId1299" ref="G656"/>
    <hyperlink r:id="rId1300" ref="C657"/>
    <hyperlink r:id="rId1301" ref="G657"/>
    <hyperlink r:id="rId1302" ref="C658"/>
    <hyperlink r:id="rId1303" ref="G658"/>
    <hyperlink r:id="rId1304" ref="C659"/>
    <hyperlink r:id="rId1305" ref="G659"/>
    <hyperlink r:id="rId1306" ref="C660"/>
    <hyperlink r:id="rId1307" ref="G660"/>
    <hyperlink r:id="rId1308" ref="C661"/>
    <hyperlink r:id="rId1309" ref="G661"/>
    <hyperlink r:id="rId1310" ref="C662"/>
    <hyperlink r:id="rId1311" ref="G662"/>
    <hyperlink r:id="rId1312" ref="C663"/>
    <hyperlink r:id="rId1313" ref="G663"/>
    <hyperlink r:id="rId1314" ref="C664"/>
    <hyperlink r:id="rId1315" ref="G664"/>
    <hyperlink r:id="rId1316" ref="C665"/>
    <hyperlink r:id="rId1317" ref="G665"/>
    <hyperlink r:id="rId1318" ref="C666"/>
    <hyperlink r:id="rId1319" ref="G666"/>
    <hyperlink r:id="rId1320" ref="C667"/>
    <hyperlink r:id="rId1321" ref="G667"/>
    <hyperlink r:id="rId1322" ref="C668"/>
    <hyperlink r:id="rId1323" ref="G668"/>
    <hyperlink r:id="rId1324" ref="C669"/>
    <hyperlink r:id="rId1325" ref="G669"/>
    <hyperlink r:id="rId1326" ref="C670"/>
    <hyperlink r:id="rId1327" ref="G670"/>
    <hyperlink r:id="rId1328" ref="C671"/>
    <hyperlink r:id="rId1329" ref="C672"/>
    <hyperlink r:id="rId1330" ref="G672"/>
    <hyperlink r:id="rId1331" ref="C673"/>
    <hyperlink r:id="rId1332" ref="G673"/>
    <hyperlink r:id="rId1333" ref="C674"/>
    <hyperlink r:id="rId1334" ref="G674"/>
    <hyperlink r:id="rId1335" ref="C675"/>
    <hyperlink r:id="rId1336" ref="G675"/>
    <hyperlink r:id="rId1337" ref="C676"/>
    <hyperlink r:id="rId1338" ref="G676"/>
    <hyperlink r:id="rId1339" ref="C677"/>
    <hyperlink r:id="rId1340" ref="G677"/>
    <hyperlink r:id="rId1341" ref="C678"/>
    <hyperlink r:id="rId1342" ref="G678"/>
    <hyperlink r:id="rId1343" ref="C679"/>
    <hyperlink r:id="rId1344" ref="G679"/>
    <hyperlink r:id="rId1345" ref="C680"/>
    <hyperlink r:id="rId1346" ref="G680"/>
    <hyperlink r:id="rId1347" ref="C681"/>
    <hyperlink r:id="rId1348" ref="G681"/>
    <hyperlink r:id="rId1349" ref="C682"/>
    <hyperlink r:id="rId1350" ref="G682"/>
    <hyperlink r:id="rId1351" ref="C683"/>
    <hyperlink r:id="rId1352" ref="G683"/>
    <hyperlink r:id="rId1353" ref="C684"/>
    <hyperlink r:id="rId1354" ref="G684"/>
    <hyperlink r:id="rId1355" ref="C685"/>
    <hyperlink r:id="rId1356" ref="G685"/>
    <hyperlink r:id="rId1357" ref="C686"/>
    <hyperlink r:id="rId1358" ref="G686"/>
    <hyperlink r:id="rId1359" ref="C687"/>
    <hyperlink r:id="rId1360" ref="G687"/>
    <hyperlink r:id="rId1361" ref="C688"/>
    <hyperlink r:id="rId1362" ref="G688"/>
    <hyperlink r:id="rId1363" ref="C689"/>
    <hyperlink r:id="rId1364" ref="G689"/>
    <hyperlink r:id="rId1365" ref="C690"/>
    <hyperlink r:id="rId1366" ref="G690"/>
    <hyperlink r:id="rId1367" ref="C691"/>
    <hyperlink r:id="rId1368" ref="G691"/>
    <hyperlink r:id="rId1369" ref="C692"/>
    <hyperlink r:id="rId1370" ref="G692"/>
    <hyperlink r:id="rId1371" ref="C693"/>
    <hyperlink r:id="rId1372" ref="G693"/>
    <hyperlink r:id="rId1373" ref="C694"/>
    <hyperlink r:id="rId1374" ref="G694"/>
    <hyperlink r:id="rId1375" ref="C695"/>
    <hyperlink r:id="rId1376" ref="G695"/>
    <hyperlink r:id="rId1377" ref="C696"/>
    <hyperlink r:id="rId1378" ref="G696"/>
    <hyperlink r:id="rId1379" ref="C697"/>
    <hyperlink r:id="rId1380" ref="G697"/>
    <hyperlink r:id="rId1381" ref="C698"/>
    <hyperlink r:id="rId1382" ref="G698"/>
    <hyperlink r:id="rId1383" ref="C699"/>
    <hyperlink r:id="rId1384" ref="G699"/>
    <hyperlink r:id="rId1385" ref="C700"/>
    <hyperlink r:id="rId1386" ref="G700"/>
    <hyperlink r:id="rId1387" ref="C701"/>
    <hyperlink r:id="rId1388" ref="G701"/>
    <hyperlink r:id="rId1389" ref="C702"/>
    <hyperlink r:id="rId1390" ref="G702"/>
    <hyperlink r:id="rId1391" ref="C703"/>
    <hyperlink r:id="rId1392" ref="G703"/>
    <hyperlink r:id="rId1393" ref="C704"/>
    <hyperlink r:id="rId1394" ref="G704"/>
    <hyperlink r:id="rId1395" ref="C705"/>
    <hyperlink r:id="rId1396" ref="G705"/>
    <hyperlink r:id="rId1397" ref="C706"/>
    <hyperlink r:id="rId1398" ref="G706"/>
    <hyperlink r:id="rId1399" ref="C707"/>
    <hyperlink r:id="rId1400" ref="G707"/>
    <hyperlink r:id="rId1401" ref="C708"/>
    <hyperlink r:id="rId1402" ref="G708"/>
    <hyperlink r:id="rId1403" ref="C709"/>
    <hyperlink r:id="rId1404" ref="G709"/>
    <hyperlink r:id="rId1405" ref="C710"/>
    <hyperlink r:id="rId1406" ref="G710"/>
    <hyperlink r:id="rId1407" ref="C711"/>
    <hyperlink r:id="rId1408" ref="G711"/>
    <hyperlink r:id="rId1409" ref="C712"/>
    <hyperlink r:id="rId1410" ref="G712"/>
    <hyperlink r:id="rId1411" ref="C713"/>
    <hyperlink r:id="rId1412" ref="G713"/>
    <hyperlink r:id="rId1413" ref="C714"/>
    <hyperlink r:id="rId1414" ref="C715"/>
    <hyperlink r:id="rId1415" ref="C716"/>
    <hyperlink r:id="rId1416" ref="C717"/>
    <hyperlink r:id="rId1417" ref="C718"/>
    <hyperlink r:id="rId1418" ref="C719"/>
    <hyperlink r:id="rId1419" ref="C720"/>
    <hyperlink r:id="rId1420" ref="C721"/>
    <hyperlink r:id="rId1421" ref="C722"/>
    <hyperlink r:id="rId1422" ref="C723"/>
    <hyperlink r:id="rId1423" ref="C724"/>
    <hyperlink r:id="rId1424" ref="C725"/>
    <hyperlink r:id="rId1425" ref="C726"/>
    <hyperlink r:id="rId1426" ref="C727"/>
    <hyperlink r:id="rId1427" ref="C728"/>
    <hyperlink r:id="rId1428" ref="C729"/>
    <hyperlink r:id="rId1429" ref="C730"/>
    <hyperlink r:id="rId1430" ref="C731"/>
    <hyperlink r:id="rId1431" ref="C732"/>
    <hyperlink r:id="rId1432" ref="C733"/>
    <hyperlink r:id="rId1433" ref="C734"/>
    <hyperlink r:id="rId1434" ref="C735"/>
    <hyperlink r:id="rId1435" ref="C736"/>
    <hyperlink r:id="rId1436" ref="C737"/>
    <hyperlink r:id="rId1437" ref="C738"/>
    <hyperlink r:id="rId1438" ref="C739"/>
    <hyperlink r:id="rId1439" ref="C740"/>
    <hyperlink r:id="rId1440" ref="C741"/>
    <hyperlink r:id="rId1441" ref="C742"/>
    <hyperlink r:id="rId1442" ref="C743"/>
    <hyperlink r:id="rId1443" ref="C744"/>
    <hyperlink r:id="rId1444" ref="C745"/>
    <hyperlink r:id="rId1445" ref="C746"/>
    <hyperlink r:id="rId1446" ref="C747"/>
    <hyperlink r:id="rId1447" ref="C748"/>
    <hyperlink r:id="rId1448" ref="C749"/>
    <hyperlink r:id="rId1449" ref="C750"/>
    <hyperlink r:id="rId1450" ref="C751"/>
    <hyperlink r:id="rId1451" ref="C752"/>
    <hyperlink r:id="rId1452" ref="C753"/>
    <hyperlink r:id="rId1453" ref="C754"/>
    <hyperlink r:id="rId1454" ref="C755"/>
    <hyperlink r:id="rId1455" ref="C756"/>
    <hyperlink r:id="rId1456" ref="C757"/>
    <hyperlink r:id="rId1457" ref="C758"/>
    <hyperlink r:id="rId1458" ref="C759"/>
    <hyperlink r:id="rId1459" ref="C760"/>
    <hyperlink r:id="rId1460" ref="C761"/>
    <hyperlink r:id="rId1461" ref="C762"/>
    <hyperlink r:id="rId1462" ref="C763"/>
    <hyperlink r:id="rId1463" ref="C764"/>
    <hyperlink r:id="rId1464" ref="C766"/>
    <hyperlink r:id="rId1465" ref="C768"/>
    <hyperlink r:id="rId1466" ref="C769"/>
    <hyperlink r:id="rId1467" ref="C770"/>
    <hyperlink r:id="rId1468" ref="C771"/>
    <hyperlink r:id="rId1469" ref="C772"/>
    <hyperlink r:id="rId1470" ref="C773"/>
    <hyperlink r:id="rId1471" ref="C774"/>
    <hyperlink r:id="rId1472" ref="C775"/>
    <hyperlink r:id="rId1473" ref="C776"/>
    <hyperlink r:id="rId1474" ref="C777"/>
    <hyperlink r:id="rId1475" ref="C778"/>
    <hyperlink r:id="rId1476" ref="C779"/>
    <hyperlink r:id="rId1477" ref="C780"/>
    <hyperlink r:id="rId1478" ref="C781"/>
    <hyperlink r:id="rId1479" ref="C782"/>
    <hyperlink r:id="rId1480" ref="C783"/>
    <hyperlink r:id="rId1481" ref="C784"/>
    <hyperlink r:id="rId1482" ref="C785"/>
    <hyperlink r:id="rId1483" ref="C786"/>
    <hyperlink r:id="rId1484" ref="C787"/>
    <hyperlink r:id="rId1485" ref="C788"/>
    <hyperlink r:id="rId1486" ref="C789"/>
    <hyperlink r:id="rId1487" ref="C790"/>
    <hyperlink r:id="rId1488" ref="C791"/>
    <hyperlink r:id="rId1489" ref="C792"/>
    <hyperlink r:id="rId1490" ref="C793"/>
    <hyperlink r:id="rId1491" ref="C794"/>
    <hyperlink r:id="rId1492" ref="C795"/>
    <hyperlink r:id="rId1493" ref="C796"/>
    <hyperlink r:id="rId1494" ref="C797"/>
    <hyperlink r:id="rId1495" ref="C798"/>
    <hyperlink r:id="rId1496" ref="C799"/>
    <hyperlink r:id="rId1497" ref="C800"/>
    <hyperlink r:id="rId1498" ref="C801"/>
    <hyperlink r:id="rId1499" ref="C802"/>
    <hyperlink r:id="rId1500" ref="C803"/>
    <hyperlink r:id="rId1501" ref="C804"/>
    <hyperlink r:id="rId1502" ref="C805"/>
    <hyperlink r:id="rId1503" ref="C806"/>
    <hyperlink r:id="rId1504" ref="C807"/>
    <hyperlink r:id="rId1505" ref="C808"/>
    <hyperlink r:id="rId1506" ref="C809"/>
    <hyperlink r:id="rId1507" ref="C810"/>
    <hyperlink r:id="rId1508" ref="C811"/>
    <hyperlink r:id="rId1509" ref="C812"/>
    <hyperlink r:id="rId1510" ref="C813"/>
    <hyperlink r:id="rId1511" ref="C814"/>
    <hyperlink r:id="rId1512" ref="C815"/>
    <hyperlink r:id="rId1513" ref="C816"/>
    <hyperlink r:id="rId1514" ref="C818"/>
    <hyperlink r:id="rId1515" ref="C819"/>
    <hyperlink r:id="rId1516" ref="C820"/>
    <hyperlink r:id="rId1517" ref="C821"/>
    <hyperlink r:id="rId1518" ref="C822"/>
    <hyperlink r:id="rId1519" ref="C823"/>
    <hyperlink r:id="rId1520" ref="C824"/>
    <hyperlink r:id="rId1521" ref="C825"/>
    <hyperlink r:id="rId1522" ref="C826"/>
    <hyperlink r:id="rId1523" ref="C827"/>
    <hyperlink r:id="rId1524" ref="C828"/>
    <hyperlink r:id="rId1525" ref="C829"/>
    <hyperlink r:id="rId1526" ref="C830"/>
    <hyperlink r:id="rId1527" ref="C831"/>
    <hyperlink r:id="rId1528" ref="C832"/>
    <hyperlink r:id="rId1529" ref="C833"/>
    <hyperlink r:id="rId1530" ref="C834"/>
    <hyperlink r:id="rId1531" ref="C835"/>
    <hyperlink r:id="rId1532" ref="C836"/>
    <hyperlink r:id="rId1533" ref="C837"/>
    <hyperlink r:id="rId1534" ref="C838"/>
    <hyperlink r:id="rId1535" ref="C839"/>
    <hyperlink r:id="rId1536" ref="C840"/>
    <hyperlink r:id="rId1537" ref="C841"/>
    <hyperlink r:id="rId1538" ref="C842"/>
    <hyperlink r:id="rId1539" ref="C843"/>
    <hyperlink r:id="rId1540" ref="C844"/>
    <hyperlink r:id="rId1541" ref="C845"/>
    <hyperlink r:id="rId1542" ref="C846"/>
    <hyperlink r:id="rId1543" ref="C847"/>
    <hyperlink r:id="rId1544" ref="C848"/>
    <hyperlink r:id="rId1545" ref="C849"/>
    <hyperlink r:id="rId1546" ref="C850"/>
    <hyperlink r:id="rId1547" ref="C851"/>
    <hyperlink r:id="rId1548" ref="C852"/>
    <hyperlink r:id="rId1549" ref="C853"/>
    <hyperlink r:id="rId1550" ref="C854"/>
    <hyperlink r:id="rId1551" ref="C855"/>
    <hyperlink r:id="rId1552" ref="C856"/>
    <hyperlink r:id="rId1553" ref="C857"/>
    <hyperlink r:id="rId1554" ref="C858"/>
    <hyperlink r:id="rId1555" ref="C859"/>
    <hyperlink r:id="rId1556" ref="C860"/>
    <hyperlink r:id="rId1557" ref="C861"/>
    <hyperlink r:id="rId1558" ref="C862"/>
    <hyperlink r:id="rId1559" ref="C863"/>
    <hyperlink r:id="rId1560" ref="C864"/>
    <hyperlink r:id="rId1561" ref="C865"/>
    <hyperlink r:id="rId1562" ref="C866"/>
    <hyperlink r:id="rId1563" ref="C867"/>
    <hyperlink r:id="rId1564" ref="C868"/>
    <hyperlink r:id="rId1565" ref="C869"/>
    <hyperlink r:id="rId1566" ref="C870"/>
    <hyperlink r:id="rId1567" ref="C871"/>
    <hyperlink r:id="rId1568" ref="C872"/>
    <hyperlink r:id="rId1569" ref="C873"/>
    <hyperlink r:id="rId1570" ref="C874"/>
    <hyperlink r:id="rId1571" ref="C875"/>
    <hyperlink r:id="rId1572" ref="C876"/>
    <hyperlink r:id="rId1573" ref="C877"/>
    <hyperlink r:id="rId1574" ref="C878"/>
    <hyperlink r:id="rId1575" ref="C879"/>
    <hyperlink r:id="rId1576" ref="C880"/>
    <hyperlink r:id="rId1577" ref="C881"/>
    <hyperlink r:id="rId1578" ref="C882"/>
    <hyperlink r:id="rId1579" ref="C883"/>
    <hyperlink r:id="rId1580" ref="C884"/>
    <hyperlink r:id="rId1581" ref="C885"/>
    <hyperlink r:id="rId1582" ref="C886"/>
    <hyperlink r:id="rId1583" ref="C887"/>
    <hyperlink r:id="rId1584" ref="C888"/>
    <hyperlink r:id="rId1585" ref="C889"/>
    <hyperlink r:id="rId1586" ref="C890"/>
    <hyperlink r:id="rId1587" ref="C891"/>
    <hyperlink r:id="rId1588" ref="C892"/>
    <hyperlink r:id="rId1589" ref="C893"/>
    <hyperlink r:id="rId1590" ref="C894"/>
    <hyperlink r:id="rId1591" ref="C895"/>
    <hyperlink r:id="rId1592" ref="C896"/>
    <hyperlink r:id="rId1593" ref="C897"/>
    <hyperlink r:id="rId1594" ref="C898"/>
    <hyperlink r:id="rId1595" ref="C899"/>
    <hyperlink r:id="rId1596" ref="C900"/>
    <hyperlink r:id="rId1597" ref="C901"/>
    <hyperlink r:id="rId1598" ref="C902"/>
    <hyperlink r:id="rId1599" ref="C903"/>
    <hyperlink r:id="rId1600" ref="C904"/>
    <hyperlink r:id="rId1601" ref="C905"/>
    <hyperlink r:id="rId1602" ref="C906"/>
    <hyperlink r:id="rId1603" ref="C907"/>
    <hyperlink r:id="rId1604" ref="C908"/>
    <hyperlink r:id="rId1605" ref="C909"/>
    <hyperlink r:id="rId1606" ref="C910"/>
    <hyperlink r:id="rId1607" ref="C911"/>
    <hyperlink r:id="rId1608" ref="C912"/>
    <hyperlink r:id="rId1609" ref="C913"/>
    <hyperlink r:id="rId1610" ref="C914"/>
    <hyperlink r:id="rId1611" ref="C915"/>
    <hyperlink r:id="rId1612" ref="C916"/>
    <hyperlink r:id="rId1613" ref="C917"/>
    <hyperlink r:id="rId1614" ref="C918"/>
    <hyperlink r:id="rId1615" ref="C919"/>
    <hyperlink r:id="rId1616" ref="C920"/>
    <hyperlink r:id="rId1617" ref="C921"/>
    <hyperlink r:id="rId1618" ref="C922"/>
    <hyperlink r:id="rId1619" ref="C923"/>
    <hyperlink r:id="rId1620" ref="C924"/>
    <hyperlink r:id="rId1621" ref="C925"/>
    <hyperlink r:id="rId1622" ref="C926"/>
    <hyperlink r:id="rId1623" ref="C927"/>
    <hyperlink r:id="rId1624" ref="C928"/>
    <hyperlink r:id="rId1625" ref="C929"/>
    <hyperlink r:id="rId1626" ref="C930"/>
    <hyperlink r:id="rId1627" ref="C931"/>
    <hyperlink r:id="rId1628" ref="C932"/>
    <hyperlink r:id="rId1629" ref="C933"/>
    <hyperlink r:id="rId1630" ref="C934"/>
    <hyperlink r:id="rId1631" ref="C935"/>
    <hyperlink r:id="rId1632" ref="C936"/>
    <hyperlink r:id="rId1633" ref="C937"/>
    <hyperlink r:id="rId1634" ref="C938"/>
    <hyperlink r:id="rId1635" ref="C939"/>
    <hyperlink r:id="rId1636" ref="C940"/>
    <hyperlink r:id="rId1637" ref="C941"/>
    <hyperlink r:id="rId1638" ref="C942"/>
    <hyperlink r:id="rId1639" ref="C943"/>
    <hyperlink r:id="rId1640" ref="C944"/>
    <hyperlink r:id="rId1641" ref="C945"/>
    <hyperlink r:id="rId1642" ref="C946"/>
    <hyperlink r:id="rId1643" ref="C947"/>
    <hyperlink r:id="rId1644" ref="C948"/>
    <hyperlink r:id="rId1645" ref="C949"/>
    <hyperlink r:id="rId1646" ref="C950"/>
    <hyperlink r:id="rId1647" ref="C951"/>
    <hyperlink r:id="rId1648" ref="C952"/>
    <hyperlink r:id="rId1649" ref="C953"/>
    <hyperlink r:id="rId1650" ref="C954"/>
    <hyperlink r:id="rId1651" ref="C955"/>
    <hyperlink r:id="rId1652" ref="C956"/>
    <hyperlink r:id="rId1653" ref="C957"/>
    <hyperlink r:id="rId1654" ref="C958"/>
    <hyperlink r:id="rId1655" ref="C959"/>
    <hyperlink r:id="rId1656" ref="C960"/>
    <hyperlink r:id="rId1657" ref="C961"/>
    <hyperlink r:id="rId1658" ref="C962"/>
    <hyperlink r:id="rId1659" ref="C963"/>
    <hyperlink r:id="rId1660" ref="C964"/>
    <hyperlink r:id="rId1661" ref="C965"/>
    <hyperlink r:id="rId1662" ref="C966"/>
    <hyperlink r:id="rId1663" ref="C967"/>
    <hyperlink r:id="rId1664" ref="C968"/>
    <hyperlink r:id="rId1665" ref="C969"/>
    <hyperlink r:id="rId1666" ref="C970"/>
    <hyperlink r:id="rId1667" ref="C971"/>
    <hyperlink r:id="rId1668" ref="C972"/>
    <hyperlink r:id="rId1669" ref="C973"/>
    <hyperlink r:id="rId1670" ref="C974"/>
    <hyperlink r:id="rId1671" ref="C975"/>
    <hyperlink r:id="rId1672" ref="C976"/>
    <hyperlink r:id="rId1673" ref="C977"/>
    <hyperlink r:id="rId1674" ref="C978"/>
    <hyperlink r:id="rId1675" ref="C979"/>
    <hyperlink r:id="rId1676" ref="C980"/>
    <hyperlink r:id="rId1677" ref="C981"/>
    <hyperlink r:id="rId1678" ref="C982"/>
    <hyperlink r:id="rId1679" ref="C983"/>
    <hyperlink r:id="rId1680" ref="C984"/>
    <hyperlink r:id="rId1681" ref="C985"/>
    <hyperlink r:id="rId1682" ref="C986"/>
    <hyperlink r:id="rId1683" ref="C987"/>
    <hyperlink r:id="rId1684" ref="C988"/>
    <hyperlink r:id="rId1685" ref="C989"/>
    <hyperlink r:id="rId1686" ref="C990"/>
    <hyperlink r:id="rId1687" ref="C991"/>
    <hyperlink r:id="rId1688" ref="C992"/>
    <hyperlink r:id="rId1689" ref="C993"/>
    <hyperlink r:id="rId1690" ref="C994"/>
    <hyperlink r:id="rId1691" ref="C995"/>
    <hyperlink r:id="rId1692" ref="C996"/>
    <hyperlink r:id="rId1693" ref="C997"/>
    <hyperlink r:id="rId1694" ref="C998"/>
    <hyperlink r:id="rId1695" ref="C999"/>
    <hyperlink r:id="rId1696" ref="C1000"/>
    <hyperlink r:id="rId1697" ref="C1002"/>
    <hyperlink r:id="rId1698" ref="C1003"/>
    <hyperlink r:id="rId1699" ref="C1004"/>
    <hyperlink r:id="rId1700" ref="C1005"/>
    <hyperlink r:id="rId1701" ref="C1006"/>
    <hyperlink r:id="rId1702" ref="C1007"/>
    <hyperlink r:id="rId1703" ref="C1008"/>
    <hyperlink r:id="rId1704" ref="C1009"/>
    <hyperlink r:id="rId1705" ref="C1010"/>
    <hyperlink r:id="rId1706" ref="C1011"/>
    <hyperlink r:id="rId1707" ref="C1012"/>
    <hyperlink r:id="rId1708" ref="C1013"/>
    <hyperlink r:id="rId1709" ref="C1014"/>
    <hyperlink r:id="rId1710" ref="C1015"/>
    <hyperlink r:id="rId1711" ref="C1016"/>
    <hyperlink r:id="rId1712" ref="C1017"/>
    <hyperlink r:id="rId1713" ref="C1018"/>
    <hyperlink r:id="rId1714" ref="C1019"/>
    <hyperlink r:id="rId1715" ref="C1020"/>
    <hyperlink r:id="rId1716" ref="C1021"/>
    <hyperlink r:id="rId1717" ref="C1022"/>
    <hyperlink r:id="rId1718" ref="C1023"/>
    <hyperlink r:id="rId1719" ref="C1024"/>
    <hyperlink r:id="rId1720" ref="C1025"/>
    <hyperlink r:id="rId1721" ref="C1026"/>
    <hyperlink r:id="rId1722" ref="C1027"/>
    <hyperlink r:id="rId1723" ref="C1028"/>
    <hyperlink r:id="rId1724" ref="C1029"/>
    <hyperlink r:id="rId1725" ref="C1030"/>
    <hyperlink r:id="rId1726" ref="C1031"/>
    <hyperlink r:id="rId1727" ref="C1032"/>
    <hyperlink r:id="rId1728" ref="C1033"/>
    <hyperlink r:id="rId1729" ref="C1034"/>
    <hyperlink r:id="rId1730" ref="C1035"/>
    <hyperlink r:id="rId1731" ref="C1036"/>
    <hyperlink r:id="rId1732" ref="C1037"/>
    <hyperlink r:id="rId1733" ref="C1038"/>
    <hyperlink r:id="rId1734" ref="C1039"/>
    <hyperlink r:id="rId1735" ref="C1040"/>
    <hyperlink r:id="rId1736" ref="C1041"/>
    <hyperlink r:id="rId1737" ref="C1042"/>
    <hyperlink r:id="rId1738" ref="C1043"/>
    <hyperlink r:id="rId1739" ref="C1044"/>
    <hyperlink r:id="rId1740" ref="C1045"/>
    <hyperlink r:id="rId1741" ref="C1046"/>
    <hyperlink r:id="rId1742" ref="C1047"/>
    <hyperlink r:id="rId1743" ref="C1048"/>
    <hyperlink r:id="rId1744" ref="C1049"/>
    <hyperlink r:id="rId1745" ref="C1050"/>
    <hyperlink r:id="rId1746" ref="C1051"/>
    <hyperlink r:id="rId1747" ref="C1052"/>
    <hyperlink r:id="rId1748" ref="C1053"/>
    <hyperlink r:id="rId1749" ref="C1054"/>
    <hyperlink r:id="rId1750" ref="C1055"/>
    <hyperlink r:id="rId1751" ref="C1056"/>
    <hyperlink r:id="rId1752" ref="C1057"/>
    <hyperlink r:id="rId1753" ref="C1058"/>
    <hyperlink r:id="rId1754" ref="C1059"/>
    <hyperlink r:id="rId1755" ref="C1060"/>
    <hyperlink r:id="rId1756" ref="C1061"/>
    <hyperlink r:id="rId1757" ref="C1062"/>
    <hyperlink r:id="rId1758" ref="C1063"/>
    <hyperlink r:id="rId1759" ref="C1064"/>
    <hyperlink r:id="rId1760" ref="C1065"/>
    <hyperlink r:id="rId1761" ref="C1066"/>
    <hyperlink r:id="rId1762" ref="C1067"/>
    <hyperlink r:id="rId1763" ref="C1068"/>
    <hyperlink r:id="rId1764" ref="C1069"/>
    <hyperlink r:id="rId1765" ref="C1070"/>
    <hyperlink r:id="rId1766" ref="C1071"/>
    <hyperlink r:id="rId1767" ref="C1072"/>
    <hyperlink r:id="rId1768" ref="C1073"/>
    <hyperlink r:id="rId1769" ref="C1074"/>
    <hyperlink r:id="rId1770" ref="C1075"/>
    <hyperlink r:id="rId1771" ref="C1076"/>
    <hyperlink r:id="rId1772" ref="C1077"/>
    <hyperlink r:id="rId1773" ref="C1078"/>
    <hyperlink r:id="rId1774" ref="C1079"/>
    <hyperlink r:id="rId1775" ref="C1080"/>
    <hyperlink r:id="rId1776" ref="C1081"/>
    <hyperlink r:id="rId1777" ref="C1082"/>
    <hyperlink r:id="rId1778" ref="C1083"/>
    <hyperlink r:id="rId1779" ref="C1084"/>
    <hyperlink r:id="rId1780" ref="C1085"/>
    <hyperlink r:id="rId1781" ref="C1086"/>
    <hyperlink r:id="rId1782" ref="C1087"/>
    <hyperlink r:id="rId1783" ref="C1088"/>
    <hyperlink r:id="rId1784" ref="C1089"/>
    <hyperlink r:id="rId1785" ref="C1090"/>
    <hyperlink r:id="rId1786" ref="C1091"/>
    <hyperlink r:id="rId1787" ref="C1092"/>
    <hyperlink r:id="rId1788" ref="C1093"/>
    <hyperlink r:id="rId1789" ref="C1094"/>
    <hyperlink r:id="rId1790" ref="C1095"/>
    <hyperlink r:id="rId1791" ref="C1096"/>
    <hyperlink r:id="rId1792" ref="C1097"/>
    <hyperlink r:id="rId1793" ref="C1098"/>
    <hyperlink r:id="rId1794" ref="C1099"/>
    <hyperlink r:id="rId1795" ref="C1100"/>
    <hyperlink r:id="rId1796" ref="C1101"/>
    <hyperlink r:id="rId1797" ref="C1102"/>
    <hyperlink r:id="rId1798" ref="C1103"/>
    <hyperlink r:id="rId1799" ref="C1104"/>
    <hyperlink r:id="rId1800" ref="C1105"/>
    <hyperlink r:id="rId1801" ref="C1106"/>
    <hyperlink r:id="rId1802" ref="C1107"/>
    <hyperlink r:id="rId1803" ref="C1108"/>
    <hyperlink r:id="rId1804" ref="C1109"/>
    <hyperlink r:id="rId1805" ref="C1110"/>
    <hyperlink r:id="rId1806" ref="C1111"/>
    <hyperlink r:id="rId1807" ref="C1112"/>
    <hyperlink r:id="rId1808" ref="C1113"/>
    <hyperlink r:id="rId1809" ref="C1114"/>
    <hyperlink r:id="rId1810" ref="C1115"/>
    <hyperlink r:id="rId1811" ref="C1116"/>
    <hyperlink r:id="rId1812" ref="C1117"/>
    <hyperlink r:id="rId1813" ref="C1118"/>
    <hyperlink r:id="rId1814" ref="C1119"/>
    <hyperlink r:id="rId1815" ref="C1120"/>
    <hyperlink r:id="rId1816" ref="C1121"/>
    <hyperlink r:id="rId1817" ref="C1122"/>
    <hyperlink r:id="rId1818" ref="C1123"/>
    <hyperlink r:id="rId1819" ref="C1124"/>
    <hyperlink r:id="rId1820" ref="C1125"/>
    <hyperlink r:id="rId1821" ref="C1126"/>
    <hyperlink r:id="rId1822" ref="C1127"/>
    <hyperlink r:id="rId1823" ref="C1128"/>
    <hyperlink r:id="rId1824" ref="C1129"/>
    <hyperlink r:id="rId1825" ref="C1130"/>
    <hyperlink r:id="rId1826" ref="C1131"/>
    <hyperlink r:id="rId1827" ref="C1132"/>
    <hyperlink r:id="rId1828" ref="C1133"/>
    <hyperlink r:id="rId1829" ref="C1134"/>
    <hyperlink r:id="rId1830" ref="C1135"/>
  </hyperlinks>
  <drawing r:id="rId183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13"/>
    <col customWidth="1" min="2" max="2" width="8.63"/>
    <col customWidth="1" min="3" max="3" width="28.38"/>
    <col customWidth="1" min="4" max="4" width="15.75"/>
    <col customWidth="1" min="5" max="5" width="28.38"/>
    <col customWidth="1" min="6" max="22" width="8.63"/>
    <col customWidth="1" min="23" max="23" width="42.25"/>
    <col customWidth="1" min="24" max="39" width="8.63"/>
  </cols>
  <sheetData>
    <row r="1">
      <c r="A1" s="3" t="s">
        <v>1329</v>
      </c>
      <c r="B1" s="3" t="s">
        <v>1330</v>
      </c>
      <c r="C1" s="3" t="s">
        <v>1331</v>
      </c>
      <c r="D1" s="3" t="s">
        <v>1332</v>
      </c>
      <c r="E1" s="3" t="s">
        <v>1333</v>
      </c>
      <c r="F1" s="3" t="s">
        <v>1334</v>
      </c>
      <c r="G1" s="3" t="s">
        <v>1335</v>
      </c>
      <c r="H1" s="3" t="s">
        <v>1336</v>
      </c>
      <c r="I1" s="3" t="s">
        <v>1337</v>
      </c>
      <c r="J1" s="3" t="s">
        <v>1338</v>
      </c>
      <c r="K1" s="3" t="s">
        <v>1339</v>
      </c>
      <c r="L1" s="3" t="s">
        <v>1340</v>
      </c>
      <c r="M1" s="3" t="s">
        <v>1341</v>
      </c>
      <c r="N1" s="3" t="s">
        <v>1342</v>
      </c>
      <c r="O1" s="3" t="s">
        <v>1343</v>
      </c>
      <c r="P1" s="3" t="s">
        <v>1344</v>
      </c>
      <c r="Q1" s="3" t="s">
        <v>1345</v>
      </c>
      <c r="R1" s="3" t="s">
        <v>1346</v>
      </c>
      <c r="S1" s="3" t="s">
        <v>1347</v>
      </c>
      <c r="T1" s="3" t="s">
        <v>1348</v>
      </c>
      <c r="U1" s="3" t="s">
        <v>1349</v>
      </c>
      <c r="V1" s="3" t="s">
        <v>1350</v>
      </c>
      <c r="W1" s="3" t="s">
        <v>1351</v>
      </c>
      <c r="X1" s="3" t="s">
        <v>1352</v>
      </c>
      <c r="Y1" s="3" t="s">
        <v>1353</v>
      </c>
      <c r="Z1" s="3" t="s">
        <v>1354</v>
      </c>
      <c r="AA1" s="3" t="s">
        <v>1355</v>
      </c>
      <c r="AB1" s="3" t="s">
        <v>1356</v>
      </c>
      <c r="AC1" s="3" t="s">
        <v>1357</v>
      </c>
      <c r="AD1" s="3" t="s">
        <v>1358</v>
      </c>
      <c r="AE1" s="3" t="s">
        <v>1359</v>
      </c>
      <c r="AF1" s="3" t="s">
        <v>1360</v>
      </c>
      <c r="AG1" s="3" t="s">
        <v>1361</v>
      </c>
      <c r="AH1" s="3" t="s">
        <v>1362</v>
      </c>
      <c r="AI1" s="3" t="s">
        <v>1363</v>
      </c>
      <c r="AJ1" s="3" t="s">
        <v>1364</v>
      </c>
      <c r="AK1" s="3" t="s">
        <v>1365</v>
      </c>
      <c r="AL1" s="3" t="s">
        <v>1366</v>
      </c>
      <c r="AM1" s="3" t="s">
        <v>1367</v>
      </c>
    </row>
    <row r="2">
      <c r="A2" s="3">
        <v>1.73034E12</v>
      </c>
      <c r="B2" s="3">
        <v>13.0</v>
      </c>
      <c r="C2" s="3" t="s">
        <v>1368</v>
      </c>
      <c r="D2" s="3" t="s">
        <v>1369</v>
      </c>
      <c r="E2" s="3" t="s">
        <v>1368</v>
      </c>
      <c r="F2" s="3">
        <v>1.0</v>
      </c>
      <c r="G2" s="3">
        <v>1.0</v>
      </c>
      <c r="H2" s="3">
        <v>1.0</v>
      </c>
      <c r="I2" s="3">
        <v>1.0</v>
      </c>
      <c r="J2" s="3">
        <v>1.0</v>
      </c>
      <c r="K2" s="3">
        <v>1.0</v>
      </c>
      <c r="L2" s="3">
        <v>1.0</v>
      </c>
      <c r="M2" s="3">
        <v>1.0</v>
      </c>
      <c r="N2" s="3">
        <v>1.0</v>
      </c>
      <c r="O2" s="3">
        <v>1.0</v>
      </c>
      <c r="P2" s="3">
        <v>1.0</v>
      </c>
      <c r="Q2" s="3">
        <v>1.0</v>
      </c>
      <c r="R2" s="3">
        <v>0.0</v>
      </c>
      <c r="S2" s="3">
        <v>0.0</v>
      </c>
      <c r="T2" s="3">
        <v>1.0</v>
      </c>
      <c r="U2" s="3">
        <v>0.0</v>
      </c>
      <c r="V2" s="3">
        <v>0.0</v>
      </c>
      <c r="W2" s="3" t="s">
        <v>425</v>
      </c>
      <c r="X2" s="3" t="s">
        <v>1370</v>
      </c>
      <c r="Y2" s="3" t="s">
        <v>1371</v>
      </c>
      <c r="Z2" s="3" t="s">
        <v>1372</v>
      </c>
      <c r="AA2" s="3" t="s">
        <v>1373</v>
      </c>
      <c r="AB2" s="3" t="s">
        <v>1374</v>
      </c>
      <c r="AC2" s="3" t="s">
        <v>1374</v>
      </c>
      <c r="AD2" s="3" t="s">
        <v>1375</v>
      </c>
      <c r="AE2" s="3" t="s">
        <v>1376</v>
      </c>
      <c r="AF2" s="3">
        <v>0.555</v>
      </c>
      <c r="AG2" s="3">
        <v>2.828</v>
      </c>
      <c r="AH2" s="3">
        <v>0.318</v>
      </c>
      <c r="AI2" s="3">
        <v>112.786</v>
      </c>
      <c r="AJ2" s="3">
        <v>7.183</v>
      </c>
      <c r="AK2" s="3" t="s">
        <v>1377</v>
      </c>
      <c r="AL2" s="3">
        <v>0.56</v>
      </c>
      <c r="AM2" s="3" t="s">
        <v>1378</v>
      </c>
    </row>
    <row r="3">
      <c r="A3" s="3">
        <v>1.72978E12</v>
      </c>
      <c r="B3" s="3">
        <v>13.0</v>
      </c>
      <c r="C3" s="3" t="s">
        <v>611</v>
      </c>
      <c r="D3" s="3" t="s">
        <v>1369</v>
      </c>
      <c r="E3" s="3" t="s">
        <v>611</v>
      </c>
      <c r="F3" s="3">
        <v>1.0</v>
      </c>
      <c r="G3" s="3">
        <v>1.0</v>
      </c>
      <c r="H3" s="3">
        <v>1.0</v>
      </c>
      <c r="I3" s="3">
        <v>1.0</v>
      </c>
      <c r="J3" s="3">
        <v>1.0</v>
      </c>
      <c r="K3" s="3">
        <v>1.0</v>
      </c>
      <c r="L3" s="3">
        <v>1.0</v>
      </c>
      <c r="M3" s="3">
        <v>1.0</v>
      </c>
      <c r="N3" s="3">
        <v>1.0</v>
      </c>
      <c r="O3" s="3">
        <v>1.0</v>
      </c>
      <c r="P3" s="3">
        <v>1.0</v>
      </c>
      <c r="Q3" s="3">
        <v>0.0</v>
      </c>
      <c r="R3" s="3">
        <v>0.0</v>
      </c>
      <c r="S3" s="3">
        <v>0.0</v>
      </c>
      <c r="T3" s="3">
        <v>1.0</v>
      </c>
      <c r="U3" s="3">
        <v>0.0</v>
      </c>
      <c r="V3" s="3">
        <v>1.0</v>
      </c>
      <c r="W3" s="3" t="s">
        <v>200</v>
      </c>
      <c r="X3" s="3" t="s">
        <v>1379</v>
      </c>
      <c r="Y3" s="3" t="s">
        <v>1380</v>
      </c>
      <c r="Z3" s="3" t="s">
        <v>1381</v>
      </c>
      <c r="AA3" s="3" t="s">
        <v>1382</v>
      </c>
      <c r="AB3" s="3" t="s">
        <v>1374</v>
      </c>
      <c r="AC3" s="3" t="s">
        <v>1383</v>
      </c>
      <c r="AD3" s="3" t="s">
        <v>1384</v>
      </c>
      <c r="AE3" s="3" t="s">
        <v>1385</v>
      </c>
      <c r="AF3" s="3">
        <v>0.191</v>
      </c>
      <c r="AG3" s="3">
        <v>2.341</v>
      </c>
      <c r="AH3" s="3">
        <v>0.206</v>
      </c>
      <c r="AI3" s="3">
        <v>64.136</v>
      </c>
      <c r="AJ3" s="3">
        <v>0.335</v>
      </c>
      <c r="AK3" s="3" t="s">
        <v>1386</v>
      </c>
      <c r="AL3" s="3">
        <v>0.024</v>
      </c>
      <c r="AM3" s="3" t="s">
        <v>1387</v>
      </c>
    </row>
    <row r="4">
      <c r="A4" s="3">
        <v>1.73031E12</v>
      </c>
      <c r="B4" s="3">
        <v>17.0</v>
      </c>
      <c r="C4" s="3" t="s">
        <v>470</v>
      </c>
      <c r="D4" s="3" t="s">
        <v>1369</v>
      </c>
      <c r="E4" s="3" t="s">
        <v>470</v>
      </c>
      <c r="F4" s="3">
        <v>1.0</v>
      </c>
      <c r="G4" s="3">
        <v>1.0</v>
      </c>
      <c r="H4" s="3">
        <v>1.0</v>
      </c>
      <c r="I4" s="3">
        <v>1.0</v>
      </c>
      <c r="J4" s="3">
        <v>1.0</v>
      </c>
      <c r="K4" s="3">
        <v>1.0</v>
      </c>
      <c r="L4" s="3">
        <v>1.0</v>
      </c>
      <c r="M4" s="3">
        <v>1.0</v>
      </c>
      <c r="N4" s="3">
        <v>1.0</v>
      </c>
      <c r="O4" s="3">
        <v>1.0</v>
      </c>
      <c r="P4" s="3">
        <v>1.0</v>
      </c>
      <c r="Q4" s="3">
        <v>1.0</v>
      </c>
      <c r="R4" s="3">
        <v>1.0</v>
      </c>
      <c r="S4" s="3">
        <v>1.0</v>
      </c>
      <c r="T4" s="3">
        <v>1.0</v>
      </c>
      <c r="U4" s="3">
        <v>1.0</v>
      </c>
      <c r="V4" s="3">
        <v>1.0</v>
      </c>
      <c r="W4" s="3" t="s">
        <v>1323</v>
      </c>
      <c r="X4" s="3" t="s">
        <v>1388</v>
      </c>
      <c r="Y4" s="3" t="s">
        <v>1389</v>
      </c>
      <c r="Z4" s="3" t="s">
        <v>1372</v>
      </c>
      <c r="AA4" s="3" t="s">
        <v>1390</v>
      </c>
      <c r="AB4" s="3" t="s">
        <v>1374</v>
      </c>
      <c r="AC4" s="3" t="s">
        <v>1391</v>
      </c>
      <c r="AD4" s="3" t="s">
        <v>1392</v>
      </c>
      <c r="AE4" s="3" t="s">
        <v>1393</v>
      </c>
      <c r="AF4" s="3">
        <v>0.071</v>
      </c>
      <c r="AG4" s="3">
        <v>1.027</v>
      </c>
      <c r="AH4" s="3" t="s">
        <v>1394</v>
      </c>
      <c r="AI4" s="3" t="s">
        <v>1394</v>
      </c>
      <c r="AJ4" s="3">
        <v>13.488</v>
      </c>
      <c r="AK4" s="3" t="s">
        <v>1395</v>
      </c>
      <c r="AL4" s="3" t="s">
        <v>1394</v>
      </c>
      <c r="AM4" s="3" t="s">
        <v>1396</v>
      </c>
    </row>
    <row r="5">
      <c r="A5" s="3">
        <v>1.73039E12</v>
      </c>
      <c r="B5" s="3">
        <v>9.0</v>
      </c>
      <c r="C5" s="3" t="s">
        <v>1397</v>
      </c>
      <c r="D5" s="3" t="s">
        <v>1369</v>
      </c>
      <c r="E5" s="3" t="s">
        <v>1397</v>
      </c>
      <c r="F5" s="3">
        <v>1.0</v>
      </c>
      <c r="G5" s="3">
        <v>0.0</v>
      </c>
      <c r="H5" s="3">
        <v>1.0</v>
      </c>
      <c r="I5" s="3">
        <v>1.0</v>
      </c>
      <c r="J5" s="3">
        <v>1.0</v>
      </c>
      <c r="K5" s="3">
        <v>1.0</v>
      </c>
      <c r="L5" s="3">
        <v>1.0</v>
      </c>
      <c r="M5" s="3">
        <v>1.0</v>
      </c>
      <c r="N5" s="3">
        <v>0.0</v>
      </c>
      <c r="O5" s="3">
        <v>0.0</v>
      </c>
      <c r="P5" s="3">
        <v>0.0</v>
      </c>
      <c r="Q5" s="3">
        <v>0.0</v>
      </c>
      <c r="R5" s="3">
        <v>0.0</v>
      </c>
      <c r="S5" s="3">
        <v>0.0</v>
      </c>
      <c r="T5" s="3">
        <v>1.0</v>
      </c>
      <c r="U5" s="3">
        <v>0.0</v>
      </c>
      <c r="V5" s="3">
        <v>1.0</v>
      </c>
      <c r="W5" s="3" t="s">
        <v>399</v>
      </c>
      <c r="X5" s="3" t="s">
        <v>1398</v>
      </c>
      <c r="Y5" s="3" t="s">
        <v>1399</v>
      </c>
      <c r="Z5" s="3" t="s">
        <v>1372</v>
      </c>
      <c r="AA5" s="3" t="s">
        <v>1373</v>
      </c>
      <c r="AB5" s="3" t="s">
        <v>1374</v>
      </c>
      <c r="AC5" s="3" t="s">
        <v>1400</v>
      </c>
      <c r="AD5" s="3" t="s">
        <v>1401</v>
      </c>
      <c r="AE5" s="3" t="s">
        <v>1402</v>
      </c>
      <c r="AF5" s="3">
        <v>0.006</v>
      </c>
      <c r="AG5" s="3">
        <v>0.072</v>
      </c>
      <c r="AH5" s="3">
        <v>0.195</v>
      </c>
      <c r="AI5" s="3">
        <v>-87.923</v>
      </c>
      <c r="AJ5" s="3">
        <v>8.399</v>
      </c>
      <c r="AK5" s="3" t="s">
        <v>1403</v>
      </c>
      <c r="AL5" s="3">
        <v>0.259</v>
      </c>
      <c r="AM5" s="3" t="s">
        <v>1404</v>
      </c>
    </row>
    <row r="6">
      <c r="A6" s="3">
        <v>1.7304E12</v>
      </c>
      <c r="B6" s="3">
        <v>17.0</v>
      </c>
      <c r="C6" s="3" t="s">
        <v>846</v>
      </c>
      <c r="D6" s="3" t="s">
        <v>1369</v>
      </c>
      <c r="E6" s="3" t="s">
        <v>846</v>
      </c>
      <c r="F6" s="3">
        <v>1.0</v>
      </c>
      <c r="G6" s="3">
        <v>1.0</v>
      </c>
      <c r="H6" s="3">
        <v>1.0</v>
      </c>
      <c r="I6" s="3">
        <v>1.0</v>
      </c>
      <c r="J6" s="3">
        <v>1.0</v>
      </c>
      <c r="K6" s="3">
        <v>1.0</v>
      </c>
      <c r="L6" s="3">
        <v>1.0</v>
      </c>
      <c r="M6" s="3">
        <v>1.0</v>
      </c>
      <c r="N6" s="3">
        <v>1.0</v>
      </c>
      <c r="O6" s="3">
        <v>1.0</v>
      </c>
      <c r="P6" s="3">
        <v>1.0</v>
      </c>
      <c r="Q6" s="3">
        <v>1.0</v>
      </c>
      <c r="R6" s="3">
        <v>1.0</v>
      </c>
      <c r="S6" s="3">
        <v>1.0</v>
      </c>
      <c r="T6" s="3">
        <v>1.0</v>
      </c>
      <c r="U6" s="3">
        <v>1.0</v>
      </c>
      <c r="V6" s="3">
        <v>1.0</v>
      </c>
      <c r="W6" s="3" t="s">
        <v>1110</v>
      </c>
      <c r="X6" s="3" t="s">
        <v>1405</v>
      </c>
      <c r="Y6" s="3" t="s">
        <v>1406</v>
      </c>
      <c r="Z6" s="3" t="s">
        <v>1372</v>
      </c>
      <c r="AA6" s="3" t="s">
        <v>1407</v>
      </c>
      <c r="AB6" s="3" t="s">
        <v>1374</v>
      </c>
      <c r="AC6" s="3" t="s">
        <v>1400</v>
      </c>
      <c r="AD6" s="3" t="s">
        <v>1408</v>
      </c>
      <c r="AE6" s="3" t="s">
        <v>1409</v>
      </c>
      <c r="AF6" s="3">
        <v>-0.017</v>
      </c>
      <c r="AG6" s="3">
        <v>-0.05</v>
      </c>
      <c r="AH6" s="3">
        <v>0.172</v>
      </c>
      <c r="AI6" s="3" t="s">
        <v>1394</v>
      </c>
      <c r="AJ6" s="3">
        <v>12.606</v>
      </c>
      <c r="AK6" s="3" t="s">
        <v>1410</v>
      </c>
      <c r="AL6" s="3" t="s">
        <v>1394</v>
      </c>
      <c r="AM6" s="3" t="s">
        <v>1411</v>
      </c>
    </row>
    <row r="7">
      <c r="A7" s="3">
        <v>1.7304E12</v>
      </c>
      <c r="B7" s="3">
        <v>16.0</v>
      </c>
      <c r="C7" s="3" t="s">
        <v>1412</v>
      </c>
      <c r="D7" s="3" t="s">
        <v>1369</v>
      </c>
      <c r="E7" s="3" t="s">
        <v>1412</v>
      </c>
      <c r="F7" s="3">
        <v>1.0</v>
      </c>
      <c r="G7" s="3">
        <v>1.0</v>
      </c>
      <c r="H7" s="3">
        <v>1.0</v>
      </c>
      <c r="I7" s="3">
        <v>1.0</v>
      </c>
      <c r="J7" s="3">
        <v>1.0</v>
      </c>
      <c r="K7" s="3">
        <v>1.0</v>
      </c>
      <c r="L7" s="3">
        <v>0.0</v>
      </c>
      <c r="M7" s="3">
        <v>1.0</v>
      </c>
      <c r="N7" s="3">
        <v>1.0</v>
      </c>
      <c r="O7" s="3">
        <v>1.0</v>
      </c>
      <c r="P7" s="3">
        <v>1.0</v>
      </c>
      <c r="Q7" s="3">
        <v>1.0</v>
      </c>
      <c r="R7" s="3">
        <v>1.0</v>
      </c>
      <c r="S7" s="3">
        <v>1.0</v>
      </c>
      <c r="T7" s="3">
        <v>1.0</v>
      </c>
      <c r="U7" s="3">
        <v>1.0</v>
      </c>
      <c r="V7" s="3">
        <v>1.0</v>
      </c>
      <c r="W7" s="3" t="s">
        <v>758</v>
      </c>
      <c r="X7" s="3" t="s">
        <v>1413</v>
      </c>
      <c r="Y7" s="3" t="s">
        <v>1414</v>
      </c>
      <c r="Z7" s="3" t="s">
        <v>1372</v>
      </c>
      <c r="AA7" s="3" t="s">
        <v>1415</v>
      </c>
      <c r="AB7" s="3" t="s">
        <v>1374</v>
      </c>
      <c r="AD7" s="3" t="s">
        <v>1416</v>
      </c>
      <c r="AE7" s="3" t="s">
        <v>1417</v>
      </c>
      <c r="AF7" s="3">
        <v>-0.005</v>
      </c>
      <c r="AG7" s="3">
        <v>-0.053</v>
      </c>
      <c r="AH7" s="3">
        <v>0.295</v>
      </c>
      <c r="AI7" s="3">
        <v>143.462</v>
      </c>
      <c r="AJ7" s="3">
        <v>-42.032</v>
      </c>
      <c r="AK7" s="3" t="s">
        <v>1418</v>
      </c>
      <c r="AL7" s="3">
        <v>0.075</v>
      </c>
      <c r="AM7" s="3" t="s">
        <v>1419</v>
      </c>
    </row>
    <row r="8">
      <c r="A8" s="3">
        <v>1.73038E12</v>
      </c>
      <c r="B8" s="3">
        <v>13.0</v>
      </c>
      <c r="C8" s="3" t="s">
        <v>1420</v>
      </c>
      <c r="D8" s="3" t="s">
        <v>1369</v>
      </c>
      <c r="E8" s="3" t="s">
        <v>1420</v>
      </c>
      <c r="F8" s="3">
        <v>1.0</v>
      </c>
      <c r="G8" s="3">
        <v>1.0</v>
      </c>
      <c r="H8" s="3">
        <v>1.0</v>
      </c>
      <c r="I8" s="3">
        <v>1.0</v>
      </c>
      <c r="J8" s="3">
        <v>1.0</v>
      </c>
      <c r="K8" s="3">
        <v>1.0</v>
      </c>
      <c r="L8" s="3">
        <v>1.0</v>
      </c>
      <c r="M8" s="3">
        <v>1.0</v>
      </c>
      <c r="N8" s="3">
        <v>1.0</v>
      </c>
      <c r="O8" s="3">
        <v>1.0</v>
      </c>
      <c r="P8" s="3">
        <v>1.0</v>
      </c>
      <c r="Q8" s="3">
        <v>0.0</v>
      </c>
      <c r="R8" s="3">
        <v>0.0</v>
      </c>
      <c r="S8" s="3">
        <v>0.0</v>
      </c>
      <c r="T8" s="3">
        <v>1.0</v>
      </c>
      <c r="U8" s="3">
        <v>0.0</v>
      </c>
      <c r="V8" s="3">
        <v>1.0</v>
      </c>
      <c r="W8" s="3" t="s">
        <v>342</v>
      </c>
      <c r="X8" s="3" t="s">
        <v>1421</v>
      </c>
      <c r="Y8" s="3" t="s">
        <v>1422</v>
      </c>
      <c r="Z8" s="3" t="s">
        <v>1423</v>
      </c>
      <c r="AA8" s="3" t="s">
        <v>1424</v>
      </c>
      <c r="AB8" s="3" t="s">
        <v>1374</v>
      </c>
      <c r="AC8" s="3" t="s">
        <v>1391</v>
      </c>
      <c r="AD8" s="3" t="s">
        <v>1425</v>
      </c>
      <c r="AE8" s="3" t="s">
        <v>1426</v>
      </c>
      <c r="AF8" s="3">
        <v>0.054</v>
      </c>
      <c r="AG8" s="3">
        <v>0.221</v>
      </c>
      <c r="AH8" s="3">
        <v>0.344</v>
      </c>
      <c r="AI8" s="3">
        <v>-27.575</v>
      </c>
      <c r="AJ8" s="3">
        <v>0.121</v>
      </c>
      <c r="AK8" s="3" t="s">
        <v>1427</v>
      </c>
      <c r="AL8" s="3">
        <v>0.185</v>
      </c>
      <c r="AM8" s="3" t="s">
        <v>1428</v>
      </c>
    </row>
    <row r="9">
      <c r="A9" s="3">
        <v>1.7304E12</v>
      </c>
      <c r="B9" s="3">
        <v>17.0</v>
      </c>
      <c r="C9" s="3" t="s">
        <v>936</v>
      </c>
      <c r="D9" s="3" t="s">
        <v>1369</v>
      </c>
      <c r="E9" s="3" t="s">
        <v>936</v>
      </c>
      <c r="F9" s="3">
        <v>1.0</v>
      </c>
      <c r="G9" s="3">
        <v>1.0</v>
      </c>
      <c r="H9" s="3">
        <v>1.0</v>
      </c>
      <c r="I9" s="3">
        <v>1.0</v>
      </c>
      <c r="J9" s="3">
        <v>1.0</v>
      </c>
      <c r="K9" s="3">
        <v>1.0</v>
      </c>
      <c r="L9" s="3">
        <v>1.0</v>
      </c>
      <c r="M9" s="3">
        <v>1.0</v>
      </c>
      <c r="N9" s="3">
        <v>1.0</v>
      </c>
      <c r="O9" s="3">
        <v>1.0</v>
      </c>
      <c r="P9" s="3">
        <v>1.0</v>
      </c>
      <c r="Q9" s="3">
        <v>1.0</v>
      </c>
      <c r="R9" s="3">
        <v>1.0</v>
      </c>
      <c r="S9" s="3">
        <v>1.0</v>
      </c>
      <c r="T9" s="3">
        <v>1.0</v>
      </c>
      <c r="U9" s="3">
        <v>1.0</v>
      </c>
      <c r="V9" s="3">
        <v>1.0</v>
      </c>
      <c r="W9" s="3" t="s">
        <v>1278</v>
      </c>
      <c r="X9" s="3" t="s">
        <v>1429</v>
      </c>
      <c r="Y9" s="3" t="s">
        <v>1430</v>
      </c>
      <c r="Z9" s="3" t="s">
        <v>1431</v>
      </c>
      <c r="AA9" s="3" t="s">
        <v>1432</v>
      </c>
      <c r="AB9" s="3" t="s">
        <v>1374</v>
      </c>
      <c r="AC9" s="3" t="s">
        <v>1391</v>
      </c>
      <c r="AD9" s="3" t="s">
        <v>1433</v>
      </c>
      <c r="AE9" s="3" t="s">
        <v>1434</v>
      </c>
      <c r="AF9" s="3">
        <v>0.168</v>
      </c>
      <c r="AG9" s="3">
        <v>1.192</v>
      </c>
      <c r="AH9" s="3">
        <v>0.334</v>
      </c>
      <c r="AI9" s="3">
        <v>111.969</v>
      </c>
      <c r="AJ9" s="3">
        <v>-5.301</v>
      </c>
      <c r="AK9" s="3" t="s">
        <v>1435</v>
      </c>
      <c r="AL9" s="3">
        <v>0.113</v>
      </c>
      <c r="AM9" s="3" t="s">
        <v>1436</v>
      </c>
    </row>
    <row r="10">
      <c r="A10" s="3">
        <v>1.73037E12</v>
      </c>
      <c r="B10" s="3">
        <v>17.0</v>
      </c>
      <c r="C10" s="3" t="s">
        <v>1437</v>
      </c>
      <c r="D10" s="3" t="s">
        <v>1369</v>
      </c>
      <c r="E10" s="3" t="s">
        <v>1437</v>
      </c>
      <c r="F10" s="3">
        <v>1.0</v>
      </c>
      <c r="G10" s="3">
        <v>1.0</v>
      </c>
      <c r="H10" s="3">
        <v>1.0</v>
      </c>
      <c r="I10" s="3">
        <v>1.0</v>
      </c>
      <c r="J10" s="3">
        <v>1.0</v>
      </c>
      <c r="K10" s="3">
        <v>1.0</v>
      </c>
      <c r="L10" s="3">
        <v>1.0</v>
      </c>
      <c r="M10" s="3">
        <v>1.0</v>
      </c>
      <c r="N10" s="3">
        <v>1.0</v>
      </c>
      <c r="O10" s="3">
        <v>1.0</v>
      </c>
      <c r="P10" s="3">
        <v>1.0</v>
      </c>
      <c r="Q10" s="3">
        <v>1.0</v>
      </c>
      <c r="R10" s="3">
        <v>1.0</v>
      </c>
      <c r="S10" s="3">
        <v>1.0</v>
      </c>
      <c r="T10" s="3">
        <v>1.0</v>
      </c>
      <c r="U10" s="3">
        <v>1.0</v>
      </c>
      <c r="V10" s="3">
        <v>1.0</v>
      </c>
      <c r="W10" s="3" t="s">
        <v>1277</v>
      </c>
      <c r="X10" s="3" t="s">
        <v>1438</v>
      </c>
      <c r="Y10" s="3" t="s">
        <v>1439</v>
      </c>
      <c r="Z10" s="3" t="s">
        <v>1440</v>
      </c>
      <c r="AA10" s="3" t="s">
        <v>1441</v>
      </c>
      <c r="AB10" s="3" t="s">
        <v>1442</v>
      </c>
      <c r="AC10" s="3" t="s">
        <v>1442</v>
      </c>
      <c r="AD10" s="3" t="s">
        <v>1443</v>
      </c>
      <c r="AE10" s="3" t="s">
        <v>1444</v>
      </c>
      <c r="AF10" s="3">
        <v>0.082</v>
      </c>
      <c r="AG10" s="3">
        <v>0.291</v>
      </c>
      <c r="AH10" s="3" t="s">
        <v>1394</v>
      </c>
      <c r="AI10" s="3" t="s">
        <v>1394</v>
      </c>
      <c r="AJ10" s="3">
        <v>-1.618</v>
      </c>
      <c r="AK10" s="3" t="s">
        <v>1445</v>
      </c>
      <c r="AL10" s="3" t="s">
        <v>1394</v>
      </c>
      <c r="AM10" s="3" t="s">
        <v>1446</v>
      </c>
    </row>
    <row r="11">
      <c r="A11" s="3">
        <v>1.73019E12</v>
      </c>
      <c r="B11" s="3">
        <v>15.0</v>
      </c>
      <c r="C11" s="3" t="s">
        <v>863</v>
      </c>
      <c r="D11" s="3" t="s">
        <v>1369</v>
      </c>
      <c r="E11" s="3" t="s">
        <v>863</v>
      </c>
      <c r="F11" s="3">
        <v>1.0</v>
      </c>
      <c r="G11" s="3">
        <v>1.0</v>
      </c>
      <c r="H11" s="3">
        <v>1.0</v>
      </c>
      <c r="I11" s="3">
        <v>1.0</v>
      </c>
      <c r="J11" s="3">
        <v>1.0</v>
      </c>
      <c r="K11" s="3">
        <v>1.0</v>
      </c>
      <c r="L11" s="3">
        <v>1.0</v>
      </c>
      <c r="M11" s="3">
        <v>1.0</v>
      </c>
      <c r="N11" s="3">
        <v>1.0</v>
      </c>
      <c r="O11" s="3">
        <v>1.0</v>
      </c>
      <c r="P11" s="3">
        <v>1.0</v>
      </c>
      <c r="Q11" s="3">
        <v>1.0</v>
      </c>
      <c r="R11" s="3">
        <v>1.0</v>
      </c>
      <c r="S11" s="3">
        <v>0.0</v>
      </c>
      <c r="T11" s="3">
        <v>1.0</v>
      </c>
      <c r="U11" s="3">
        <v>0.0</v>
      </c>
      <c r="V11" s="3">
        <v>1.0</v>
      </c>
      <c r="W11" s="3" t="s">
        <v>788</v>
      </c>
      <c r="X11" s="3" t="s">
        <v>1447</v>
      </c>
      <c r="Y11" s="3" t="s">
        <v>1448</v>
      </c>
      <c r="Z11" s="3" t="s">
        <v>1449</v>
      </c>
      <c r="AA11" s="3" t="s">
        <v>1450</v>
      </c>
      <c r="AB11" s="3" t="s">
        <v>1374</v>
      </c>
      <c r="AC11" s="3" t="s">
        <v>1451</v>
      </c>
      <c r="AD11" s="3" t="s">
        <v>1452</v>
      </c>
      <c r="AE11" s="3" t="s">
        <v>1453</v>
      </c>
      <c r="AF11" s="3">
        <v>0.033</v>
      </c>
      <c r="AG11" s="3">
        <v>0.214</v>
      </c>
      <c r="AH11" s="3">
        <v>0.368</v>
      </c>
      <c r="AI11" s="3">
        <v>49.395</v>
      </c>
      <c r="AJ11" s="3">
        <v>0.002</v>
      </c>
      <c r="AK11" s="3" t="s">
        <v>1454</v>
      </c>
      <c r="AL11" s="3">
        <v>0.398</v>
      </c>
      <c r="AM11" s="3" t="s">
        <v>1455</v>
      </c>
    </row>
    <row r="12">
      <c r="A12" s="3">
        <v>1.73013E12</v>
      </c>
      <c r="B12" s="3">
        <v>13.0</v>
      </c>
      <c r="C12" s="3" t="s">
        <v>650</v>
      </c>
      <c r="D12" s="3" t="s">
        <v>1369</v>
      </c>
      <c r="E12" s="3" t="s">
        <v>650</v>
      </c>
      <c r="F12" s="3">
        <v>1.0</v>
      </c>
      <c r="G12" s="3">
        <v>1.0</v>
      </c>
      <c r="H12" s="3">
        <v>1.0</v>
      </c>
      <c r="I12" s="3">
        <v>1.0</v>
      </c>
      <c r="J12" s="3">
        <v>1.0</v>
      </c>
      <c r="K12" s="3">
        <v>1.0</v>
      </c>
      <c r="L12" s="3">
        <v>1.0</v>
      </c>
      <c r="M12" s="3">
        <v>1.0</v>
      </c>
      <c r="N12" s="3">
        <v>1.0</v>
      </c>
      <c r="O12" s="3">
        <v>1.0</v>
      </c>
      <c r="P12" s="3">
        <v>1.0</v>
      </c>
      <c r="Q12" s="3">
        <v>1.0</v>
      </c>
      <c r="R12" s="3">
        <v>0.0</v>
      </c>
      <c r="S12" s="3">
        <v>0.0</v>
      </c>
      <c r="T12" s="3">
        <v>0.0</v>
      </c>
      <c r="U12" s="3">
        <v>0.0</v>
      </c>
      <c r="V12" s="3">
        <v>1.0</v>
      </c>
      <c r="W12" s="3" t="s">
        <v>196</v>
      </c>
      <c r="X12" s="3" t="s">
        <v>1456</v>
      </c>
      <c r="Y12" s="3" t="s">
        <v>1457</v>
      </c>
      <c r="Z12" s="3" t="s">
        <v>1423</v>
      </c>
      <c r="AA12" s="3" t="s">
        <v>1458</v>
      </c>
      <c r="AB12" s="3" t="s">
        <v>1374</v>
      </c>
      <c r="AC12" s="3" t="s">
        <v>1391</v>
      </c>
      <c r="AD12" s="3" t="s">
        <v>1392</v>
      </c>
      <c r="AE12" s="3" t="s">
        <v>1459</v>
      </c>
      <c r="AF12" s="3">
        <v>0.076</v>
      </c>
      <c r="AG12" s="3">
        <v>0.614</v>
      </c>
      <c r="AH12" s="3">
        <v>0.335</v>
      </c>
      <c r="AI12" s="3">
        <v>-199.699</v>
      </c>
      <c r="AJ12" s="3">
        <v>2.964</v>
      </c>
      <c r="AK12" s="3" t="s">
        <v>1460</v>
      </c>
      <c r="AL12" s="3">
        <v>0.056</v>
      </c>
      <c r="AM12" s="3" t="s">
        <v>1461</v>
      </c>
    </row>
    <row r="13">
      <c r="A13" s="3">
        <v>1.7304E12</v>
      </c>
      <c r="B13" s="3">
        <v>11.0</v>
      </c>
      <c r="C13" s="3" t="s">
        <v>765</v>
      </c>
      <c r="D13" s="3" t="s">
        <v>1369</v>
      </c>
      <c r="E13" s="3" t="s">
        <v>765</v>
      </c>
      <c r="F13" s="3">
        <v>1.0</v>
      </c>
      <c r="G13" s="3">
        <v>1.0</v>
      </c>
      <c r="H13" s="3">
        <v>1.0</v>
      </c>
      <c r="I13" s="3">
        <v>1.0</v>
      </c>
      <c r="J13" s="3">
        <v>0.0</v>
      </c>
      <c r="K13" s="3">
        <v>1.0</v>
      </c>
      <c r="L13" s="3">
        <v>1.0</v>
      </c>
      <c r="M13" s="3">
        <v>1.0</v>
      </c>
      <c r="N13" s="3">
        <v>1.0</v>
      </c>
      <c r="O13" s="3">
        <v>1.0</v>
      </c>
      <c r="P13" s="3">
        <v>1.0</v>
      </c>
      <c r="Q13" s="3">
        <v>0.0</v>
      </c>
      <c r="R13" s="3">
        <v>0.0</v>
      </c>
      <c r="S13" s="3">
        <v>0.0</v>
      </c>
      <c r="T13" s="3">
        <v>0.0</v>
      </c>
      <c r="U13" s="3">
        <v>0.0</v>
      </c>
      <c r="V13" s="3">
        <v>1.0</v>
      </c>
      <c r="W13" s="3" t="s">
        <v>264</v>
      </c>
      <c r="X13" s="3" t="s">
        <v>1398</v>
      </c>
      <c r="Y13" s="3" t="s">
        <v>1399</v>
      </c>
      <c r="Z13" s="3" t="s">
        <v>1449</v>
      </c>
      <c r="AA13" s="3" t="s">
        <v>1462</v>
      </c>
      <c r="AB13" s="3" t="s">
        <v>1374</v>
      </c>
      <c r="AC13" s="3" t="s">
        <v>1400</v>
      </c>
      <c r="AD13" s="3" t="s">
        <v>1401</v>
      </c>
      <c r="AE13" s="3" t="s">
        <v>1402</v>
      </c>
      <c r="AF13" s="3">
        <v>0.006</v>
      </c>
      <c r="AG13" s="3">
        <v>0.072</v>
      </c>
      <c r="AH13" s="3">
        <v>0.171</v>
      </c>
      <c r="AM13" s="3" t="s">
        <v>1404</v>
      </c>
    </row>
    <row r="14">
      <c r="A14" s="3">
        <v>1.7304E12</v>
      </c>
      <c r="B14" s="3">
        <v>15.0</v>
      </c>
      <c r="C14" s="3" t="s">
        <v>907</v>
      </c>
      <c r="D14" s="3" t="s">
        <v>1369</v>
      </c>
      <c r="E14" s="3" t="s">
        <v>907</v>
      </c>
      <c r="F14" s="3">
        <v>1.0</v>
      </c>
      <c r="G14" s="3">
        <v>1.0</v>
      </c>
      <c r="H14" s="3">
        <v>1.0</v>
      </c>
      <c r="I14" s="3">
        <v>1.0</v>
      </c>
      <c r="J14" s="3">
        <v>1.0</v>
      </c>
      <c r="K14" s="3">
        <v>1.0</v>
      </c>
      <c r="L14" s="3">
        <v>1.0</v>
      </c>
      <c r="M14" s="3">
        <v>1.0</v>
      </c>
      <c r="N14" s="3">
        <v>1.0</v>
      </c>
      <c r="O14" s="3">
        <v>0.0</v>
      </c>
      <c r="P14" s="3">
        <v>0.0</v>
      </c>
      <c r="Q14" s="3">
        <v>1.0</v>
      </c>
      <c r="R14" s="3">
        <v>1.0</v>
      </c>
      <c r="S14" s="3">
        <v>1.0</v>
      </c>
      <c r="T14" s="3">
        <v>1.0</v>
      </c>
      <c r="U14" s="3">
        <v>1.0</v>
      </c>
      <c r="V14" s="3">
        <v>1.0</v>
      </c>
      <c r="W14" s="3" t="s">
        <v>514</v>
      </c>
      <c r="X14" s="3" t="s">
        <v>1456</v>
      </c>
      <c r="Y14" s="3" t="s">
        <v>1457</v>
      </c>
      <c r="Z14" s="3" t="s">
        <v>1423</v>
      </c>
      <c r="AA14" s="3" t="s">
        <v>1458</v>
      </c>
      <c r="AB14" s="3" t="s">
        <v>1374</v>
      </c>
      <c r="AC14" s="3" t="s">
        <v>1374</v>
      </c>
      <c r="AD14" s="3" t="s">
        <v>1392</v>
      </c>
      <c r="AE14" s="3" t="s">
        <v>1459</v>
      </c>
      <c r="AF14" s="3">
        <v>0.075</v>
      </c>
      <c r="AG14" s="3">
        <v>0.605</v>
      </c>
      <c r="AH14" s="3">
        <v>0.287</v>
      </c>
      <c r="AI14" s="3">
        <v>108.884</v>
      </c>
      <c r="AJ14" s="3">
        <v>3.192</v>
      </c>
      <c r="AK14" s="3" t="s">
        <v>1463</v>
      </c>
      <c r="AL14" s="3">
        <v>0.08</v>
      </c>
      <c r="AM14" s="3" t="s">
        <v>1461</v>
      </c>
    </row>
    <row r="15">
      <c r="A15" s="3">
        <v>1.7304E12</v>
      </c>
      <c r="B15" s="3">
        <v>13.0</v>
      </c>
      <c r="C15" s="3" t="s">
        <v>195</v>
      </c>
      <c r="D15" s="3" t="s">
        <v>1369</v>
      </c>
      <c r="E15" s="3" t="s">
        <v>195</v>
      </c>
      <c r="F15" s="3">
        <v>1.0</v>
      </c>
      <c r="G15" s="3">
        <v>1.0</v>
      </c>
      <c r="H15" s="3">
        <v>1.0</v>
      </c>
      <c r="I15" s="3">
        <v>1.0</v>
      </c>
      <c r="J15" s="3">
        <v>1.0</v>
      </c>
      <c r="K15" s="3">
        <v>1.0</v>
      </c>
      <c r="L15" s="3">
        <v>1.0</v>
      </c>
      <c r="M15" s="3">
        <v>1.0</v>
      </c>
      <c r="N15" s="3">
        <v>1.0</v>
      </c>
      <c r="O15" s="3">
        <v>1.0</v>
      </c>
      <c r="P15" s="3">
        <v>1.0</v>
      </c>
      <c r="Q15" s="3">
        <v>0.0</v>
      </c>
      <c r="R15" s="3">
        <v>0.0</v>
      </c>
      <c r="S15" s="3">
        <v>0.0</v>
      </c>
      <c r="T15" s="3">
        <v>1.0</v>
      </c>
      <c r="U15" s="3">
        <v>0.0</v>
      </c>
      <c r="V15" s="3">
        <v>1.0</v>
      </c>
      <c r="W15" s="3" t="s">
        <v>322</v>
      </c>
      <c r="X15" s="3" t="s">
        <v>1464</v>
      </c>
      <c r="Y15" s="3" t="s">
        <v>1465</v>
      </c>
      <c r="Z15" s="3" t="s">
        <v>1449</v>
      </c>
      <c r="AA15" s="3" t="s">
        <v>1373</v>
      </c>
      <c r="AB15" s="3" t="s">
        <v>1374</v>
      </c>
      <c r="AC15" s="3" t="s">
        <v>1391</v>
      </c>
      <c r="AD15" s="3" t="s">
        <v>1466</v>
      </c>
      <c r="AE15" s="3" t="s">
        <v>1467</v>
      </c>
      <c r="AF15" s="3">
        <v>0.203</v>
      </c>
      <c r="AG15" s="3">
        <v>2.498</v>
      </c>
      <c r="AH15" s="3">
        <v>0.319</v>
      </c>
      <c r="AI15" s="3">
        <v>12.952</v>
      </c>
      <c r="AJ15" s="3">
        <v>-3.778</v>
      </c>
      <c r="AK15" s="3" t="s">
        <v>1468</v>
      </c>
      <c r="AL15" s="3">
        <v>0.082</v>
      </c>
      <c r="AM15" s="3" t="s">
        <v>1469</v>
      </c>
    </row>
    <row r="16">
      <c r="A16" s="3">
        <v>1.7304E12</v>
      </c>
      <c r="B16" s="3">
        <v>17.0</v>
      </c>
      <c r="C16" s="3" t="s">
        <v>642</v>
      </c>
      <c r="D16" s="3" t="s">
        <v>1369</v>
      </c>
      <c r="E16" s="3" t="s">
        <v>642</v>
      </c>
      <c r="F16" s="3">
        <v>1.0</v>
      </c>
      <c r="G16" s="3">
        <v>1.0</v>
      </c>
      <c r="H16" s="3">
        <v>1.0</v>
      </c>
      <c r="I16" s="3">
        <v>1.0</v>
      </c>
      <c r="J16" s="3">
        <v>1.0</v>
      </c>
      <c r="K16" s="3">
        <v>1.0</v>
      </c>
      <c r="L16" s="3">
        <v>1.0</v>
      </c>
      <c r="M16" s="3">
        <v>1.0</v>
      </c>
      <c r="N16" s="3">
        <v>1.0</v>
      </c>
      <c r="O16" s="3">
        <v>1.0</v>
      </c>
      <c r="P16" s="3">
        <v>1.0</v>
      </c>
      <c r="Q16" s="3">
        <v>1.0</v>
      </c>
      <c r="R16" s="3">
        <v>1.0</v>
      </c>
      <c r="S16" s="3">
        <v>1.0</v>
      </c>
      <c r="T16" s="3">
        <v>1.0</v>
      </c>
      <c r="U16" s="3">
        <v>1.0</v>
      </c>
      <c r="V16" s="3">
        <v>1.0</v>
      </c>
      <c r="W16" s="3" t="s">
        <v>1318</v>
      </c>
      <c r="X16" s="3" t="s">
        <v>1470</v>
      </c>
      <c r="Y16" s="3" t="s">
        <v>1471</v>
      </c>
      <c r="Z16" s="3" t="s">
        <v>1372</v>
      </c>
      <c r="AA16" s="3" t="s">
        <v>1382</v>
      </c>
      <c r="AB16" s="3" t="s">
        <v>1374</v>
      </c>
      <c r="AC16" s="3" t="s">
        <v>1400</v>
      </c>
      <c r="AD16" s="3" t="s">
        <v>1472</v>
      </c>
      <c r="AE16" s="3" t="s">
        <v>1473</v>
      </c>
      <c r="AF16" s="3">
        <v>0.15</v>
      </c>
      <c r="AG16" s="3">
        <v>4.09</v>
      </c>
      <c r="AH16" s="3">
        <v>0.274</v>
      </c>
      <c r="AI16" s="3">
        <v>110.053</v>
      </c>
      <c r="AJ16" s="3">
        <v>9.196</v>
      </c>
      <c r="AK16" s="3" t="s">
        <v>1474</v>
      </c>
      <c r="AL16" s="3">
        <v>0.029</v>
      </c>
      <c r="AM16" s="3" t="s">
        <v>1475</v>
      </c>
    </row>
    <row r="17">
      <c r="A17" s="3">
        <v>1.73039E12</v>
      </c>
      <c r="B17" s="3">
        <v>13.0</v>
      </c>
      <c r="C17" s="3" t="s">
        <v>459</v>
      </c>
      <c r="D17" s="3" t="s">
        <v>1369</v>
      </c>
      <c r="E17" s="3" t="s">
        <v>459</v>
      </c>
      <c r="F17" s="3">
        <v>1.0</v>
      </c>
      <c r="G17" s="3">
        <v>1.0</v>
      </c>
      <c r="H17" s="3">
        <v>1.0</v>
      </c>
      <c r="I17" s="3">
        <v>1.0</v>
      </c>
      <c r="J17" s="3">
        <v>1.0</v>
      </c>
      <c r="K17" s="3">
        <v>1.0</v>
      </c>
      <c r="L17" s="3">
        <v>1.0</v>
      </c>
      <c r="M17" s="3">
        <v>1.0</v>
      </c>
      <c r="N17" s="3">
        <v>1.0</v>
      </c>
      <c r="O17" s="3">
        <v>1.0</v>
      </c>
      <c r="P17" s="3">
        <v>1.0</v>
      </c>
      <c r="Q17" s="3">
        <v>0.0</v>
      </c>
      <c r="R17" s="3">
        <v>0.0</v>
      </c>
      <c r="S17" s="3">
        <v>1.0</v>
      </c>
      <c r="T17" s="3">
        <v>0.0</v>
      </c>
      <c r="U17" s="3">
        <v>0.0</v>
      </c>
      <c r="V17" s="3">
        <v>1.0</v>
      </c>
      <c r="W17" s="3" t="s">
        <v>640</v>
      </c>
      <c r="X17" s="3" t="s">
        <v>1476</v>
      </c>
      <c r="Y17" s="3" t="s">
        <v>1477</v>
      </c>
      <c r="Z17" s="3" t="s">
        <v>1449</v>
      </c>
      <c r="AA17" s="3" t="s">
        <v>1415</v>
      </c>
      <c r="AB17" s="3" t="s">
        <v>1374</v>
      </c>
      <c r="AC17" s="3" t="s">
        <v>1374</v>
      </c>
      <c r="AD17" s="3" t="s">
        <v>1478</v>
      </c>
      <c r="AE17" s="3" t="s">
        <v>1479</v>
      </c>
      <c r="AF17" s="3">
        <v>0.033</v>
      </c>
      <c r="AG17" s="3">
        <v>0.657</v>
      </c>
      <c r="AH17" s="3">
        <v>0.289</v>
      </c>
      <c r="AI17" s="3">
        <v>144.826</v>
      </c>
      <c r="AJ17" s="3">
        <v>-12.116</v>
      </c>
      <c r="AK17" s="3" t="s">
        <v>1480</v>
      </c>
      <c r="AL17" s="3">
        <v>0.063</v>
      </c>
      <c r="AM17" s="3" t="s">
        <v>1419</v>
      </c>
    </row>
    <row r="18">
      <c r="A18" s="3">
        <v>1.73023E12</v>
      </c>
      <c r="B18" s="3">
        <v>14.0</v>
      </c>
      <c r="C18" s="3" t="s">
        <v>208</v>
      </c>
      <c r="D18" s="3" t="s">
        <v>1369</v>
      </c>
      <c r="E18" s="3" t="s">
        <v>208</v>
      </c>
      <c r="F18" s="3">
        <v>1.0</v>
      </c>
      <c r="G18" s="3">
        <v>1.0</v>
      </c>
      <c r="H18" s="3">
        <v>1.0</v>
      </c>
      <c r="I18" s="3">
        <v>1.0</v>
      </c>
      <c r="J18" s="3">
        <v>1.0</v>
      </c>
      <c r="K18" s="3">
        <v>1.0</v>
      </c>
      <c r="L18" s="3">
        <v>1.0</v>
      </c>
      <c r="M18" s="3">
        <v>1.0</v>
      </c>
      <c r="N18" s="3">
        <v>1.0</v>
      </c>
      <c r="O18" s="3">
        <v>1.0</v>
      </c>
      <c r="P18" s="3">
        <v>1.0</v>
      </c>
      <c r="Q18" s="3">
        <v>1.0</v>
      </c>
      <c r="R18" s="3">
        <v>0.0</v>
      </c>
      <c r="S18" s="3">
        <v>0.0</v>
      </c>
      <c r="T18" s="3">
        <v>1.0</v>
      </c>
      <c r="U18" s="3">
        <v>0.0</v>
      </c>
      <c r="V18" s="3">
        <v>1.0</v>
      </c>
      <c r="W18" s="3" t="s">
        <v>213</v>
      </c>
      <c r="X18" s="3" t="s">
        <v>1429</v>
      </c>
      <c r="Y18" s="3" t="s">
        <v>1430</v>
      </c>
      <c r="Z18" s="3" t="s">
        <v>1423</v>
      </c>
      <c r="AA18" s="3" t="s">
        <v>1432</v>
      </c>
      <c r="AB18" s="3" t="s">
        <v>1374</v>
      </c>
      <c r="AC18" s="3" t="s">
        <v>1391</v>
      </c>
      <c r="AD18" s="3" t="s">
        <v>1433</v>
      </c>
      <c r="AE18" s="3" t="s">
        <v>1434</v>
      </c>
      <c r="AF18" s="3">
        <v>0.168</v>
      </c>
      <c r="AG18" s="3">
        <v>1.191</v>
      </c>
      <c r="AH18" s="3">
        <v>0.324</v>
      </c>
      <c r="AI18" s="3">
        <v>112.074</v>
      </c>
      <c r="AJ18" s="3">
        <v>-4.605</v>
      </c>
      <c r="AK18" s="3" t="s">
        <v>1481</v>
      </c>
      <c r="AL18" s="3">
        <v>-0.441</v>
      </c>
      <c r="AM18" s="3" t="s">
        <v>1436</v>
      </c>
    </row>
    <row r="19">
      <c r="A19" s="3">
        <v>1.7304E12</v>
      </c>
      <c r="B19" s="3">
        <v>12.0</v>
      </c>
      <c r="C19" s="3" t="s">
        <v>1482</v>
      </c>
      <c r="D19" s="3" t="s">
        <v>1369</v>
      </c>
      <c r="E19" s="3" t="s">
        <v>1482</v>
      </c>
      <c r="F19" s="3">
        <v>1.0</v>
      </c>
      <c r="G19" s="3">
        <v>1.0</v>
      </c>
      <c r="H19" s="3">
        <v>1.0</v>
      </c>
      <c r="I19" s="3">
        <v>1.0</v>
      </c>
      <c r="J19" s="3">
        <v>1.0</v>
      </c>
      <c r="K19" s="3">
        <v>1.0</v>
      </c>
      <c r="L19" s="3">
        <v>1.0</v>
      </c>
      <c r="M19" s="3">
        <v>1.0</v>
      </c>
      <c r="N19" s="3">
        <v>1.0</v>
      </c>
      <c r="O19" s="3">
        <v>1.0</v>
      </c>
      <c r="P19" s="3">
        <v>1.0</v>
      </c>
      <c r="Q19" s="3">
        <v>0.0</v>
      </c>
      <c r="R19" s="3">
        <v>0.0</v>
      </c>
      <c r="S19" s="3">
        <v>0.0</v>
      </c>
      <c r="T19" s="3">
        <v>1.0</v>
      </c>
      <c r="U19" s="3">
        <v>0.0</v>
      </c>
      <c r="V19" s="3">
        <v>0.0</v>
      </c>
      <c r="W19" s="3" t="s">
        <v>383</v>
      </c>
      <c r="X19" s="3" t="s">
        <v>1483</v>
      </c>
      <c r="Y19" s="3" t="s">
        <v>1484</v>
      </c>
      <c r="Z19" s="3" t="s">
        <v>1372</v>
      </c>
      <c r="AA19" s="3" t="s">
        <v>1373</v>
      </c>
      <c r="AB19" s="3" t="s">
        <v>1374</v>
      </c>
      <c r="AC19" s="3" t="s">
        <v>1374</v>
      </c>
      <c r="AD19" s="3" t="s">
        <v>1485</v>
      </c>
      <c r="AE19" s="3" t="s">
        <v>1486</v>
      </c>
      <c r="AF19" s="3">
        <v>0.017</v>
      </c>
      <c r="AG19" s="3">
        <v>0.284</v>
      </c>
      <c r="AH19" s="3">
        <v>0.4</v>
      </c>
      <c r="AI19" s="3">
        <v>47.05</v>
      </c>
      <c r="AJ19" s="3">
        <v>28.453</v>
      </c>
      <c r="AK19" s="3" t="s">
        <v>1487</v>
      </c>
      <c r="AL19" s="3">
        <v>-0.008</v>
      </c>
      <c r="AM19" s="3" t="s">
        <v>1488</v>
      </c>
    </row>
    <row r="20">
      <c r="A20" s="3">
        <v>1.73038E12</v>
      </c>
      <c r="B20" s="3">
        <v>16.0</v>
      </c>
      <c r="C20" s="3" t="s">
        <v>764</v>
      </c>
      <c r="D20" s="3" t="s">
        <v>1369</v>
      </c>
      <c r="E20" s="3" t="s">
        <v>764</v>
      </c>
      <c r="F20" s="3">
        <v>1.0</v>
      </c>
      <c r="G20" s="3">
        <v>1.0</v>
      </c>
      <c r="H20" s="3">
        <v>1.0</v>
      </c>
      <c r="I20" s="3">
        <v>1.0</v>
      </c>
      <c r="J20" s="3">
        <v>1.0</v>
      </c>
      <c r="K20" s="3">
        <v>1.0</v>
      </c>
      <c r="L20" s="3">
        <v>1.0</v>
      </c>
      <c r="M20" s="3">
        <v>1.0</v>
      </c>
      <c r="N20" s="3">
        <v>1.0</v>
      </c>
      <c r="O20" s="3">
        <v>1.0</v>
      </c>
      <c r="P20" s="3">
        <v>1.0</v>
      </c>
      <c r="Q20" s="3">
        <v>0.0</v>
      </c>
      <c r="R20" s="3">
        <v>1.0</v>
      </c>
      <c r="S20" s="3">
        <v>1.0</v>
      </c>
      <c r="T20" s="3">
        <v>1.0</v>
      </c>
      <c r="U20" s="3">
        <v>1.0</v>
      </c>
      <c r="V20" s="3">
        <v>1.0</v>
      </c>
      <c r="W20" s="3" t="s">
        <v>461</v>
      </c>
      <c r="X20" s="3" t="s">
        <v>1489</v>
      </c>
      <c r="Y20" s="3" t="s">
        <v>1490</v>
      </c>
      <c r="Z20" s="3" t="s">
        <v>1423</v>
      </c>
      <c r="AA20" s="3" t="s">
        <v>1491</v>
      </c>
      <c r="AB20" s="3" t="s">
        <v>1374</v>
      </c>
      <c r="AC20" s="3" t="s">
        <v>1451</v>
      </c>
      <c r="AD20" s="3" t="s">
        <v>1492</v>
      </c>
      <c r="AE20" s="3" t="s">
        <v>1493</v>
      </c>
      <c r="AF20" s="3">
        <v>0.056</v>
      </c>
      <c r="AG20" s="3">
        <v>0.253</v>
      </c>
      <c r="AH20" s="3">
        <v>0.373</v>
      </c>
      <c r="AI20" s="3" t="s">
        <v>1394</v>
      </c>
      <c r="AJ20" s="3">
        <v>8.334</v>
      </c>
      <c r="AK20" s="3" t="s">
        <v>1494</v>
      </c>
      <c r="AL20" s="3" t="s">
        <v>1394</v>
      </c>
      <c r="AM20" s="3" t="s">
        <v>1495</v>
      </c>
    </row>
    <row r="21" ht="15.75" customHeight="1">
      <c r="A21" s="3">
        <v>1.7304E12</v>
      </c>
      <c r="B21" s="3">
        <v>11.0</v>
      </c>
      <c r="C21" s="3" t="s">
        <v>1496</v>
      </c>
      <c r="D21" s="3" t="s">
        <v>1369</v>
      </c>
      <c r="E21" s="3" t="s">
        <v>1496</v>
      </c>
      <c r="F21" s="3">
        <v>1.0</v>
      </c>
      <c r="G21" s="3">
        <v>1.0</v>
      </c>
      <c r="H21" s="3">
        <v>1.0</v>
      </c>
      <c r="I21" s="3">
        <v>1.0</v>
      </c>
      <c r="J21" s="3">
        <v>1.0</v>
      </c>
      <c r="K21" s="3">
        <v>1.0</v>
      </c>
      <c r="L21" s="3">
        <v>1.0</v>
      </c>
      <c r="M21" s="3">
        <v>1.0</v>
      </c>
      <c r="N21" s="3">
        <v>1.0</v>
      </c>
      <c r="O21" s="3">
        <v>1.0</v>
      </c>
      <c r="P21" s="3">
        <v>0.0</v>
      </c>
      <c r="Q21" s="3">
        <v>0.0</v>
      </c>
      <c r="R21" s="3">
        <v>0.0</v>
      </c>
      <c r="S21" s="3">
        <v>1.0</v>
      </c>
      <c r="T21" s="3">
        <v>0.0</v>
      </c>
      <c r="U21" s="3">
        <v>0.0</v>
      </c>
      <c r="V21" s="3">
        <v>0.0</v>
      </c>
      <c r="W21" s="3" t="s">
        <v>621</v>
      </c>
      <c r="X21" s="3" t="s">
        <v>1464</v>
      </c>
      <c r="Y21" s="3" t="s">
        <v>1465</v>
      </c>
      <c r="Z21" s="3" t="s">
        <v>1372</v>
      </c>
      <c r="AA21" s="3" t="s">
        <v>1373</v>
      </c>
      <c r="AB21" s="3" t="s">
        <v>1374</v>
      </c>
      <c r="AC21" s="3" t="s">
        <v>1391</v>
      </c>
      <c r="AD21" s="3" t="s">
        <v>1497</v>
      </c>
      <c r="AE21" s="3" t="s">
        <v>1467</v>
      </c>
      <c r="AF21" s="3">
        <v>0.203</v>
      </c>
      <c r="AG21" s="3">
        <v>2.5</v>
      </c>
      <c r="AH21" s="3">
        <v>0.311</v>
      </c>
      <c r="AI21" s="3">
        <v>12.951</v>
      </c>
      <c r="AJ21" s="3">
        <v>-3.778</v>
      </c>
      <c r="AK21" s="3" t="s">
        <v>1498</v>
      </c>
      <c r="AL21" s="3">
        <v>0.082</v>
      </c>
      <c r="AM21" s="3" t="s">
        <v>1499</v>
      </c>
    </row>
    <row r="22" ht="15.75" customHeight="1">
      <c r="A22" s="3">
        <v>1.73039E12</v>
      </c>
      <c r="B22" s="3">
        <v>15.0</v>
      </c>
      <c r="C22" s="3" t="s">
        <v>419</v>
      </c>
      <c r="D22" s="3" t="s">
        <v>1369</v>
      </c>
      <c r="E22" s="3" t="s">
        <v>419</v>
      </c>
      <c r="F22" s="3">
        <v>1.0</v>
      </c>
      <c r="G22" s="3">
        <v>1.0</v>
      </c>
      <c r="H22" s="3">
        <v>1.0</v>
      </c>
      <c r="I22" s="3">
        <v>1.0</v>
      </c>
      <c r="J22" s="3">
        <v>1.0</v>
      </c>
      <c r="K22" s="3">
        <v>1.0</v>
      </c>
      <c r="L22" s="3">
        <v>1.0</v>
      </c>
      <c r="M22" s="3">
        <v>1.0</v>
      </c>
      <c r="N22" s="3">
        <v>1.0</v>
      </c>
      <c r="O22" s="3">
        <v>1.0</v>
      </c>
      <c r="P22" s="3">
        <v>1.0</v>
      </c>
      <c r="Q22" s="3">
        <v>1.0</v>
      </c>
      <c r="R22" s="3">
        <v>0.0</v>
      </c>
      <c r="S22" s="3">
        <v>1.0</v>
      </c>
      <c r="T22" s="3">
        <v>1.0</v>
      </c>
      <c r="U22" s="3">
        <v>0.0</v>
      </c>
      <c r="V22" s="3">
        <v>1.0</v>
      </c>
      <c r="W22" s="3" t="s">
        <v>367</v>
      </c>
      <c r="X22" s="3" t="s">
        <v>1476</v>
      </c>
      <c r="Y22" s="3" t="s">
        <v>1477</v>
      </c>
      <c r="Z22" s="3" t="s">
        <v>1449</v>
      </c>
      <c r="AA22" s="3" t="s">
        <v>1415</v>
      </c>
      <c r="AB22" s="3" t="s">
        <v>1374</v>
      </c>
      <c r="AC22" s="3" t="s">
        <v>1374</v>
      </c>
      <c r="AD22" s="3" t="s">
        <v>1500</v>
      </c>
      <c r="AE22" s="3" t="s">
        <v>1479</v>
      </c>
      <c r="AF22" s="3">
        <v>0.033</v>
      </c>
      <c r="AG22" s="3">
        <v>0.654</v>
      </c>
      <c r="AH22" s="3">
        <v>0.277</v>
      </c>
      <c r="AI22" s="3">
        <v>148.994</v>
      </c>
      <c r="AJ22" s="3">
        <v>-11.022</v>
      </c>
      <c r="AK22" s="3" t="s">
        <v>1501</v>
      </c>
      <c r="AL22" s="3">
        <v>0.073</v>
      </c>
      <c r="AM22" s="3" t="s">
        <v>1419</v>
      </c>
    </row>
    <row r="23" ht="15.75" customHeight="1">
      <c r="A23" s="3">
        <v>1.7304E12</v>
      </c>
      <c r="B23" s="3">
        <v>6.0</v>
      </c>
      <c r="C23" s="3" t="s">
        <v>538</v>
      </c>
      <c r="D23" s="3" t="s">
        <v>1369</v>
      </c>
      <c r="E23" s="3" t="s">
        <v>538</v>
      </c>
      <c r="F23" s="3">
        <v>1.0</v>
      </c>
      <c r="G23" s="3">
        <v>1.0</v>
      </c>
      <c r="H23" s="3">
        <v>0.0</v>
      </c>
      <c r="I23" s="3">
        <v>1.0</v>
      </c>
      <c r="J23" s="3">
        <v>1.0</v>
      </c>
      <c r="K23" s="3">
        <v>1.0</v>
      </c>
      <c r="L23" s="3">
        <v>1.0</v>
      </c>
      <c r="M23" s="3">
        <v>0.0</v>
      </c>
      <c r="N23" s="3">
        <v>0.0</v>
      </c>
      <c r="O23" s="3">
        <v>0.0</v>
      </c>
      <c r="P23" s="3">
        <v>0.0</v>
      </c>
      <c r="Q23" s="3">
        <v>0.0</v>
      </c>
      <c r="R23" s="3">
        <v>0.0</v>
      </c>
      <c r="S23" s="3">
        <v>0.0</v>
      </c>
      <c r="T23" s="3">
        <v>0.0</v>
      </c>
      <c r="U23" s="3">
        <v>0.0</v>
      </c>
      <c r="V23" s="3">
        <v>0.0</v>
      </c>
      <c r="W23" s="3" t="s">
        <v>682</v>
      </c>
      <c r="X23" s="3" t="s">
        <v>1388</v>
      </c>
      <c r="Y23" s="3" t="s">
        <v>1388</v>
      </c>
      <c r="Z23" s="3" t="s">
        <v>1372</v>
      </c>
      <c r="AA23" s="3" t="s">
        <v>1502</v>
      </c>
      <c r="AB23" s="3" t="s">
        <v>1374</v>
      </c>
      <c r="AC23" s="3" t="s">
        <v>1391</v>
      </c>
      <c r="AD23" s="3" t="s">
        <v>1374</v>
      </c>
    </row>
    <row r="24" ht="15.75" customHeight="1">
      <c r="A24" s="3">
        <v>1.73035E12</v>
      </c>
      <c r="B24" s="3">
        <v>17.0</v>
      </c>
      <c r="C24" s="3" t="s">
        <v>413</v>
      </c>
      <c r="D24" s="3" t="s">
        <v>1369</v>
      </c>
      <c r="E24" s="3" t="s">
        <v>413</v>
      </c>
      <c r="F24" s="3">
        <v>1.0</v>
      </c>
      <c r="G24" s="3">
        <v>1.0</v>
      </c>
      <c r="H24" s="3">
        <v>1.0</v>
      </c>
      <c r="I24" s="3">
        <v>1.0</v>
      </c>
      <c r="J24" s="3">
        <v>1.0</v>
      </c>
      <c r="K24" s="3">
        <v>1.0</v>
      </c>
      <c r="L24" s="3">
        <v>1.0</v>
      </c>
      <c r="M24" s="3">
        <v>1.0</v>
      </c>
      <c r="N24" s="3">
        <v>1.0</v>
      </c>
      <c r="O24" s="3">
        <v>1.0</v>
      </c>
      <c r="P24" s="3">
        <v>1.0</v>
      </c>
      <c r="Q24" s="3">
        <v>1.0</v>
      </c>
      <c r="R24" s="3">
        <v>1.0</v>
      </c>
      <c r="S24" s="3">
        <v>1.0</v>
      </c>
      <c r="T24" s="3">
        <v>1.0</v>
      </c>
      <c r="U24" s="3">
        <v>1.0</v>
      </c>
      <c r="V24" s="3">
        <v>1.0</v>
      </c>
      <c r="W24" s="3" t="s">
        <v>1075</v>
      </c>
      <c r="X24" s="3" t="s">
        <v>1379</v>
      </c>
      <c r="Y24" s="3" t="s">
        <v>1380</v>
      </c>
      <c r="Z24" s="3" t="s">
        <v>1372</v>
      </c>
      <c r="AA24" s="3" t="s">
        <v>1382</v>
      </c>
      <c r="AB24" s="3" t="s">
        <v>1374</v>
      </c>
      <c r="AC24" s="3" t="s">
        <v>1400</v>
      </c>
      <c r="AD24" s="3" t="s">
        <v>1425</v>
      </c>
      <c r="AE24" s="3" t="s">
        <v>1385</v>
      </c>
      <c r="AF24" s="3">
        <v>0.192</v>
      </c>
      <c r="AG24" s="3">
        <v>2.357</v>
      </c>
      <c r="AH24" s="3" t="s">
        <v>1394</v>
      </c>
      <c r="AI24" s="3" t="s">
        <v>1394</v>
      </c>
      <c r="AJ24" s="3">
        <v>0.339</v>
      </c>
      <c r="AK24" s="3" t="s">
        <v>1503</v>
      </c>
      <c r="AL24" s="3" t="s">
        <v>1394</v>
      </c>
      <c r="AM24" s="3" t="s">
        <v>1387</v>
      </c>
    </row>
    <row r="25" ht="15.75" customHeight="1">
      <c r="A25" s="3">
        <v>1.73038E12</v>
      </c>
      <c r="B25" s="3">
        <v>11.0</v>
      </c>
      <c r="C25" s="3" t="s">
        <v>1504</v>
      </c>
      <c r="D25" s="3" t="s">
        <v>1369</v>
      </c>
      <c r="E25" s="3" t="s">
        <v>1504</v>
      </c>
      <c r="F25" s="3">
        <v>1.0</v>
      </c>
      <c r="G25" s="3">
        <v>1.0</v>
      </c>
      <c r="H25" s="3">
        <v>1.0</v>
      </c>
      <c r="I25" s="3">
        <v>0.0</v>
      </c>
      <c r="J25" s="3">
        <v>1.0</v>
      </c>
      <c r="K25" s="3">
        <v>1.0</v>
      </c>
      <c r="L25" s="3">
        <v>1.0</v>
      </c>
      <c r="M25" s="3">
        <v>1.0</v>
      </c>
      <c r="N25" s="3">
        <v>1.0</v>
      </c>
      <c r="O25" s="3">
        <v>1.0</v>
      </c>
      <c r="P25" s="3">
        <v>0.0</v>
      </c>
      <c r="Q25" s="3">
        <v>0.0</v>
      </c>
      <c r="R25" s="3">
        <v>0.0</v>
      </c>
      <c r="S25" s="3">
        <v>1.0</v>
      </c>
      <c r="T25" s="3">
        <v>0.0</v>
      </c>
      <c r="U25" s="3">
        <v>0.0</v>
      </c>
      <c r="V25" s="3">
        <v>1.0</v>
      </c>
      <c r="W25" s="3" t="s">
        <v>280</v>
      </c>
      <c r="X25" s="3" t="s">
        <v>1405</v>
      </c>
      <c r="Y25" s="3" t="s">
        <v>1406</v>
      </c>
      <c r="Z25" s="3" t="s">
        <v>1505</v>
      </c>
      <c r="AA25" s="3" t="s">
        <v>1407</v>
      </c>
      <c r="AB25" s="3" t="s">
        <v>1374</v>
      </c>
      <c r="AC25" s="3" t="s">
        <v>1400</v>
      </c>
      <c r="AD25" s="3" t="s">
        <v>1506</v>
      </c>
      <c r="AE25" s="3" t="s">
        <v>1409</v>
      </c>
      <c r="AF25" s="3">
        <v>-0.017</v>
      </c>
      <c r="AG25" s="3">
        <v>0.049</v>
      </c>
      <c r="AH25" s="3">
        <v>0.161</v>
      </c>
      <c r="AI25" s="3">
        <v>178.533</v>
      </c>
      <c r="AJ25" s="3">
        <v>12.824</v>
      </c>
      <c r="AK25" s="3" t="s">
        <v>1507</v>
      </c>
      <c r="AL25" s="3">
        <v>0.255</v>
      </c>
      <c r="AM25" s="3" t="s">
        <v>1411</v>
      </c>
    </row>
    <row r="26" ht="15.75" customHeight="1">
      <c r="A26" s="3">
        <v>1.73039E12</v>
      </c>
      <c r="B26" s="3">
        <v>15.0</v>
      </c>
      <c r="C26" s="3" t="s">
        <v>366</v>
      </c>
      <c r="D26" s="3" t="s">
        <v>1369</v>
      </c>
      <c r="E26" s="3" t="s">
        <v>366</v>
      </c>
      <c r="F26" s="3">
        <v>1.0</v>
      </c>
      <c r="G26" s="3">
        <v>1.0</v>
      </c>
      <c r="H26" s="3">
        <v>1.0</v>
      </c>
      <c r="I26" s="3">
        <v>1.0</v>
      </c>
      <c r="J26" s="3">
        <v>1.0</v>
      </c>
      <c r="K26" s="3">
        <v>1.0</v>
      </c>
      <c r="L26" s="3">
        <v>1.0</v>
      </c>
      <c r="M26" s="3">
        <v>1.0</v>
      </c>
      <c r="N26" s="3">
        <v>1.0</v>
      </c>
      <c r="O26" s="3">
        <v>1.0</v>
      </c>
      <c r="P26" s="3">
        <v>1.0</v>
      </c>
      <c r="Q26" s="3">
        <v>0.0</v>
      </c>
      <c r="R26" s="3">
        <v>1.0</v>
      </c>
      <c r="S26" s="3">
        <v>1.0</v>
      </c>
      <c r="T26" s="3">
        <v>1.0</v>
      </c>
      <c r="U26" s="3">
        <v>0.0</v>
      </c>
      <c r="V26" s="3">
        <v>1.0</v>
      </c>
      <c r="W26" s="3" t="s">
        <v>325</v>
      </c>
      <c r="X26" s="3" t="s">
        <v>1370</v>
      </c>
      <c r="Y26" s="3" t="s">
        <v>1371</v>
      </c>
      <c r="Z26" s="3" t="s">
        <v>1431</v>
      </c>
      <c r="AA26" s="3" t="s">
        <v>1373</v>
      </c>
      <c r="AB26" s="3" t="s">
        <v>1374</v>
      </c>
      <c r="AC26" s="3" t="s">
        <v>1508</v>
      </c>
      <c r="AD26" s="3" t="s">
        <v>1375</v>
      </c>
      <c r="AE26" s="3" t="s">
        <v>1376</v>
      </c>
      <c r="AF26" s="3">
        <v>0.555</v>
      </c>
      <c r="AG26" s="3">
        <v>2.825</v>
      </c>
      <c r="AI26" s="3">
        <v>47.284</v>
      </c>
      <c r="AJ26" s="3">
        <v>7.239</v>
      </c>
      <c r="AM26" s="3" t="s">
        <v>1509</v>
      </c>
    </row>
    <row r="27" ht="15.75" customHeight="1">
      <c r="A27" s="3">
        <v>1.73031E12</v>
      </c>
      <c r="B27" s="3">
        <v>9.0</v>
      </c>
      <c r="C27" s="3" t="s">
        <v>398</v>
      </c>
      <c r="D27" s="3" t="s">
        <v>1369</v>
      </c>
      <c r="E27" s="3" t="s">
        <v>398</v>
      </c>
      <c r="F27" s="3">
        <v>1.0</v>
      </c>
      <c r="G27" s="3">
        <v>0.0</v>
      </c>
      <c r="H27" s="3">
        <v>0.0</v>
      </c>
      <c r="I27" s="3">
        <v>0.0</v>
      </c>
      <c r="J27" s="3">
        <v>1.0</v>
      </c>
      <c r="K27" s="3">
        <v>1.0</v>
      </c>
      <c r="L27" s="3">
        <v>1.0</v>
      </c>
      <c r="M27" s="3">
        <v>1.0</v>
      </c>
      <c r="N27" s="3">
        <v>0.0</v>
      </c>
      <c r="O27" s="3">
        <v>1.0</v>
      </c>
      <c r="P27" s="3">
        <v>1.0</v>
      </c>
      <c r="Q27" s="3">
        <v>0.0</v>
      </c>
      <c r="R27" s="3">
        <v>0.0</v>
      </c>
      <c r="S27" s="3">
        <v>1.0</v>
      </c>
      <c r="T27" s="3">
        <v>0.0</v>
      </c>
      <c r="U27" s="3">
        <v>0.0</v>
      </c>
      <c r="V27" s="3">
        <v>1.0</v>
      </c>
      <c r="W27" s="3" t="s">
        <v>874</v>
      </c>
      <c r="X27" s="3" t="s">
        <v>1510</v>
      </c>
      <c r="Y27" s="3" t="s">
        <v>1511</v>
      </c>
      <c r="Z27" s="3" t="s">
        <v>1512</v>
      </c>
      <c r="AA27" s="3" t="s">
        <v>1407</v>
      </c>
      <c r="AB27" s="3" t="s">
        <v>1374</v>
      </c>
      <c r="AC27" s="3" t="s">
        <v>1400</v>
      </c>
      <c r="AD27" s="3" t="s">
        <v>1408</v>
      </c>
      <c r="AE27" s="3" t="s">
        <v>1513</v>
      </c>
      <c r="AF27" s="3">
        <v>0.035</v>
      </c>
      <c r="AG27" s="3">
        <v>0.101</v>
      </c>
      <c r="AH27" s="3">
        <v>0.16</v>
      </c>
      <c r="AI27" s="3">
        <v>8.708</v>
      </c>
      <c r="AJ27" s="3">
        <v>-0.493</v>
      </c>
      <c r="AK27" s="3" t="s">
        <v>1514</v>
      </c>
      <c r="AL27" s="3">
        <v>0.221</v>
      </c>
      <c r="AM27" s="3" t="s">
        <v>1411</v>
      </c>
    </row>
    <row r="28" ht="15.75" customHeight="1">
      <c r="A28" s="3">
        <v>1.73039E12</v>
      </c>
      <c r="B28" s="3">
        <v>0.0</v>
      </c>
      <c r="C28" s="3" t="s">
        <v>1515</v>
      </c>
      <c r="D28" s="3" t="s">
        <v>1369</v>
      </c>
      <c r="E28" s="3" t="s">
        <v>1515</v>
      </c>
      <c r="F28" s="3">
        <v>0.0</v>
      </c>
      <c r="G28" s="3">
        <v>0.0</v>
      </c>
      <c r="H28" s="3">
        <v>0.0</v>
      </c>
      <c r="I28" s="3">
        <v>0.0</v>
      </c>
      <c r="J28" s="3">
        <v>0.0</v>
      </c>
      <c r="K28" s="3">
        <v>0.0</v>
      </c>
      <c r="L28" s="3">
        <v>0.0</v>
      </c>
      <c r="M28" s="3">
        <v>0.0</v>
      </c>
      <c r="N28" s="3">
        <v>0.0</v>
      </c>
      <c r="O28" s="3">
        <v>0.0</v>
      </c>
      <c r="P28" s="3">
        <v>0.0</v>
      </c>
      <c r="Q28" s="3">
        <v>0.0</v>
      </c>
      <c r="R28" s="3">
        <v>0.0</v>
      </c>
      <c r="S28" s="3">
        <v>0.0</v>
      </c>
      <c r="T28" s="3">
        <v>0.0</v>
      </c>
      <c r="U28" s="3">
        <v>0.0</v>
      </c>
      <c r="V28" s="3">
        <v>0.0</v>
      </c>
      <c r="W28" s="3" t="s">
        <v>1516</v>
      </c>
      <c r="X28" s="3" t="s">
        <v>1517</v>
      </c>
      <c r="Y28" s="3" t="s">
        <v>1464</v>
      </c>
      <c r="Z28" s="3" t="s">
        <v>1449</v>
      </c>
      <c r="AB28" s="3" t="s">
        <v>1374</v>
      </c>
      <c r="AC28" s="3" t="s">
        <v>1518</v>
      </c>
      <c r="AD28" s="3" t="s">
        <v>1466</v>
      </c>
      <c r="AE28" s="3" t="s">
        <v>1517</v>
      </c>
      <c r="AF28" s="3" t="s">
        <v>1519</v>
      </c>
      <c r="AG28" s="3">
        <v>0.0</v>
      </c>
      <c r="AH28" s="3">
        <v>0.368</v>
      </c>
      <c r="AK28" s="3" t="s">
        <v>1520</v>
      </c>
    </row>
    <row r="29" ht="15.75" customHeight="1">
      <c r="A29" s="3">
        <v>1.7304E12</v>
      </c>
      <c r="B29" s="3">
        <v>16.0</v>
      </c>
      <c r="C29" s="3" t="s">
        <v>833</v>
      </c>
      <c r="D29" s="3" t="s">
        <v>1369</v>
      </c>
      <c r="E29" s="3" t="s">
        <v>833</v>
      </c>
      <c r="F29" s="3">
        <v>1.0</v>
      </c>
      <c r="G29" s="3">
        <v>1.0</v>
      </c>
      <c r="H29" s="3">
        <v>1.0</v>
      </c>
      <c r="I29" s="3">
        <v>1.0</v>
      </c>
      <c r="J29" s="3">
        <v>1.0</v>
      </c>
      <c r="K29" s="3">
        <v>1.0</v>
      </c>
      <c r="L29" s="3">
        <v>1.0</v>
      </c>
      <c r="M29" s="3">
        <v>1.0</v>
      </c>
      <c r="N29" s="3">
        <v>1.0</v>
      </c>
      <c r="O29" s="3">
        <v>1.0</v>
      </c>
      <c r="P29" s="3">
        <v>0.0</v>
      </c>
      <c r="Q29" s="3">
        <v>1.0</v>
      </c>
      <c r="R29" s="3">
        <v>1.0</v>
      </c>
      <c r="S29" s="3">
        <v>1.0</v>
      </c>
      <c r="T29" s="3">
        <v>1.0</v>
      </c>
      <c r="U29" s="3">
        <v>1.0</v>
      </c>
      <c r="V29" s="3">
        <v>1.0</v>
      </c>
      <c r="W29" s="3" t="s">
        <v>695</v>
      </c>
      <c r="X29" s="3" t="s">
        <v>1470</v>
      </c>
      <c r="Y29" s="3" t="s">
        <v>1471</v>
      </c>
      <c r="Z29" s="3" t="s">
        <v>1372</v>
      </c>
      <c r="AA29" s="3" t="s">
        <v>1382</v>
      </c>
      <c r="AB29" s="3" t="s">
        <v>1374</v>
      </c>
      <c r="AC29" s="3" t="s">
        <v>1400</v>
      </c>
      <c r="AD29" s="3" t="s">
        <v>1472</v>
      </c>
      <c r="AE29" s="3" t="s">
        <v>1473</v>
      </c>
      <c r="AF29" s="3">
        <v>0.15</v>
      </c>
      <c r="AG29" s="3">
        <v>4.09</v>
      </c>
      <c r="AH29" s="3">
        <v>0.274</v>
      </c>
      <c r="AI29" s="3">
        <v>110.034</v>
      </c>
      <c r="AJ29" s="3">
        <v>9.208</v>
      </c>
      <c r="AK29" s="3" t="s">
        <v>1474</v>
      </c>
      <c r="AL29" s="3">
        <v>0.029</v>
      </c>
      <c r="AM29" s="3" t="s">
        <v>1475</v>
      </c>
    </row>
    <row r="30" ht="15.75" customHeight="1">
      <c r="A30" s="3">
        <v>1.73038E12</v>
      </c>
      <c r="B30" s="3">
        <v>17.0</v>
      </c>
      <c r="C30" s="3" t="s">
        <v>382</v>
      </c>
      <c r="D30" s="3" t="s">
        <v>1369</v>
      </c>
      <c r="E30" s="3" t="s">
        <v>382</v>
      </c>
      <c r="F30" s="3">
        <v>1.0</v>
      </c>
      <c r="G30" s="3">
        <v>1.0</v>
      </c>
      <c r="H30" s="3">
        <v>1.0</v>
      </c>
      <c r="I30" s="3">
        <v>1.0</v>
      </c>
      <c r="J30" s="3">
        <v>1.0</v>
      </c>
      <c r="K30" s="3">
        <v>1.0</v>
      </c>
      <c r="L30" s="3">
        <v>1.0</v>
      </c>
      <c r="M30" s="3">
        <v>1.0</v>
      </c>
      <c r="N30" s="3">
        <v>1.0</v>
      </c>
      <c r="O30" s="3">
        <v>1.0</v>
      </c>
      <c r="P30" s="3">
        <v>1.0</v>
      </c>
      <c r="Q30" s="3">
        <v>1.0</v>
      </c>
      <c r="R30" s="3">
        <v>1.0</v>
      </c>
      <c r="S30" s="3">
        <v>1.0</v>
      </c>
      <c r="T30" s="3">
        <v>1.0</v>
      </c>
      <c r="U30" s="3">
        <v>1.0</v>
      </c>
      <c r="V30" s="3">
        <v>1.0</v>
      </c>
      <c r="W30" s="3" t="s">
        <v>1144</v>
      </c>
      <c r="X30" s="3" t="s">
        <v>1521</v>
      </c>
      <c r="Y30" s="3" t="s">
        <v>1522</v>
      </c>
      <c r="Z30" s="3" t="s">
        <v>1372</v>
      </c>
      <c r="AA30" s="3" t="s">
        <v>1523</v>
      </c>
      <c r="AB30" s="3" t="s">
        <v>1374</v>
      </c>
      <c r="AC30" s="3" t="s">
        <v>1374</v>
      </c>
      <c r="AD30" s="3" t="s">
        <v>1524</v>
      </c>
      <c r="AE30" s="3" t="s">
        <v>1525</v>
      </c>
      <c r="AF30" s="3">
        <v>0.028</v>
      </c>
      <c r="AG30" s="3">
        <v>0.067</v>
      </c>
      <c r="AH30" s="3">
        <v>0.433</v>
      </c>
      <c r="AI30" s="3">
        <v>1082.208</v>
      </c>
      <c r="AJ30" s="3">
        <v>1.285</v>
      </c>
      <c r="AK30" s="3" t="s">
        <v>1526</v>
      </c>
      <c r="AL30" s="3">
        <v>0.059</v>
      </c>
      <c r="AM30" s="3" t="s">
        <v>1527</v>
      </c>
    </row>
    <row r="31" ht="15.75" customHeight="1">
      <c r="A31" s="3">
        <v>1.72994E12</v>
      </c>
      <c r="B31" s="3">
        <v>16.0</v>
      </c>
      <c r="C31" s="3" t="s">
        <v>848</v>
      </c>
      <c r="D31" s="3" t="s">
        <v>1369</v>
      </c>
      <c r="E31" s="3" t="s">
        <v>848</v>
      </c>
      <c r="F31" s="3">
        <v>1.0</v>
      </c>
      <c r="G31" s="3">
        <v>1.0</v>
      </c>
      <c r="H31" s="3">
        <v>1.0</v>
      </c>
      <c r="I31" s="3">
        <v>1.0</v>
      </c>
      <c r="J31" s="3">
        <v>1.0</v>
      </c>
      <c r="K31" s="3">
        <v>1.0</v>
      </c>
      <c r="L31" s="3">
        <v>1.0</v>
      </c>
      <c r="M31" s="3">
        <v>1.0</v>
      </c>
      <c r="N31" s="3">
        <v>1.0</v>
      </c>
      <c r="O31" s="3">
        <v>1.0</v>
      </c>
      <c r="P31" s="3">
        <v>1.0</v>
      </c>
      <c r="Q31" s="3">
        <v>1.0</v>
      </c>
      <c r="R31" s="3">
        <v>1.0</v>
      </c>
      <c r="S31" s="3">
        <v>1.0</v>
      </c>
      <c r="T31" s="3">
        <v>1.0</v>
      </c>
      <c r="U31" s="3">
        <v>0.0</v>
      </c>
      <c r="V31" s="3">
        <v>1.0</v>
      </c>
      <c r="W31" s="3" t="s">
        <v>184</v>
      </c>
      <c r="X31" s="3" t="s">
        <v>1447</v>
      </c>
      <c r="Y31" s="3" t="s">
        <v>1448</v>
      </c>
      <c r="Z31" s="3" t="s">
        <v>1449</v>
      </c>
      <c r="AA31" s="3" t="s">
        <v>1450</v>
      </c>
      <c r="AB31" s="3" t="s">
        <v>1374</v>
      </c>
      <c r="AC31" s="3" t="s">
        <v>1451</v>
      </c>
      <c r="AD31" s="3" t="s">
        <v>1452</v>
      </c>
      <c r="AE31" s="3" t="s">
        <v>1453</v>
      </c>
      <c r="AF31" s="3">
        <v>0.033</v>
      </c>
      <c r="AG31" s="3">
        <v>0.214</v>
      </c>
      <c r="AH31" s="3">
        <v>0.375</v>
      </c>
      <c r="AI31" s="3">
        <v>49.505</v>
      </c>
      <c r="AJ31" s="3">
        <v>7.654</v>
      </c>
      <c r="AK31" s="3" t="s">
        <v>1528</v>
      </c>
      <c r="AL31" s="3">
        <v>0.517</v>
      </c>
      <c r="AM31" s="3" t="s">
        <v>1455</v>
      </c>
    </row>
    <row r="32" ht="15.75" customHeight="1">
      <c r="A32" s="3">
        <v>1.73037E12</v>
      </c>
      <c r="B32" s="3">
        <v>16.0</v>
      </c>
      <c r="C32" s="3" t="s">
        <v>625</v>
      </c>
      <c r="D32" s="3" t="s">
        <v>1369</v>
      </c>
      <c r="E32" s="3" t="s">
        <v>625</v>
      </c>
      <c r="F32" s="3">
        <v>1.0</v>
      </c>
      <c r="G32" s="3">
        <v>1.0</v>
      </c>
      <c r="H32" s="3">
        <v>1.0</v>
      </c>
      <c r="I32" s="3">
        <v>1.0</v>
      </c>
      <c r="J32" s="3">
        <v>1.0</v>
      </c>
      <c r="K32" s="3">
        <v>1.0</v>
      </c>
      <c r="L32" s="3">
        <v>1.0</v>
      </c>
      <c r="M32" s="3">
        <v>1.0</v>
      </c>
      <c r="N32" s="3">
        <v>1.0</v>
      </c>
      <c r="O32" s="3">
        <v>1.0</v>
      </c>
      <c r="P32" s="3">
        <v>1.0</v>
      </c>
      <c r="Q32" s="3">
        <v>1.0</v>
      </c>
      <c r="R32" s="3">
        <v>1.0</v>
      </c>
      <c r="S32" s="3">
        <v>1.0</v>
      </c>
      <c r="T32" s="3">
        <v>1.0</v>
      </c>
      <c r="U32" s="3">
        <v>1.0</v>
      </c>
      <c r="V32" s="3">
        <v>0.0</v>
      </c>
      <c r="W32" s="3" t="s">
        <v>479</v>
      </c>
      <c r="X32" s="3" t="s">
        <v>1529</v>
      </c>
      <c r="Y32" s="3" t="s">
        <v>1530</v>
      </c>
      <c r="Z32" s="3" t="s">
        <v>1372</v>
      </c>
      <c r="AA32" s="3" t="s">
        <v>1531</v>
      </c>
      <c r="AB32" s="3" t="s">
        <v>1374</v>
      </c>
      <c r="AC32" s="3" t="s">
        <v>1391</v>
      </c>
      <c r="AD32" s="3" t="s">
        <v>1532</v>
      </c>
      <c r="AE32" s="3" t="s">
        <v>1533</v>
      </c>
      <c r="AF32" s="3">
        <v>0.084</v>
      </c>
      <c r="AG32" s="3">
        <v>1.813</v>
      </c>
      <c r="AH32" s="3">
        <v>0.359</v>
      </c>
      <c r="AI32" s="3">
        <v>-860.255</v>
      </c>
      <c r="AJ32" s="3">
        <v>-16.628</v>
      </c>
      <c r="AL32" s="3">
        <v>-0.045</v>
      </c>
    </row>
    <row r="33" ht="15.75" customHeight="1">
      <c r="A33" s="3">
        <v>1.73037E12</v>
      </c>
      <c r="B33" s="3">
        <v>16.0</v>
      </c>
      <c r="C33" s="3" t="s">
        <v>478</v>
      </c>
      <c r="D33" s="3" t="s">
        <v>1369</v>
      </c>
      <c r="E33" s="3" t="s">
        <v>478</v>
      </c>
      <c r="F33" s="3">
        <v>1.0</v>
      </c>
      <c r="G33" s="3">
        <v>1.0</v>
      </c>
      <c r="H33" s="3">
        <v>1.0</v>
      </c>
      <c r="I33" s="3">
        <v>1.0</v>
      </c>
      <c r="J33" s="3">
        <v>1.0</v>
      </c>
      <c r="K33" s="3">
        <v>1.0</v>
      </c>
      <c r="L33" s="3">
        <v>1.0</v>
      </c>
      <c r="M33" s="3">
        <v>1.0</v>
      </c>
      <c r="N33" s="3">
        <v>1.0</v>
      </c>
      <c r="O33" s="3">
        <v>1.0</v>
      </c>
      <c r="P33" s="3">
        <v>1.0</v>
      </c>
      <c r="Q33" s="3">
        <v>1.0</v>
      </c>
      <c r="R33" s="3">
        <v>1.0</v>
      </c>
      <c r="S33" s="3">
        <v>1.0</v>
      </c>
      <c r="T33" s="3">
        <v>0.0</v>
      </c>
      <c r="U33" s="3">
        <v>1.0</v>
      </c>
      <c r="V33" s="3">
        <v>1.0</v>
      </c>
      <c r="W33" s="3" t="s">
        <v>190</v>
      </c>
      <c r="X33" s="3" t="s">
        <v>1379</v>
      </c>
      <c r="Y33" s="3" t="s">
        <v>1380</v>
      </c>
      <c r="Z33" s="3" t="s">
        <v>1372</v>
      </c>
      <c r="AA33" s="3" t="s">
        <v>1382</v>
      </c>
      <c r="AB33" s="3" t="s">
        <v>1374</v>
      </c>
      <c r="AC33" s="3" t="s">
        <v>1400</v>
      </c>
      <c r="AD33" s="3" t="s">
        <v>1425</v>
      </c>
      <c r="AE33" s="3" t="s">
        <v>1385</v>
      </c>
      <c r="AF33" s="3">
        <v>0.191</v>
      </c>
      <c r="AG33" s="3">
        <v>2.348</v>
      </c>
      <c r="AH33" s="3" t="s">
        <v>1394</v>
      </c>
      <c r="AI33" s="3" t="s">
        <v>1394</v>
      </c>
      <c r="AJ33" s="3">
        <v>0.301</v>
      </c>
      <c r="AK33" s="3" t="s">
        <v>1534</v>
      </c>
      <c r="AL33" s="3" t="s">
        <v>1394</v>
      </c>
      <c r="AM33" s="3" t="s">
        <v>1387</v>
      </c>
    </row>
    <row r="34" ht="15.75" customHeight="1">
      <c r="A34" s="3">
        <v>1.73038E12</v>
      </c>
      <c r="B34" s="3">
        <v>16.0</v>
      </c>
      <c r="C34" s="3" t="s">
        <v>969</v>
      </c>
      <c r="D34" s="3" t="s">
        <v>1369</v>
      </c>
      <c r="E34" s="3" t="s">
        <v>969</v>
      </c>
      <c r="F34" s="3">
        <v>1.0</v>
      </c>
      <c r="G34" s="3">
        <v>1.0</v>
      </c>
      <c r="H34" s="3">
        <v>1.0</v>
      </c>
      <c r="I34" s="3">
        <v>1.0</v>
      </c>
      <c r="J34" s="3">
        <v>1.0</v>
      </c>
      <c r="K34" s="3">
        <v>1.0</v>
      </c>
      <c r="L34" s="3">
        <v>1.0</v>
      </c>
      <c r="M34" s="3">
        <v>1.0</v>
      </c>
      <c r="N34" s="3">
        <v>1.0</v>
      </c>
      <c r="O34" s="3">
        <v>1.0</v>
      </c>
      <c r="P34" s="3">
        <v>1.0</v>
      </c>
      <c r="Q34" s="3">
        <v>1.0</v>
      </c>
      <c r="R34" s="3">
        <v>1.0</v>
      </c>
      <c r="S34" s="3">
        <v>0.0</v>
      </c>
      <c r="T34" s="3">
        <v>1.0</v>
      </c>
      <c r="U34" s="3">
        <v>1.0</v>
      </c>
      <c r="V34" s="3">
        <v>1.0</v>
      </c>
      <c r="W34" s="3" t="s">
        <v>177</v>
      </c>
      <c r="X34" s="3" t="s">
        <v>1405</v>
      </c>
      <c r="Y34" s="3" t="s">
        <v>1406</v>
      </c>
      <c r="Z34" s="3" t="s">
        <v>1372</v>
      </c>
      <c r="AA34" s="3" t="s">
        <v>1407</v>
      </c>
      <c r="AB34" s="3" t="s">
        <v>1374</v>
      </c>
      <c r="AC34" s="3" t="s">
        <v>1400</v>
      </c>
      <c r="AD34" s="3" t="s">
        <v>1506</v>
      </c>
      <c r="AE34" s="3" t="s">
        <v>1409</v>
      </c>
      <c r="AF34" s="3">
        <v>-0.017</v>
      </c>
      <c r="AG34" s="3">
        <v>-0.05</v>
      </c>
      <c r="AH34" s="3">
        <v>0.162</v>
      </c>
      <c r="AI34" s="3">
        <v>-173.813</v>
      </c>
      <c r="AJ34" s="3">
        <v>0.388</v>
      </c>
      <c r="AK34" s="3" t="s">
        <v>1535</v>
      </c>
      <c r="AL34" s="3">
        <v>0.256</v>
      </c>
      <c r="AM34" s="3" t="s">
        <v>1411</v>
      </c>
    </row>
    <row r="35" ht="15.75" customHeight="1">
      <c r="A35" s="3">
        <v>1.73037E12</v>
      </c>
      <c r="B35" s="3">
        <v>13.0</v>
      </c>
      <c r="C35" s="3" t="s">
        <v>639</v>
      </c>
      <c r="D35" s="3" t="s">
        <v>1369</v>
      </c>
      <c r="E35" s="3" t="s">
        <v>639</v>
      </c>
      <c r="F35" s="3">
        <v>1.0</v>
      </c>
      <c r="G35" s="3">
        <v>1.0</v>
      </c>
      <c r="H35" s="3">
        <v>1.0</v>
      </c>
      <c r="I35" s="3">
        <v>1.0</v>
      </c>
      <c r="J35" s="3">
        <v>1.0</v>
      </c>
      <c r="K35" s="3">
        <v>1.0</v>
      </c>
      <c r="L35" s="3">
        <v>1.0</v>
      </c>
      <c r="M35" s="3">
        <v>1.0</v>
      </c>
      <c r="N35" s="3">
        <v>1.0</v>
      </c>
      <c r="O35" s="3">
        <v>1.0</v>
      </c>
      <c r="P35" s="3">
        <v>1.0</v>
      </c>
      <c r="Q35" s="3">
        <v>0.0</v>
      </c>
      <c r="R35" s="3">
        <v>0.0</v>
      </c>
      <c r="S35" s="3">
        <v>0.0</v>
      </c>
      <c r="T35" s="3">
        <v>1.0</v>
      </c>
      <c r="U35" s="3">
        <v>0.0</v>
      </c>
      <c r="V35" s="3">
        <v>1.0</v>
      </c>
      <c r="W35" s="3" t="s">
        <v>379</v>
      </c>
      <c r="X35" s="3" t="s">
        <v>1464</v>
      </c>
      <c r="Y35" s="3" t="s">
        <v>1465</v>
      </c>
      <c r="Z35" s="3" t="s">
        <v>1449</v>
      </c>
      <c r="AA35" s="3" t="s">
        <v>1373</v>
      </c>
      <c r="AB35" s="3" t="s">
        <v>1374</v>
      </c>
      <c r="AC35" s="3" t="s">
        <v>1391</v>
      </c>
      <c r="AD35" s="3" t="s">
        <v>1497</v>
      </c>
      <c r="AE35" s="3" t="s">
        <v>1467</v>
      </c>
      <c r="AF35" s="3">
        <v>0.2</v>
      </c>
      <c r="AG35" s="3">
        <v>2.431</v>
      </c>
      <c r="AH35" s="3">
        <v>0.307</v>
      </c>
      <c r="AK35" s="3" t="s">
        <v>1536</v>
      </c>
      <c r="AM35" s="3" t="s">
        <v>1469</v>
      </c>
    </row>
    <row r="36" ht="15.75" customHeight="1">
      <c r="A36" s="3">
        <v>1.72993E12</v>
      </c>
      <c r="B36" s="3">
        <v>13.0</v>
      </c>
      <c r="C36" s="3" t="s">
        <v>378</v>
      </c>
      <c r="D36" s="3" t="s">
        <v>1369</v>
      </c>
      <c r="E36" s="3" t="s">
        <v>378</v>
      </c>
      <c r="F36" s="3">
        <v>1.0</v>
      </c>
      <c r="G36" s="3">
        <v>1.0</v>
      </c>
      <c r="H36" s="3">
        <v>1.0</v>
      </c>
      <c r="I36" s="3">
        <v>1.0</v>
      </c>
      <c r="J36" s="3">
        <v>1.0</v>
      </c>
      <c r="K36" s="3">
        <v>1.0</v>
      </c>
      <c r="L36" s="3">
        <v>1.0</v>
      </c>
      <c r="M36" s="3">
        <v>1.0</v>
      </c>
      <c r="N36" s="3">
        <v>1.0</v>
      </c>
      <c r="O36" s="3">
        <v>1.0</v>
      </c>
      <c r="P36" s="3">
        <v>1.0</v>
      </c>
      <c r="Q36" s="3">
        <v>0.0</v>
      </c>
      <c r="R36" s="3">
        <v>0.0</v>
      </c>
      <c r="S36" s="3">
        <v>0.0</v>
      </c>
      <c r="T36" s="3">
        <v>1.0</v>
      </c>
      <c r="U36" s="3">
        <v>0.0</v>
      </c>
      <c r="V36" s="3">
        <v>1.0</v>
      </c>
      <c r="W36" s="3" t="s">
        <v>490</v>
      </c>
      <c r="X36" s="3" t="s">
        <v>1476</v>
      </c>
      <c r="Y36" s="3" t="s">
        <v>1477</v>
      </c>
      <c r="Z36" s="3" t="s">
        <v>1372</v>
      </c>
      <c r="AA36" s="3" t="s">
        <v>1415</v>
      </c>
      <c r="AB36" s="3" t="s">
        <v>1374</v>
      </c>
      <c r="AC36" s="3" t="s">
        <v>1374</v>
      </c>
      <c r="AD36" s="3" t="s">
        <v>1500</v>
      </c>
      <c r="AE36" s="3" t="s">
        <v>1479</v>
      </c>
      <c r="AF36" s="3">
        <v>0.033</v>
      </c>
      <c r="AG36" s="3">
        <v>0.654</v>
      </c>
      <c r="AH36" s="3">
        <v>0.283</v>
      </c>
      <c r="AI36" s="3">
        <v>148.319</v>
      </c>
      <c r="AJ36" s="3">
        <v>-3.014</v>
      </c>
      <c r="AK36" s="3" t="s">
        <v>1537</v>
      </c>
      <c r="AL36" s="3">
        <v>0.065</v>
      </c>
      <c r="AM36" s="3" t="s">
        <v>1419</v>
      </c>
    </row>
    <row r="37" ht="15.75" customHeight="1">
      <c r="A37" s="3">
        <v>1.7303E12</v>
      </c>
      <c r="B37" s="3">
        <v>14.0</v>
      </c>
      <c r="C37" s="3" t="s">
        <v>373</v>
      </c>
      <c r="D37" s="3" t="s">
        <v>1369</v>
      </c>
      <c r="E37" s="3" t="s">
        <v>373</v>
      </c>
      <c r="F37" s="3">
        <v>1.0</v>
      </c>
      <c r="G37" s="3">
        <v>1.0</v>
      </c>
      <c r="H37" s="3">
        <v>1.0</v>
      </c>
      <c r="I37" s="3">
        <v>1.0</v>
      </c>
      <c r="J37" s="3">
        <v>1.0</v>
      </c>
      <c r="K37" s="3">
        <v>1.0</v>
      </c>
      <c r="L37" s="3">
        <v>1.0</v>
      </c>
      <c r="M37" s="3">
        <v>1.0</v>
      </c>
      <c r="N37" s="3">
        <v>1.0</v>
      </c>
      <c r="O37" s="3">
        <v>1.0</v>
      </c>
      <c r="P37" s="3">
        <v>1.0</v>
      </c>
      <c r="Q37" s="3">
        <v>0.0</v>
      </c>
      <c r="R37" s="3">
        <v>0.0</v>
      </c>
      <c r="S37" s="3">
        <v>1.0</v>
      </c>
      <c r="T37" s="3">
        <v>1.0</v>
      </c>
      <c r="U37" s="3">
        <v>0.0</v>
      </c>
      <c r="V37" s="3">
        <v>1.0</v>
      </c>
      <c r="W37" s="3" t="s">
        <v>867</v>
      </c>
      <c r="X37" s="3" t="s">
        <v>1476</v>
      </c>
      <c r="Y37" s="3" t="s">
        <v>1477</v>
      </c>
      <c r="Z37" s="3" t="s">
        <v>1372</v>
      </c>
      <c r="AA37" s="3" t="s">
        <v>1415</v>
      </c>
      <c r="AB37" s="3" t="s">
        <v>1374</v>
      </c>
      <c r="AC37" s="3" t="s">
        <v>1374</v>
      </c>
      <c r="AD37" s="3" t="s">
        <v>1500</v>
      </c>
      <c r="AE37" s="3" t="s">
        <v>1479</v>
      </c>
      <c r="AF37" s="3">
        <v>0.033</v>
      </c>
      <c r="AG37" s="3">
        <v>0.657</v>
      </c>
      <c r="AH37" s="3">
        <v>0.272</v>
      </c>
      <c r="AI37" s="3">
        <v>149.514</v>
      </c>
      <c r="AJ37" s="3">
        <v>-12.112</v>
      </c>
      <c r="AK37" s="3" t="s">
        <v>1501</v>
      </c>
      <c r="AL37" s="3">
        <v>0.063</v>
      </c>
      <c r="AM37" s="3" t="s">
        <v>1419</v>
      </c>
    </row>
    <row r="38" ht="15.75" customHeight="1">
      <c r="A38" s="3">
        <v>1.7304E12</v>
      </c>
      <c r="B38" s="3">
        <v>5.0</v>
      </c>
      <c r="C38" s="3" t="s">
        <v>635</v>
      </c>
      <c r="D38" s="3" t="s">
        <v>1369</v>
      </c>
      <c r="E38" s="3" t="s">
        <v>635</v>
      </c>
      <c r="F38" s="3">
        <v>1.0</v>
      </c>
      <c r="G38" s="3">
        <v>1.0</v>
      </c>
      <c r="H38" s="3">
        <v>1.0</v>
      </c>
      <c r="I38" s="3">
        <v>0.0</v>
      </c>
      <c r="J38" s="3">
        <v>0.0</v>
      </c>
      <c r="K38" s="3">
        <v>1.0</v>
      </c>
      <c r="L38" s="3">
        <v>1.0</v>
      </c>
      <c r="M38" s="3">
        <v>0.0</v>
      </c>
      <c r="N38" s="3">
        <v>0.0</v>
      </c>
      <c r="O38" s="3">
        <v>0.0</v>
      </c>
      <c r="P38" s="3">
        <v>0.0</v>
      </c>
      <c r="Q38" s="3">
        <v>0.0</v>
      </c>
      <c r="R38" s="3">
        <v>0.0</v>
      </c>
      <c r="S38" s="3">
        <v>0.0</v>
      </c>
      <c r="T38" s="3">
        <v>0.0</v>
      </c>
      <c r="U38" s="3">
        <v>0.0</v>
      </c>
      <c r="V38" s="3">
        <v>0.0</v>
      </c>
      <c r="W38" s="3" t="s">
        <v>537</v>
      </c>
      <c r="X38" s="3" t="s">
        <v>1429</v>
      </c>
      <c r="Y38" s="3" t="s">
        <v>1430</v>
      </c>
      <c r="Z38" s="3" t="s">
        <v>1538</v>
      </c>
      <c r="AA38" s="3" t="s">
        <v>1382</v>
      </c>
      <c r="AB38" s="3" t="s">
        <v>1374</v>
      </c>
      <c r="AC38" s="3" t="s">
        <v>1400</v>
      </c>
      <c r="AD38" s="3" t="s">
        <v>1539</v>
      </c>
      <c r="AM38" s="3" t="s">
        <v>1540</v>
      </c>
    </row>
    <row r="39" ht="15.75" customHeight="1">
      <c r="A39" s="3">
        <v>1.7304E12</v>
      </c>
      <c r="B39" s="3">
        <v>17.0</v>
      </c>
      <c r="C39" s="3" t="s">
        <v>1541</v>
      </c>
      <c r="D39" s="3" t="s">
        <v>1369</v>
      </c>
      <c r="E39" s="3" t="s">
        <v>1541</v>
      </c>
      <c r="F39" s="3">
        <v>1.0</v>
      </c>
      <c r="G39" s="3">
        <v>1.0</v>
      </c>
      <c r="H39" s="3">
        <v>1.0</v>
      </c>
      <c r="I39" s="3">
        <v>1.0</v>
      </c>
      <c r="J39" s="3">
        <v>1.0</v>
      </c>
      <c r="K39" s="3">
        <v>1.0</v>
      </c>
      <c r="L39" s="3">
        <v>1.0</v>
      </c>
      <c r="M39" s="3">
        <v>1.0</v>
      </c>
      <c r="N39" s="3">
        <v>1.0</v>
      </c>
      <c r="O39" s="3">
        <v>1.0</v>
      </c>
      <c r="P39" s="3">
        <v>1.0</v>
      </c>
      <c r="Q39" s="3">
        <v>1.0</v>
      </c>
      <c r="R39" s="3">
        <v>1.0</v>
      </c>
      <c r="S39" s="3">
        <v>1.0</v>
      </c>
      <c r="T39" s="3">
        <v>1.0</v>
      </c>
      <c r="U39" s="3">
        <v>1.0</v>
      </c>
      <c r="V39" s="3">
        <v>1.0</v>
      </c>
      <c r="W39" s="3" t="s">
        <v>1131</v>
      </c>
      <c r="X39" s="3" t="s">
        <v>1542</v>
      </c>
      <c r="Y39" s="3" t="s">
        <v>1543</v>
      </c>
      <c r="Z39" s="3" t="s">
        <v>1423</v>
      </c>
      <c r="AA39" s="3" t="s">
        <v>1544</v>
      </c>
      <c r="AB39" s="3" t="s">
        <v>1374</v>
      </c>
      <c r="AC39" s="3" t="s">
        <v>1374</v>
      </c>
      <c r="AD39" s="3" t="s">
        <v>1545</v>
      </c>
      <c r="AE39" s="3" t="s">
        <v>1546</v>
      </c>
      <c r="AF39" s="3">
        <v>0.033</v>
      </c>
      <c r="AG39" s="3">
        <v>0.063</v>
      </c>
      <c r="AH39" s="3">
        <v>0.262</v>
      </c>
      <c r="AI39" s="3">
        <v>52.602</v>
      </c>
      <c r="AJ39" s="3">
        <v>-9.724</v>
      </c>
      <c r="AK39" s="3" t="s">
        <v>1547</v>
      </c>
      <c r="AL39" s="3">
        <v>0.046</v>
      </c>
      <c r="AM39" s="3" t="s">
        <v>1548</v>
      </c>
    </row>
    <row r="40" ht="15.75" customHeight="1">
      <c r="A40" s="3">
        <v>1.73039E12</v>
      </c>
      <c r="B40" s="3">
        <v>17.0</v>
      </c>
      <c r="C40" s="3" t="s">
        <v>206</v>
      </c>
      <c r="D40" s="3" t="s">
        <v>1369</v>
      </c>
      <c r="E40" s="3" t="s">
        <v>206</v>
      </c>
      <c r="F40" s="3">
        <v>1.0</v>
      </c>
      <c r="G40" s="3">
        <v>1.0</v>
      </c>
      <c r="H40" s="3">
        <v>1.0</v>
      </c>
      <c r="I40" s="3">
        <v>1.0</v>
      </c>
      <c r="J40" s="3">
        <v>1.0</v>
      </c>
      <c r="K40" s="3">
        <v>1.0</v>
      </c>
      <c r="L40" s="3">
        <v>1.0</v>
      </c>
      <c r="M40" s="3">
        <v>1.0</v>
      </c>
      <c r="N40" s="3">
        <v>1.0</v>
      </c>
      <c r="O40" s="3">
        <v>1.0</v>
      </c>
      <c r="P40" s="3">
        <v>1.0</v>
      </c>
      <c r="Q40" s="3">
        <v>1.0</v>
      </c>
      <c r="R40" s="3">
        <v>1.0</v>
      </c>
      <c r="S40" s="3">
        <v>1.0</v>
      </c>
      <c r="T40" s="3">
        <v>1.0</v>
      </c>
      <c r="U40" s="3">
        <v>1.0</v>
      </c>
      <c r="V40" s="3">
        <v>1.0</v>
      </c>
      <c r="W40" s="3" t="s">
        <v>1223</v>
      </c>
      <c r="X40" s="3" t="s">
        <v>1464</v>
      </c>
      <c r="Y40" s="3" t="s">
        <v>1465</v>
      </c>
      <c r="Z40" s="3" t="s">
        <v>1372</v>
      </c>
      <c r="AA40" s="3" t="s">
        <v>1373</v>
      </c>
      <c r="AB40" s="3" t="s">
        <v>1374</v>
      </c>
      <c r="AC40" s="3" t="s">
        <v>1391</v>
      </c>
      <c r="AD40" s="3" t="s">
        <v>1497</v>
      </c>
      <c r="AE40" s="3" t="s">
        <v>1467</v>
      </c>
      <c r="AF40" s="3">
        <v>0.203</v>
      </c>
      <c r="AG40" s="3">
        <v>2.5</v>
      </c>
      <c r="AH40" s="3">
        <v>0.311</v>
      </c>
      <c r="AI40" s="3">
        <v>12.951</v>
      </c>
      <c r="AJ40" s="3">
        <v>-3.778</v>
      </c>
      <c r="AK40" s="3" t="s">
        <v>1549</v>
      </c>
      <c r="AL40" s="3">
        <v>0.082</v>
      </c>
      <c r="AM40" s="3" t="s">
        <v>1469</v>
      </c>
    </row>
    <row r="41" ht="15.75" customHeight="1">
      <c r="A41" s="3">
        <v>1.7304E12</v>
      </c>
      <c r="B41" s="3">
        <v>13.0</v>
      </c>
      <c r="C41" s="3" t="s">
        <v>489</v>
      </c>
      <c r="D41" s="3" t="s">
        <v>1369</v>
      </c>
      <c r="E41" s="3" t="s">
        <v>489</v>
      </c>
      <c r="F41" s="3">
        <v>1.0</v>
      </c>
      <c r="G41" s="3">
        <v>1.0</v>
      </c>
      <c r="H41" s="3">
        <v>1.0</v>
      </c>
      <c r="I41" s="3">
        <v>1.0</v>
      </c>
      <c r="J41" s="3">
        <v>1.0</v>
      </c>
      <c r="K41" s="3">
        <v>1.0</v>
      </c>
      <c r="L41" s="3">
        <v>0.0</v>
      </c>
      <c r="M41" s="3">
        <v>1.0</v>
      </c>
      <c r="N41" s="3">
        <v>1.0</v>
      </c>
      <c r="O41" s="3">
        <v>1.0</v>
      </c>
      <c r="P41" s="3">
        <v>1.0</v>
      </c>
      <c r="Q41" s="3">
        <v>0.0</v>
      </c>
      <c r="R41" s="3">
        <v>0.0</v>
      </c>
      <c r="S41" s="3">
        <v>1.0</v>
      </c>
      <c r="T41" s="3">
        <v>1.0</v>
      </c>
      <c r="U41" s="3">
        <v>0.0</v>
      </c>
      <c r="V41" s="3">
        <v>1.0</v>
      </c>
      <c r="W41" s="3" t="s">
        <v>586</v>
      </c>
      <c r="X41" s="3" t="s">
        <v>1476</v>
      </c>
      <c r="Y41" s="3" t="s">
        <v>1477</v>
      </c>
      <c r="Z41" s="3" t="s">
        <v>1372</v>
      </c>
      <c r="AA41" s="3" t="s">
        <v>1415</v>
      </c>
      <c r="AB41" s="3" t="s">
        <v>1374</v>
      </c>
      <c r="AC41" s="3" t="s">
        <v>1508</v>
      </c>
      <c r="AD41" s="3" t="s">
        <v>1500</v>
      </c>
      <c r="AE41" s="3" t="s">
        <v>1479</v>
      </c>
      <c r="AF41" s="3">
        <v>0.033</v>
      </c>
      <c r="AG41" s="3">
        <v>0.657</v>
      </c>
      <c r="AH41" s="3">
        <v>0.276</v>
      </c>
      <c r="AI41" s="3">
        <v>149.502</v>
      </c>
      <c r="AJ41" s="3">
        <v>-11.763</v>
      </c>
      <c r="AK41" s="3" t="s">
        <v>1550</v>
      </c>
      <c r="AL41" s="3">
        <v>0.063</v>
      </c>
      <c r="AM41" s="3" t="s">
        <v>1419</v>
      </c>
    </row>
    <row r="42" ht="15.75" customHeight="1">
      <c r="A42" s="3">
        <v>1.73039E12</v>
      </c>
      <c r="B42" s="3">
        <v>15.0</v>
      </c>
      <c r="C42" s="3" t="s">
        <v>963</v>
      </c>
      <c r="D42" s="3" t="s">
        <v>1369</v>
      </c>
      <c r="E42" s="3" t="s">
        <v>963</v>
      </c>
      <c r="F42" s="3">
        <v>1.0</v>
      </c>
      <c r="G42" s="3">
        <v>1.0</v>
      </c>
      <c r="H42" s="3">
        <v>1.0</v>
      </c>
      <c r="I42" s="3">
        <v>1.0</v>
      </c>
      <c r="J42" s="3">
        <v>1.0</v>
      </c>
      <c r="K42" s="3">
        <v>1.0</v>
      </c>
      <c r="L42" s="3">
        <v>1.0</v>
      </c>
      <c r="M42" s="3">
        <v>1.0</v>
      </c>
      <c r="N42" s="3">
        <v>1.0</v>
      </c>
      <c r="O42" s="3">
        <v>1.0</v>
      </c>
      <c r="P42" s="3">
        <v>1.0</v>
      </c>
      <c r="Q42" s="3">
        <v>1.0</v>
      </c>
      <c r="R42" s="3">
        <v>0.0</v>
      </c>
      <c r="S42" s="3">
        <v>1.0</v>
      </c>
      <c r="T42" s="3">
        <v>1.0</v>
      </c>
      <c r="U42" s="3">
        <v>0.0</v>
      </c>
      <c r="V42" s="3">
        <v>1.0</v>
      </c>
      <c r="W42" s="3" t="s">
        <v>77</v>
      </c>
      <c r="X42" s="3" t="s">
        <v>1476</v>
      </c>
      <c r="Y42" s="3" t="s">
        <v>1477</v>
      </c>
      <c r="Z42" s="3" t="s">
        <v>1372</v>
      </c>
      <c r="AA42" s="3" t="s">
        <v>1415</v>
      </c>
      <c r="AB42" s="3" t="s">
        <v>1374</v>
      </c>
      <c r="AC42" s="3" t="s">
        <v>1374</v>
      </c>
      <c r="AD42" s="3" t="s">
        <v>1500</v>
      </c>
      <c r="AE42" s="3" t="s">
        <v>1479</v>
      </c>
      <c r="AF42" s="3">
        <v>0.033</v>
      </c>
      <c r="AG42" s="3">
        <v>0.657</v>
      </c>
      <c r="AH42" s="3">
        <v>0.285</v>
      </c>
      <c r="AI42" s="3">
        <v>0.356</v>
      </c>
      <c r="AJ42" s="3">
        <v>-11.757</v>
      </c>
      <c r="AK42" s="3" t="s">
        <v>1551</v>
      </c>
      <c r="AL42" s="3">
        <v>1.495</v>
      </c>
      <c r="AM42" s="3" t="s">
        <v>1419</v>
      </c>
    </row>
    <row r="43" ht="15.75" customHeight="1">
      <c r="A43" s="3">
        <v>1.73039E12</v>
      </c>
      <c r="B43" s="3">
        <v>17.0</v>
      </c>
      <c r="C43" s="3" t="s">
        <v>1552</v>
      </c>
      <c r="D43" s="3" t="s">
        <v>1369</v>
      </c>
      <c r="E43" s="3" t="s">
        <v>1552</v>
      </c>
      <c r="F43" s="3">
        <v>1.0</v>
      </c>
      <c r="G43" s="3">
        <v>1.0</v>
      </c>
      <c r="H43" s="3">
        <v>1.0</v>
      </c>
      <c r="I43" s="3">
        <v>1.0</v>
      </c>
      <c r="J43" s="3">
        <v>1.0</v>
      </c>
      <c r="K43" s="3">
        <v>1.0</v>
      </c>
      <c r="L43" s="3">
        <v>1.0</v>
      </c>
      <c r="M43" s="3">
        <v>1.0</v>
      </c>
      <c r="N43" s="3">
        <v>1.0</v>
      </c>
      <c r="O43" s="3">
        <v>1.0</v>
      </c>
      <c r="P43" s="3">
        <v>1.0</v>
      </c>
      <c r="Q43" s="3">
        <v>1.0</v>
      </c>
      <c r="R43" s="3">
        <v>1.0</v>
      </c>
      <c r="S43" s="3">
        <v>1.0</v>
      </c>
      <c r="T43" s="3">
        <v>1.0</v>
      </c>
      <c r="U43" s="3">
        <v>1.0</v>
      </c>
      <c r="V43" s="3">
        <v>1.0</v>
      </c>
      <c r="W43" s="3" t="s">
        <v>1054</v>
      </c>
      <c r="X43" s="3" t="s">
        <v>1438</v>
      </c>
      <c r="Y43" s="3" t="s">
        <v>1439</v>
      </c>
      <c r="Z43" s="3" t="s">
        <v>1372</v>
      </c>
      <c r="AA43" s="3" t="s">
        <v>1553</v>
      </c>
      <c r="AB43" s="3" t="s">
        <v>1374</v>
      </c>
      <c r="AC43" s="3" t="s">
        <v>1391</v>
      </c>
      <c r="AD43" s="3" t="s">
        <v>1554</v>
      </c>
      <c r="AE43" s="3" t="s">
        <v>1444</v>
      </c>
      <c r="AF43" s="3">
        <v>0.082</v>
      </c>
      <c r="AG43" s="3">
        <v>0.291</v>
      </c>
      <c r="AH43" s="3">
        <v>0.221</v>
      </c>
      <c r="AI43" s="3">
        <v>243.038</v>
      </c>
      <c r="AJ43" s="3">
        <v>-1.616</v>
      </c>
      <c r="AK43" s="3" t="s">
        <v>1555</v>
      </c>
      <c r="AL43" s="3">
        <v>0.253</v>
      </c>
      <c r="AM43" s="3" t="s">
        <v>1446</v>
      </c>
    </row>
    <row r="44" ht="15.75" customHeight="1">
      <c r="A44" s="3">
        <v>1.7304E12</v>
      </c>
      <c r="B44" s="3">
        <v>14.0</v>
      </c>
      <c r="C44" s="3" t="s">
        <v>643</v>
      </c>
      <c r="D44" s="3" t="s">
        <v>1369</v>
      </c>
      <c r="E44" s="3" t="s">
        <v>643</v>
      </c>
      <c r="F44" s="3">
        <v>1.0</v>
      </c>
      <c r="G44" s="3">
        <v>1.0</v>
      </c>
      <c r="H44" s="3">
        <v>1.0</v>
      </c>
      <c r="I44" s="3">
        <v>1.0</v>
      </c>
      <c r="J44" s="3">
        <v>1.0</v>
      </c>
      <c r="K44" s="3">
        <v>1.0</v>
      </c>
      <c r="L44" s="3">
        <v>1.0</v>
      </c>
      <c r="M44" s="3">
        <v>1.0</v>
      </c>
      <c r="N44" s="3">
        <v>1.0</v>
      </c>
      <c r="O44" s="3">
        <v>1.0</v>
      </c>
      <c r="P44" s="3">
        <v>1.0</v>
      </c>
      <c r="Q44" s="3">
        <v>0.0</v>
      </c>
      <c r="R44" s="3">
        <v>0.0</v>
      </c>
      <c r="S44" s="3">
        <v>1.0</v>
      </c>
      <c r="T44" s="3">
        <v>1.0</v>
      </c>
      <c r="U44" s="3">
        <v>0.0</v>
      </c>
      <c r="V44" s="3">
        <v>1.0</v>
      </c>
      <c r="W44" s="3" t="s">
        <v>304</v>
      </c>
      <c r="X44" s="3" t="s">
        <v>1456</v>
      </c>
      <c r="Y44" s="3" t="s">
        <v>1457</v>
      </c>
      <c r="Z44" s="3" t="s">
        <v>1423</v>
      </c>
      <c r="AA44" s="3" t="s">
        <v>1458</v>
      </c>
      <c r="AB44" s="3" t="s">
        <v>1374</v>
      </c>
      <c r="AC44" s="3" t="s">
        <v>1374</v>
      </c>
      <c r="AD44" s="3" t="s">
        <v>1392</v>
      </c>
      <c r="AE44" s="3" t="s">
        <v>1459</v>
      </c>
      <c r="AF44" s="3">
        <v>0.077</v>
      </c>
      <c r="AG44" s="3">
        <v>0.617</v>
      </c>
      <c r="AH44" s="3">
        <v>0.288</v>
      </c>
      <c r="AI44" s="3">
        <v>111.688</v>
      </c>
      <c r="AJ44" s="3">
        <v>3.046</v>
      </c>
      <c r="AK44" s="3" t="s">
        <v>1463</v>
      </c>
      <c r="AL44" s="3">
        <v>0.061</v>
      </c>
      <c r="AM44" s="3" t="s">
        <v>1461</v>
      </c>
    </row>
    <row r="45" ht="15.75" customHeight="1">
      <c r="A45" s="3">
        <v>1.73039E12</v>
      </c>
      <c r="B45" s="3">
        <v>9.0</v>
      </c>
      <c r="C45" s="3" t="s">
        <v>894</v>
      </c>
      <c r="D45" s="3" t="s">
        <v>1369</v>
      </c>
      <c r="E45" s="3" t="s">
        <v>894</v>
      </c>
      <c r="F45" s="3">
        <v>1.0</v>
      </c>
      <c r="G45" s="3">
        <v>0.0</v>
      </c>
      <c r="H45" s="3">
        <v>0.0</v>
      </c>
      <c r="I45" s="3">
        <v>0.0</v>
      </c>
      <c r="J45" s="3">
        <v>1.0</v>
      </c>
      <c r="K45" s="3">
        <v>1.0</v>
      </c>
      <c r="L45" s="3">
        <v>1.0</v>
      </c>
      <c r="M45" s="3">
        <v>1.0</v>
      </c>
      <c r="N45" s="3">
        <v>0.0</v>
      </c>
      <c r="O45" s="3">
        <v>1.0</v>
      </c>
      <c r="P45" s="3">
        <v>1.0</v>
      </c>
      <c r="Q45" s="3">
        <v>1.0</v>
      </c>
      <c r="R45" s="3">
        <v>1.0</v>
      </c>
      <c r="S45" s="3">
        <v>0.0</v>
      </c>
      <c r="T45" s="3">
        <v>0.0</v>
      </c>
      <c r="U45" s="3">
        <v>0.0</v>
      </c>
      <c r="V45" s="3">
        <v>0.0</v>
      </c>
      <c r="W45" s="3" t="s">
        <v>334</v>
      </c>
      <c r="X45" s="3" t="s">
        <v>1556</v>
      </c>
      <c r="Y45" s="3" t="s">
        <v>1557</v>
      </c>
      <c r="Z45" s="3" t="s">
        <v>1512</v>
      </c>
      <c r="AA45" s="3" t="s">
        <v>1544</v>
      </c>
      <c r="AB45" s="3" t="s">
        <v>1374</v>
      </c>
      <c r="AC45" s="3" t="s">
        <v>1451</v>
      </c>
      <c r="AD45" s="3" t="s">
        <v>1545</v>
      </c>
      <c r="AF45" s="3">
        <v>0.035</v>
      </c>
      <c r="AG45" s="3">
        <v>0.068</v>
      </c>
      <c r="AH45" s="3" t="s">
        <v>1394</v>
      </c>
      <c r="AI45" s="3" t="s">
        <v>1394</v>
      </c>
      <c r="AJ45" s="3">
        <v>-0.53</v>
      </c>
      <c r="AK45" s="3" t="s">
        <v>1558</v>
      </c>
      <c r="AL45" s="3">
        <v>0.231</v>
      </c>
      <c r="AM45" s="3" t="s">
        <v>1559</v>
      </c>
    </row>
    <row r="46" ht="15.75" customHeight="1">
      <c r="A46" s="3">
        <v>1.7304E12</v>
      </c>
      <c r="B46" s="3">
        <v>17.0</v>
      </c>
      <c r="C46" s="3" t="s">
        <v>126</v>
      </c>
      <c r="D46" s="3" t="s">
        <v>1369</v>
      </c>
      <c r="E46" s="3" t="s">
        <v>126</v>
      </c>
      <c r="F46" s="3">
        <v>1.0</v>
      </c>
      <c r="G46" s="3">
        <v>1.0</v>
      </c>
      <c r="H46" s="3">
        <v>1.0</v>
      </c>
      <c r="I46" s="3">
        <v>1.0</v>
      </c>
      <c r="J46" s="3">
        <v>1.0</v>
      </c>
      <c r="K46" s="3">
        <v>1.0</v>
      </c>
      <c r="L46" s="3">
        <v>1.0</v>
      </c>
      <c r="M46" s="3">
        <v>1.0</v>
      </c>
      <c r="N46" s="3">
        <v>1.0</v>
      </c>
      <c r="O46" s="3">
        <v>1.0</v>
      </c>
      <c r="P46" s="3">
        <v>1.0</v>
      </c>
      <c r="Q46" s="3">
        <v>1.0</v>
      </c>
      <c r="R46" s="3">
        <v>1.0</v>
      </c>
      <c r="S46" s="3">
        <v>1.0</v>
      </c>
      <c r="T46" s="3">
        <v>1.0</v>
      </c>
      <c r="U46" s="3">
        <v>1.0</v>
      </c>
      <c r="V46" s="3">
        <v>1.0</v>
      </c>
      <c r="W46" s="3" t="s">
        <v>1325</v>
      </c>
      <c r="X46" s="3" t="s">
        <v>1489</v>
      </c>
      <c r="Y46" s="3" t="s">
        <v>1490</v>
      </c>
      <c r="Z46" s="3" t="s">
        <v>1423</v>
      </c>
      <c r="AA46" s="3" t="s">
        <v>1491</v>
      </c>
      <c r="AB46" s="3" t="s">
        <v>1374</v>
      </c>
      <c r="AC46" s="3" t="s">
        <v>1451</v>
      </c>
      <c r="AD46" s="3" t="s">
        <v>1492</v>
      </c>
      <c r="AE46" s="3" t="s">
        <v>1493</v>
      </c>
      <c r="AF46" s="3">
        <v>0.055</v>
      </c>
      <c r="AG46" s="3">
        <v>0.253</v>
      </c>
      <c r="AH46" s="3">
        <v>0.353</v>
      </c>
      <c r="AI46" s="3">
        <v>-13.306</v>
      </c>
      <c r="AJ46" s="3">
        <v>8.378</v>
      </c>
      <c r="AK46" s="3" t="s">
        <v>1560</v>
      </c>
      <c r="AL46" s="3">
        <v>0.135</v>
      </c>
      <c r="AM46" s="3" t="s">
        <v>1495</v>
      </c>
    </row>
    <row r="47" ht="15.75" customHeight="1">
      <c r="A47" s="3">
        <v>1.7304E12</v>
      </c>
      <c r="B47" s="3">
        <v>17.0</v>
      </c>
      <c r="C47" s="3" t="s">
        <v>983</v>
      </c>
      <c r="D47" s="3" t="s">
        <v>1369</v>
      </c>
      <c r="E47" s="3" t="s">
        <v>983</v>
      </c>
      <c r="F47" s="3">
        <v>1.0</v>
      </c>
      <c r="G47" s="3">
        <v>1.0</v>
      </c>
      <c r="H47" s="3">
        <v>1.0</v>
      </c>
      <c r="I47" s="3">
        <v>1.0</v>
      </c>
      <c r="J47" s="3">
        <v>1.0</v>
      </c>
      <c r="K47" s="3">
        <v>1.0</v>
      </c>
      <c r="L47" s="3">
        <v>1.0</v>
      </c>
      <c r="M47" s="3">
        <v>1.0</v>
      </c>
      <c r="N47" s="3">
        <v>1.0</v>
      </c>
      <c r="O47" s="3">
        <v>1.0</v>
      </c>
      <c r="P47" s="3">
        <v>1.0</v>
      </c>
      <c r="Q47" s="3">
        <v>1.0</v>
      </c>
      <c r="R47" s="3">
        <v>1.0</v>
      </c>
      <c r="S47" s="3">
        <v>1.0</v>
      </c>
      <c r="T47" s="3">
        <v>1.0</v>
      </c>
      <c r="U47" s="3">
        <v>1.0</v>
      </c>
      <c r="V47" s="3">
        <v>1.0</v>
      </c>
      <c r="W47" s="3" t="s">
        <v>1017</v>
      </c>
      <c r="X47" s="3" t="s">
        <v>1489</v>
      </c>
      <c r="Y47" s="3" t="s">
        <v>1490</v>
      </c>
      <c r="Z47" s="3" t="s">
        <v>1423</v>
      </c>
      <c r="AA47" s="3" t="s">
        <v>1491</v>
      </c>
      <c r="AB47" s="3" t="s">
        <v>1374</v>
      </c>
      <c r="AC47" s="3" t="s">
        <v>1451</v>
      </c>
      <c r="AD47" s="3" t="s">
        <v>1492</v>
      </c>
      <c r="AE47" s="3" t="s">
        <v>1493</v>
      </c>
      <c r="AF47" s="3">
        <v>0.056</v>
      </c>
      <c r="AG47" s="3">
        <v>0.253</v>
      </c>
      <c r="AH47" s="3" t="s">
        <v>1394</v>
      </c>
      <c r="AI47" s="3" t="s">
        <v>1394</v>
      </c>
      <c r="AJ47" s="3">
        <v>8.396</v>
      </c>
      <c r="AK47" s="3" t="s">
        <v>1561</v>
      </c>
      <c r="AL47" s="3" t="s">
        <v>1394</v>
      </c>
      <c r="AM47" s="3" t="s">
        <v>1495</v>
      </c>
    </row>
    <row r="48" ht="15.75" customHeight="1">
      <c r="A48" s="3">
        <v>1.73012E12</v>
      </c>
      <c r="B48" s="3">
        <v>0.0</v>
      </c>
      <c r="C48" s="3" t="s">
        <v>1562</v>
      </c>
      <c r="D48" s="3" t="s">
        <v>1369</v>
      </c>
      <c r="E48" s="3" t="s">
        <v>1562</v>
      </c>
      <c r="F48" s="3">
        <v>0.0</v>
      </c>
      <c r="G48" s="3">
        <v>0.0</v>
      </c>
      <c r="H48" s="3">
        <v>0.0</v>
      </c>
      <c r="I48" s="3">
        <v>0.0</v>
      </c>
      <c r="J48" s="3">
        <v>0.0</v>
      </c>
      <c r="K48" s="3">
        <v>0.0</v>
      </c>
      <c r="L48" s="3">
        <v>0.0</v>
      </c>
      <c r="M48" s="3">
        <v>0.0</v>
      </c>
      <c r="N48" s="3">
        <v>0.0</v>
      </c>
      <c r="O48" s="3">
        <v>0.0</v>
      </c>
      <c r="P48" s="3">
        <v>0.0</v>
      </c>
      <c r="Q48" s="3">
        <v>0.0</v>
      </c>
      <c r="R48" s="3">
        <v>0.0</v>
      </c>
      <c r="S48" s="3">
        <v>0.0</v>
      </c>
      <c r="T48" s="3">
        <v>0.0</v>
      </c>
      <c r="U48" s="3">
        <v>0.0</v>
      </c>
      <c r="V48" s="3">
        <v>0.0</v>
      </c>
    </row>
    <row r="49" ht="15.75" customHeight="1">
      <c r="A49" s="3">
        <v>1.73039E12</v>
      </c>
      <c r="B49" s="3">
        <v>14.0</v>
      </c>
      <c r="C49" s="3" t="s">
        <v>303</v>
      </c>
      <c r="D49" s="3" t="s">
        <v>1369</v>
      </c>
      <c r="E49" s="3" t="s">
        <v>303</v>
      </c>
      <c r="F49" s="3">
        <v>1.0</v>
      </c>
      <c r="G49" s="3">
        <v>1.0</v>
      </c>
      <c r="H49" s="3">
        <v>1.0</v>
      </c>
      <c r="I49" s="3">
        <v>1.0</v>
      </c>
      <c r="J49" s="3">
        <v>1.0</v>
      </c>
      <c r="K49" s="3">
        <v>1.0</v>
      </c>
      <c r="L49" s="3">
        <v>1.0</v>
      </c>
      <c r="M49" s="3">
        <v>1.0</v>
      </c>
      <c r="N49" s="3">
        <v>1.0</v>
      </c>
      <c r="O49" s="3">
        <v>1.0</v>
      </c>
      <c r="P49" s="3">
        <v>1.0</v>
      </c>
      <c r="Q49" s="3">
        <v>0.0</v>
      </c>
      <c r="R49" s="3">
        <v>0.0</v>
      </c>
      <c r="S49" s="3">
        <v>1.0</v>
      </c>
      <c r="T49" s="3">
        <v>1.0</v>
      </c>
      <c r="U49" s="3">
        <v>0.0</v>
      </c>
      <c r="V49" s="3">
        <v>1.0</v>
      </c>
      <c r="W49" s="3" t="s">
        <v>804</v>
      </c>
      <c r="X49" s="3" t="s">
        <v>1563</v>
      </c>
      <c r="Y49" s="3" t="s">
        <v>1564</v>
      </c>
      <c r="Z49" s="3" t="s">
        <v>1372</v>
      </c>
      <c r="AA49" s="3" t="s">
        <v>1565</v>
      </c>
      <c r="AB49" s="3" t="s">
        <v>1374</v>
      </c>
      <c r="AC49" s="3" t="s">
        <v>1400</v>
      </c>
      <c r="AD49" s="3" t="s">
        <v>1566</v>
      </c>
      <c r="AE49" s="3" t="s">
        <v>1567</v>
      </c>
      <c r="AF49" s="3">
        <v>0.345</v>
      </c>
      <c r="AG49" s="3">
        <v>0.674</v>
      </c>
      <c r="AH49" s="3">
        <v>0.262</v>
      </c>
      <c r="AI49" s="3">
        <v>45.884</v>
      </c>
      <c r="AJ49" s="3">
        <v>2.401</v>
      </c>
      <c r="AK49" s="3" t="s">
        <v>1568</v>
      </c>
      <c r="AL49" s="3">
        <v>349.0</v>
      </c>
      <c r="AM49" s="3" t="s">
        <v>1569</v>
      </c>
    </row>
    <row r="50" ht="15.75" customHeight="1">
      <c r="A50" s="3">
        <v>1.73035E12</v>
      </c>
      <c r="B50" s="3">
        <v>17.0</v>
      </c>
      <c r="C50" s="3" t="s">
        <v>815</v>
      </c>
      <c r="D50" s="3" t="s">
        <v>1369</v>
      </c>
      <c r="E50" s="3" t="s">
        <v>815</v>
      </c>
      <c r="F50" s="3">
        <v>1.0</v>
      </c>
      <c r="G50" s="3">
        <v>1.0</v>
      </c>
      <c r="H50" s="3">
        <v>1.0</v>
      </c>
      <c r="I50" s="3">
        <v>1.0</v>
      </c>
      <c r="J50" s="3">
        <v>1.0</v>
      </c>
      <c r="K50" s="3">
        <v>1.0</v>
      </c>
      <c r="L50" s="3">
        <v>1.0</v>
      </c>
      <c r="M50" s="3">
        <v>1.0</v>
      </c>
      <c r="N50" s="3">
        <v>1.0</v>
      </c>
      <c r="O50" s="3">
        <v>1.0</v>
      </c>
      <c r="P50" s="3">
        <v>1.0</v>
      </c>
      <c r="Q50" s="3">
        <v>1.0</v>
      </c>
      <c r="R50" s="3">
        <v>1.0</v>
      </c>
      <c r="S50" s="3">
        <v>1.0</v>
      </c>
      <c r="T50" s="3">
        <v>1.0</v>
      </c>
      <c r="U50" s="3">
        <v>1.0</v>
      </c>
      <c r="V50" s="3">
        <v>1.0</v>
      </c>
      <c r="W50" s="3" t="s">
        <v>1570</v>
      </c>
      <c r="X50" s="3" t="s">
        <v>1489</v>
      </c>
      <c r="Y50" s="3" t="s">
        <v>1571</v>
      </c>
      <c r="Z50" s="3" t="s">
        <v>1423</v>
      </c>
      <c r="AA50" s="3" t="s">
        <v>1491</v>
      </c>
      <c r="AB50" s="3" t="s">
        <v>1374</v>
      </c>
      <c r="AC50" s="3" t="s">
        <v>1451</v>
      </c>
      <c r="AD50" s="3" t="s">
        <v>1492</v>
      </c>
      <c r="AE50" s="3" t="s">
        <v>1493</v>
      </c>
      <c r="AF50" s="3">
        <v>0.056</v>
      </c>
      <c r="AG50" s="3">
        <v>0.257</v>
      </c>
      <c r="AH50" s="3">
        <v>0.372</v>
      </c>
      <c r="AI50" s="3">
        <v>-14.867</v>
      </c>
      <c r="AJ50" s="3">
        <v>8.082</v>
      </c>
      <c r="AK50" s="3" t="s">
        <v>1561</v>
      </c>
      <c r="AL50" s="3">
        <v>0.134</v>
      </c>
      <c r="AM50" s="3" t="s">
        <v>1495</v>
      </c>
    </row>
    <row r="51" ht="15.75" customHeight="1">
      <c r="A51" s="3">
        <v>1.7303E12</v>
      </c>
      <c r="B51" s="3">
        <v>17.0</v>
      </c>
      <c r="C51" s="3" t="s">
        <v>252</v>
      </c>
      <c r="D51" s="3" t="s">
        <v>1369</v>
      </c>
      <c r="E51" s="3" t="s">
        <v>252</v>
      </c>
      <c r="F51" s="3">
        <v>1.0</v>
      </c>
      <c r="G51" s="3">
        <v>1.0</v>
      </c>
      <c r="H51" s="3">
        <v>1.0</v>
      </c>
      <c r="I51" s="3">
        <v>1.0</v>
      </c>
      <c r="J51" s="3">
        <v>1.0</v>
      </c>
      <c r="K51" s="3">
        <v>1.0</v>
      </c>
      <c r="L51" s="3">
        <v>1.0</v>
      </c>
      <c r="M51" s="3">
        <v>1.0</v>
      </c>
      <c r="N51" s="3">
        <v>1.0</v>
      </c>
      <c r="O51" s="3">
        <v>1.0</v>
      </c>
      <c r="P51" s="3">
        <v>1.0</v>
      </c>
      <c r="Q51" s="3">
        <v>1.0</v>
      </c>
      <c r="R51" s="3">
        <v>1.0</v>
      </c>
      <c r="S51" s="3">
        <v>1.0</v>
      </c>
      <c r="T51" s="3">
        <v>1.0</v>
      </c>
      <c r="U51" s="3">
        <v>1.0</v>
      </c>
      <c r="V51" s="3">
        <v>1.0</v>
      </c>
      <c r="W51" s="3" t="s">
        <v>1291</v>
      </c>
      <c r="X51" s="3" t="s">
        <v>1483</v>
      </c>
      <c r="Y51" s="3" t="s">
        <v>1484</v>
      </c>
      <c r="Z51" s="3" t="s">
        <v>1372</v>
      </c>
      <c r="AA51" s="3" t="s">
        <v>1373</v>
      </c>
      <c r="AB51" s="3" t="s">
        <v>1374</v>
      </c>
      <c r="AC51" s="3" t="s">
        <v>1374</v>
      </c>
      <c r="AD51" s="3" t="s">
        <v>1485</v>
      </c>
      <c r="AE51" s="3" t="s">
        <v>1486</v>
      </c>
      <c r="AF51" s="3">
        <v>0.016</v>
      </c>
      <c r="AG51" s="3">
        <v>0.279</v>
      </c>
      <c r="AH51" s="3">
        <v>0.404</v>
      </c>
      <c r="AI51" s="3">
        <v>47.489</v>
      </c>
      <c r="AJ51" s="3">
        <v>28.506</v>
      </c>
      <c r="AK51" s="3" t="s">
        <v>1572</v>
      </c>
      <c r="AL51" s="3">
        <v>-0.012</v>
      </c>
      <c r="AM51" s="3" t="s">
        <v>1573</v>
      </c>
    </row>
    <row r="52" ht="15.75" customHeight="1">
      <c r="A52" s="3">
        <v>1.73032E12</v>
      </c>
      <c r="B52" s="3">
        <v>15.0</v>
      </c>
      <c r="C52" s="3" t="s">
        <v>76</v>
      </c>
      <c r="D52" s="3" t="s">
        <v>1369</v>
      </c>
      <c r="E52" s="3" t="s">
        <v>76</v>
      </c>
      <c r="F52" s="3">
        <v>1.0</v>
      </c>
      <c r="G52" s="3">
        <v>1.0</v>
      </c>
      <c r="H52" s="3">
        <v>1.0</v>
      </c>
      <c r="I52" s="3">
        <v>1.0</v>
      </c>
      <c r="J52" s="3">
        <v>1.0</v>
      </c>
      <c r="K52" s="3">
        <v>1.0</v>
      </c>
      <c r="L52" s="3">
        <v>1.0</v>
      </c>
      <c r="M52" s="3">
        <v>1.0</v>
      </c>
      <c r="N52" s="3">
        <v>1.0</v>
      </c>
      <c r="O52" s="3">
        <v>1.0</v>
      </c>
      <c r="P52" s="3">
        <v>1.0</v>
      </c>
      <c r="Q52" s="3">
        <v>1.0</v>
      </c>
      <c r="R52" s="3">
        <v>0.0</v>
      </c>
      <c r="S52" s="3">
        <v>1.0</v>
      </c>
      <c r="T52" s="3">
        <v>1.0</v>
      </c>
      <c r="U52" s="3">
        <v>0.0</v>
      </c>
      <c r="V52" s="3">
        <v>1.0</v>
      </c>
      <c r="W52" s="3" t="s">
        <v>610</v>
      </c>
      <c r="X52" s="3" t="s">
        <v>1456</v>
      </c>
      <c r="Y52" s="3" t="s">
        <v>1457</v>
      </c>
      <c r="Z52" s="3" t="s">
        <v>1423</v>
      </c>
      <c r="AA52" s="3" t="s">
        <v>1458</v>
      </c>
      <c r="AB52" s="3" t="s">
        <v>1374</v>
      </c>
      <c r="AC52" s="3" t="s">
        <v>1374</v>
      </c>
      <c r="AD52" s="3" t="s">
        <v>1392</v>
      </c>
      <c r="AE52" s="3" t="s">
        <v>1459</v>
      </c>
      <c r="AF52" s="3">
        <v>0.076</v>
      </c>
      <c r="AG52" s="3">
        <v>0.614</v>
      </c>
      <c r="AH52" s="3">
        <v>0.289</v>
      </c>
      <c r="AI52" s="3" t="b">
        <v>0</v>
      </c>
      <c r="AJ52" s="3">
        <v>2.966</v>
      </c>
      <c r="AK52" s="3" t="s">
        <v>1463</v>
      </c>
      <c r="AL52" s="3">
        <v>0.489</v>
      </c>
      <c r="AM52" s="3" t="s">
        <v>1461</v>
      </c>
    </row>
    <row r="53" ht="15.75" customHeight="1">
      <c r="A53" s="3">
        <v>1.7304E12</v>
      </c>
      <c r="B53" s="3">
        <v>0.0</v>
      </c>
      <c r="C53" s="3" t="s">
        <v>1574</v>
      </c>
      <c r="D53" s="3" t="s">
        <v>1369</v>
      </c>
      <c r="E53" s="3" t="s">
        <v>1574</v>
      </c>
      <c r="F53" s="3">
        <v>0.0</v>
      </c>
      <c r="G53" s="3">
        <v>0.0</v>
      </c>
      <c r="H53" s="3">
        <v>0.0</v>
      </c>
      <c r="I53" s="3">
        <v>0.0</v>
      </c>
      <c r="J53" s="3">
        <v>0.0</v>
      </c>
      <c r="K53" s="3">
        <v>0.0</v>
      </c>
      <c r="L53" s="3">
        <v>0.0</v>
      </c>
      <c r="M53" s="3">
        <v>0.0</v>
      </c>
      <c r="N53" s="3">
        <v>0.0</v>
      </c>
      <c r="O53" s="3">
        <v>0.0</v>
      </c>
      <c r="P53" s="3">
        <v>0.0</v>
      </c>
      <c r="Q53" s="3">
        <v>0.0</v>
      </c>
      <c r="R53" s="3">
        <v>0.0</v>
      </c>
      <c r="S53" s="3">
        <v>0.0</v>
      </c>
      <c r="T53" s="3">
        <v>0.0</v>
      </c>
      <c r="U53" s="3">
        <v>0.0</v>
      </c>
      <c r="V53" s="3">
        <v>0.0</v>
      </c>
      <c r="W53" s="3" t="s">
        <v>1575</v>
      </c>
      <c r="X53" s="3" t="s">
        <v>1576</v>
      </c>
      <c r="Y53" s="3" t="s">
        <v>1577</v>
      </c>
    </row>
    <row r="54" ht="15.75" customHeight="1">
      <c r="A54" s="3">
        <v>1.73039E12</v>
      </c>
      <c r="B54" s="3">
        <v>17.0</v>
      </c>
      <c r="C54" s="3" t="s">
        <v>267</v>
      </c>
      <c r="D54" s="3" t="s">
        <v>1369</v>
      </c>
      <c r="E54" s="3" t="s">
        <v>267</v>
      </c>
      <c r="F54" s="3">
        <v>1.0</v>
      </c>
      <c r="G54" s="3">
        <v>1.0</v>
      </c>
      <c r="H54" s="3">
        <v>1.0</v>
      </c>
      <c r="I54" s="3">
        <v>1.0</v>
      </c>
      <c r="J54" s="3">
        <v>1.0</v>
      </c>
      <c r="K54" s="3">
        <v>1.0</v>
      </c>
      <c r="L54" s="3">
        <v>1.0</v>
      </c>
      <c r="M54" s="3">
        <v>1.0</v>
      </c>
      <c r="N54" s="3">
        <v>1.0</v>
      </c>
      <c r="O54" s="3">
        <v>1.0</v>
      </c>
      <c r="P54" s="3">
        <v>1.0</v>
      </c>
      <c r="Q54" s="3">
        <v>1.0</v>
      </c>
      <c r="R54" s="3">
        <v>1.0</v>
      </c>
      <c r="S54" s="3">
        <v>1.0</v>
      </c>
      <c r="T54" s="3">
        <v>1.0</v>
      </c>
      <c r="U54" s="3">
        <v>1.0</v>
      </c>
      <c r="V54" s="3">
        <v>1.0</v>
      </c>
      <c r="W54" s="3" t="s">
        <v>999</v>
      </c>
      <c r="X54" s="3" t="s">
        <v>1578</v>
      </c>
      <c r="Y54" s="3" t="s">
        <v>1579</v>
      </c>
      <c r="Z54" s="3" t="s">
        <v>1372</v>
      </c>
      <c r="AA54" s="3" t="s">
        <v>1382</v>
      </c>
      <c r="AB54" s="3" t="s">
        <v>1374</v>
      </c>
      <c r="AC54" s="3" t="s">
        <v>1580</v>
      </c>
      <c r="AD54" s="3" t="s">
        <v>1581</v>
      </c>
      <c r="AE54" s="3" t="s">
        <v>1582</v>
      </c>
      <c r="AF54" s="3">
        <v>0.05</v>
      </c>
      <c r="AG54" s="3">
        <v>0.272</v>
      </c>
      <c r="AH54" s="3">
        <v>0.426</v>
      </c>
      <c r="AI54" s="3">
        <v>-78.474</v>
      </c>
      <c r="AJ54" s="3">
        <v>18.718</v>
      </c>
      <c r="AK54" s="3" t="s">
        <v>1583</v>
      </c>
      <c r="AL54" s="3">
        <v>0.131</v>
      </c>
      <c r="AM54" s="3" t="s">
        <v>1584</v>
      </c>
    </row>
    <row r="55" ht="15.75" customHeight="1">
      <c r="A55" s="3">
        <v>1.73039E12</v>
      </c>
      <c r="B55" s="3">
        <v>17.0</v>
      </c>
      <c r="C55" s="3" t="s">
        <v>834</v>
      </c>
      <c r="D55" s="3" t="s">
        <v>1369</v>
      </c>
      <c r="E55" s="3" t="s">
        <v>834</v>
      </c>
      <c r="F55" s="3">
        <v>1.0</v>
      </c>
      <c r="G55" s="3">
        <v>1.0</v>
      </c>
      <c r="H55" s="3">
        <v>1.0</v>
      </c>
      <c r="I55" s="3">
        <v>1.0</v>
      </c>
      <c r="J55" s="3">
        <v>1.0</v>
      </c>
      <c r="K55" s="3">
        <v>1.0</v>
      </c>
      <c r="L55" s="3">
        <v>1.0</v>
      </c>
      <c r="M55" s="3">
        <v>1.0</v>
      </c>
      <c r="N55" s="3">
        <v>1.0</v>
      </c>
      <c r="O55" s="3">
        <v>1.0</v>
      </c>
      <c r="P55" s="3">
        <v>1.0</v>
      </c>
      <c r="Q55" s="3">
        <v>1.0</v>
      </c>
      <c r="R55" s="3">
        <v>1.0</v>
      </c>
      <c r="S55" s="3">
        <v>1.0</v>
      </c>
      <c r="T55" s="3">
        <v>1.0</v>
      </c>
      <c r="U55" s="3">
        <v>1.0</v>
      </c>
      <c r="V55" s="3">
        <v>1.0</v>
      </c>
      <c r="W55" s="3" t="s">
        <v>1083</v>
      </c>
      <c r="X55" s="3" t="s">
        <v>1489</v>
      </c>
      <c r="Y55" s="3" t="s">
        <v>1571</v>
      </c>
      <c r="Z55" s="3" t="s">
        <v>1423</v>
      </c>
      <c r="AA55" s="3" t="s">
        <v>1491</v>
      </c>
      <c r="AB55" s="3" t="s">
        <v>1374</v>
      </c>
      <c r="AC55" s="3" t="s">
        <v>1451</v>
      </c>
      <c r="AD55" s="3" t="s">
        <v>1492</v>
      </c>
      <c r="AE55" s="3" t="s">
        <v>1493</v>
      </c>
      <c r="AF55" s="3">
        <v>0.056</v>
      </c>
      <c r="AG55" s="3">
        <v>0.257</v>
      </c>
      <c r="AH55" s="3">
        <v>0.372</v>
      </c>
      <c r="AI55" s="3">
        <v>-14.852</v>
      </c>
      <c r="AJ55" s="3">
        <v>8.078</v>
      </c>
      <c r="AK55" s="3" t="s">
        <v>1561</v>
      </c>
      <c r="AL55" s="3">
        <v>0.134</v>
      </c>
      <c r="AM55" s="3" t="s">
        <v>1495</v>
      </c>
    </row>
    <row r="56" ht="15.75" customHeight="1">
      <c r="A56" s="3">
        <v>1.73014E12</v>
      </c>
      <c r="B56" s="3">
        <v>13.0</v>
      </c>
      <c r="C56" s="3" t="s">
        <v>767</v>
      </c>
      <c r="D56" s="3" t="s">
        <v>1369</v>
      </c>
      <c r="E56" s="3" t="s">
        <v>767</v>
      </c>
      <c r="F56" s="3">
        <v>1.0</v>
      </c>
      <c r="G56" s="3">
        <v>1.0</v>
      </c>
      <c r="H56" s="3">
        <v>1.0</v>
      </c>
      <c r="I56" s="3">
        <v>1.0</v>
      </c>
      <c r="J56" s="3">
        <v>1.0</v>
      </c>
      <c r="K56" s="3">
        <v>1.0</v>
      </c>
      <c r="L56" s="3">
        <v>1.0</v>
      </c>
      <c r="M56" s="3">
        <v>1.0</v>
      </c>
      <c r="N56" s="3">
        <v>1.0</v>
      </c>
      <c r="O56" s="3">
        <v>1.0</v>
      </c>
      <c r="P56" s="3">
        <v>1.0</v>
      </c>
      <c r="Q56" s="3">
        <v>0.0</v>
      </c>
      <c r="R56" s="3">
        <v>0.0</v>
      </c>
      <c r="S56" s="3">
        <v>0.0</v>
      </c>
      <c r="T56" s="3">
        <v>1.0</v>
      </c>
      <c r="U56" s="3">
        <v>0.0</v>
      </c>
      <c r="V56" s="3">
        <v>1.0</v>
      </c>
      <c r="W56" s="3" t="s">
        <v>531</v>
      </c>
      <c r="X56" s="3" t="s">
        <v>1542</v>
      </c>
      <c r="Y56" s="3" t="s">
        <v>1543</v>
      </c>
      <c r="Z56" s="3" t="s">
        <v>1423</v>
      </c>
      <c r="AA56" s="3" t="s">
        <v>1544</v>
      </c>
      <c r="AB56" s="3" t="s">
        <v>1374</v>
      </c>
      <c r="AC56" s="3" t="s">
        <v>1451</v>
      </c>
      <c r="AD56" s="3" t="s">
        <v>1545</v>
      </c>
      <c r="AE56" s="3" t="s">
        <v>1546</v>
      </c>
      <c r="AF56" s="3">
        <v>0.035</v>
      </c>
      <c r="AG56" s="3">
        <v>0.068</v>
      </c>
      <c r="AK56" s="3" t="s">
        <v>1585</v>
      </c>
      <c r="AM56" s="3" t="s">
        <v>1548</v>
      </c>
    </row>
    <row r="57" ht="15.75" customHeight="1">
      <c r="A57" s="3">
        <v>1.72976E12</v>
      </c>
      <c r="B57" s="3">
        <v>17.0</v>
      </c>
      <c r="C57" s="3" t="s">
        <v>70</v>
      </c>
      <c r="D57" s="3" t="s">
        <v>1369</v>
      </c>
      <c r="E57" s="3" t="s">
        <v>70</v>
      </c>
      <c r="F57" s="3">
        <v>1.0</v>
      </c>
      <c r="G57" s="3">
        <v>1.0</v>
      </c>
      <c r="H57" s="3">
        <v>1.0</v>
      </c>
      <c r="I57" s="3">
        <v>1.0</v>
      </c>
      <c r="J57" s="3">
        <v>1.0</v>
      </c>
      <c r="K57" s="3">
        <v>1.0</v>
      </c>
      <c r="L57" s="3">
        <v>1.0</v>
      </c>
      <c r="M57" s="3">
        <v>1.0</v>
      </c>
      <c r="N57" s="3">
        <v>1.0</v>
      </c>
      <c r="O57" s="3">
        <v>1.0</v>
      </c>
      <c r="P57" s="3">
        <v>1.0</v>
      </c>
      <c r="Q57" s="3">
        <v>1.0</v>
      </c>
      <c r="R57" s="3">
        <v>1.0</v>
      </c>
      <c r="S57" s="3">
        <v>1.0</v>
      </c>
      <c r="T57" s="3">
        <v>1.0</v>
      </c>
      <c r="U57" s="3">
        <v>1.0</v>
      </c>
      <c r="V57" s="3">
        <v>1.0</v>
      </c>
      <c r="W57" s="3" t="s">
        <v>1045</v>
      </c>
      <c r="X57" s="3" t="s">
        <v>1456</v>
      </c>
      <c r="Y57" s="3" t="s">
        <v>1457</v>
      </c>
      <c r="Z57" s="3" t="s">
        <v>1586</v>
      </c>
      <c r="AA57" s="3" t="s">
        <v>1458</v>
      </c>
      <c r="AB57" s="3" t="s">
        <v>1374</v>
      </c>
      <c r="AC57" s="3" t="s">
        <v>1374</v>
      </c>
      <c r="AD57" s="3" t="s">
        <v>1392</v>
      </c>
      <c r="AE57" s="3" t="s">
        <v>1459</v>
      </c>
      <c r="AF57" s="3">
        <v>0.082</v>
      </c>
      <c r="AG57" s="3">
        <v>0.677</v>
      </c>
      <c r="AH57" s="3" t="s">
        <v>1394</v>
      </c>
      <c r="AI57" s="3" t="s">
        <v>1394</v>
      </c>
      <c r="AJ57" s="3">
        <v>388.0</v>
      </c>
      <c r="AK57" s="3" t="s">
        <v>1587</v>
      </c>
      <c r="AL57" s="3" t="s">
        <v>1394</v>
      </c>
      <c r="AM57" s="3" t="s">
        <v>1588</v>
      </c>
    </row>
    <row r="58" ht="15.75" customHeight="1">
      <c r="A58" s="3">
        <v>1.7304E12</v>
      </c>
      <c r="B58" s="3">
        <v>12.0</v>
      </c>
      <c r="C58" s="3" t="s">
        <v>932</v>
      </c>
      <c r="D58" s="3" t="s">
        <v>1369</v>
      </c>
      <c r="E58" s="3" t="s">
        <v>932</v>
      </c>
      <c r="F58" s="3">
        <v>1.0</v>
      </c>
      <c r="G58" s="3">
        <v>1.0</v>
      </c>
      <c r="H58" s="3">
        <v>1.0</v>
      </c>
      <c r="I58" s="3">
        <v>1.0</v>
      </c>
      <c r="J58" s="3">
        <v>1.0</v>
      </c>
      <c r="K58" s="3">
        <v>1.0</v>
      </c>
      <c r="L58" s="3">
        <v>1.0</v>
      </c>
      <c r="M58" s="3">
        <v>1.0</v>
      </c>
      <c r="N58" s="3">
        <v>1.0</v>
      </c>
      <c r="O58" s="3">
        <v>0.0</v>
      </c>
      <c r="P58" s="3">
        <v>1.0</v>
      </c>
      <c r="Q58" s="3">
        <v>0.0</v>
      </c>
      <c r="R58" s="3">
        <v>0.0</v>
      </c>
      <c r="S58" s="3">
        <v>0.0</v>
      </c>
      <c r="T58" s="3">
        <v>1.0</v>
      </c>
      <c r="U58" s="3">
        <v>0.0</v>
      </c>
      <c r="V58" s="3">
        <v>1.0</v>
      </c>
      <c r="W58" s="3" t="s">
        <v>614</v>
      </c>
      <c r="X58" s="3" t="s">
        <v>1578</v>
      </c>
      <c r="Y58" s="3" t="s">
        <v>1579</v>
      </c>
      <c r="Z58" s="3" t="s">
        <v>1372</v>
      </c>
      <c r="AA58" s="3" t="s">
        <v>1382</v>
      </c>
      <c r="AB58" s="3" t="s">
        <v>1374</v>
      </c>
      <c r="AC58" s="3" t="s">
        <v>1580</v>
      </c>
      <c r="AD58" s="3" t="s">
        <v>1581</v>
      </c>
      <c r="AE58" s="3" t="s">
        <v>1582</v>
      </c>
      <c r="AG58" s="3">
        <v>0.272</v>
      </c>
      <c r="AH58" s="3">
        <v>0.38</v>
      </c>
      <c r="AI58" s="3">
        <v>-78.475</v>
      </c>
      <c r="AJ58" s="3">
        <v>2.19</v>
      </c>
      <c r="AK58" s="3" t="s">
        <v>1589</v>
      </c>
      <c r="AL58" s="3">
        <v>1.0</v>
      </c>
      <c r="AM58" s="3" t="s">
        <v>1584</v>
      </c>
    </row>
    <row r="59" ht="15.75" customHeight="1">
      <c r="A59" s="3">
        <v>1.73036E12</v>
      </c>
      <c r="B59" s="3">
        <v>16.0</v>
      </c>
      <c r="C59" s="3" t="s">
        <v>571</v>
      </c>
      <c r="D59" s="3" t="s">
        <v>1369</v>
      </c>
      <c r="E59" s="3" t="s">
        <v>571</v>
      </c>
      <c r="F59" s="3">
        <v>1.0</v>
      </c>
      <c r="G59" s="3">
        <v>1.0</v>
      </c>
      <c r="H59" s="3">
        <v>1.0</v>
      </c>
      <c r="I59" s="3">
        <v>1.0</v>
      </c>
      <c r="J59" s="3">
        <v>1.0</v>
      </c>
      <c r="K59" s="3">
        <v>1.0</v>
      </c>
      <c r="L59" s="3">
        <v>0.0</v>
      </c>
      <c r="M59" s="3">
        <v>1.0</v>
      </c>
      <c r="N59" s="3">
        <v>1.0</v>
      </c>
      <c r="O59" s="3">
        <v>1.0</v>
      </c>
      <c r="P59" s="3">
        <v>1.0</v>
      </c>
      <c r="Q59" s="3">
        <v>1.0</v>
      </c>
      <c r="R59" s="3">
        <v>1.0</v>
      </c>
      <c r="S59" s="3">
        <v>1.0</v>
      </c>
      <c r="T59" s="3">
        <v>1.0</v>
      </c>
      <c r="U59" s="3">
        <v>1.0</v>
      </c>
      <c r="V59" s="3">
        <v>1.0</v>
      </c>
      <c r="W59" s="3" t="s">
        <v>69</v>
      </c>
      <c r="X59" s="3" t="s">
        <v>1590</v>
      </c>
      <c r="Y59" s="3" t="s">
        <v>1591</v>
      </c>
      <c r="Z59" s="3" t="s">
        <v>1592</v>
      </c>
      <c r="AA59" s="3" t="s">
        <v>1593</v>
      </c>
      <c r="AB59" s="3" t="s">
        <v>1539</v>
      </c>
      <c r="AC59" s="3" t="s">
        <v>1394</v>
      </c>
      <c r="AD59" s="3" t="s">
        <v>1594</v>
      </c>
      <c r="AE59" s="3" t="s">
        <v>1595</v>
      </c>
      <c r="AF59" s="3">
        <v>0.187</v>
      </c>
      <c r="AG59" s="3">
        <v>2.24</v>
      </c>
      <c r="AH59" s="3" t="s">
        <v>1394</v>
      </c>
      <c r="AI59" s="3" t="s">
        <v>1394</v>
      </c>
      <c r="AJ59" s="3">
        <v>7.489</v>
      </c>
      <c r="AK59" s="3" t="s">
        <v>1596</v>
      </c>
      <c r="AL59" s="3" t="s">
        <v>1394</v>
      </c>
      <c r="AM59" s="3" t="s">
        <v>1469</v>
      </c>
    </row>
    <row r="60" ht="15.75" customHeight="1">
      <c r="A60" s="3">
        <v>1.7303E12</v>
      </c>
      <c r="B60" s="3">
        <v>17.0</v>
      </c>
      <c r="C60" s="3" t="s">
        <v>766</v>
      </c>
      <c r="D60" s="3" t="s">
        <v>1369</v>
      </c>
      <c r="E60" s="3" t="s">
        <v>766</v>
      </c>
      <c r="F60" s="3">
        <v>1.0</v>
      </c>
      <c r="G60" s="3">
        <v>1.0</v>
      </c>
      <c r="H60" s="3">
        <v>1.0</v>
      </c>
      <c r="I60" s="3">
        <v>1.0</v>
      </c>
      <c r="J60" s="3">
        <v>1.0</v>
      </c>
      <c r="K60" s="3">
        <v>1.0</v>
      </c>
      <c r="L60" s="3">
        <v>1.0</v>
      </c>
      <c r="M60" s="3">
        <v>1.0</v>
      </c>
      <c r="N60" s="3">
        <v>1.0</v>
      </c>
      <c r="O60" s="3">
        <v>1.0</v>
      </c>
      <c r="P60" s="3">
        <v>1.0</v>
      </c>
      <c r="Q60" s="3">
        <v>1.0</v>
      </c>
      <c r="R60" s="3">
        <v>1.0</v>
      </c>
      <c r="S60" s="3">
        <v>1.0</v>
      </c>
      <c r="T60" s="3">
        <v>1.0</v>
      </c>
      <c r="U60" s="3">
        <v>1.0</v>
      </c>
      <c r="V60" s="3">
        <v>1.0</v>
      </c>
      <c r="W60" s="3" t="s">
        <v>993</v>
      </c>
      <c r="X60" s="3" t="s">
        <v>1370</v>
      </c>
      <c r="Y60" s="3" t="s">
        <v>1371</v>
      </c>
      <c r="Z60" s="3" t="s">
        <v>1372</v>
      </c>
      <c r="AA60" s="3" t="s">
        <v>1373</v>
      </c>
      <c r="AB60" s="3" t="s">
        <v>1374</v>
      </c>
      <c r="AC60" s="3" t="s">
        <v>1374</v>
      </c>
      <c r="AD60" s="3" t="s">
        <v>1375</v>
      </c>
      <c r="AE60" s="3" t="s">
        <v>1376</v>
      </c>
      <c r="AF60" s="3">
        <v>0.55</v>
      </c>
      <c r="AG60" s="3">
        <v>2.781</v>
      </c>
      <c r="AH60" s="3">
        <v>0.315</v>
      </c>
      <c r="AI60" s="3">
        <v>48.668</v>
      </c>
      <c r="AJ60" s="3">
        <v>7.531</v>
      </c>
      <c r="AK60" s="3" t="s">
        <v>1377</v>
      </c>
      <c r="AL60" s="3">
        <v>0.111</v>
      </c>
      <c r="AM60" s="3" t="s">
        <v>1509</v>
      </c>
    </row>
    <row r="61" ht="15.75" customHeight="1">
      <c r="A61" s="3">
        <v>1.73037E12</v>
      </c>
      <c r="B61" s="3">
        <v>12.0</v>
      </c>
      <c r="C61" s="3" t="s">
        <v>613</v>
      </c>
      <c r="D61" s="3" t="s">
        <v>1369</v>
      </c>
      <c r="E61" s="3" t="s">
        <v>613</v>
      </c>
      <c r="F61" s="3">
        <v>1.0</v>
      </c>
      <c r="G61" s="3">
        <v>1.0</v>
      </c>
      <c r="H61" s="3">
        <v>1.0</v>
      </c>
      <c r="I61" s="3">
        <v>0.0</v>
      </c>
      <c r="J61" s="3">
        <v>1.0</v>
      </c>
      <c r="K61" s="3">
        <v>1.0</v>
      </c>
      <c r="L61" s="3">
        <v>0.0</v>
      </c>
      <c r="M61" s="3">
        <v>1.0</v>
      </c>
      <c r="N61" s="3">
        <v>1.0</v>
      </c>
      <c r="O61" s="3">
        <v>1.0</v>
      </c>
      <c r="P61" s="3">
        <v>1.0</v>
      </c>
      <c r="Q61" s="3">
        <v>0.0</v>
      </c>
      <c r="R61" s="3">
        <v>0.0</v>
      </c>
      <c r="S61" s="3">
        <v>1.0</v>
      </c>
      <c r="T61" s="3">
        <v>1.0</v>
      </c>
      <c r="U61" s="3">
        <v>0.0</v>
      </c>
      <c r="V61" s="3">
        <v>1.0</v>
      </c>
      <c r="W61" s="3" t="s">
        <v>207</v>
      </c>
      <c r="X61" s="3" t="s">
        <v>1413</v>
      </c>
      <c r="Y61" s="3" t="s">
        <v>1414</v>
      </c>
      <c r="Z61" s="3" t="s">
        <v>1597</v>
      </c>
      <c r="AA61" s="3" t="s">
        <v>1415</v>
      </c>
      <c r="AB61" s="3" t="s">
        <v>1374</v>
      </c>
      <c r="AC61" s="3" t="s">
        <v>1400</v>
      </c>
      <c r="AD61" s="3" t="s">
        <v>1416</v>
      </c>
      <c r="AE61" s="3" t="s">
        <v>1417</v>
      </c>
      <c r="AF61" s="3">
        <v>-0.005</v>
      </c>
      <c r="AG61" s="3">
        <v>-0.054</v>
      </c>
      <c r="AH61" s="3">
        <v>0.3</v>
      </c>
      <c r="AI61" s="3">
        <v>0.0</v>
      </c>
      <c r="AJ61" s="3">
        <v>-42.233</v>
      </c>
      <c r="AK61" s="3" t="s">
        <v>1598</v>
      </c>
      <c r="AL61" s="3">
        <v>0.744</v>
      </c>
      <c r="AM61" s="3" t="s">
        <v>1419</v>
      </c>
    </row>
    <row r="62" ht="15.75" customHeight="1">
      <c r="A62" s="3">
        <v>1.73028E12</v>
      </c>
      <c r="B62" s="3">
        <v>17.0</v>
      </c>
      <c r="C62" s="3" t="s">
        <v>851</v>
      </c>
      <c r="D62" s="3" t="s">
        <v>1369</v>
      </c>
      <c r="E62" s="3" t="s">
        <v>851</v>
      </c>
      <c r="F62" s="3">
        <v>1.0</v>
      </c>
      <c r="G62" s="3">
        <v>1.0</v>
      </c>
      <c r="H62" s="3">
        <v>1.0</v>
      </c>
      <c r="I62" s="3">
        <v>1.0</v>
      </c>
      <c r="J62" s="3">
        <v>1.0</v>
      </c>
      <c r="K62" s="3">
        <v>1.0</v>
      </c>
      <c r="L62" s="3">
        <v>1.0</v>
      </c>
      <c r="M62" s="3">
        <v>1.0</v>
      </c>
      <c r="N62" s="3">
        <v>1.0</v>
      </c>
      <c r="O62" s="3">
        <v>1.0</v>
      </c>
      <c r="P62" s="3">
        <v>1.0</v>
      </c>
      <c r="Q62" s="3">
        <v>1.0</v>
      </c>
      <c r="R62" s="3">
        <v>1.0</v>
      </c>
      <c r="S62" s="3">
        <v>1.0</v>
      </c>
      <c r="T62" s="3">
        <v>1.0</v>
      </c>
      <c r="U62" s="3">
        <v>1.0</v>
      </c>
      <c r="V62" s="3">
        <v>1.0</v>
      </c>
      <c r="W62" s="3" t="s">
        <v>1235</v>
      </c>
      <c r="X62" s="3" t="s">
        <v>1489</v>
      </c>
      <c r="Y62" s="3" t="s">
        <v>1490</v>
      </c>
      <c r="Z62" s="3" t="s">
        <v>1423</v>
      </c>
      <c r="AA62" s="3" t="s">
        <v>1491</v>
      </c>
      <c r="AB62" s="3" t="s">
        <v>1374</v>
      </c>
      <c r="AC62" s="3" t="s">
        <v>1451</v>
      </c>
      <c r="AD62" s="3" t="s">
        <v>1492</v>
      </c>
      <c r="AE62" s="3" t="s">
        <v>1493</v>
      </c>
      <c r="AF62" s="3">
        <v>0.056</v>
      </c>
      <c r="AG62" s="3">
        <v>0.253</v>
      </c>
      <c r="AH62" s="3" t="s">
        <v>1394</v>
      </c>
      <c r="AI62" s="3" t="s">
        <v>1394</v>
      </c>
      <c r="AJ62" s="3">
        <v>8.376</v>
      </c>
      <c r="AK62" s="3" t="s">
        <v>1560</v>
      </c>
      <c r="AL62" s="3" t="s">
        <v>1394</v>
      </c>
      <c r="AM62" s="3" t="s">
        <v>1495</v>
      </c>
    </row>
    <row r="63" ht="15.75" customHeight="1">
      <c r="A63" s="3">
        <v>1.7304E12</v>
      </c>
      <c r="B63" s="3">
        <v>16.0</v>
      </c>
      <c r="C63" s="3" t="s">
        <v>68</v>
      </c>
      <c r="D63" s="3" t="s">
        <v>1369</v>
      </c>
      <c r="E63" s="3" t="s">
        <v>68</v>
      </c>
      <c r="F63" s="3">
        <v>1.0</v>
      </c>
      <c r="G63" s="3">
        <v>1.0</v>
      </c>
      <c r="H63" s="3">
        <v>1.0</v>
      </c>
      <c r="I63" s="3">
        <v>1.0</v>
      </c>
      <c r="J63" s="3">
        <v>1.0</v>
      </c>
      <c r="K63" s="3">
        <v>1.0</v>
      </c>
      <c r="L63" s="3">
        <v>1.0</v>
      </c>
      <c r="M63" s="3">
        <v>1.0</v>
      </c>
      <c r="N63" s="3">
        <v>1.0</v>
      </c>
      <c r="O63" s="3">
        <v>1.0</v>
      </c>
      <c r="P63" s="3">
        <v>1.0</v>
      </c>
      <c r="Q63" s="3">
        <v>1.0</v>
      </c>
      <c r="R63" s="3">
        <v>0.0</v>
      </c>
      <c r="S63" s="3">
        <v>1.0</v>
      </c>
      <c r="T63" s="3">
        <v>1.0</v>
      </c>
      <c r="U63" s="3">
        <v>1.0</v>
      </c>
      <c r="V63" s="3">
        <v>1.0</v>
      </c>
      <c r="W63" s="3" t="s">
        <v>353</v>
      </c>
      <c r="X63" s="3" t="s">
        <v>1447</v>
      </c>
      <c r="Y63" s="3" t="s">
        <v>1448</v>
      </c>
      <c r="Z63" s="3" t="s">
        <v>1372</v>
      </c>
      <c r="AA63" s="3" t="s">
        <v>1450</v>
      </c>
      <c r="AB63" s="3" t="s">
        <v>1374</v>
      </c>
      <c r="AC63" s="3" t="s">
        <v>1451</v>
      </c>
      <c r="AD63" s="3" t="s">
        <v>1452</v>
      </c>
      <c r="AE63" s="3" t="s">
        <v>1453</v>
      </c>
      <c r="AF63" s="3">
        <v>0.033</v>
      </c>
      <c r="AG63" s="3">
        <v>0.217</v>
      </c>
      <c r="AH63" s="3">
        <v>0.374</v>
      </c>
      <c r="AI63" s="3" t="s">
        <v>1519</v>
      </c>
      <c r="AJ63" s="3">
        <v>6.576</v>
      </c>
      <c r="AK63" s="3" t="s">
        <v>1599</v>
      </c>
      <c r="AL63" s="3">
        <v>0.176</v>
      </c>
      <c r="AM63" s="3" t="s">
        <v>1455</v>
      </c>
    </row>
    <row r="64" ht="15.75" customHeight="1">
      <c r="A64" s="3">
        <v>1.73036E12</v>
      </c>
      <c r="B64" s="3">
        <v>17.0</v>
      </c>
      <c r="C64" s="3" t="s">
        <v>844</v>
      </c>
      <c r="D64" s="3" t="s">
        <v>1369</v>
      </c>
      <c r="E64" s="3" t="s">
        <v>844</v>
      </c>
      <c r="F64" s="3">
        <v>1.0</v>
      </c>
      <c r="G64" s="3">
        <v>1.0</v>
      </c>
      <c r="H64" s="3">
        <v>1.0</v>
      </c>
      <c r="I64" s="3">
        <v>1.0</v>
      </c>
      <c r="J64" s="3">
        <v>1.0</v>
      </c>
      <c r="K64" s="3">
        <v>1.0</v>
      </c>
      <c r="L64" s="3">
        <v>1.0</v>
      </c>
      <c r="M64" s="3">
        <v>1.0</v>
      </c>
      <c r="N64" s="3">
        <v>1.0</v>
      </c>
      <c r="O64" s="3">
        <v>1.0</v>
      </c>
      <c r="P64" s="3">
        <v>1.0</v>
      </c>
      <c r="Q64" s="3">
        <v>1.0</v>
      </c>
      <c r="R64" s="3">
        <v>1.0</v>
      </c>
      <c r="S64" s="3">
        <v>1.0</v>
      </c>
      <c r="T64" s="3">
        <v>1.0</v>
      </c>
      <c r="U64" s="3">
        <v>1.0</v>
      </c>
      <c r="V64" s="3">
        <v>1.0</v>
      </c>
      <c r="W64" s="3" t="s">
        <v>1300</v>
      </c>
      <c r="X64" s="3" t="s">
        <v>1600</v>
      </c>
      <c r="Y64" s="3" t="s">
        <v>1601</v>
      </c>
      <c r="Z64" s="3" t="s">
        <v>1372</v>
      </c>
      <c r="AA64" s="3" t="s">
        <v>1407</v>
      </c>
      <c r="AB64" s="3" t="s">
        <v>1374</v>
      </c>
      <c r="AC64" s="3" t="s">
        <v>1400</v>
      </c>
      <c r="AD64" s="3" t="s">
        <v>1408</v>
      </c>
      <c r="AE64" s="3" t="s">
        <v>1602</v>
      </c>
      <c r="AF64" s="3">
        <v>0.034</v>
      </c>
      <c r="AG64" s="3">
        <v>0.1</v>
      </c>
      <c r="AH64" s="3">
        <v>0.16</v>
      </c>
      <c r="AI64" s="3">
        <v>8.146</v>
      </c>
      <c r="AJ64" s="3">
        <v>-0.388</v>
      </c>
      <c r="AK64" s="3" t="s">
        <v>1603</v>
      </c>
      <c r="AL64" s="3">
        <v>0.222</v>
      </c>
      <c r="AM64" s="3" t="s">
        <v>1411</v>
      </c>
    </row>
    <row r="65" ht="15.75" customHeight="1">
      <c r="A65" s="3">
        <v>1.73039E12</v>
      </c>
      <c r="B65" s="3">
        <v>14.0</v>
      </c>
      <c r="C65" s="3" t="s">
        <v>803</v>
      </c>
      <c r="D65" s="3" t="s">
        <v>1369</v>
      </c>
      <c r="E65" s="3" t="s">
        <v>803</v>
      </c>
      <c r="F65" s="3">
        <v>1.0</v>
      </c>
      <c r="G65" s="3">
        <v>1.0</v>
      </c>
      <c r="H65" s="3">
        <v>1.0</v>
      </c>
      <c r="I65" s="3">
        <v>1.0</v>
      </c>
      <c r="J65" s="3">
        <v>1.0</v>
      </c>
      <c r="K65" s="3">
        <v>1.0</v>
      </c>
      <c r="L65" s="3">
        <v>1.0</v>
      </c>
      <c r="M65" s="3">
        <v>1.0</v>
      </c>
      <c r="N65" s="3">
        <v>1.0</v>
      </c>
      <c r="O65" s="3">
        <v>1.0</v>
      </c>
      <c r="P65" s="3">
        <v>1.0</v>
      </c>
      <c r="Q65" s="3">
        <v>0.0</v>
      </c>
      <c r="R65" s="3">
        <v>0.0</v>
      </c>
      <c r="S65" s="3">
        <v>1.0</v>
      </c>
      <c r="T65" s="3">
        <v>1.0</v>
      </c>
      <c r="U65" s="3">
        <v>0.0</v>
      </c>
      <c r="V65" s="3">
        <v>1.0</v>
      </c>
      <c r="W65" s="3" t="s">
        <v>793</v>
      </c>
      <c r="X65" s="3" t="s">
        <v>1447</v>
      </c>
      <c r="Y65" s="3" t="s">
        <v>1448</v>
      </c>
      <c r="Z65" s="3" t="s">
        <v>1449</v>
      </c>
      <c r="AA65" s="3" t="s">
        <v>1450</v>
      </c>
      <c r="AB65" s="3" t="s">
        <v>1374</v>
      </c>
      <c r="AC65" s="3" t="s">
        <v>1451</v>
      </c>
      <c r="AD65" s="3" t="s">
        <v>1452</v>
      </c>
      <c r="AE65" s="3" t="s">
        <v>1453</v>
      </c>
      <c r="AF65" s="3">
        <v>0.033</v>
      </c>
      <c r="AG65" s="3">
        <v>0.217</v>
      </c>
      <c r="AI65" s="3">
        <v>48.589</v>
      </c>
      <c r="AJ65" s="3">
        <v>6.574</v>
      </c>
      <c r="AK65" s="3" t="s">
        <v>1528</v>
      </c>
      <c r="AM65" s="3" t="s">
        <v>1455</v>
      </c>
    </row>
    <row r="66" ht="15.75" customHeight="1">
      <c r="A66" s="3">
        <v>1.7304E12</v>
      </c>
      <c r="B66" s="3">
        <v>16.0</v>
      </c>
      <c r="C66" s="3" t="s">
        <v>352</v>
      </c>
      <c r="D66" s="3" t="s">
        <v>1369</v>
      </c>
      <c r="E66" s="3" t="s">
        <v>352</v>
      </c>
      <c r="F66" s="3">
        <v>1.0</v>
      </c>
      <c r="G66" s="3">
        <v>1.0</v>
      </c>
      <c r="H66" s="3">
        <v>1.0</v>
      </c>
      <c r="I66" s="3">
        <v>1.0</v>
      </c>
      <c r="J66" s="3">
        <v>1.0</v>
      </c>
      <c r="K66" s="3">
        <v>1.0</v>
      </c>
      <c r="L66" s="3">
        <v>1.0</v>
      </c>
      <c r="M66" s="3">
        <v>1.0</v>
      </c>
      <c r="N66" s="3">
        <v>1.0</v>
      </c>
      <c r="O66" s="3">
        <v>1.0</v>
      </c>
      <c r="P66" s="3">
        <v>1.0</v>
      </c>
      <c r="Q66" s="3">
        <v>0.0</v>
      </c>
      <c r="R66" s="3">
        <v>1.0</v>
      </c>
      <c r="S66" s="3">
        <v>1.0</v>
      </c>
      <c r="T66" s="3">
        <v>1.0</v>
      </c>
      <c r="U66" s="3">
        <v>1.0</v>
      </c>
      <c r="V66" s="3">
        <v>1.0</v>
      </c>
      <c r="W66" s="3" t="s">
        <v>1249</v>
      </c>
      <c r="X66" s="3" t="s">
        <v>1542</v>
      </c>
      <c r="Y66" s="3" t="s">
        <v>1543</v>
      </c>
      <c r="Z66" s="3" t="s">
        <v>1423</v>
      </c>
      <c r="AA66" s="3" t="s">
        <v>1544</v>
      </c>
      <c r="AB66" s="3" t="s">
        <v>1374</v>
      </c>
      <c r="AC66" s="3" t="s">
        <v>1451</v>
      </c>
      <c r="AD66" s="3" t="s">
        <v>1545</v>
      </c>
      <c r="AE66" s="3" t="s">
        <v>1546</v>
      </c>
      <c r="AF66" s="3">
        <v>0.035</v>
      </c>
      <c r="AG66" s="3">
        <v>0.068</v>
      </c>
      <c r="AH66" s="3">
        <v>0.0</v>
      </c>
      <c r="AI66" s="3">
        <v>54.063</v>
      </c>
      <c r="AJ66" s="3">
        <v>-10.307</v>
      </c>
      <c r="AK66" s="3" t="s">
        <v>1604</v>
      </c>
      <c r="AL66" s="3">
        <v>0.042</v>
      </c>
      <c r="AM66" s="3" t="s">
        <v>1548</v>
      </c>
    </row>
    <row r="67" ht="15.75" customHeight="1">
      <c r="A67" s="3">
        <v>1.7304E12</v>
      </c>
      <c r="B67" s="3">
        <v>13.0</v>
      </c>
      <c r="C67" s="3" t="s">
        <v>895</v>
      </c>
      <c r="D67" s="3" t="s">
        <v>1369</v>
      </c>
      <c r="E67" s="3" t="s">
        <v>895</v>
      </c>
      <c r="F67" s="3">
        <v>1.0</v>
      </c>
      <c r="G67" s="3">
        <v>1.0</v>
      </c>
      <c r="H67" s="3">
        <v>1.0</v>
      </c>
      <c r="I67" s="3">
        <v>1.0</v>
      </c>
      <c r="J67" s="3">
        <v>0.0</v>
      </c>
      <c r="K67" s="3">
        <v>1.0</v>
      </c>
      <c r="L67" s="3">
        <v>0.0</v>
      </c>
      <c r="M67" s="3">
        <v>1.0</v>
      </c>
      <c r="N67" s="3">
        <v>1.0</v>
      </c>
      <c r="O67" s="3">
        <v>1.0</v>
      </c>
      <c r="P67" s="3">
        <v>1.0</v>
      </c>
      <c r="Q67" s="3">
        <v>1.0</v>
      </c>
      <c r="R67" s="3">
        <v>1.0</v>
      </c>
      <c r="S67" s="3">
        <v>1.0</v>
      </c>
      <c r="T67" s="3">
        <v>0.0</v>
      </c>
      <c r="U67" s="3">
        <v>1.0</v>
      </c>
      <c r="V67" s="3">
        <v>0.0</v>
      </c>
      <c r="W67" s="3" t="s">
        <v>475</v>
      </c>
      <c r="X67" s="3" t="s">
        <v>1605</v>
      </c>
      <c r="Y67" s="3" t="s">
        <v>1605</v>
      </c>
      <c r="Z67" s="3" t="s">
        <v>1423</v>
      </c>
      <c r="AA67" s="3" t="s">
        <v>1382</v>
      </c>
      <c r="AB67" s="3" t="s">
        <v>1374</v>
      </c>
      <c r="AC67" s="3" t="s">
        <v>1391</v>
      </c>
      <c r="AD67" s="3" t="s">
        <v>1606</v>
      </c>
      <c r="AE67" s="3" t="s">
        <v>1605</v>
      </c>
      <c r="AF67" s="3" t="s">
        <v>1394</v>
      </c>
      <c r="AG67" s="3" t="s">
        <v>1394</v>
      </c>
      <c r="AH67" s="3" t="s">
        <v>1394</v>
      </c>
      <c r="AI67" s="3" t="s">
        <v>1394</v>
      </c>
      <c r="AJ67" s="3" t="s">
        <v>1394</v>
      </c>
      <c r="AK67" s="3" t="s">
        <v>1607</v>
      </c>
      <c r="AL67" s="3" t="s">
        <v>1394</v>
      </c>
      <c r="AM67" s="3" t="s">
        <v>1608</v>
      </c>
    </row>
    <row r="68" ht="15.75" customHeight="1">
      <c r="A68" s="3">
        <v>1.7304E12</v>
      </c>
      <c r="B68" s="3">
        <v>3.0</v>
      </c>
      <c r="C68" s="3" t="s">
        <v>953</v>
      </c>
      <c r="D68" s="3" t="s">
        <v>1369</v>
      </c>
      <c r="E68" s="3" t="s">
        <v>953</v>
      </c>
      <c r="F68" s="3">
        <v>1.0</v>
      </c>
      <c r="G68" s="3">
        <v>0.0</v>
      </c>
      <c r="H68" s="3">
        <v>0.0</v>
      </c>
      <c r="I68" s="3">
        <v>0.0</v>
      </c>
      <c r="J68" s="3">
        <v>0.0</v>
      </c>
      <c r="K68" s="3">
        <v>1.0</v>
      </c>
      <c r="L68" s="3">
        <v>1.0</v>
      </c>
      <c r="M68" s="3">
        <v>0.0</v>
      </c>
      <c r="N68" s="3">
        <v>0.0</v>
      </c>
      <c r="O68" s="3">
        <v>0.0</v>
      </c>
      <c r="P68" s="3">
        <v>0.0</v>
      </c>
      <c r="Q68" s="3">
        <v>0.0</v>
      </c>
      <c r="R68" s="3">
        <v>0.0</v>
      </c>
      <c r="S68" s="3">
        <v>0.0</v>
      </c>
      <c r="T68" s="3">
        <v>0.0</v>
      </c>
      <c r="U68" s="3">
        <v>0.0</v>
      </c>
      <c r="V68" s="3">
        <v>0.0</v>
      </c>
      <c r="W68" s="3" t="s">
        <v>310</v>
      </c>
      <c r="Z68" s="3" t="s">
        <v>1609</v>
      </c>
      <c r="AB68" s="3" t="s">
        <v>1391</v>
      </c>
      <c r="AC68" s="3" t="s">
        <v>1400</v>
      </c>
    </row>
    <row r="69" ht="15.75" customHeight="1">
      <c r="A69" s="3">
        <v>1.7304E12</v>
      </c>
      <c r="B69" s="3">
        <v>0.0</v>
      </c>
      <c r="C69" s="3" t="s">
        <v>1610</v>
      </c>
      <c r="D69" s="3" t="s">
        <v>1369</v>
      </c>
      <c r="E69" s="3" t="s">
        <v>1610</v>
      </c>
      <c r="F69" s="3">
        <v>0.0</v>
      </c>
      <c r="G69" s="3">
        <v>0.0</v>
      </c>
      <c r="H69" s="3">
        <v>0.0</v>
      </c>
      <c r="I69" s="3">
        <v>0.0</v>
      </c>
      <c r="J69" s="3">
        <v>0.0</v>
      </c>
      <c r="K69" s="3">
        <v>0.0</v>
      </c>
      <c r="L69" s="3">
        <v>0.0</v>
      </c>
      <c r="M69" s="3">
        <v>0.0</v>
      </c>
      <c r="N69" s="3">
        <v>0.0</v>
      </c>
      <c r="O69" s="3">
        <v>0.0</v>
      </c>
      <c r="P69" s="3">
        <v>0.0</v>
      </c>
      <c r="Q69" s="3">
        <v>0.0</v>
      </c>
      <c r="R69" s="3">
        <v>0.0</v>
      </c>
      <c r="S69" s="3">
        <v>0.0</v>
      </c>
      <c r="T69" s="3">
        <v>0.0</v>
      </c>
      <c r="U69" s="3">
        <v>0.0</v>
      </c>
      <c r="V69" s="3">
        <v>0.0</v>
      </c>
      <c r="W69" s="3" t="s">
        <v>1611</v>
      </c>
      <c r="X69" s="3" t="s">
        <v>1612</v>
      </c>
      <c r="Y69" s="3" t="s">
        <v>1613</v>
      </c>
      <c r="Z69" s="3" t="s">
        <v>1614</v>
      </c>
      <c r="AA69" s="3" t="s">
        <v>1614</v>
      </c>
      <c r="AB69" s="3" t="s">
        <v>1374</v>
      </c>
      <c r="AC69" s="3" t="s">
        <v>1451</v>
      </c>
      <c r="AD69" s="3" t="s">
        <v>1580</v>
      </c>
      <c r="AE69" s="3" t="s">
        <v>1615</v>
      </c>
      <c r="AF69" s="3" t="s">
        <v>1616</v>
      </c>
      <c r="AG69" s="3" t="s">
        <v>1617</v>
      </c>
      <c r="AH69" s="3" t="s">
        <v>1618</v>
      </c>
      <c r="AI69" s="3" t="s">
        <v>1619</v>
      </c>
      <c r="AJ69" s="3" t="s">
        <v>1620</v>
      </c>
      <c r="AK69" s="3" t="s">
        <v>1621</v>
      </c>
      <c r="AL69" s="3" t="s">
        <v>1622</v>
      </c>
      <c r="AM69" s="3" t="s">
        <v>1623</v>
      </c>
    </row>
    <row r="70" ht="15.75" customHeight="1">
      <c r="A70" s="3">
        <v>1.73031E12</v>
      </c>
      <c r="B70" s="3">
        <v>17.0</v>
      </c>
      <c r="C70" s="3" t="s">
        <v>865</v>
      </c>
      <c r="D70" s="3" t="s">
        <v>1369</v>
      </c>
      <c r="E70" s="3" t="s">
        <v>865</v>
      </c>
      <c r="F70" s="3">
        <v>1.0</v>
      </c>
      <c r="G70" s="3">
        <v>1.0</v>
      </c>
      <c r="H70" s="3">
        <v>1.0</v>
      </c>
      <c r="I70" s="3">
        <v>1.0</v>
      </c>
      <c r="J70" s="3">
        <v>1.0</v>
      </c>
      <c r="K70" s="3">
        <v>1.0</v>
      </c>
      <c r="L70" s="3">
        <v>1.0</v>
      </c>
      <c r="M70" s="3">
        <v>1.0</v>
      </c>
      <c r="N70" s="3">
        <v>1.0</v>
      </c>
      <c r="O70" s="3">
        <v>1.0</v>
      </c>
      <c r="P70" s="3">
        <v>1.0</v>
      </c>
      <c r="Q70" s="3">
        <v>1.0</v>
      </c>
      <c r="R70" s="3">
        <v>1.0</v>
      </c>
      <c r="S70" s="3">
        <v>1.0</v>
      </c>
      <c r="T70" s="3">
        <v>1.0</v>
      </c>
      <c r="U70" s="3">
        <v>1.0</v>
      </c>
      <c r="V70" s="3">
        <v>1.0</v>
      </c>
      <c r="W70" s="3" t="s">
        <v>845</v>
      </c>
      <c r="X70" s="3" t="s">
        <v>1542</v>
      </c>
      <c r="Y70" s="3" t="s">
        <v>1543</v>
      </c>
      <c r="Z70" s="3" t="s">
        <v>1423</v>
      </c>
      <c r="AA70" s="3" t="s">
        <v>1544</v>
      </c>
      <c r="AB70" s="3" t="s">
        <v>1374</v>
      </c>
      <c r="AC70" s="3" t="s">
        <v>1451</v>
      </c>
      <c r="AD70" s="3" t="s">
        <v>1545</v>
      </c>
      <c r="AE70" s="3" t="s">
        <v>1546</v>
      </c>
      <c r="AF70" s="3">
        <v>0.035</v>
      </c>
      <c r="AG70" s="3">
        <v>0.068</v>
      </c>
      <c r="AH70" s="3" t="s">
        <v>1394</v>
      </c>
      <c r="AI70" s="3" t="s">
        <v>1394</v>
      </c>
      <c r="AJ70" s="3">
        <v>-10.884</v>
      </c>
      <c r="AK70" s="3" t="s">
        <v>1624</v>
      </c>
      <c r="AL70" s="3" t="s">
        <v>1394</v>
      </c>
      <c r="AM70" s="3" t="s">
        <v>1548</v>
      </c>
    </row>
    <row r="71" ht="15.75" customHeight="1">
      <c r="A71" s="3">
        <v>1.73038E12</v>
      </c>
      <c r="B71" s="3">
        <v>17.0</v>
      </c>
      <c r="C71" s="3" t="s">
        <v>534</v>
      </c>
      <c r="D71" s="3" t="s">
        <v>1369</v>
      </c>
      <c r="E71" s="3" t="s">
        <v>534</v>
      </c>
      <c r="F71" s="3">
        <v>1.0</v>
      </c>
      <c r="G71" s="3">
        <v>1.0</v>
      </c>
      <c r="H71" s="3">
        <v>1.0</v>
      </c>
      <c r="I71" s="3">
        <v>1.0</v>
      </c>
      <c r="J71" s="3">
        <v>1.0</v>
      </c>
      <c r="K71" s="3">
        <v>1.0</v>
      </c>
      <c r="L71" s="3">
        <v>1.0</v>
      </c>
      <c r="M71" s="3">
        <v>1.0</v>
      </c>
      <c r="N71" s="3">
        <v>1.0</v>
      </c>
      <c r="O71" s="3">
        <v>1.0</v>
      </c>
      <c r="P71" s="3">
        <v>1.0</v>
      </c>
      <c r="Q71" s="3">
        <v>1.0</v>
      </c>
      <c r="R71" s="3">
        <v>1.0</v>
      </c>
      <c r="S71" s="3">
        <v>1.0</v>
      </c>
      <c r="T71" s="3">
        <v>1.0</v>
      </c>
      <c r="U71" s="3">
        <v>1.0</v>
      </c>
      <c r="V71" s="3">
        <v>1.0</v>
      </c>
      <c r="W71" s="3" t="s">
        <v>1098</v>
      </c>
      <c r="X71" s="3" t="s">
        <v>1590</v>
      </c>
      <c r="Y71" s="3" t="s">
        <v>1591</v>
      </c>
      <c r="Z71" s="3" t="s">
        <v>1423</v>
      </c>
      <c r="AA71" s="3" t="s">
        <v>1593</v>
      </c>
      <c r="AB71" s="3" t="s">
        <v>1374</v>
      </c>
      <c r="AC71" s="3" t="s">
        <v>1374</v>
      </c>
      <c r="AD71" s="3" t="s">
        <v>1625</v>
      </c>
      <c r="AE71" s="3" t="s">
        <v>1595</v>
      </c>
      <c r="AF71" s="3">
        <v>0.189</v>
      </c>
      <c r="AG71" s="3">
        <v>2.257</v>
      </c>
      <c r="AH71" s="3">
        <v>0.379</v>
      </c>
      <c r="AI71" s="3">
        <v>-46.186</v>
      </c>
      <c r="AJ71" s="3">
        <v>7.709</v>
      </c>
      <c r="AK71" s="3" t="s">
        <v>1626</v>
      </c>
      <c r="AL71" s="3">
        <v>0.056</v>
      </c>
      <c r="AM71" s="3" t="s">
        <v>1469</v>
      </c>
    </row>
    <row r="72" ht="15.75" customHeight="1">
      <c r="A72" s="3">
        <v>1.73039E12</v>
      </c>
      <c r="B72" s="3">
        <v>16.0</v>
      </c>
      <c r="C72" s="3" t="s">
        <v>1627</v>
      </c>
      <c r="D72" s="3" t="s">
        <v>1369</v>
      </c>
      <c r="E72" s="3" t="s">
        <v>1627</v>
      </c>
      <c r="F72" s="3">
        <v>1.0</v>
      </c>
      <c r="G72" s="3">
        <v>1.0</v>
      </c>
      <c r="H72" s="3">
        <v>1.0</v>
      </c>
      <c r="I72" s="3">
        <v>1.0</v>
      </c>
      <c r="J72" s="3">
        <v>1.0</v>
      </c>
      <c r="K72" s="3">
        <v>1.0</v>
      </c>
      <c r="L72" s="3">
        <v>1.0</v>
      </c>
      <c r="M72" s="3">
        <v>1.0</v>
      </c>
      <c r="N72" s="3">
        <v>1.0</v>
      </c>
      <c r="O72" s="3">
        <v>1.0</v>
      </c>
      <c r="P72" s="3">
        <v>1.0</v>
      </c>
      <c r="Q72" s="3">
        <v>1.0</v>
      </c>
      <c r="R72" s="3">
        <v>0.0</v>
      </c>
      <c r="S72" s="3">
        <v>1.0</v>
      </c>
      <c r="T72" s="3">
        <v>1.0</v>
      </c>
      <c r="U72" s="3">
        <v>1.0</v>
      </c>
      <c r="V72" s="3">
        <v>1.0</v>
      </c>
      <c r="W72" s="3" t="s">
        <v>979</v>
      </c>
      <c r="X72" s="3" t="s">
        <v>1447</v>
      </c>
      <c r="Y72" s="3" t="s">
        <v>1448</v>
      </c>
      <c r="Z72" s="3" t="s">
        <v>1372</v>
      </c>
      <c r="AA72" s="3" t="s">
        <v>1450</v>
      </c>
      <c r="AB72" s="3" t="s">
        <v>1374</v>
      </c>
      <c r="AC72" s="3" t="s">
        <v>1451</v>
      </c>
      <c r="AD72" s="3" t="s">
        <v>1452</v>
      </c>
      <c r="AE72" s="3" t="s">
        <v>1453</v>
      </c>
      <c r="AF72" s="3">
        <v>0.033</v>
      </c>
      <c r="AG72" s="3">
        <v>0.217</v>
      </c>
      <c r="AH72" s="3">
        <v>0.367</v>
      </c>
      <c r="AI72" s="3">
        <v>97.858</v>
      </c>
      <c r="AJ72" s="3">
        <v>6.575</v>
      </c>
      <c r="AK72" s="3" t="s">
        <v>1454</v>
      </c>
      <c r="AL72" s="3">
        <v>0.176</v>
      </c>
      <c r="AM72" s="3" t="s">
        <v>1455</v>
      </c>
    </row>
    <row r="73" ht="15.75" customHeight="1">
      <c r="A73" s="3">
        <v>1.7304E12</v>
      </c>
      <c r="B73" s="3">
        <v>6.0</v>
      </c>
      <c r="C73" s="3" t="s">
        <v>1628</v>
      </c>
      <c r="D73" s="3" t="s">
        <v>1369</v>
      </c>
      <c r="E73" s="3" t="s">
        <v>1628</v>
      </c>
      <c r="F73" s="3">
        <v>1.0</v>
      </c>
      <c r="G73" s="3">
        <v>1.0</v>
      </c>
      <c r="H73" s="3">
        <v>1.0</v>
      </c>
      <c r="I73" s="3">
        <v>1.0</v>
      </c>
      <c r="J73" s="3">
        <v>1.0</v>
      </c>
      <c r="K73" s="3">
        <v>1.0</v>
      </c>
      <c r="L73" s="3">
        <v>0.0</v>
      </c>
      <c r="M73" s="3">
        <v>0.0</v>
      </c>
      <c r="N73" s="3">
        <v>0.0</v>
      </c>
      <c r="O73" s="3">
        <v>0.0</v>
      </c>
      <c r="P73" s="3">
        <v>0.0</v>
      </c>
      <c r="Q73" s="3">
        <v>0.0</v>
      </c>
      <c r="R73" s="3">
        <v>0.0</v>
      </c>
      <c r="S73" s="3">
        <v>0.0</v>
      </c>
      <c r="T73" s="3">
        <v>0.0</v>
      </c>
      <c r="U73" s="3">
        <v>0.0</v>
      </c>
      <c r="V73" s="3">
        <v>0.0</v>
      </c>
      <c r="W73" s="3" t="s">
        <v>1008</v>
      </c>
      <c r="X73" s="3" t="s">
        <v>1379</v>
      </c>
      <c r="Y73" s="3" t="s">
        <v>1380</v>
      </c>
      <c r="Z73" s="3" t="s">
        <v>1449</v>
      </c>
      <c r="AA73" s="3" t="s">
        <v>1629</v>
      </c>
      <c r="AB73" s="3" t="s">
        <v>1374</v>
      </c>
    </row>
    <row r="74" ht="15.75" customHeight="1">
      <c r="A74" s="3">
        <v>1.7304E12</v>
      </c>
      <c r="B74" s="3">
        <v>17.0</v>
      </c>
      <c r="C74" s="3" t="s">
        <v>641</v>
      </c>
      <c r="D74" s="3" t="s">
        <v>1369</v>
      </c>
      <c r="E74" s="3" t="s">
        <v>641</v>
      </c>
      <c r="F74" s="3">
        <v>1.0</v>
      </c>
      <c r="G74" s="3">
        <v>1.0</v>
      </c>
      <c r="H74" s="3">
        <v>1.0</v>
      </c>
      <c r="I74" s="3">
        <v>1.0</v>
      </c>
      <c r="J74" s="3">
        <v>1.0</v>
      </c>
      <c r="K74" s="3">
        <v>1.0</v>
      </c>
      <c r="L74" s="3">
        <v>1.0</v>
      </c>
      <c r="M74" s="3">
        <v>1.0</v>
      </c>
      <c r="N74" s="3">
        <v>1.0</v>
      </c>
      <c r="O74" s="3">
        <v>1.0</v>
      </c>
      <c r="P74" s="3">
        <v>1.0</v>
      </c>
      <c r="Q74" s="3">
        <v>1.0</v>
      </c>
      <c r="R74" s="3">
        <v>1.0</v>
      </c>
      <c r="S74" s="3">
        <v>1.0</v>
      </c>
      <c r="T74" s="3">
        <v>1.0</v>
      </c>
      <c r="U74" s="3">
        <v>1.0</v>
      </c>
      <c r="V74" s="3">
        <v>1.0</v>
      </c>
      <c r="W74" s="3" t="s">
        <v>1194</v>
      </c>
      <c r="X74" s="3" t="s">
        <v>1370</v>
      </c>
      <c r="Y74" s="3" t="s">
        <v>1371</v>
      </c>
      <c r="Z74" s="3" t="s">
        <v>1372</v>
      </c>
      <c r="AA74" s="3" t="s">
        <v>1373</v>
      </c>
      <c r="AB74" s="3" t="s">
        <v>1374</v>
      </c>
      <c r="AC74" s="3" t="s">
        <v>1374</v>
      </c>
      <c r="AD74" s="3" t="s">
        <v>1375</v>
      </c>
      <c r="AE74" s="3" t="s">
        <v>1376</v>
      </c>
      <c r="AF74" s="3">
        <v>0.555</v>
      </c>
      <c r="AG74" s="3">
        <v>2.825</v>
      </c>
      <c r="AH74" s="3">
        <v>0.318</v>
      </c>
      <c r="AI74" s="3">
        <v>47.318</v>
      </c>
      <c r="AJ74" s="3">
        <v>7.233</v>
      </c>
      <c r="AK74" s="3" t="s">
        <v>1377</v>
      </c>
      <c r="AL74" s="3">
        <v>0.11</v>
      </c>
      <c r="AM74" s="3" t="s">
        <v>1509</v>
      </c>
    </row>
    <row r="75" ht="15.75" customHeight="1">
      <c r="A75" s="3">
        <v>1.7303E12</v>
      </c>
      <c r="B75" s="3">
        <v>17.0</v>
      </c>
      <c r="C75" s="3" t="s">
        <v>914</v>
      </c>
      <c r="D75" s="3" t="s">
        <v>1369</v>
      </c>
      <c r="E75" s="3" t="s">
        <v>914</v>
      </c>
      <c r="F75" s="3">
        <v>1.0</v>
      </c>
      <c r="G75" s="3">
        <v>1.0</v>
      </c>
      <c r="H75" s="3">
        <v>1.0</v>
      </c>
      <c r="I75" s="3">
        <v>1.0</v>
      </c>
      <c r="J75" s="3">
        <v>1.0</v>
      </c>
      <c r="K75" s="3">
        <v>1.0</v>
      </c>
      <c r="L75" s="3">
        <v>1.0</v>
      </c>
      <c r="M75" s="3">
        <v>1.0</v>
      </c>
      <c r="N75" s="3">
        <v>1.0</v>
      </c>
      <c r="O75" s="3">
        <v>1.0</v>
      </c>
      <c r="P75" s="3">
        <v>1.0</v>
      </c>
      <c r="Q75" s="3">
        <v>1.0</v>
      </c>
      <c r="R75" s="3">
        <v>1.0</v>
      </c>
      <c r="S75" s="3">
        <v>1.0</v>
      </c>
      <c r="T75" s="3">
        <v>1.0</v>
      </c>
      <c r="U75" s="3">
        <v>1.0</v>
      </c>
      <c r="V75" s="3">
        <v>1.0</v>
      </c>
      <c r="W75" s="3" t="s">
        <v>1042</v>
      </c>
      <c r="X75" s="3" t="s">
        <v>1388</v>
      </c>
      <c r="Y75" s="3" t="s">
        <v>1389</v>
      </c>
      <c r="Z75" s="3" t="s">
        <v>1372</v>
      </c>
      <c r="AA75" s="3" t="s">
        <v>1390</v>
      </c>
      <c r="AB75" s="3" t="s">
        <v>1374</v>
      </c>
      <c r="AC75" s="3" t="s">
        <v>1391</v>
      </c>
      <c r="AD75" s="3" t="s">
        <v>1392</v>
      </c>
      <c r="AE75" s="3" t="s">
        <v>1393</v>
      </c>
      <c r="AF75" s="3">
        <v>0.071</v>
      </c>
      <c r="AG75" s="3">
        <v>1.031</v>
      </c>
      <c r="AH75" s="3" t="s">
        <v>1394</v>
      </c>
      <c r="AI75" s="3" t="s">
        <v>1394</v>
      </c>
      <c r="AJ75" s="3">
        <v>13.719</v>
      </c>
      <c r="AK75" s="3" t="s">
        <v>1395</v>
      </c>
      <c r="AL75" s="3" t="s">
        <v>1394</v>
      </c>
      <c r="AM75" s="3" t="s">
        <v>1396</v>
      </c>
    </row>
    <row r="76" ht="15.75" customHeight="1">
      <c r="A76" s="3">
        <v>1.73037E12</v>
      </c>
      <c r="B76" s="3">
        <v>17.0</v>
      </c>
      <c r="C76" s="3" t="s">
        <v>626</v>
      </c>
      <c r="D76" s="3" t="s">
        <v>1369</v>
      </c>
      <c r="E76" s="3" t="s">
        <v>626</v>
      </c>
      <c r="F76" s="3">
        <v>1.0</v>
      </c>
      <c r="G76" s="3">
        <v>1.0</v>
      </c>
      <c r="H76" s="3">
        <v>1.0</v>
      </c>
      <c r="I76" s="3">
        <v>1.0</v>
      </c>
      <c r="J76" s="3">
        <v>1.0</v>
      </c>
      <c r="K76" s="3">
        <v>1.0</v>
      </c>
      <c r="L76" s="3">
        <v>1.0</v>
      </c>
      <c r="M76" s="3">
        <v>1.0</v>
      </c>
      <c r="N76" s="3">
        <v>1.0</v>
      </c>
      <c r="O76" s="3">
        <v>1.0</v>
      </c>
      <c r="P76" s="3">
        <v>1.0</v>
      </c>
      <c r="Q76" s="3">
        <v>1.0</v>
      </c>
      <c r="R76" s="3">
        <v>1.0</v>
      </c>
      <c r="S76" s="3">
        <v>1.0</v>
      </c>
      <c r="T76" s="3">
        <v>1.0</v>
      </c>
      <c r="U76" s="3">
        <v>1.0</v>
      </c>
      <c r="V76" s="3">
        <v>1.0</v>
      </c>
      <c r="W76" s="3" t="s">
        <v>1295</v>
      </c>
      <c r="X76" s="3" t="s">
        <v>1529</v>
      </c>
      <c r="Y76" s="3" t="s">
        <v>1530</v>
      </c>
      <c r="Z76" s="3" t="s">
        <v>1372</v>
      </c>
      <c r="AA76" s="3" t="s">
        <v>1531</v>
      </c>
      <c r="AB76" s="3" t="s">
        <v>1374</v>
      </c>
      <c r="AC76" s="3" t="s">
        <v>1391</v>
      </c>
      <c r="AD76" s="3" t="s">
        <v>1532</v>
      </c>
      <c r="AE76" s="3" t="s">
        <v>1533</v>
      </c>
      <c r="AF76" s="3">
        <v>0.084</v>
      </c>
      <c r="AG76" s="3">
        <v>1.798</v>
      </c>
      <c r="AH76" s="3">
        <v>0.359</v>
      </c>
      <c r="AI76" s="3">
        <v>-867.098</v>
      </c>
      <c r="AJ76" s="3">
        <v>-16.427</v>
      </c>
      <c r="AK76" s="3" t="s">
        <v>1630</v>
      </c>
      <c r="AL76" s="3">
        <v>-0.051</v>
      </c>
      <c r="AM76" s="3" t="s">
        <v>1631</v>
      </c>
    </row>
    <row r="77" ht="15.75" customHeight="1">
      <c r="A77" s="3">
        <v>1.7304E12</v>
      </c>
      <c r="B77" s="3">
        <v>14.0</v>
      </c>
      <c r="C77" s="3" t="s">
        <v>962</v>
      </c>
      <c r="D77" s="3" t="s">
        <v>1369</v>
      </c>
      <c r="E77" s="3" t="s">
        <v>962</v>
      </c>
      <c r="F77" s="3">
        <v>1.0</v>
      </c>
      <c r="G77" s="3">
        <v>1.0</v>
      </c>
      <c r="H77" s="3">
        <v>1.0</v>
      </c>
      <c r="I77" s="3">
        <v>1.0</v>
      </c>
      <c r="J77" s="3">
        <v>1.0</v>
      </c>
      <c r="K77" s="3">
        <v>1.0</v>
      </c>
      <c r="L77" s="3">
        <v>1.0</v>
      </c>
      <c r="M77" s="3">
        <v>1.0</v>
      </c>
      <c r="N77" s="3">
        <v>1.0</v>
      </c>
      <c r="O77" s="3">
        <v>1.0</v>
      </c>
      <c r="P77" s="3">
        <v>1.0</v>
      </c>
      <c r="Q77" s="3">
        <v>0.0</v>
      </c>
      <c r="R77" s="3">
        <v>0.0</v>
      </c>
      <c r="S77" s="3">
        <v>1.0</v>
      </c>
      <c r="T77" s="3">
        <v>1.0</v>
      </c>
      <c r="U77" s="3">
        <v>0.0</v>
      </c>
      <c r="V77" s="3">
        <v>1.0</v>
      </c>
      <c r="W77" s="3" t="s">
        <v>300</v>
      </c>
      <c r="X77" s="3" t="s">
        <v>1413</v>
      </c>
      <c r="Y77" s="3" t="s">
        <v>1414</v>
      </c>
      <c r="Z77" s="3" t="s">
        <v>1449</v>
      </c>
      <c r="AA77" s="3" t="s">
        <v>1415</v>
      </c>
      <c r="AB77" s="3" t="s">
        <v>1374</v>
      </c>
      <c r="AC77" s="3" t="s">
        <v>1632</v>
      </c>
      <c r="AD77" s="3" t="s">
        <v>1416</v>
      </c>
      <c r="AE77" s="3" t="s">
        <v>1417</v>
      </c>
      <c r="AF77" s="3">
        <v>-0.005</v>
      </c>
      <c r="AG77" s="3">
        <v>-0.054</v>
      </c>
      <c r="AH77" s="3">
        <v>0.28</v>
      </c>
      <c r="AI77" s="3">
        <v>313.707</v>
      </c>
      <c r="AJ77" s="3">
        <v>-42.233</v>
      </c>
      <c r="AK77" s="3" t="s">
        <v>1633</v>
      </c>
      <c r="AM77" s="3" t="s">
        <v>1419</v>
      </c>
    </row>
    <row r="78" ht="15.75" customHeight="1">
      <c r="A78" s="3">
        <v>1.7304E12</v>
      </c>
      <c r="B78" s="3">
        <v>13.0</v>
      </c>
      <c r="C78" s="3" t="s">
        <v>929</v>
      </c>
      <c r="D78" s="3" t="s">
        <v>1369</v>
      </c>
      <c r="E78" s="3" t="s">
        <v>929</v>
      </c>
      <c r="F78" s="3">
        <v>1.0</v>
      </c>
      <c r="G78" s="3">
        <v>1.0</v>
      </c>
      <c r="H78" s="3">
        <v>1.0</v>
      </c>
      <c r="I78" s="3">
        <v>1.0</v>
      </c>
      <c r="J78" s="3">
        <v>1.0</v>
      </c>
      <c r="K78" s="3">
        <v>1.0</v>
      </c>
      <c r="L78" s="3">
        <v>1.0</v>
      </c>
      <c r="M78" s="3">
        <v>1.0</v>
      </c>
      <c r="N78" s="3">
        <v>1.0</v>
      </c>
      <c r="O78" s="3">
        <v>1.0</v>
      </c>
      <c r="P78" s="3">
        <v>1.0</v>
      </c>
      <c r="Q78" s="3">
        <v>0.0</v>
      </c>
      <c r="R78" s="3">
        <v>0.0</v>
      </c>
      <c r="S78" s="3">
        <v>0.0</v>
      </c>
      <c r="T78" s="3">
        <v>1.0</v>
      </c>
      <c r="U78" s="3">
        <v>0.0</v>
      </c>
      <c r="V78" s="3">
        <v>1.0</v>
      </c>
      <c r="W78" s="3" t="s">
        <v>577</v>
      </c>
      <c r="X78" s="3" t="s">
        <v>1634</v>
      </c>
      <c r="Y78" s="3" t="s">
        <v>1635</v>
      </c>
      <c r="Z78" s="3" t="s">
        <v>1372</v>
      </c>
      <c r="AA78" s="3" t="s">
        <v>1636</v>
      </c>
      <c r="AB78" s="3" t="s">
        <v>1374</v>
      </c>
      <c r="AC78" s="3" t="s">
        <v>1580</v>
      </c>
      <c r="AD78" s="3" t="s">
        <v>1375</v>
      </c>
      <c r="AE78" s="3" t="s">
        <v>1637</v>
      </c>
      <c r="AF78" s="3">
        <v>0.045</v>
      </c>
      <c r="AG78" s="3">
        <v>1.413</v>
      </c>
      <c r="AH78" s="3">
        <v>0.299</v>
      </c>
      <c r="AI78" s="3" t="s">
        <v>1638</v>
      </c>
      <c r="AJ78" s="3">
        <v>36.52</v>
      </c>
      <c r="AK78" s="3" t="s">
        <v>1639</v>
      </c>
      <c r="AL78" s="3" t="s">
        <v>1519</v>
      </c>
      <c r="AM78" s="3" t="s">
        <v>1469</v>
      </c>
    </row>
    <row r="79" ht="15.75" customHeight="1">
      <c r="A79" s="3">
        <v>1.73039E12</v>
      </c>
      <c r="B79" s="3">
        <v>17.0</v>
      </c>
      <c r="C79" s="3" t="s">
        <v>145</v>
      </c>
      <c r="D79" s="3" t="s">
        <v>1369</v>
      </c>
      <c r="E79" s="3" t="s">
        <v>145</v>
      </c>
      <c r="F79" s="3">
        <v>1.0</v>
      </c>
      <c r="G79" s="3">
        <v>1.0</v>
      </c>
      <c r="H79" s="3">
        <v>1.0</v>
      </c>
      <c r="I79" s="3">
        <v>1.0</v>
      </c>
      <c r="J79" s="3">
        <v>1.0</v>
      </c>
      <c r="K79" s="3">
        <v>1.0</v>
      </c>
      <c r="L79" s="3">
        <v>1.0</v>
      </c>
      <c r="M79" s="3">
        <v>1.0</v>
      </c>
      <c r="N79" s="3">
        <v>1.0</v>
      </c>
      <c r="O79" s="3">
        <v>1.0</v>
      </c>
      <c r="P79" s="3">
        <v>1.0</v>
      </c>
      <c r="Q79" s="3">
        <v>1.0</v>
      </c>
      <c r="R79" s="3">
        <v>1.0</v>
      </c>
      <c r="S79" s="3">
        <v>1.0</v>
      </c>
      <c r="T79" s="3">
        <v>1.0</v>
      </c>
      <c r="U79" s="3">
        <v>1.0</v>
      </c>
      <c r="V79" s="3">
        <v>1.0</v>
      </c>
      <c r="W79" s="3" t="s">
        <v>1228</v>
      </c>
      <c r="X79" s="3" t="s">
        <v>1456</v>
      </c>
      <c r="Y79" s="3" t="s">
        <v>1457</v>
      </c>
      <c r="Z79" s="3" t="s">
        <v>1423</v>
      </c>
      <c r="AA79" s="3" t="s">
        <v>1458</v>
      </c>
      <c r="AB79" s="3" t="s">
        <v>1374</v>
      </c>
      <c r="AC79" s="3" t="s">
        <v>1374</v>
      </c>
      <c r="AD79" s="3" t="s">
        <v>1392</v>
      </c>
      <c r="AE79" s="3" t="s">
        <v>1459</v>
      </c>
      <c r="AF79" s="3">
        <v>0.077</v>
      </c>
      <c r="AG79" s="3">
        <v>0.617</v>
      </c>
      <c r="AH79" s="3" t="s">
        <v>1394</v>
      </c>
      <c r="AI79" s="3" t="s">
        <v>1394</v>
      </c>
      <c r="AJ79" s="3">
        <v>3.046</v>
      </c>
      <c r="AK79" s="3" t="s">
        <v>1640</v>
      </c>
      <c r="AL79" s="3" t="s">
        <v>1394</v>
      </c>
      <c r="AM79" s="3" t="s">
        <v>1461</v>
      </c>
    </row>
    <row r="80" ht="15.75" customHeight="1">
      <c r="A80" s="3">
        <v>1.73036E12</v>
      </c>
      <c r="B80" s="3">
        <v>17.0</v>
      </c>
      <c r="C80" s="3" t="s">
        <v>838</v>
      </c>
      <c r="D80" s="3" t="s">
        <v>1369</v>
      </c>
      <c r="E80" s="3" t="s">
        <v>838</v>
      </c>
      <c r="F80" s="3">
        <v>1.0</v>
      </c>
      <c r="G80" s="3">
        <v>1.0</v>
      </c>
      <c r="H80" s="3">
        <v>1.0</v>
      </c>
      <c r="I80" s="3">
        <v>1.0</v>
      </c>
      <c r="J80" s="3">
        <v>1.0</v>
      </c>
      <c r="K80" s="3">
        <v>1.0</v>
      </c>
      <c r="L80" s="3">
        <v>1.0</v>
      </c>
      <c r="M80" s="3">
        <v>1.0</v>
      </c>
      <c r="N80" s="3">
        <v>1.0</v>
      </c>
      <c r="O80" s="3">
        <v>1.0</v>
      </c>
      <c r="P80" s="3">
        <v>1.0</v>
      </c>
      <c r="Q80" s="3">
        <v>1.0</v>
      </c>
      <c r="R80" s="3">
        <v>1.0</v>
      </c>
      <c r="S80" s="3">
        <v>1.0</v>
      </c>
      <c r="T80" s="3">
        <v>1.0</v>
      </c>
      <c r="U80" s="3">
        <v>1.0</v>
      </c>
      <c r="V80" s="3">
        <v>1.0</v>
      </c>
      <c r="W80" s="3" t="s">
        <v>1025</v>
      </c>
      <c r="X80" s="3" t="s">
        <v>1476</v>
      </c>
      <c r="Y80" s="3" t="s">
        <v>1477</v>
      </c>
      <c r="Z80" s="3" t="s">
        <v>1372</v>
      </c>
      <c r="AA80" s="3" t="s">
        <v>1415</v>
      </c>
      <c r="AB80" s="3" t="s">
        <v>1374</v>
      </c>
      <c r="AC80" s="3" t="s">
        <v>1374</v>
      </c>
      <c r="AD80" s="3" t="s">
        <v>1500</v>
      </c>
      <c r="AE80" s="3" t="s">
        <v>1479</v>
      </c>
      <c r="AF80" s="3">
        <v>0.033</v>
      </c>
      <c r="AG80" s="3">
        <v>0.657</v>
      </c>
      <c r="AH80" s="3" t="s">
        <v>1394</v>
      </c>
      <c r="AI80" s="3" t="s">
        <v>1394</v>
      </c>
      <c r="AJ80" s="3">
        <v>-11.761</v>
      </c>
      <c r="AK80" s="3" t="s">
        <v>1641</v>
      </c>
      <c r="AL80" s="3" t="s">
        <v>1394</v>
      </c>
      <c r="AM80" s="3" t="s">
        <v>1419</v>
      </c>
    </row>
    <row r="81" ht="15.75" customHeight="1">
      <c r="A81" s="3">
        <v>1.73035E12</v>
      </c>
      <c r="B81" s="3">
        <v>16.0</v>
      </c>
      <c r="C81" s="3" t="s">
        <v>978</v>
      </c>
      <c r="D81" s="3" t="s">
        <v>1369</v>
      </c>
      <c r="E81" s="3" t="s">
        <v>978</v>
      </c>
      <c r="F81" s="3">
        <v>1.0</v>
      </c>
      <c r="G81" s="3">
        <v>1.0</v>
      </c>
      <c r="H81" s="3">
        <v>1.0</v>
      </c>
      <c r="I81" s="3">
        <v>1.0</v>
      </c>
      <c r="J81" s="3">
        <v>1.0</v>
      </c>
      <c r="K81" s="3">
        <v>1.0</v>
      </c>
      <c r="L81" s="3">
        <v>1.0</v>
      </c>
      <c r="M81" s="3">
        <v>1.0</v>
      </c>
      <c r="N81" s="3">
        <v>1.0</v>
      </c>
      <c r="O81" s="3">
        <v>1.0</v>
      </c>
      <c r="P81" s="3">
        <v>1.0</v>
      </c>
      <c r="Q81" s="3">
        <v>1.0</v>
      </c>
      <c r="R81" s="3">
        <v>1.0</v>
      </c>
      <c r="S81" s="3">
        <v>1.0</v>
      </c>
      <c r="T81" s="3">
        <v>0.0</v>
      </c>
      <c r="U81" s="3">
        <v>1.0</v>
      </c>
      <c r="V81" s="3">
        <v>1.0</v>
      </c>
      <c r="W81" s="3" t="s">
        <v>440</v>
      </c>
      <c r="X81" s="3" t="s">
        <v>1456</v>
      </c>
      <c r="Y81" s="3" t="s">
        <v>1457</v>
      </c>
      <c r="Z81" s="3" t="s">
        <v>1423</v>
      </c>
      <c r="AA81" s="3" t="s">
        <v>1458</v>
      </c>
      <c r="AB81" s="3" t="s">
        <v>1374</v>
      </c>
      <c r="AC81" s="3" t="s">
        <v>1539</v>
      </c>
      <c r="AD81" s="3" t="s">
        <v>1642</v>
      </c>
      <c r="AE81" s="3" t="s">
        <v>1459</v>
      </c>
      <c r="AF81" s="3">
        <v>0.077</v>
      </c>
      <c r="AG81" s="3">
        <v>0.616</v>
      </c>
      <c r="AH81" s="3">
        <v>0.308</v>
      </c>
      <c r="AI81" s="3">
        <v>111.688</v>
      </c>
      <c r="AJ81" s="3">
        <v>3.048</v>
      </c>
      <c r="AK81" s="3" t="s">
        <v>1643</v>
      </c>
      <c r="AL81" s="3">
        <v>0.06</v>
      </c>
      <c r="AM81" s="3" t="s">
        <v>1461</v>
      </c>
    </row>
    <row r="82" ht="15.75" customHeight="1">
      <c r="A82" s="3">
        <v>1.73032E12</v>
      </c>
      <c r="B82" s="3">
        <v>11.0</v>
      </c>
      <c r="C82" s="3" t="s">
        <v>595</v>
      </c>
      <c r="D82" s="3" t="s">
        <v>1369</v>
      </c>
      <c r="E82" s="3" t="s">
        <v>595</v>
      </c>
      <c r="F82" s="3">
        <v>1.0</v>
      </c>
      <c r="G82" s="3">
        <v>1.0</v>
      </c>
      <c r="H82" s="3">
        <v>1.0</v>
      </c>
      <c r="I82" s="3">
        <v>1.0</v>
      </c>
      <c r="J82" s="3">
        <v>1.0</v>
      </c>
      <c r="K82" s="3">
        <v>1.0</v>
      </c>
      <c r="L82" s="3">
        <v>0.0</v>
      </c>
      <c r="M82" s="3">
        <v>1.0</v>
      </c>
      <c r="N82" s="3">
        <v>1.0</v>
      </c>
      <c r="O82" s="3">
        <v>1.0</v>
      </c>
      <c r="P82" s="3">
        <v>0.0</v>
      </c>
      <c r="Q82" s="3">
        <v>0.0</v>
      </c>
      <c r="R82" s="3">
        <v>0.0</v>
      </c>
      <c r="S82" s="3">
        <v>0.0</v>
      </c>
      <c r="T82" s="3">
        <v>1.0</v>
      </c>
      <c r="U82" s="3">
        <v>0.0</v>
      </c>
      <c r="V82" s="3">
        <v>1.0</v>
      </c>
      <c r="W82" s="3" t="s">
        <v>638</v>
      </c>
      <c r="X82" s="3" t="s">
        <v>1476</v>
      </c>
      <c r="Y82" s="3" t="s">
        <v>1477</v>
      </c>
      <c r="Z82" s="3" t="s">
        <v>1644</v>
      </c>
      <c r="AA82" s="3" t="s">
        <v>1415</v>
      </c>
      <c r="AB82" s="3" t="s">
        <v>1374</v>
      </c>
      <c r="AC82" s="3" t="s">
        <v>1391</v>
      </c>
      <c r="AD82" s="3" t="s">
        <v>1500</v>
      </c>
      <c r="AE82" s="3" t="s">
        <v>1479</v>
      </c>
      <c r="AF82" s="3">
        <v>0.033</v>
      </c>
      <c r="AG82" s="3">
        <v>0.657</v>
      </c>
      <c r="AH82" s="3">
        <v>0.276</v>
      </c>
      <c r="AI82" s="3" t="s">
        <v>1519</v>
      </c>
      <c r="AJ82" s="3">
        <v>-102.055</v>
      </c>
      <c r="AK82" s="3" t="s">
        <v>1550</v>
      </c>
      <c r="AL82" s="3">
        <v>1.0</v>
      </c>
      <c r="AM82" s="3" t="s">
        <v>1419</v>
      </c>
    </row>
    <row r="83" ht="15.75" customHeight="1">
      <c r="A83" s="3">
        <v>1.7304E12</v>
      </c>
      <c r="B83" s="3">
        <v>0.0</v>
      </c>
      <c r="C83" s="3" t="s">
        <v>1645</v>
      </c>
      <c r="D83" s="3" t="s">
        <v>1369</v>
      </c>
      <c r="E83" s="3" t="s">
        <v>1645</v>
      </c>
      <c r="F83" s="3">
        <v>0.0</v>
      </c>
      <c r="G83" s="3">
        <v>0.0</v>
      </c>
      <c r="H83" s="3">
        <v>0.0</v>
      </c>
      <c r="I83" s="3">
        <v>0.0</v>
      </c>
      <c r="J83" s="3">
        <v>0.0</v>
      </c>
      <c r="K83" s="3">
        <v>0.0</v>
      </c>
      <c r="L83" s="3">
        <v>0.0</v>
      </c>
      <c r="M83" s="3">
        <v>0.0</v>
      </c>
      <c r="N83" s="3">
        <v>0.0</v>
      </c>
      <c r="O83" s="3">
        <v>0.0</v>
      </c>
      <c r="P83" s="3">
        <v>0.0</v>
      </c>
      <c r="Q83" s="3">
        <v>0.0</v>
      </c>
      <c r="R83" s="3">
        <v>0.0</v>
      </c>
      <c r="S83" s="3">
        <v>0.0</v>
      </c>
      <c r="T83" s="3">
        <v>0.0</v>
      </c>
      <c r="U83" s="3">
        <v>0.0</v>
      </c>
      <c r="V83" s="3">
        <v>0.0</v>
      </c>
      <c r="X83" s="3">
        <v>2.0</v>
      </c>
      <c r="Y83" s="3">
        <v>2.0</v>
      </c>
      <c r="Z83" s="3">
        <v>2.0</v>
      </c>
      <c r="AA83" s="3">
        <v>2.0</v>
      </c>
      <c r="AB83" s="3">
        <v>2.0</v>
      </c>
      <c r="AC83" s="3">
        <v>2.0</v>
      </c>
      <c r="AD83" s="3">
        <v>2.0</v>
      </c>
      <c r="AE83" s="3">
        <v>2.0</v>
      </c>
      <c r="AF83" s="3">
        <v>2.0</v>
      </c>
      <c r="AG83" s="3">
        <v>2.0</v>
      </c>
      <c r="AH83" s="3">
        <v>0.23</v>
      </c>
      <c r="AI83" s="3">
        <v>2.0</v>
      </c>
      <c r="AJ83" s="3">
        <v>2.0</v>
      </c>
      <c r="AK83" s="3">
        <v>2.0</v>
      </c>
      <c r="AL83" s="3">
        <v>2.0</v>
      </c>
      <c r="AM83" s="3">
        <v>2.0</v>
      </c>
    </row>
    <row r="84" ht="15.75" customHeight="1">
      <c r="A84" s="3">
        <v>1.73038E12</v>
      </c>
      <c r="B84" s="3">
        <v>17.0</v>
      </c>
      <c r="C84" s="3" t="s">
        <v>401</v>
      </c>
      <c r="D84" s="3" t="s">
        <v>1369</v>
      </c>
      <c r="E84" s="3" t="s">
        <v>401</v>
      </c>
      <c r="F84" s="3">
        <v>1.0</v>
      </c>
      <c r="G84" s="3">
        <v>1.0</v>
      </c>
      <c r="H84" s="3">
        <v>1.0</v>
      </c>
      <c r="I84" s="3">
        <v>1.0</v>
      </c>
      <c r="J84" s="3">
        <v>1.0</v>
      </c>
      <c r="K84" s="3">
        <v>1.0</v>
      </c>
      <c r="L84" s="3">
        <v>1.0</v>
      </c>
      <c r="M84" s="3">
        <v>1.0</v>
      </c>
      <c r="N84" s="3">
        <v>1.0</v>
      </c>
      <c r="O84" s="3">
        <v>1.0</v>
      </c>
      <c r="P84" s="3">
        <v>1.0</v>
      </c>
      <c r="Q84" s="3">
        <v>1.0</v>
      </c>
      <c r="R84" s="3">
        <v>1.0</v>
      </c>
      <c r="S84" s="3">
        <v>1.0</v>
      </c>
      <c r="T84" s="3">
        <v>1.0</v>
      </c>
      <c r="U84" s="3">
        <v>1.0</v>
      </c>
      <c r="V84" s="3">
        <v>1.0</v>
      </c>
      <c r="W84" s="3" t="s">
        <v>1298</v>
      </c>
      <c r="X84" s="3" t="s">
        <v>1600</v>
      </c>
      <c r="Y84" s="3" t="s">
        <v>1601</v>
      </c>
      <c r="Z84" s="3" t="s">
        <v>1372</v>
      </c>
      <c r="AA84" s="3" t="s">
        <v>1407</v>
      </c>
      <c r="AB84" s="3" t="s">
        <v>1374</v>
      </c>
      <c r="AC84" s="3" t="s">
        <v>1400</v>
      </c>
      <c r="AD84" s="3" t="s">
        <v>1408</v>
      </c>
      <c r="AE84" s="3" t="s">
        <v>1602</v>
      </c>
      <c r="AF84" s="3">
        <v>0.034</v>
      </c>
      <c r="AG84" s="3">
        <v>0.101</v>
      </c>
      <c r="AH84" s="3">
        <v>0.171</v>
      </c>
      <c r="AI84" s="3">
        <v>7.992</v>
      </c>
      <c r="AJ84" s="3">
        <v>-0.417</v>
      </c>
      <c r="AK84" s="3" t="s">
        <v>1646</v>
      </c>
      <c r="AL84" s="3">
        <v>0.22</v>
      </c>
      <c r="AM84" s="3" t="s">
        <v>1411</v>
      </c>
    </row>
    <row r="85" ht="15.75" customHeight="1">
      <c r="A85" s="3">
        <v>1.72979E12</v>
      </c>
      <c r="B85" s="3">
        <v>15.0</v>
      </c>
      <c r="C85" s="3" t="s">
        <v>669</v>
      </c>
      <c r="D85" s="3" t="s">
        <v>1369</v>
      </c>
      <c r="E85" s="3" t="s">
        <v>669</v>
      </c>
      <c r="F85" s="3">
        <v>1.0</v>
      </c>
      <c r="G85" s="3">
        <v>1.0</v>
      </c>
      <c r="H85" s="3">
        <v>1.0</v>
      </c>
      <c r="I85" s="3">
        <v>1.0</v>
      </c>
      <c r="J85" s="3">
        <v>1.0</v>
      </c>
      <c r="K85" s="3">
        <v>1.0</v>
      </c>
      <c r="L85" s="3">
        <v>1.0</v>
      </c>
      <c r="M85" s="3">
        <v>1.0</v>
      </c>
      <c r="N85" s="3">
        <v>1.0</v>
      </c>
      <c r="O85" s="3">
        <v>1.0</v>
      </c>
      <c r="P85" s="3">
        <v>1.0</v>
      </c>
      <c r="Q85" s="3">
        <v>1.0</v>
      </c>
      <c r="R85" s="3">
        <v>0.0</v>
      </c>
      <c r="S85" s="3">
        <v>0.0</v>
      </c>
      <c r="T85" s="3">
        <v>1.0</v>
      </c>
      <c r="U85" s="3">
        <v>1.0</v>
      </c>
      <c r="V85" s="3">
        <v>1.0</v>
      </c>
      <c r="W85" s="3" t="s">
        <v>658</v>
      </c>
      <c r="X85" s="3" t="s">
        <v>1370</v>
      </c>
      <c r="Y85" s="3" t="s">
        <v>1371</v>
      </c>
      <c r="Z85" s="3" t="s">
        <v>1372</v>
      </c>
      <c r="AA85" s="3" t="s">
        <v>1373</v>
      </c>
      <c r="AB85" s="3" t="s">
        <v>1374</v>
      </c>
      <c r="AC85" s="3" t="s">
        <v>1451</v>
      </c>
      <c r="AD85" s="3" t="s">
        <v>1375</v>
      </c>
      <c r="AE85" s="3" t="s">
        <v>1376</v>
      </c>
      <c r="AF85" s="3">
        <v>0.556</v>
      </c>
      <c r="AG85" s="3">
        <v>2.828</v>
      </c>
      <c r="AH85" s="3">
        <v>0.334</v>
      </c>
      <c r="AI85" s="3">
        <v>0.107</v>
      </c>
      <c r="AK85" s="3" t="s">
        <v>1647</v>
      </c>
      <c r="AL85" s="3">
        <v>0.108</v>
      </c>
      <c r="AM85" s="3" t="s">
        <v>1509</v>
      </c>
    </row>
    <row r="86" ht="15.75" customHeight="1">
      <c r="A86" s="3">
        <v>1.7304E12</v>
      </c>
      <c r="B86" s="3">
        <v>17.0</v>
      </c>
      <c r="C86" s="3" t="s">
        <v>883</v>
      </c>
      <c r="D86" s="3" t="s">
        <v>1369</v>
      </c>
      <c r="E86" s="3" t="s">
        <v>883</v>
      </c>
      <c r="F86" s="3">
        <v>1.0</v>
      </c>
      <c r="G86" s="3">
        <v>1.0</v>
      </c>
      <c r="H86" s="3">
        <v>1.0</v>
      </c>
      <c r="I86" s="3">
        <v>1.0</v>
      </c>
      <c r="J86" s="3">
        <v>1.0</v>
      </c>
      <c r="K86" s="3">
        <v>1.0</v>
      </c>
      <c r="L86" s="3">
        <v>1.0</v>
      </c>
      <c r="M86" s="3">
        <v>1.0</v>
      </c>
      <c r="N86" s="3">
        <v>1.0</v>
      </c>
      <c r="O86" s="3">
        <v>1.0</v>
      </c>
      <c r="P86" s="3">
        <v>1.0</v>
      </c>
      <c r="Q86" s="3">
        <v>1.0</v>
      </c>
      <c r="R86" s="3">
        <v>1.0</v>
      </c>
      <c r="S86" s="3">
        <v>1.0</v>
      </c>
      <c r="T86" s="3">
        <v>1.0</v>
      </c>
      <c r="U86" s="3">
        <v>1.0</v>
      </c>
      <c r="V86" s="3">
        <v>1.0</v>
      </c>
      <c r="W86" s="3" t="s">
        <v>1139</v>
      </c>
      <c r="X86" s="3" t="s">
        <v>1438</v>
      </c>
      <c r="Y86" s="3" t="s">
        <v>1439</v>
      </c>
      <c r="Z86" s="3" t="s">
        <v>1372</v>
      </c>
      <c r="AA86" s="3" t="s">
        <v>1553</v>
      </c>
      <c r="AB86" s="3" t="s">
        <v>1374</v>
      </c>
      <c r="AC86" s="3" t="s">
        <v>1391</v>
      </c>
      <c r="AD86" s="3" t="s">
        <v>1554</v>
      </c>
      <c r="AE86" s="3" t="s">
        <v>1444</v>
      </c>
      <c r="AF86" s="3">
        <v>0.086</v>
      </c>
      <c r="AG86" s="3">
        <v>0.303</v>
      </c>
      <c r="AH86" s="3">
        <v>0.22</v>
      </c>
      <c r="AI86" s="3">
        <v>238.399</v>
      </c>
      <c r="AJ86" s="3">
        <v>-1.629</v>
      </c>
      <c r="AK86" s="3" t="s">
        <v>1555</v>
      </c>
      <c r="AL86" s="3">
        <v>0.266</v>
      </c>
      <c r="AM86" s="3" t="s">
        <v>1446</v>
      </c>
    </row>
    <row r="87" ht="15.75" customHeight="1">
      <c r="A87" s="3">
        <v>1.73019E12</v>
      </c>
      <c r="B87" s="3">
        <v>16.0</v>
      </c>
      <c r="C87" s="3" t="s">
        <v>1648</v>
      </c>
      <c r="D87" s="3" t="s">
        <v>1369</v>
      </c>
      <c r="E87" s="3" t="s">
        <v>1648</v>
      </c>
      <c r="F87" s="3">
        <v>1.0</v>
      </c>
      <c r="G87" s="3">
        <v>1.0</v>
      </c>
      <c r="H87" s="3">
        <v>1.0</v>
      </c>
      <c r="I87" s="3">
        <v>1.0</v>
      </c>
      <c r="J87" s="3">
        <v>1.0</v>
      </c>
      <c r="K87" s="3">
        <v>1.0</v>
      </c>
      <c r="L87" s="3">
        <v>1.0</v>
      </c>
      <c r="M87" s="3">
        <v>1.0</v>
      </c>
      <c r="N87" s="3">
        <v>1.0</v>
      </c>
      <c r="O87" s="3">
        <v>1.0</v>
      </c>
      <c r="P87" s="3">
        <v>1.0</v>
      </c>
      <c r="Q87" s="3">
        <v>1.0</v>
      </c>
      <c r="R87" s="3">
        <v>1.0</v>
      </c>
      <c r="S87" s="3">
        <v>0.0</v>
      </c>
      <c r="T87" s="3">
        <v>1.0</v>
      </c>
      <c r="U87" s="3">
        <v>1.0</v>
      </c>
      <c r="V87" s="3">
        <v>1.0</v>
      </c>
      <c r="W87" s="3" t="s">
        <v>412</v>
      </c>
      <c r="X87" s="3" t="s">
        <v>1563</v>
      </c>
      <c r="Y87" s="3" t="s">
        <v>1564</v>
      </c>
      <c r="Z87" s="3" t="s">
        <v>1372</v>
      </c>
      <c r="AA87" s="3" t="s">
        <v>1649</v>
      </c>
      <c r="AB87" s="3" t="s">
        <v>1374</v>
      </c>
      <c r="AC87" s="3" t="s">
        <v>1650</v>
      </c>
      <c r="AD87" s="3" t="s">
        <v>1566</v>
      </c>
      <c r="AE87" s="3" t="s">
        <v>1567</v>
      </c>
      <c r="AF87" s="3">
        <v>0.344</v>
      </c>
      <c r="AG87" s="3">
        <v>0.672</v>
      </c>
      <c r="AH87" s="3">
        <v>0.312</v>
      </c>
      <c r="AI87" s="3">
        <v>46.94</v>
      </c>
      <c r="AJ87" s="3">
        <v>2.342</v>
      </c>
      <c r="AK87" s="3" t="s">
        <v>1651</v>
      </c>
      <c r="AL87" s="3">
        <v>0.051</v>
      </c>
      <c r="AM87" s="3" t="s">
        <v>1569</v>
      </c>
    </row>
    <row r="88" ht="15.75" customHeight="1">
      <c r="A88" s="3">
        <v>1.73027E12</v>
      </c>
      <c r="B88" s="3">
        <v>11.0</v>
      </c>
      <c r="C88" s="3" t="s">
        <v>1652</v>
      </c>
      <c r="D88" s="3" t="s">
        <v>1369</v>
      </c>
      <c r="E88" s="3" t="s">
        <v>1652</v>
      </c>
      <c r="F88" s="3">
        <v>1.0</v>
      </c>
      <c r="G88" s="3">
        <v>1.0</v>
      </c>
      <c r="H88" s="3">
        <v>1.0</v>
      </c>
      <c r="I88" s="3">
        <v>0.0</v>
      </c>
      <c r="J88" s="3">
        <v>1.0</v>
      </c>
      <c r="K88" s="3">
        <v>1.0</v>
      </c>
      <c r="L88" s="3">
        <v>1.0</v>
      </c>
      <c r="M88" s="3">
        <v>1.0</v>
      </c>
      <c r="N88" s="3">
        <v>1.0</v>
      </c>
      <c r="O88" s="3">
        <v>1.0</v>
      </c>
      <c r="P88" s="3">
        <v>1.0</v>
      </c>
      <c r="Q88" s="3">
        <v>0.0</v>
      </c>
      <c r="R88" s="3">
        <v>0.0</v>
      </c>
      <c r="S88" s="3">
        <v>0.0</v>
      </c>
      <c r="T88" s="3">
        <v>0.0</v>
      </c>
      <c r="U88" s="3">
        <v>0.0</v>
      </c>
      <c r="V88" s="3">
        <v>1.0</v>
      </c>
      <c r="W88" s="3" t="s">
        <v>397</v>
      </c>
      <c r="X88" s="3" t="s">
        <v>1405</v>
      </c>
      <c r="Y88" s="3" t="s">
        <v>1406</v>
      </c>
      <c r="Z88" s="3" t="s">
        <v>1372</v>
      </c>
      <c r="AA88" s="3" t="s">
        <v>1407</v>
      </c>
      <c r="AB88" s="3" t="s">
        <v>1374</v>
      </c>
      <c r="AC88" s="3" t="s">
        <v>1400</v>
      </c>
      <c r="AD88" s="3" t="s">
        <v>1506</v>
      </c>
      <c r="AE88" s="3" t="s">
        <v>1409</v>
      </c>
      <c r="AF88" s="3">
        <v>-0.017</v>
      </c>
      <c r="AG88" s="3">
        <v>-0.05</v>
      </c>
      <c r="AH88" s="3">
        <v>0.161</v>
      </c>
      <c r="AI88" s="3">
        <v>-109.839</v>
      </c>
      <c r="AJ88" s="3">
        <v>11.992</v>
      </c>
      <c r="AK88" s="3" t="s">
        <v>1653</v>
      </c>
      <c r="AL88" s="3">
        <v>0.508</v>
      </c>
      <c r="AM88" s="3" t="s">
        <v>1411</v>
      </c>
    </row>
    <row r="89" ht="15.75" customHeight="1">
      <c r="A89" s="3">
        <v>1.7301E12</v>
      </c>
      <c r="B89" s="3">
        <v>12.0</v>
      </c>
      <c r="C89" s="3" t="s">
        <v>819</v>
      </c>
      <c r="D89" s="3" t="s">
        <v>1369</v>
      </c>
      <c r="E89" s="3" t="s">
        <v>819</v>
      </c>
      <c r="F89" s="3">
        <v>1.0</v>
      </c>
      <c r="G89" s="3">
        <v>1.0</v>
      </c>
      <c r="H89" s="3">
        <v>1.0</v>
      </c>
      <c r="I89" s="3">
        <v>1.0</v>
      </c>
      <c r="J89" s="3">
        <v>1.0</v>
      </c>
      <c r="K89" s="3">
        <v>1.0</v>
      </c>
      <c r="L89" s="3">
        <v>1.0</v>
      </c>
      <c r="M89" s="3">
        <v>1.0</v>
      </c>
      <c r="N89" s="3">
        <v>1.0</v>
      </c>
      <c r="O89" s="3">
        <v>0.0</v>
      </c>
      <c r="P89" s="3">
        <v>1.0</v>
      </c>
      <c r="Q89" s="3">
        <v>0.0</v>
      </c>
      <c r="R89" s="3">
        <v>0.0</v>
      </c>
      <c r="S89" s="3">
        <v>0.0</v>
      </c>
      <c r="T89" s="3">
        <v>1.0</v>
      </c>
      <c r="U89" s="3">
        <v>0.0</v>
      </c>
      <c r="V89" s="3">
        <v>1.0</v>
      </c>
      <c r="W89" s="3" t="s">
        <v>952</v>
      </c>
      <c r="X89" s="3" t="s">
        <v>1464</v>
      </c>
      <c r="Y89" s="3" t="s">
        <v>1465</v>
      </c>
      <c r="Z89" s="3" t="s">
        <v>1372</v>
      </c>
      <c r="AA89" s="3" t="s">
        <v>1373</v>
      </c>
      <c r="AB89" s="3" t="s">
        <v>1374</v>
      </c>
      <c r="AC89" s="3" t="s">
        <v>1391</v>
      </c>
      <c r="AD89" s="3" t="s">
        <v>1466</v>
      </c>
      <c r="AE89" s="3" t="s">
        <v>1467</v>
      </c>
      <c r="AF89" s="3">
        <v>0.199349331759316</v>
      </c>
      <c r="AG89" s="3">
        <v>2.429</v>
      </c>
      <c r="AH89" s="3">
        <v>0.319</v>
      </c>
      <c r="AI89" s="3" t="s">
        <v>1519</v>
      </c>
      <c r="AJ89" s="3">
        <v>1.01357234809436</v>
      </c>
      <c r="AK89" s="3" t="s">
        <v>1468</v>
      </c>
      <c r="AM89" s="3" t="s">
        <v>1469</v>
      </c>
    </row>
    <row r="90" ht="15.75" customHeight="1">
      <c r="A90" s="3">
        <v>1.73038E12</v>
      </c>
      <c r="B90" s="3">
        <v>11.0</v>
      </c>
      <c r="C90" s="3" t="s">
        <v>451</v>
      </c>
      <c r="D90" s="3" t="s">
        <v>1369</v>
      </c>
      <c r="E90" s="3" t="s">
        <v>451</v>
      </c>
      <c r="F90" s="3">
        <v>1.0</v>
      </c>
      <c r="G90" s="3">
        <v>1.0</v>
      </c>
      <c r="H90" s="3">
        <v>1.0</v>
      </c>
      <c r="I90" s="3">
        <v>1.0</v>
      </c>
      <c r="J90" s="3">
        <v>1.0</v>
      </c>
      <c r="K90" s="3">
        <v>1.0</v>
      </c>
      <c r="L90" s="3">
        <v>1.0</v>
      </c>
      <c r="M90" s="3">
        <v>1.0</v>
      </c>
      <c r="N90" s="3">
        <v>1.0</v>
      </c>
      <c r="O90" s="3">
        <v>0.0</v>
      </c>
      <c r="P90" s="3">
        <v>0.0</v>
      </c>
      <c r="Q90" s="3">
        <v>0.0</v>
      </c>
      <c r="R90" s="3">
        <v>0.0</v>
      </c>
      <c r="S90" s="3">
        <v>0.0</v>
      </c>
      <c r="T90" s="3">
        <v>1.0</v>
      </c>
      <c r="U90" s="3">
        <v>0.0</v>
      </c>
      <c r="V90" s="3">
        <v>1.0</v>
      </c>
      <c r="W90" s="3" t="s">
        <v>438</v>
      </c>
      <c r="X90" s="3" t="s">
        <v>1605</v>
      </c>
      <c r="Y90" s="3" t="s">
        <v>1654</v>
      </c>
      <c r="Z90" s="3" t="s">
        <v>1431</v>
      </c>
      <c r="AA90" s="3" t="s">
        <v>1382</v>
      </c>
      <c r="AB90" s="3" t="s">
        <v>1391</v>
      </c>
      <c r="AC90" s="3" t="s">
        <v>1374</v>
      </c>
      <c r="AD90" s="3" t="s">
        <v>1655</v>
      </c>
      <c r="AE90" s="3" t="s">
        <v>1656</v>
      </c>
      <c r="AF90" s="3">
        <v>0.065</v>
      </c>
      <c r="AG90" s="3">
        <v>0.0042</v>
      </c>
      <c r="AH90" s="3">
        <v>0.314</v>
      </c>
      <c r="AI90" s="3">
        <v>842.7689</v>
      </c>
      <c r="AJ90" s="3">
        <v>0.0765</v>
      </c>
      <c r="AK90" s="3" t="s">
        <v>1657</v>
      </c>
      <c r="AL90" s="3">
        <v>3.987</v>
      </c>
      <c r="AM90" s="3" t="s">
        <v>1608</v>
      </c>
    </row>
    <row r="91" ht="15.75" customHeight="1">
      <c r="A91" s="3">
        <v>1.73039E12</v>
      </c>
      <c r="B91" s="3">
        <v>15.0</v>
      </c>
      <c r="C91" s="3" t="s">
        <v>1658</v>
      </c>
      <c r="D91" s="3" t="s">
        <v>1369</v>
      </c>
      <c r="E91" s="3" t="s">
        <v>1658</v>
      </c>
      <c r="F91" s="3">
        <v>1.0</v>
      </c>
      <c r="G91" s="3">
        <v>1.0</v>
      </c>
      <c r="H91" s="3">
        <v>1.0</v>
      </c>
      <c r="I91" s="3">
        <v>1.0</v>
      </c>
      <c r="J91" s="3">
        <v>1.0</v>
      </c>
      <c r="K91" s="3">
        <v>1.0</v>
      </c>
      <c r="L91" s="3">
        <v>1.0</v>
      </c>
      <c r="M91" s="3">
        <v>1.0</v>
      </c>
      <c r="N91" s="3">
        <v>1.0</v>
      </c>
      <c r="O91" s="3">
        <v>1.0</v>
      </c>
      <c r="P91" s="3">
        <v>1.0</v>
      </c>
      <c r="Q91" s="3">
        <v>1.0</v>
      </c>
      <c r="R91" s="3">
        <v>0.0</v>
      </c>
      <c r="S91" s="3">
        <v>1.0</v>
      </c>
      <c r="T91" s="3">
        <v>1.0</v>
      </c>
      <c r="U91" s="3">
        <v>0.0</v>
      </c>
      <c r="V91" s="3">
        <v>1.0</v>
      </c>
      <c r="W91" s="3" t="s">
        <v>349</v>
      </c>
      <c r="X91" s="3" t="s">
        <v>1483</v>
      </c>
      <c r="Y91" s="3" t="s">
        <v>1484</v>
      </c>
      <c r="Z91" s="3" t="s">
        <v>1372</v>
      </c>
      <c r="AA91" s="3" t="s">
        <v>1373</v>
      </c>
      <c r="AB91" s="3" t="s">
        <v>1374</v>
      </c>
      <c r="AC91" s="3" t="s">
        <v>1374</v>
      </c>
      <c r="AD91" s="3" t="s">
        <v>1485</v>
      </c>
      <c r="AE91" s="3" t="s">
        <v>1486</v>
      </c>
      <c r="AF91" s="3">
        <v>0.019</v>
      </c>
      <c r="AG91" s="3">
        <v>0.319</v>
      </c>
      <c r="AH91" s="3">
        <v>0.403</v>
      </c>
      <c r="AI91" s="3">
        <v>46.136</v>
      </c>
      <c r="AJ91" s="3">
        <v>29.032</v>
      </c>
      <c r="AK91" s="3" t="s">
        <v>1659</v>
      </c>
      <c r="AL91" s="3">
        <v>-0.001</v>
      </c>
      <c r="AM91" s="3" t="s">
        <v>1573</v>
      </c>
    </row>
    <row r="92" ht="15.75" customHeight="1">
      <c r="A92" s="3">
        <v>1.7304E12</v>
      </c>
      <c r="B92" s="3">
        <v>17.0</v>
      </c>
      <c r="C92" s="3" t="s">
        <v>887</v>
      </c>
      <c r="D92" s="3" t="s">
        <v>1369</v>
      </c>
      <c r="E92" s="3" t="s">
        <v>887</v>
      </c>
      <c r="F92" s="3">
        <v>1.0</v>
      </c>
      <c r="G92" s="3">
        <v>1.0</v>
      </c>
      <c r="H92" s="3">
        <v>1.0</v>
      </c>
      <c r="I92" s="3">
        <v>1.0</v>
      </c>
      <c r="J92" s="3">
        <v>1.0</v>
      </c>
      <c r="K92" s="3">
        <v>1.0</v>
      </c>
      <c r="L92" s="3">
        <v>1.0</v>
      </c>
      <c r="M92" s="3">
        <v>1.0</v>
      </c>
      <c r="N92" s="3">
        <v>1.0</v>
      </c>
      <c r="O92" s="3">
        <v>1.0</v>
      </c>
      <c r="P92" s="3">
        <v>1.0</v>
      </c>
      <c r="Q92" s="3">
        <v>1.0</v>
      </c>
      <c r="R92" s="3">
        <v>1.0</v>
      </c>
      <c r="S92" s="3">
        <v>1.0</v>
      </c>
      <c r="T92" s="3">
        <v>1.0</v>
      </c>
      <c r="U92" s="3">
        <v>1.0</v>
      </c>
      <c r="V92" s="3">
        <v>1.0</v>
      </c>
      <c r="W92" s="3" t="s">
        <v>1310</v>
      </c>
      <c r="X92" s="3" t="s">
        <v>1470</v>
      </c>
      <c r="Y92" s="3" t="s">
        <v>1660</v>
      </c>
      <c r="Z92" s="3" t="s">
        <v>1372</v>
      </c>
      <c r="AA92" s="3" t="s">
        <v>1382</v>
      </c>
      <c r="AB92" s="3" t="s">
        <v>1374</v>
      </c>
      <c r="AC92" s="3" t="s">
        <v>1400</v>
      </c>
      <c r="AD92" s="3" t="s">
        <v>1472</v>
      </c>
      <c r="AE92" s="3" t="s">
        <v>1473</v>
      </c>
      <c r="AF92" s="3">
        <v>0.151</v>
      </c>
      <c r="AG92" s="3">
        <v>4.104</v>
      </c>
      <c r="AH92" s="3">
        <v>0.274</v>
      </c>
      <c r="AI92" s="3">
        <v>109.012</v>
      </c>
      <c r="AJ92" s="3">
        <v>7.791</v>
      </c>
      <c r="AK92" s="3" t="s">
        <v>1474</v>
      </c>
      <c r="AL92" s="3">
        <v>0.022</v>
      </c>
      <c r="AM92" s="3" t="s">
        <v>1661</v>
      </c>
    </row>
    <row r="93" ht="15.75" customHeight="1">
      <c r="A93" s="3">
        <v>1.7302E12</v>
      </c>
      <c r="B93" s="3">
        <v>15.0</v>
      </c>
      <c r="C93" s="3" t="s">
        <v>550</v>
      </c>
      <c r="D93" s="3" t="s">
        <v>1369</v>
      </c>
      <c r="E93" s="3" t="s">
        <v>550</v>
      </c>
      <c r="F93" s="3">
        <v>1.0</v>
      </c>
      <c r="G93" s="3">
        <v>1.0</v>
      </c>
      <c r="H93" s="3">
        <v>1.0</v>
      </c>
      <c r="I93" s="3">
        <v>1.0</v>
      </c>
      <c r="J93" s="3">
        <v>1.0</v>
      </c>
      <c r="K93" s="3">
        <v>1.0</v>
      </c>
      <c r="L93" s="3">
        <v>1.0</v>
      </c>
      <c r="M93" s="3">
        <v>1.0</v>
      </c>
      <c r="N93" s="3">
        <v>1.0</v>
      </c>
      <c r="O93" s="3">
        <v>1.0</v>
      </c>
      <c r="P93" s="3">
        <v>1.0</v>
      </c>
      <c r="Q93" s="3">
        <v>0.0</v>
      </c>
      <c r="R93" s="3">
        <v>1.0</v>
      </c>
      <c r="S93" s="3">
        <v>0.0</v>
      </c>
      <c r="T93" s="3">
        <v>1.0</v>
      </c>
      <c r="U93" s="3">
        <v>1.0</v>
      </c>
      <c r="V93" s="3">
        <v>1.0</v>
      </c>
      <c r="W93" s="3" t="s">
        <v>506</v>
      </c>
      <c r="X93" s="3" t="s">
        <v>1456</v>
      </c>
      <c r="Y93" s="3" t="s">
        <v>1457</v>
      </c>
      <c r="Z93" s="3" t="s">
        <v>1431</v>
      </c>
      <c r="AA93" s="3" t="s">
        <v>1458</v>
      </c>
      <c r="AB93" s="3" t="s">
        <v>1374</v>
      </c>
      <c r="AC93" s="3" t="s">
        <v>1374</v>
      </c>
      <c r="AD93" s="3" t="s">
        <v>1392</v>
      </c>
      <c r="AE93" s="3" t="s">
        <v>1459</v>
      </c>
      <c r="AF93" s="3">
        <v>0.077</v>
      </c>
      <c r="AG93" s="3">
        <v>0.615</v>
      </c>
      <c r="AH93" s="3">
        <v>0.287</v>
      </c>
      <c r="AI93" s="3">
        <v>111.509</v>
      </c>
      <c r="AJ93" s="3">
        <v>3.044</v>
      </c>
      <c r="AK93" s="3" t="s">
        <v>1587</v>
      </c>
      <c r="AL93" s="3">
        <v>0.059</v>
      </c>
      <c r="AM93" s="3" t="s">
        <v>1461</v>
      </c>
    </row>
    <row r="94" ht="15.75" customHeight="1">
      <c r="A94" s="3">
        <v>1.73039E12</v>
      </c>
      <c r="B94" s="3">
        <v>13.0</v>
      </c>
      <c r="C94" s="3" t="s">
        <v>1662</v>
      </c>
      <c r="D94" s="3" t="s">
        <v>1369</v>
      </c>
      <c r="E94" s="3" t="s">
        <v>1662</v>
      </c>
      <c r="F94" s="3">
        <v>1.0</v>
      </c>
      <c r="G94" s="3">
        <v>1.0</v>
      </c>
      <c r="H94" s="3">
        <v>1.0</v>
      </c>
      <c r="I94" s="3">
        <v>1.0</v>
      </c>
      <c r="J94" s="3">
        <v>1.0</v>
      </c>
      <c r="K94" s="3">
        <v>1.0</v>
      </c>
      <c r="L94" s="3">
        <v>1.0</v>
      </c>
      <c r="M94" s="3">
        <v>1.0</v>
      </c>
      <c r="N94" s="3">
        <v>1.0</v>
      </c>
      <c r="O94" s="3">
        <v>1.0</v>
      </c>
      <c r="P94" s="3">
        <v>1.0</v>
      </c>
      <c r="Q94" s="3">
        <v>0.0</v>
      </c>
      <c r="R94" s="3">
        <v>0.0</v>
      </c>
      <c r="S94" s="3">
        <v>0.0</v>
      </c>
      <c r="T94" s="3">
        <v>1.0</v>
      </c>
      <c r="U94" s="3">
        <v>0.0</v>
      </c>
      <c r="V94" s="3">
        <v>1.0</v>
      </c>
      <c r="W94" s="3" t="s">
        <v>351</v>
      </c>
      <c r="X94" s="3" t="s">
        <v>1398</v>
      </c>
      <c r="Y94" s="3" t="s">
        <v>1399</v>
      </c>
      <c r="Z94" s="3" t="s">
        <v>1372</v>
      </c>
      <c r="AA94" s="3" t="s">
        <v>1373</v>
      </c>
      <c r="AB94" s="3" t="s">
        <v>1374</v>
      </c>
      <c r="AC94" s="3" t="s">
        <v>1400</v>
      </c>
      <c r="AD94" s="3" t="s">
        <v>1401</v>
      </c>
      <c r="AE94" s="3" t="s">
        <v>1402</v>
      </c>
      <c r="AF94" s="3">
        <v>0.006</v>
      </c>
      <c r="AG94" s="3">
        <v>0.069</v>
      </c>
      <c r="AH94" s="3">
        <v>0.403</v>
      </c>
      <c r="AI94" s="3">
        <v>33.27</v>
      </c>
      <c r="AJ94" s="3">
        <v>8.389</v>
      </c>
      <c r="AK94" s="3" t="s">
        <v>1663</v>
      </c>
      <c r="AL94" s="3">
        <v>0.258</v>
      </c>
      <c r="AM94" s="3" t="s">
        <v>1404</v>
      </c>
    </row>
    <row r="95" ht="15.75" customHeight="1">
      <c r="A95" s="3">
        <v>1.73029E12</v>
      </c>
      <c r="B95" s="3">
        <v>17.0</v>
      </c>
      <c r="C95" s="3" t="s">
        <v>574</v>
      </c>
      <c r="D95" s="3" t="s">
        <v>1369</v>
      </c>
      <c r="E95" s="3" t="s">
        <v>574</v>
      </c>
      <c r="F95" s="3">
        <v>1.0</v>
      </c>
      <c r="G95" s="3">
        <v>1.0</v>
      </c>
      <c r="H95" s="3">
        <v>1.0</v>
      </c>
      <c r="I95" s="3">
        <v>1.0</v>
      </c>
      <c r="J95" s="3">
        <v>1.0</v>
      </c>
      <c r="K95" s="3">
        <v>1.0</v>
      </c>
      <c r="L95" s="3">
        <v>1.0</v>
      </c>
      <c r="M95" s="3">
        <v>1.0</v>
      </c>
      <c r="N95" s="3">
        <v>1.0</v>
      </c>
      <c r="O95" s="3">
        <v>1.0</v>
      </c>
      <c r="P95" s="3">
        <v>1.0</v>
      </c>
      <c r="Q95" s="3">
        <v>1.0</v>
      </c>
      <c r="R95" s="3">
        <v>1.0</v>
      </c>
      <c r="S95" s="3">
        <v>1.0</v>
      </c>
      <c r="T95" s="3">
        <v>1.0</v>
      </c>
      <c r="U95" s="3">
        <v>1.0</v>
      </c>
      <c r="V95" s="3">
        <v>1.0</v>
      </c>
      <c r="W95" s="3" t="s">
        <v>1312</v>
      </c>
      <c r="X95" s="3" t="s">
        <v>1438</v>
      </c>
      <c r="Y95" s="3" t="s">
        <v>1439</v>
      </c>
      <c r="Z95" s="3" t="s">
        <v>1372</v>
      </c>
      <c r="AA95" s="3" t="s">
        <v>1664</v>
      </c>
      <c r="AB95" s="3" t="s">
        <v>1374</v>
      </c>
      <c r="AC95" s="3" t="s">
        <v>1391</v>
      </c>
      <c r="AD95" s="3" t="s">
        <v>1554</v>
      </c>
      <c r="AE95" s="3" t="s">
        <v>1444</v>
      </c>
      <c r="AF95" s="3">
        <v>0.081</v>
      </c>
      <c r="AG95" s="3">
        <v>0.285</v>
      </c>
      <c r="AH95" s="3">
        <v>0.221</v>
      </c>
      <c r="AI95" s="3">
        <v>241.706</v>
      </c>
      <c r="AJ95" s="3">
        <v>-1.663</v>
      </c>
      <c r="AK95" s="3" t="s">
        <v>1555</v>
      </c>
      <c r="AL95" s="3">
        <v>0.255</v>
      </c>
      <c r="AM95" s="3" t="s">
        <v>1446</v>
      </c>
    </row>
    <row r="96" ht="15.75" customHeight="1">
      <c r="A96" s="3">
        <v>1.73038E12</v>
      </c>
      <c r="B96" s="3">
        <v>0.0</v>
      </c>
      <c r="C96" s="3" t="s">
        <v>1665</v>
      </c>
      <c r="D96" s="3" t="s">
        <v>1369</v>
      </c>
      <c r="E96" s="3" t="s">
        <v>1665</v>
      </c>
      <c r="F96" s="3">
        <v>0.0</v>
      </c>
      <c r="G96" s="3">
        <v>0.0</v>
      </c>
      <c r="H96" s="3">
        <v>0.0</v>
      </c>
      <c r="I96" s="3">
        <v>0.0</v>
      </c>
      <c r="J96" s="3">
        <v>0.0</v>
      </c>
      <c r="K96" s="3">
        <v>0.0</v>
      </c>
      <c r="L96" s="3">
        <v>0.0</v>
      </c>
      <c r="M96" s="3">
        <v>0.0</v>
      </c>
      <c r="N96" s="3">
        <v>0.0</v>
      </c>
      <c r="O96" s="3">
        <v>0.0</v>
      </c>
      <c r="P96" s="3">
        <v>0.0</v>
      </c>
      <c r="Q96" s="3">
        <v>0.0</v>
      </c>
      <c r="R96" s="3">
        <v>0.0</v>
      </c>
      <c r="S96" s="3">
        <v>0.0</v>
      </c>
      <c r="T96" s="3">
        <v>0.0</v>
      </c>
      <c r="U96" s="3">
        <v>0.0</v>
      </c>
      <c r="V96" s="3">
        <v>0.0</v>
      </c>
      <c r="W96" s="3" t="s">
        <v>1666</v>
      </c>
      <c r="X96" s="3" t="s">
        <v>1667</v>
      </c>
      <c r="Y96" s="3" t="s">
        <v>1668</v>
      </c>
      <c r="Z96" s="3" t="s">
        <v>1669</v>
      </c>
      <c r="AB96" s="3" t="s">
        <v>1670</v>
      </c>
      <c r="AC96" s="3" t="s">
        <v>1671</v>
      </c>
    </row>
    <row r="97" ht="15.75" customHeight="1">
      <c r="A97" s="3">
        <v>1.72979E12</v>
      </c>
      <c r="B97" s="3">
        <v>16.0</v>
      </c>
      <c r="C97" s="3" t="s">
        <v>428</v>
      </c>
      <c r="D97" s="3" t="s">
        <v>1369</v>
      </c>
      <c r="E97" s="3" t="s">
        <v>428</v>
      </c>
      <c r="F97" s="3">
        <v>1.0</v>
      </c>
      <c r="G97" s="3">
        <v>1.0</v>
      </c>
      <c r="H97" s="3">
        <v>1.0</v>
      </c>
      <c r="I97" s="3">
        <v>1.0</v>
      </c>
      <c r="J97" s="3">
        <v>1.0</v>
      </c>
      <c r="K97" s="3">
        <v>1.0</v>
      </c>
      <c r="L97" s="3">
        <v>1.0</v>
      </c>
      <c r="M97" s="3">
        <v>1.0</v>
      </c>
      <c r="N97" s="3">
        <v>1.0</v>
      </c>
      <c r="O97" s="3">
        <v>1.0</v>
      </c>
      <c r="P97" s="3">
        <v>1.0</v>
      </c>
      <c r="Q97" s="3">
        <v>1.0</v>
      </c>
      <c r="R97" s="3">
        <v>1.0</v>
      </c>
      <c r="S97" s="3">
        <v>0.0</v>
      </c>
      <c r="T97" s="3">
        <v>1.0</v>
      </c>
      <c r="U97" s="3">
        <v>1.0</v>
      </c>
      <c r="V97" s="3">
        <v>1.0</v>
      </c>
      <c r="W97" s="3" t="s">
        <v>705</v>
      </c>
      <c r="X97" s="3" t="s">
        <v>1605</v>
      </c>
      <c r="Y97" s="3" t="s">
        <v>1654</v>
      </c>
      <c r="Z97" s="3" t="s">
        <v>1423</v>
      </c>
      <c r="AA97" s="3" t="s">
        <v>1382</v>
      </c>
      <c r="AB97" s="3" t="s">
        <v>1391</v>
      </c>
      <c r="AC97" s="3" t="s">
        <v>1374</v>
      </c>
      <c r="AD97" s="3" t="s">
        <v>1655</v>
      </c>
      <c r="AE97" s="3" t="s">
        <v>1656</v>
      </c>
      <c r="AF97" s="3">
        <v>0.066</v>
      </c>
      <c r="AG97" s="3">
        <v>1.464</v>
      </c>
      <c r="AH97" s="3">
        <v>0.33</v>
      </c>
      <c r="AI97" s="3">
        <v>-830.964</v>
      </c>
      <c r="AJ97" s="3">
        <v>5.405</v>
      </c>
      <c r="AK97" s="3" t="s">
        <v>1672</v>
      </c>
      <c r="AL97" s="3">
        <v>0.068</v>
      </c>
      <c r="AM97" s="3" t="s">
        <v>1608</v>
      </c>
    </row>
    <row r="98" ht="15.75" customHeight="1">
      <c r="A98" s="3">
        <v>1.7304E12</v>
      </c>
      <c r="B98" s="3">
        <v>0.0</v>
      </c>
      <c r="C98" s="3" t="s">
        <v>1673</v>
      </c>
      <c r="D98" s="3" t="s">
        <v>1369</v>
      </c>
      <c r="E98" s="3" t="s">
        <v>1673</v>
      </c>
      <c r="F98" s="3">
        <v>0.0</v>
      </c>
      <c r="G98" s="3">
        <v>0.0</v>
      </c>
      <c r="H98" s="3">
        <v>0.0</v>
      </c>
      <c r="I98" s="3">
        <v>0.0</v>
      </c>
      <c r="J98" s="3">
        <v>0.0</v>
      </c>
      <c r="K98" s="3">
        <v>0.0</v>
      </c>
      <c r="L98" s="3">
        <v>0.0</v>
      </c>
      <c r="M98" s="3">
        <v>0.0</v>
      </c>
      <c r="N98" s="3">
        <v>0.0</v>
      </c>
      <c r="O98" s="3">
        <v>0.0</v>
      </c>
      <c r="P98" s="3">
        <v>0.0</v>
      </c>
      <c r="Q98" s="3">
        <v>0.0</v>
      </c>
      <c r="R98" s="3">
        <v>0.0</v>
      </c>
      <c r="S98" s="3">
        <v>0.0</v>
      </c>
      <c r="T98" s="3">
        <v>0.0</v>
      </c>
      <c r="U98" s="3">
        <v>0.0</v>
      </c>
      <c r="V98" s="3">
        <v>0.0</v>
      </c>
    </row>
    <row r="99" ht="15.75" customHeight="1">
      <c r="A99" s="3">
        <v>1.73036E12</v>
      </c>
      <c r="B99" s="3">
        <v>17.0</v>
      </c>
      <c r="C99" s="3" t="s">
        <v>496</v>
      </c>
      <c r="D99" s="3" t="s">
        <v>1369</v>
      </c>
      <c r="E99" s="3" t="s">
        <v>496</v>
      </c>
      <c r="F99" s="3">
        <v>1.0</v>
      </c>
      <c r="G99" s="3">
        <v>1.0</v>
      </c>
      <c r="H99" s="3">
        <v>1.0</v>
      </c>
      <c r="I99" s="3">
        <v>1.0</v>
      </c>
      <c r="J99" s="3">
        <v>1.0</v>
      </c>
      <c r="K99" s="3">
        <v>1.0</v>
      </c>
      <c r="L99" s="3">
        <v>1.0</v>
      </c>
      <c r="M99" s="3">
        <v>1.0</v>
      </c>
      <c r="N99" s="3">
        <v>1.0</v>
      </c>
      <c r="O99" s="3">
        <v>1.0</v>
      </c>
      <c r="P99" s="3">
        <v>1.0</v>
      </c>
      <c r="Q99" s="3">
        <v>1.0</v>
      </c>
      <c r="R99" s="3">
        <v>1.0</v>
      </c>
      <c r="S99" s="3">
        <v>1.0</v>
      </c>
      <c r="T99" s="3">
        <v>1.0</v>
      </c>
      <c r="U99" s="3">
        <v>1.0</v>
      </c>
      <c r="V99" s="3">
        <v>1.0</v>
      </c>
      <c r="W99" s="3" t="s">
        <v>1209</v>
      </c>
      <c r="X99" s="3" t="s">
        <v>1563</v>
      </c>
      <c r="Y99" s="3" t="s">
        <v>1564</v>
      </c>
      <c r="Z99" s="3" t="s">
        <v>1372</v>
      </c>
      <c r="AA99" s="3" t="s">
        <v>1565</v>
      </c>
      <c r="AB99" s="3" t="s">
        <v>1374</v>
      </c>
      <c r="AC99" s="3" t="s">
        <v>1400</v>
      </c>
      <c r="AD99" s="3" t="s">
        <v>1566</v>
      </c>
      <c r="AE99" s="3" t="s">
        <v>1567</v>
      </c>
      <c r="AF99" s="3">
        <v>0.345</v>
      </c>
      <c r="AG99" s="3">
        <v>0.674</v>
      </c>
      <c r="AH99" s="3" t="s">
        <v>1394</v>
      </c>
      <c r="AI99" s="3" t="s">
        <v>1394</v>
      </c>
      <c r="AJ99" s="3">
        <v>2.404</v>
      </c>
      <c r="AK99" s="3" t="s">
        <v>1651</v>
      </c>
      <c r="AL99" s="3" t="s">
        <v>1394</v>
      </c>
      <c r="AM99" s="3" t="s">
        <v>1569</v>
      </c>
    </row>
    <row r="100" ht="15.75" customHeight="1">
      <c r="A100" s="3">
        <v>1.7304E12</v>
      </c>
      <c r="B100" s="3">
        <v>14.0</v>
      </c>
      <c r="C100" s="3" t="s">
        <v>920</v>
      </c>
      <c r="D100" s="3" t="s">
        <v>1369</v>
      </c>
      <c r="E100" s="3" t="s">
        <v>920</v>
      </c>
      <c r="F100" s="3">
        <v>1.0</v>
      </c>
      <c r="G100" s="3">
        <v>1.0</v>
      </c>
      <c r="H100" s="3">
        <v>1.0</v>
      </c>
      <c r="I100" s="3">
        <v>1.0</v>
      </c>
      <c r="J100" s="3">
        <v>1.0</v>
      </c>
      <c r="K100" s="3">
        <v>1.0</v>
      </c>
      <c r="L100" s="3">
        <v>1.0</v>
      </c>
      <c r="M100" s="3">
        <v>1.0</v>
      </c>
      <c r="N100" s="3">
        <v>1.0</v>
      </c>
      <c r="O100" s="3">
        <v>1.0</v>
      </c>
      <c r="P100" s="3">
        <v>1.0</v>
      </c>
      <c r="Q100" s="3">
        <v>0.0</v>
      </c>
      <c r="R100" s="3">
        <v>0.0</v>
      </c>
      <c r="S100" s="3">
        <v>1.0</v>
      </c>
      <c r="T100" s="3">
        <v>1.0</v>
      </c>
      <c r="U100" s="3">
        <v>0.0</v>
      </c>
      <c r="V100" s="3">
        <v>1.0</v>
      </c>
      <c r="W100" s="3" t="s">
        <v>568</v>
      </c>
      <c r="X100" s="3" t="s">
        <v>1590</v>
      </c>
      <c r="Y100" s="3" t="s">
        <v>1591</v>
      </c>
      <c r="Z100" s="3" t="s">
        <v>1423</v>
      </c>
      <c r="AA100" s="3" t="s">
        <v>1593</v>
      </c>
      <c r="AB100" s="3" t="s">
        <v>1374</v>
      </c>
      <c r="AC100" s="3" t="s">
        <v>1374</v>
      </c>
      <c r="AD100" s="3" t="s">
        <v>1625</v>
      </c>
      <c r="AE100" s="3" t="s">
        <v>1595</v>
      </c>
      <c r="AF100" s="3">
        <v>0.188</v>
      </c>
      <c r="AG100" s="3">
        <v>2.243</v>
      </c>
      <c r="AH100" s="3">
        <v>0.377</v>
      </c>
      <c r="AI100" s="3">
        <v>-45.901</v>
      </c>
      <c r="AJ100" s="3">
        <v>7.352</v>
      </c>
      <c r="AK100" s="3" t="s">
        <v>1674</v>
      </c>
      <c r="AL100" s="3">
        <v>0.048</v>
      </c>
      <c r="AM100" s="3" t="s">
        <v>1469</v>
      </c>
    </row>
    <row r="101" ht="15.75" customHeight="1">
      <c r="A101" s="3">
        <v>1.7304E12</v>
      </c>
      <c r="B101" s="3">
        <v>12.0</v>
      </c>
      <c r="C101" s="3" t="s">
        <v>951</v>
      </c>
      <c r="D101" s="3" t="s">
        <v>1369</v>
      </c>
      <c r="E101" s="3" t="s">
        <v>951</v>
      </c>
      <c r="F101" s="3">
        <v>1.0</v>
      </c>
      <c r="G101" s="3">
        <v>1.0</v>
      </c>
      <c r="H101" s="3">
        <v>1.0</v>
      </c>
      <c r="I101" s="3">
        <v>1.0</v>
      </c>
      <c r="J101" s="3">
        <v>1.0</v>
      </c>
      <c r="K101" s="3">
        <v>1.0</v>
      </c>
      <c r="L101" s="3">
        <v>1.0</v>
      </c>
      <c r="M101" s="3">
        <v>1.0</v>
      </c>
      <c r="N101" s="3">
        <v>1.0</v>
      </c>
      <c r="O101" s="3">
        <v>1.0</v>
      </c>
      <c r="P101" s="3">
        <v>1.0</v>
      </c>
      <c r="Q101" s="3">
        <v>0.0</v>
      </c>
      <c r="R101" s="3">
        <v>0.0</v>
      </c>
      <c r="S101" s="3">
        <v>0.0</v>
      </c>
      <c r="T101" s="3">
        <v>0.0</v>
      </c>
      <c r="U101" s="3">
        <v>0.0</v>
      </c>
      <c r="V101" s="3">
        <v>1.0</v>
      </c>
      <c r="W101" s="3" t="s">
        <v>127</v>
      </c>
      <c r="X101" s="3" t="s">
        <v>1447</v>
      </c>
      <c r="Y101" s="3" t="s">
        <v>1448</v>
      </c>
      <c r="Z101" s="3" t="s">
        <v>1372</v>
      </c>
      <c r="AA101" s="3" t="s">
        <v>1450</v>
      </c>
      <c r="AB101" s="3" t="s">
        <v>1374</v>
      </c>
      <c r="AC101" s="3" t="s">
        <v>1451</v>
      </c>
      <c r="AD101" s="3" t="s">
        <v>1675</v>
      </c>
      <c r="AE101" s="3" t="s">
        <v>1453</v>
      </c>
      <c r="AF101" s="3">
        <v>0.033</v>
      </c>
      <c r="AG101" s="3">
        <v>0.217</v>
      </c>
      <c r="AH101" s="3">
        <v>0.374</v>
      </c>
      <c r="AI101" s="3">
        <v>48.586</v>
      </c>
      <c r="AJ101" s="3">
        <v>6.575</v>
      </c>
      <c r="AK101" s="3" t="s">
        <v>1676</v>
      </c>
      <c r="AL101" s="3">
        <v>0.176</v>
      </c>
      <c r="AM101" s="3" t="s">
        <v>1455</v>
      </c>
    </row>
    <row r="102" ht="15.75" customHeight="1">
      <c r="A102" s="3">
        <v>1.7304E12</v>
      </c>
      <c r="B102" s="3">
        <v>10.0</v>
      </c>
      <c r="C102" s="3" t="s">
        <v>165</v>
      </c>
      <c r="D102" s="3" t="s">
        <v>1369</v>
      </c>
      <c r="E102" s="3" t="s">
        <v>165</v>
      </c>
      <c r="F102" s="3">
        <v>1.0</v>
      </c>
      <c r="G102" s="3">
        <v>1.0</v>
      </c>
      <c r="H102" s="3">
        <v>1.0</v>
      </c>
      <c r="I102" s="3">
        <v>0.0</v>
      </c>
      <c r="J102" s="3">
        <v>1.0</v>
      </c>
      <c r="K102" s="3">
        <v>1.0</v>
      </c>
      <c r="L102" s="3">
        <v>1.0</v>
      </c>
      <c r="M102" s="3">
        <v>1.0</v>
      </c>
      <c r="N102" s="3">
        <v>1.0</v>
      </c>
      <c r="O102" s="3">
        <v>1.0</v>
      </c>
      <c r="P102" s="3">
        <v>0.0</v>
      </c>
      <c r="Q102" s="3">
        <v>0.0</v>
      </c>
      <c r="R102" s="3">
        <v>0.0</v>
      </c>
      <c r="S102" s="3">
        <v>0.0</v>
      </c>
      <c r="T102" s="3">
        <v>0.0</v>
      </c>
      <c r="U102" s="3">
        <v>0.0</v>
      </c>
      <c r="V102" s="3">
        <v>1.0</v>
      </c>
      <c r="W102" s="3" t="s">
        <v>164</v>
      </c>
      <c r="X102" s="3" t="s">
        <v>1578</v>
      </c>
      <c r="Y102" s="3" t="s">
        <v>1579</v>
      </c>
      <c r="Z102" s="3" t="s">
        <v>1677</v>
      </c>
      <c r="AA102" s="3" t="s">
        <v>1382</v>
      </c>
      <c r="AB102" s="3" t="s">
        <v>1374</v>
      </c>
      <c r="AC102" s="3" t="s">
        <v>1678</v>
      </c>
      <c r="AD102" s="3" t="s">
        <v>1581</v>
      </c>
      <c r="AE102" s="3" t="s">
        <v>1582</v>
      </c>
      <c r="AF102" s="3">
        <v>0.05</v>
      </c>
      <c r="AG102" s="3">
        <v>0.05</v>
      </c>
      <c r="AH102" s="3">
        <v>0.3</v>
      </c>
      <c r="AI102" s="3">
        <v>-78.477</v>
      </c>
      <c r="AJ102" s="3">
        <v>0.108</v>
      </c>
      <c r="AK102" s="3" t="s">
        <v>1679</v>
      </c>
      <c r="AL102" s="3">
        <v>0.131</v>
      </c>
      <c r="AM102" s="3" t="s">
        <v>1584</v>
      </c>
    </row>
    <row r="103" ht="15.75" customHeight="1">
      <c r="A103" s="3">
        <v>1.73037E12</v>
      </c>
      <c r="B103" s="3">
        <v>14.0</v>
      </c>
      <c r="C103" s="3" t="s">
        <v>604</v>
      </c>
      <c r="D103" s="3" t="s">
        <v>1369</v>
      </c>
      <c r="E103" s="3" t="s">
        <v>604</v>
      </c>
      <c r="F103" s="3">
        <v>1.0</v>
      </c>
      <c r="G103" s="3">
        <v>1.0</v>
      </c>
      <c r="H103" s="3">
        <v>1.0</v>
      </c>
      <c r="I103" s="3">
        <v>1.0</v>
      </c>
      <c r="J103" s="3">
        <v>1.0</v>
      </c>
      <c r="K103" s="3">
        <v>1.0</v>
      </c>
      <c r="L103" s="3">
        <v>1.0</v>
      </c>
      <c r="M103" s="3">
        <v>1.0</v>
      </c>
      <c r="N103" s="3">
        <v>1.0</v>
      </c>
      <c r="O103" s="3">
        <v>1.0</v>
      </c>
      <c r="P103" s="3">
        <v>1.0</v>
      </c>
      <c r="Q103" s="3">
        <v>0.0</v>
      </c>
      <c r="R103" s="3">
        <v>1.0</v>
      </c>
      <c r="S103" s="3">
        <v>0.0</v>
      </c>
      <c r="T103" s="3">
        <v>1.0</v>
      </c>
      <c r="U103" s="3">
        <v>0.0</v>
      </c>
      <c r="V103" s="3">
        <v>1.0</v>
      </c>
      <c r="W103" s="3" t="s">
        <v>608</v>
      </c>
      <c r="X103" s="3" t="s">
        <v>1634</v>
      </c>
      <c r="Y103" s="3" t="s">
        <v>1635</v>
      </c>
      <c r="Z103" s="3" t="s">
        <v>1372</v>
      </c>
      <c r="AA103" s="3" t="s">
        <v>1636</v>
      </c>
      <c r="AB103" s="3" t="s">
        <v>1374</v>
      </c>
      <c r="AC103" s="3" t="s">
        <v>1391</v>
      </c>
      <c r="AD103" s="3" t="s">
        <v>1680</v>
      </c>
      <c r="AE103" s="3" t="s">
        <v>1637</v>
      </c>
      <c r="AF103" s="3">
        <v>0.046</v>
      </c>
      <c r="AG103" s="3">
        <v>1.457</v>
      </c>
      <c r="AH103" s="3" t="s">
        <v>1519</v>
      </c>
      <c r="AI103" s="3" t="s">
        <v>1394</v>
      </c>
      <c r="AJ103" s="3">
        <v>36.45</v>
      </c>
      <c r="AK103" s="3" t="s">
        <v>1681</v>
      </c>
      <c r="AL103" s="3">
        <v>0.079</v>
      </c>
      <c r="AM103" s="3" t="s">
        <v>1469</v>
      </c>
    </row>
    <row r="104" ht="15.75" customHeight="1">
      <c r="A104" s="3">
        <v>1.7304E12</v>
      </c>
      <c r="B104" s="3">
        <v>16.0</v>
      </c>
      <c r="C104" s="3" t="s">
        <v>858</v>
      </c>
      <c r="D104" s="3" t="s">
        <v>1369</v>
      </c>
      <c r="E104" s="3" t="s">
        <v>858</v>
      </c>
      <c r="F104" s="3">
        <v>1.0</v>
      </c>
      <c r="G104" s="3">
        <v>1.0</v>
      </c>
      <c r="H104" s="3">
        <v>1.0</v>
      </c>
      <c r="I104" s="3">
        <v>1.0</v>
      </c>
      <c r="J104" s="3">
        <v>1.0</v>
      </c>
      <c r="K104" s="3">
        <v>1.0</v>
      </c>
      <c r="L104" s="3">
        <v>1.0</v>
      </c>
      <c r="M104" s="3">
        <v>1.0</v>
      </c>
      <c r="N104" s="3">
        <v>1.0</v>
      </c>
      <c r="O104" s="3">
        <v>1.0</v>
      </c>
      <c r="P104" s="3">
        <v>1.0</v>
      </c>
      <c r="Q104" s="3">
        <v>1.0</v>
      </c>
      <c r="R104" s="3">
        <v>1.0</v>
      </c>
      <c r="S104" s="3">
        <v>1.0</v>
      </c>
      <c r="T104" s="3">
        <v>1.0</v>
      </c>
      <c r="U104" s="3">
        <v>1.0</v>
      </c>
      <c r="V104" s="3">
        <v>0.0</v>
      </c>
      <c r="W104" s="3" t="s">
        <v>877</v>
      </c>
      <c r="X104" s="3" t="s">
        <v>1529</v>
      </c>
      <c r="Y104" s="3" t="s">
        <v>1530</v>
      </c>
      <c r="Z104" s="3" t="s">
        <v>1372</v>
      </c>
      <c r="AA104" s="3" t="s">
        <v>1531</v>
      </c>
      <c r="AB104" s="3" t="s">
        <v>1374</v>
      </c>
      <c r="AC104" s="3" t="s">
        <v>1391</v>
      </c>
      <c r="AD104" s="3" t="s">
        <v>1532</v>
      </c>
      <c r="AE104" s="3" t="s">
        <v>1533</v>
      </c>
      <c r="AF104" s="3">
        <v>0.085</v>
      </c>
      <c r="AG104" s="3">
        <v>1.82</v>
      </c>
      <c r="AH104" s="3">
        <v>0.36</v>
      </c>
      <c r="AI104" s="3">
        <v>-854.561</v>
      </c>
      <c r="AJ104" s="3">
        <v>-16.607</v>
      </c>
      <c r="AK104" s="3" t="s">
        <v>1630</v>
      </c>
      <c r="AL104" s="3">
        <v>-0.05</v>
      </c>
      <c r="AM104" s="3" t="s">
        <v>1682</v>
      </c>
    </row>
    <row r="105" ht="15.75" customHeight="1">
      <c r="A105" s="3">
        <v>1.7304E12</v>
      </c>
      <c r="B105" s="3">
        <v>11.0</v>
      </c>
      <c r="C105" s="3" t="s">
        <v>801</v>
      </c>
      <c r="D105" s="3" t="s">
        <v>1369</v>
      </c>
      <c r="E105" s="3" t="s">
        <v>801</v>
      </c>
      <c r="F105" s="3">
        <v>1.0</v>
      </c>
      <c r="G105" s="3">
        <v>1.0</v>
      </c>
      <c r="H105" s="3">
        <v>1.0</v>
      </c>
      <c r="I105" s="3">
        <v>1.0</v>
      </c>
      <c r="J105" s="3">
        <v>1.0</v>
      </c>
      <c r="K105" s="3">
        <v>1.0</v>
      </c>
      <c r="L105" s="3">
        <v>1.0</v>
      </c>
      <c r="M105" s="3">
        <v>1.0</v>
      </c>
      <c r="N105" s="3">
        <v>1.0</v>
      </c>
      <c r="O105" s="3">
        <v>0.0</v>
      </c>
      <c r="P105" s="3">
        <v>1.0</v>
      </c>
      <c r="Q105" s="3">
        <v>0.0</v>
      </c>
      <c r="R105" s="3">
        <v>0.0</v>
      </c>
      <c r="S105" s="3">
        <v>1.0</v>
      </c>
      <c r="T105" s="3">
        <v>0.0</v>
      </c>
      <c r="U105" s="3">
        <v>0.0</v>
      </c>
      <c r="V105" s="3">
        <v>0.0</v>
      </c>
      <c r="W105" s="3" t="s">
        <v>270</v>
      </c>
      <c r="X105" s="3" t="s">
        <v>1578</v>
      </c>
      <c r="Y105" s="3" t="s">
        <v>1579</v>
      </c>
      <c r="Z105" s="3" t="s">
        <v>1372</v>
      </c>
      <c r="AA105" s="3" t="s">
        <v>1382</v>
      </c>
      <c r="AB105" s="3" t="s">
        <v>1374</v>
      </c>
      <c r="AC105" s="3" t="s">
        <v>1580</v>
      </c>
      <c r="AD105" s="3" t="s">
        <v>1581</v>
      </c>
      <c r="AE105" s="3" t="s">
        <v>1582</v>
      </c>
      <c r="AF105" s="3">
        <v>0.029</v>
      </c>
      <c r="AG105" s="3">
        <v>0.272</v>
      </c>
      <c r="AH105" s="3">
        <v>0.38</v>
      </c>
      <c r="AI105" s="3" t="s">
        <v>1519</v>
      </c>
      <c r="AJ105" s="3">
        <v>18.744</v>
      </c>
      <c r="AK105" s="3" t="s">
        <v>1683</v>
      </c>
      <c r="AL105" s="3" t="s">
        <v>1519</v>
      </c>
      <c r="AM105" s="3" t="s">
        <v>1684</v>
      </c>
    </row>
    <row r="106" ht="15.75" customHeight="1">
      <c r="A106" s="3">
        <v>1.73038E12</v>
      </c>
      <c r="B106" s="3">
        <v>16.0</v>
      </c>
      <c r="C106" s="3" t="s">
        <v>876</v>
      </c>
      <c r="D106" s="3" t="s">
        <v>1369</v>
      </c>
      <c r="E106" s="3" t="s">
        <v>876</v>
      </c>
      <c r="F106" s="3">
        <v>1.0</v>
      </c>
      <c r="G106" s="3">
        <v>1.0</v>
      </c>
      <c r="H106" s="3">
        <v>1.0</v>
      </c>
      <c r="I106" s="3">
        <v>1.0</v>
      </c>
      <c r="J106" s="3">
        <v>1.0</v>
      </c>
      <c r="K106" s="3">
        <v>1.0</v>
      </c>
      <c r="L106" s="3">
        <v>1.0</v>
      </c>
      <c r="M106" s="3">
        <v>1.0</v>
      </c>
      <c r="N106" s="3">
        <v>1.0</v>
      </c>
      <c r="O106" s="3">
        <v>1.0</v>
      </c>
      <c r="P106" s="3">
        <v>1.0</v>
      </c>
      <c r="Q106" s="3">
        <v>1.0</v>
      </c>
      <c r="R106" s="3">
        <v>1.0</v>
      </c>
      <c r="S106" s="3">
        <v>0.0</v>
      </c>
      <c r="T106" s="3">
        <v>1.0</v>
      </c>
      <c r="U106" s="3">
        <v>1.0</v>
      </c>
      <c r="V106" s="3">
        <v>1.0</v>
      </c>
      <c r="W106" s="3" t="s">
        <v>75</v>
      </c>
      <c r="X106" s="3" t="s">
        <v>1388</v>
      </c>
      <c r="Y106" s="3" t="s">
        <v>1389</v>
      </c>
      <c r="Z106" s="3" t="s">
        <v>1372</v>
      </c>
      <c r="AA106" s="3" t="s">
        <v>1390</v>
      </c>
      <c r="AB106" s="3" t="s">
        <v>1374</v>
      </c>
      <c r="AC106" s="3" t="s">
        <v>1391</v>
      </c>
      <c r="AD106" s="3" t="s">
        <v>1392</v>
      </c>
      <c r="AE106" s="3" t="s">
        <v>1393</v>
      </c>
      <c r="AF106" s="3">
        <v>0.072</v>
      </c>
      <c r="AG106" s="3">
        <v>1.042</v>
      </c>
      <c r="AH106" s="3">
        <v>0.322</v>
      </c>
      <c r="AI106" s="3" t="s">
        <v>1394</v>
      </c>
      <c r="AJ106" s="3" t="s">
        <v>1394</v>
      </c>
      <c r="AK106" s="3" t="s">
        <v>1685</v>
      </c>
      <c r="AL106" s="3" t="s">
        <v>1394</v>
      </c>
      <c r="AM106" s="3" t="s">
        <v>1686</v>
      </c>
    </row>
    <row r="107" ht="15.75" customHeight="1">
      <c r="A107" s="3">
        <v>1.7304E12</v>
      </c>
      <c r="B107" s="3">
        <v>17.0</v>
      </c>
      <c r="C107" s="3" t="s">
        <v>524</v>
      </c>
      <c r="D107" s="3" t="s">
        <v>1369</v>
      </c>
      <c r="E107" s="3" t="s">
        <v>524</v>
      </c>
      <c r="F107" s="3">
        <v>1.0</v>
      </c>
      <c r="G107" s="3">
        <v>1.0</v>
      </c>
      <c r="H107" s="3">
        <v>1.0</v>
      </c>
      <c r="I107" s="3">
        <v>1.0</v>
      </c>
      <c r="J107" s="3">
        <v>1.0</v>
      </c>
      <c r="K107" s="3">
        <v>1.0</v>
      </c>
      <c r="L107" s="3">
        <v>1.0</v>
      </c>
      <c r="M107" s="3">
        <v>1.0</v>
      </c>
      <c r="N107" s="3">
        <v>1.0</v>
      </c>
      <c r="O107" s="3">
        <v>1.0</v>
      </c>
      <c r="P107" s="3">
        <v>1.0</v>
      </c>
      <c r="Q107" s="3">
        <v>1.0</v>
      </c>
      <c r="R107" s="3">
        <v>1.0</v>
      </c>
      <c r="S107" s="3">
        <v>1.0</v>
      </c>
      <c r="T107" s="3">
        <v>1.0</v>
      </c>
      <c r="U107" s="3">
        <v>1.0</v>
      </c>
      <c r="V107" s="3">
        <v>1.0</v>
      </c>
      <c r="W107" s="3" t="s">
        <v>1177</v>
      </c>
      <c r="X107" s="3" t="s">
        <v>1483</v>
      </c>
      <c r="Y107" s="3" t="s">
        <v>1484</v>
      </c>
      <c r="Z107" s="3" t="s">
        <v>1449</v>
      </c>
      <c r="AA107" s="3" t="s">
        <v>1373</v>
      </c>
      <c r="AB107" s="3" t="s">
        <v>1374</v>
      </c>
      <c r="AC107" s="3" t="s">
        <v>1374</v>
      </c>
      <c r="AD107" s="3" t="s">
        <v>1485</v>
      </c>
      <c r="AE107" s="3" t="s">
        <v>1486</v>
      </c>
      <c r="AF107" s="3">
        <v>0.017</v>
      </c>
      <c r="AG107" s="3">
        <v>0.284</v>
      </c>
      <c r="AH107" s="3" t="s">
        <v>1394</v>
      </c>
      <c r="AI107" s="3" t="s">
        <v>1394</v>
      </c>
      <c r="AJ107" s="3">
        <v>28.449</v>
      </c>
      <c r="AK107" s="3" t="s">
        <v>1659</v>
      </c>
      <c r="AL107" s="3" t="s">
        <v>1394</v>
      </c>
      <c r="AM107" s="3" t="s">
        <v>1573</v>
      </c>
    </row>
    <row r="108" ht="15.75" customHeight="1">
      <c r="A108" s="3">
        <v>1.7303E12</v>
      </c>
      <c r="B108" s="3">
        <v>17.0</v>
      </c>
      <c r="C108" s="3" t="s">
        <v>58</v>
      </c>
      <c r="D108" s="3" t="s">
        <v>1369</v>
      </c>
      <c r="E108" s="3" t="s">
        <v>58</v>
      </c>
      <c r="F108" s="3">
        <v>1.0</v>
      </c>
      <c r="G108" s="3">
        <v>1.0</v>
      </c>
      <c r="H108" s="3">
        <v>1.0</v>
      </c>
      <c r="I108" s="3">
        <v>1.0</v>
      </c>
      <c r="J108" s="3">
        <v>1.0</v>
      </c>
      <c r="K108" s="3">
        <v>1.0</v>
      </c>
      <c r="L108" s="3">
        <v>1.0</v>
      </c>
      <c r="M108" s="3">
        <v>1.0</v>
      </c>
      <c r="N108" s="3">
        <v>1.0</v>
      </c>
      <c r="O108" s="3">
        <v>1.0</v>
      </c>
      <c r="P108" s="3">
        <v>1.0</v>
      </c>
      <c r="Q108" s="3">
        <v>1.0</v>
      </c>
      <c r="R108" s="3">
        <v>1.0</v>
      </c>
      <c r="S108" s="3">
        <v>1.0</v>
      </c>
      <c r="T108" s="3">
        <v>1.0</v>
      </c>
      <c r="U108" s="3">
        <v>1.0</v>
      </c>
      <c r="V108" s="3">
        <v>1.0</v>
      </c>
      <c r="W108" s="3" t="s">
        <v>1189</v>
      </c>
      <c r="X108" s="3" t="s">
        <v>1634</v>
      </c>
      <c r="Y108" s="3" t="s">
        <v>1635</v>
      </c>
      <c r="Z108" s="3" t="s">
        <v>1372</v>
      </c>
      <c r="AA108" s="3" t="s">
        <v>1636</v>
      </c>
      <c r="AB108" s="3" t="s">
        <v>1374</v>
      </c>
      <c r="AC108" s="3" t="s">
        <v>1391</v>
      </c>
      <c r="AD108" s="3" t="s">
        <v>1375</v>
      </c>
      <c r="AE108" s="3" t="s">
        <v>1637</v>
      </c>
      <c r="AF108" s="3">
        <v>0.046</v>
      </c>
      <c r="AG108" s="3">
        <v>1.441</v>
      </c>
      <c r="AH108" s="3" t="s">
        <v>1394</v>
      </c>
      <c r="AI108" s="3" t="s">
        <v>1394</v>
      </c>
      <c r="AJ108" s="3">
        <v>37.545</v>
      </c>
      <c r="AK108" s="3" t="s">
        <v>1687</v>
      </c>
      <c r="AL108" s="3" t="s">
        <v>1394</v>
      </c>
      <c r="AM108" s="3" t="s">
        <v>1469</v>
      </c>
    </row>
    <row r="109" ht="15.75" customHeight="1">
      <c r="A109" s="3">
        <v>1.7304E12</v>
      </c>
      <c r="B109" s="3">
        <v>17.0</v>
      </c>
      <c r="C109" s="3" t="s">
        <v>881</v>
      </c>
      <c r="D109" s="3" t="s">
        <v>1369</v>
      </c>
      <c r="E109" s="3" t="s">
        <v>881</v>
      </c>
      <c r="F109" s="3">
        <v>1.0</v>
      </c>
      <c r="G109" s="3">
        <v>1.0</v>
      </c>
      <c r="H109" s="3">
        <v>1.0</v>
      </c>
      <c r="I109" s="3">
        <v>1.0</v>
      </c>
      <c r="J109" s="3">
        <v>1.0</v>
      </c>
      <c r="K109" s="3">
        <v>1.0</v>
      </c>
      <c r="L109" s="3">
        <v>1.0</v>
      </c>
      <c r="M109" s="3">
        <v>1.0</v>
      </c>
      <c r="N109" s="3">
        <v>1.0</v>
      </c>
      <c r="O109" s="3">
        <v>1.0</v>
      </c>
      <c r="P109" s="3">
        <v>1.0</v>
      </c>
      <c r="Q109" s="3">
        <v>1.0</v>
      </c>
      <c r="R109" s="3">
        <v>1.0</v>
      </c>
      <c r="S109" s="3">
        <v>1.0</v>
      </c>
      <c r="T109" s="3">
        <v>1.0</v>
      </c>
      <c r="U109" s="3">
        <v>1.0</v>
      </c>
      <c r="V109" s="3">
        <v>1.0</v>
      </c>
      <c r="W109" s="3" t="s">
        <v>988</v>
      </c>
      <c r="X109" s="3" t="s">
        <v>1590</v>
      </c>
      <c r="Y109" s="3" t="s">
        <v>1591</v>
      </c>
      <c r="Z109" s="3" t="s">
        <v>1423</v>
      </c>
      <c r="AA109" s="3" t="s">
        <v>1593</v>
      </c>
      <c r="AB109" s="3" t="s">
        <v>1374</v>
      </c>
      <c r="AC109" s="3" t="s">
        <v>1374</v>
      </c>
      <c r="AD109" s="3" t="s">
        <v>1625</v>
      </c>
      <c r="AE109" s="3" t="s">
        <v>1595</v>
      </c>
      <c r="AF109" s="3">
        <v>0.188</v>
      </c>
      <c r="AG109" s="3">
        <v>2.242</v>
      </c>
      <c r="AH109" s="3" t="s">
        <v>1394</v>
      </c>
      <c r="AI109" s="3" t="s">
        <v>1394</v>
      </c>
      <c r="AJ109" s="3">
        <v>7.351</v>
      </c>
      <c r="AK109" s="3" t="s">
        <v>1626</v>
      </c>
      <c r="AL109" s="3" t="s">
        <v>1394</v>
      </c>
      <c r="AM109" s="3" t="s">
        <v>1469</v>
      </c>
    </row>
    <row r="110" ht="15.75" customHeight="1">
      <c r="A110" s="3">
        <v>1.73038E12</v>
      </c>
      <c r="B110" s="3">
        <v>17.0</v>
      </c>
      <c r="C110" s="3" t="s">
        <v>80</v>
      </c>
      <c r="D110" s="3" t="s">
        <v>1369</v>
      </c>
      <c r="E110" s="3" t="s">
        <v>80</v>
      </c>
      <c r="F110" s="3">
        <v>1.0</v>
      </c>
      <c r="G110" s="3">
        <v>1.0</v>
      </c>
      <c r="H110" s="3">
        <v>1.0</v>
      </c>
      <c r="I110" s="3">
        <v>1.0</v>
      </c>
      <c r="J110" s="3">
        <v>1.0</v>
      </c>
      <c r="K110" s="3">
        <v>1.0</v>
      </c>
      <c r="L110" s="3">
        <v>1.0</v>
      </c>
      <c r="M110" s="3">
        <v>1.0</v>
      </c>
      <c r="N110" s="3">
        <v>1.0</v>
      </c>
      <c r="O110" s="3">
        <v>1.0</v>
      </c>
      <c r="P110" s="3">
        <v>1.0</v>
      </c>
      <c r="Q110" s="3">
        <v>1.0</v>
      </c>
      <c r="R110" s="3">
        <v>1.0</v>
      </c>
      <c r="S110" s="3">
        <v>1.0</v>
      </c>
      <c r="T110" s="3">
        <v>1.0</v>
      </c>
      <c r="U110" s="3">
        <v>1.0</v>
      </c>
      <c r="V110" s="3">
        <v>1.0</v>
      </c>
      <c r="W110" s="3" t="s">
        <v>1134</v>
      </c>
      <c r="X110" s="3" t="s">
        <v>1483</v>
      </c>
      <c r="Y110" s="3" t="s">
        <v>1484</v>
      </c>
      <c r="Z110" s="3" t="s">
        <v>1372</v>
      </c>
      <c r="AA110" s="3" t="s">
        <v>1373</v>
      </c>
      <c r="AB110" s="3" t="s">
        <v>1374</v>
      </c>
      <c r="AC110" s="3" t="s">
        <v>1374</v>
      </c>
      <c r="AD110" s="3" t="s">
        <v>1485</v>
      </c>
      <c r="AE110" s="3" t="s">
        <v>1486</v>
      </c>
      <c r="AF110" s="3">
        <v>0.017</v>
      </c>
      <c r="AG110" s="3">
        <v>0.29</v>
      </c>
      <c r="AH110" s="3">
        <v>0.403</v>
      </c>
      <c r="AI110" s="3">
        <v>47.111</v>
      </c>
      <c r="AJ110" s="3">
        <v>28.687</v>
      </c>
      <c r="AK110" s="3" t="s">
        <v>1688</v>
      </c>
      <c r="AL110" s="3">
        <v>-0.009</v>
      </c>
      <c r="AM110" s="3" t="s">
        <v>1573</v>
      </c>
    </row>
    <row r="111" ht="15.75" customHeight="1">
      <c r="A111" s="3">
        <v>1.73036E12</v>
      </c>
      <c r="B111" s="3">
        <v>14.0</v>
      </c>
      <c r="C111" s="3" t="s">
        <v>1689</v>
      </c>
      <c r="D111" s="3" t="s">
        <v>1369</v>
      </c>
      <c r="E111" s="3" t="s">
        <v>1689</v>
      </c>
      <c r="F111" s="3">
        <v>1.0</v>
      </c>
      <c r="G111" s="3">
        <v>1.0</v>
      </c>
      <c r="H111" s="3">
        <v>1.0</v>
      </c>
      <c r="I111" s="3">
        <v>1.0</v>
      </c>
      <c r="J111" s="3">
        <v>1.0</v>
      </c>
      <c r="K111" s="3">
        <v>1.0</v>
      </c>
      <c r="L111" s="3">
        <v>1.0</v>
      </c>
      <c r="M111" s="3">
        <v>1.0</v>
      </c>
      <c r="N111" s="3">
        <v>1.0</v>
      </c>
      <c r="O111" s="3">
        <v>1.0</v>
      </c>
      <c r="P111" s="3">
        <v>1.0</v>
      </c>
      <c r="Q111" s="3">
        <v>0.0</v>
      </c>
      <c r="R111" s="3">
        <v>0.0</v>
      </c>
      <c r="S111" s="3">
        <v>1.0</v>
      </c>
      <c r="T111" s="3">
        <v>1.0</v>
      </c>
      <c r="U111" s="3">
        <v>0.0</v>
      </c>
      <c r="V111" s="3">
        <v>1.0</v>
      </c>
      <c r="W111" s="3" t="s">
        <v>171</v>
      </c>
      <c r="X111" s="3" t="s">
        <v>1563</v>
      </c>
      <c r="Y111" s="3" t="s">
        <v>1564</v>
      </c>
      <c r="Z111" s="3" t="s">
        <v>1449</v>
      </c>
      <c r="AA111" s="3" t="s">
        <v>1565</v>
      </c>
      <c r="AB111" s="3" t="s">
        <v>1374</v>
      </c>
      <c r="AC111" s="3" t="s">
        <v>1594</v>
      </c>
      <c r="AD111" s="3" t="s">
        <v>1566</v>
      </c>
      <c r="AE111" s="3" t="s">
        <v>1567</v>
      </c>
      <c r="AF111" s="3">
        <v>0.352</v>
      </c>
      <c r="AG111" s="3">
        <v>0.684</v>
      </c>
      <c r="AH111" s="3">
        <v>0.262</v>
      </c>
      <c r="AI111" s="3">
        <v>44.942</v>
      </c>
      <c r="AJ111" s="3">
        <v>2.441</v>
      </c>
      <c r="AK111" s="3" t="s">
        <v>1568</v>
      </c>
      <c r="AL111" s="3">
        <v>0.053</v>
      </c>
      <c r="AM111" s="3" t="s">
        <v>1569</v>
      </c>
    </row>
    <row r="112" ht="15.75" customHeight="1">
      <c r="A112" s="3">
        <v>1.73031E12</v>
      </c>
      <c r="B112" s="3">
        <v>17.0</v>
      </c>
      <c r="C112" s="3" t="s">
        <v>1690</v>
      </c>
      <c r="D112" s="3" t="s">
        <v>1369</v>
      </c>
      <c r="E112" s="3" t="s">
        <v>1690</v>
      </c>
      <c r="F112" s="3">
        <v>1.0</v>
      </c>
      <c r="G112" s="3">
        <v>1.0</v>
      </c>
      <c r="H112" s="3">
        <v>1.0</v>
      </c>
      <c r="I112" s="3">
        <v>1.0</v>
      </c>
      <c r="J112" s="3">
        <v>1.0</v>
      </c>
      <c r="K112" s="3">
        <v>1.0</v>
      </c>
      <c r="L112" s="3">
        <v>1.0</v>
      </c>
      <c r="M112" s="3">
        <v>1.0</v>
      </c>
      <c r="N112" s="3">
        <v>1.0</v>
      </c>
      <c r="O112" s="3">
        <v>1.0</v>
      </c>
      <c r="P112" s="3">
        <v>1.0</v>
      </c>
      <c r="Q112" s="3">
        <v>1.0</v>
      </c>
      <c r="R112" s="3">
        <v>1.0</v>
      </c>
      <c r="S112" s="3">
        <v>1.0</v>
      </c>
      <c r="T112" s="3">
        <v>1.0</v>
      </c>
      <c r="U112" s="3">
        <v>1.0</v>
      </c>
      <c r="V112" s="3">
        <v>1.0</v>
      </c>
      <c r="W112" s="3" t="s">
        <v>997</v>
      </c>
      <c r="X112" s="3" t="s">
        <v>1379</v>
      </c>
      <c r="Y112" s="3" t="s">
        <v>1380</v>
      </c>
      <c r="Z112" s="3" t="s">
        <v>1372</v>
      </c>
      <c r="AA112" s="3" t="s">
        <v>1382</v>
      </c>
      <c r="AB112" s="3" t="s">
        <v>1374</v>
      </c>
      <c r="AC112" s="3" t="s">
        <v>1400</v>
      </c>
      <c r="AD112" s="3" t="s">
        <v>1425</v>
      </c>
      <c r="AE112" s="3" t="s">
        <v>1385</v>
      </c>
      <c r="AF112" s="3">
        <v>0.191</v>
      </c>
      <c r="AG112" s="3">
        <v>2.347</v>
      </c>
      <c r="AH112" s="3">
        <v>0.189</v>
      </c>
      <c r="AI112" s="3">
        <v>63.698</v>
      </c>
      <c r="AJ112" s="3">
        <v>0.21</v>
      </c>
      <c r="AK112" s="3" t="s">
        <v>1691</v>
      </c>
      <c r="AL112" s="3">
        <v>0.198</v>
      </c>
      <c r="AM112" s="3" t="s">
        <v>1387</v>
      </c>
    </row>
    <row r="113" ht="15.75" customHeight="1">
      <c r="A113" s="3">
        <v>1.73037E12</v>
      </c>
      <c r="B113" s="3">
        <v>14.0</v>
      </c>
      <c r="C113" s="3" t="s">
        <v>794</v>
      </c>
      <c r="D113" s="3" t="s">
        <v>1369</v>
      </c>
      <c r="E113" s="3" t="s">
        <v>794</v>
      </c>
      <c r="F113" s="3">
        <v>1.0</v>
      </c>
      <c r="G113" s="3">
        <v>1.0</v>
      </c>
      <c r="H113" s="3">
        <v>1.0</v>
      </c>
      <c r="I113" s="3">
        <v>1.0</v>
      </c>
      <c r="J113" s="3">
        <v>1.0</v>
      </c>
      <c r="K113" s="3">
        <v>1.0</v>
      </c>
      <c r="L113" s="3">
        <v>1.0</v>
      </c>
      <c r="M113" s="3">
        <v>1.0</v>
      </c>
      <c r="N113" s="3">
        <v>1.0</v>
      </c>
      <c r="O113" s="3">
        <v>1.0</v>
      </c>
      <c r="P113" s="3">
        <v>1.0</v>
      </c>
      <c r="Q113" s="3">
        <v>1.0</v>
      </c>
      <c r="R113" s="3">
        <v>0.0</v>
      </c>
      <c r="S113" s="3">
        <v>1.0</v>
      </c>
      <c r="T113" s="3">
        <v>0.0</v>
      </c>
      <c r="U113" s="3">
        <v>0.0</v>
      </c>
      <c r="V113" s="3">
        <v>1.0</v>
      </c>
      <c r="W113" s="3" t="s">
        <v>481</v>
      </c>
      <c r="X113" s="3" t="s">
        <v>1605</v>
      </c>
      <c r="Y113" s="3" t="s">
        <v>1654</v>
      </c>
      <c r="Z113" s="3" t="s">
        <v>1423</v>
      </c>
      <c r="AA113" s="3" t="s">
        <v>1382</v>
      </c>
      <c r="AB113" s="3" t="s">
        <v>1391</v>
      </c>
      <c r="AC113" s="3" t="s">
        <v>1374</v>
      </c>
      <c r="AD113" s="3" t="s">
        <v>1655</v>
      </c>
      <c r="AE113" s="3" t="s">
        <v>1656</v>
      </c>
      <c r="AF113" s="3">
        <v>0.066</v>
      </c>
      <c r="AG113" s="3">
        <v>1.477</v>
      </c>
      <c r="AH113" s="3">
        <v>0.312</v>
      </c>
      <c r="AJ113" s="3">
        <v>40.748</v>
      </c>
      <c r="AK113" s="3" t="s">
        <v>1692</v>
      </c>
      <c r="AL113" s="3">
        <v>0.534</v>
      </c>
      <c r="AM113" s="3" t="s">
        <v>1608</v>
      </c>
    </row>
    <row r="114" ht="15.75" customHeight="1">
      <c r="A114" s="3">
        <v>1.7304E12</v>
      </c>
      <c r="B114" s="3">
        <v>0.0</v>
      </c>
      <c r="C114" s="3" t="s">
        <v>1693</v>
      </c>
      <c r="D114" s="3" t="s">
        <v>1369</v>
      </c>
      <c r="E114" s="3" t="s">
        <v>1693</v>
      </c>
      <c r="F114" s="3">
        <v>0.0</v>
      </c>
      <c r="G114" s="3">
        <v>0.0</v>
      </c>
      <c r="H114" s="3">
        <v>0.0</v>
      </c>
      <c r="I114" s="3">
        <v>0.0</v>
      </c>
      <c r="J114" s="3">
        <v>0.0</v>
      </c>
      <c r="K114" s="3">
        <v>0.0</v>
      </c>
      <c r="L114" s="3">
        <v>0.0</v>
      </c>
      <c r="M114" s="3">
        <v>0.0</v>
      </c>
      <c r="N114" s="3">
        <v>0.0</v>
      </c>
      <c r="O114" s="3">
        <v>0.0</v>
      </c>
      <c r="P114" s="3">
        <v>0.0</v>
      </c>
      <c r="Q114" s="3">
        <v>0.0</v>
      </c>
      <c r="R114" s="3">
        <v>0.0</v>
      </c>
      <c r="S114" s="3">
        <v>0.0</v>
      </c>
      <c r="T114" s="3">
        <v>0.0</v>
      </c>
      <c r="U114" s="3">
        <v>0.0</v>
      </c>
      <c r="V114" s="3">
        <v>0.0</v>
      </c>
      <c r="W114" s="3" t="s">
        <v>1694</v>
      </c>
      <c r="X114" s="3" t="s">
        <v>1695</v>
      </c>
      <c r="Y114" s="3" t="s">
        <v>1484</v>
      </c>
      <c r="Z114" s="3" t="s">
        <v>1372</v>
      </c>
      <c r="AA114" s="3" t="s">
        <v>1373</v>
      </c>
      <c r="AB114" s="3" t="s">
        <v>1374</v>
      </c>
      <c r="AC114" s="3" t="s">
        <v>1374</v>
      </c>
      <c r="AD114" s="3" t="s">
        <v>1485</v>
      </c>
      <c r="AF114" s="3">
        <v>0.017</v>
      </c>
      <c r="AG114" s="3">
        <v>0.29</v>
      </c>
      <c r="AH114" s="3">
        <v>0.252</v>
      </c>
      <c r="AI114" s="3">
        <v>54.063</v>
      </c>
      <c r="AJ114" s="3">
        <v>28.687</v>
      </c>
      <c r="AL114" s="3">
        <v>-0.009</v>
      </c>
      <c r="AM114" s="3" t="s">
        <v>1573</v>
      </c>
    </row>
    <row r="115" ht="15.75" customHeight="1">
      <c r="A115" s="3">
        <v>1.73038E12</v>
      </c>
      <c r="B115" s="3">
        <v>6.0</v>
      </c>
      <c r="C115" s="3" t="s">
        <v>1696</v>
      </c>
      <c r="D115" s="3" t="s">
        <v>1369</v>
      </c>
      <c r="E115" s="3" t="s">
        <v>1696</v>
      </c>
      <c r="F115" s="3">
        <v>1.0</v>
      </c>
      <c r="G115" s="3">
        <v>0.0</v>
      </c>
      <c r="H115" s="3">
        <v>0.0</v>
      </c>
      <c r="I115" s="3">
        <v>0.0</v>
      </c>
      <c r="J115" s="3">
        <v>0.0</v>
      </c>
      <c r="K115" s="3">
        <v>1.0</v>
      </c>
      <c r="L115" s="3">
        <v>1.0</v>
      </c>
      <c r="M115" s="3">
        <v>1.0</v>
      </c>
      <c r="N115" s="3">
        <v>0.0</v>
      </c>
      <c r="O115" s="3">
        <v>1.0</v>
      </c>
      <c r="P115" s="3">
        <v>0.0</v>
      </c>
      <c r="Q115" s="3">
        <v>0.0</v>
      </c>
      <c r="R115" s="3">
        <v>0.0</v>
      </c>
      <c r="S115" s="3">
        <v>0.0</v>
      </c>
      <c r="T115" s="3">
        <v>0.0</v>
      </c>
      <c r="U115" s="3">
        <v>0.0</v>
      </c>
      <c r="V115" s="3">
        <v>1.0</v>
      </c>
      <c r="W115" s="3" t="s">
        <v>1697</v>
      </c>
      <c r="X115" s="3" t="s">
        <v>1698</v>
      </c>
      <c r="Y115" s="3" t="s">
        <v>1699</v>
      </c>
      <c r="Z115" s="3" t="s">
        <v>1700</v>
      </c>
      <c r="AA115" s="3" t="s">
        <v>1701</v>
      </c>
      <c r="AB115" s="3" t="s">
        <v>1374</v>
      </c>
      <c r="AC115" s="3" t="s">
        <v>1391</v>
      </c>
      <c r="AD115" s="3" t="s">
        <v>1680</v>
      </c>
      <c r="AE115" s="3" t="s">
        <v>1702</v>
      </c>
      <c r="AF115" s="3">
        <v>0.046</v>
      </c>
      <c r="AG115" s="3">
        <v>1.422</v>
      </c>
      <c r="AH115" s="3">
        <v>0.301</v>
      </c>
      <c r="AI115" s="3">
        <v>0.41</v>
      </c>
      <c r="AJ115" s="3">
        <v>36.522</v>
      </c>
      <c r="AK115" s="3" t="s">
        <v>1703</v>
      </c>
      <c r="AL115" s="3">
        <v>0.081</v>
      </c>
      <c r="AM115" s="3" t="s">
        <v>1469</v>
      </c>
    </row>
    <row r="116" ht="15.75" customHeight="1">
      <c r="A116" s="3">
        <v>1.7304E12</v>
      </c>
      <c r="B116" s="3">
        <v>14.0</v>
      </c>
      <c r="C116" s="3" t="s">
        <v>1704</v>
      </c>
      <c r="D116" s="3" t="s">
        <v>1369</v>
      </c>
      <c r="E116" s="3" t="s">
        <v>1704</v>
      </c>
      <c r="F116" s="3">
        <v>1.0</v>
      </c>
      <c r="G116" s="3">
        <v>1.0</v>
      </c>
      <c r="H116" s="3">
        <v>1.0</v>
      </c>
      <c r="I116" s="3">
        <v>1.0</v>
      </c>
      <c r="J116" s="3">
        <v>1.0</v>
      </c>
      <c r="K116" s="3">
        <v>1.0</v>
      </c>
      <c r="L116" s="3">
        <v>1.0</v>
      </c>
      <c r="M116" s="3">
        <v>1.0</v>
      </c>
      <c r="N116" s="3">
        <v>1.0</v>
      </c>
      <c r="O116" s="3">
        <v>1.0</v>
      </c>
      <c r="P116" s="3">
        <v>1.0</v>
      </c>
      <c r="Q116" s="3">
        <v>1.0</v>
      </c>
      <c r="R116" s="3">
        <v>0.0</v>
      </c>
      <c r="S116" s="3">
        <v>1.0</v>
      </c>
      <c r="T116" s="3">
        <v>1.0</v>
      </c>
      <c r="U116" s="3">
        <v>0.0</v>
      </c>
      <c r="V116" s="3">
        <v>0.0</v>
      </c>
      <c r="W116" s="3" t="s">
        <v>125</v>
      </c>
      <c r="X116" s="3" t="s">
        <v>1590</v>
      </c>
      <c r="Y116" s="3" t="s">
        <v>1591</v>
      </c>
      <c r="Z116" s="3" t="s">
        <v>1423</v>
      </c>
      <c r="AA116" s="3" t="s">
        <v>1593</v>
      </c>
      <c r="AB116" s="3" t="s">
        <v>1374</v>
      </c>
      <c r="AC116" s="3" t="s">
        <v>1374</v>
      </c>
      <c r="AD116" s="3" t="s">
        <v>1625</v>
      </c>
      <c r="AE116" s="3" t="s">
        <v>1595</v>
      </c>
      <c r="AF116" s="3">
        <v>0.188</v>
      </c>
      <c r="AG116" s="3">
        <v>2.243</v>
      </c>
      <c r="AH116" s="3">
        <v>0.38</v>
      </c>
      <c r="AI116" s="3">
        <v>-45.9</v>
      </c>
      <c r="AJ116" s="3">
        <v>7.351</v>
      </c>
      <c r="AK116" s="3" t="s">
        <v>1626</v>
      </c>
      <c r="AM116" s="3" t="s">
        <v>1705</v>
      </c>
    </row>
    <row r="117" ht="15.75" customHeight="1">
      <c r="A117" s="3">
        <v>1.73031E12</v>
      </c>
      <c r="B117" s="3">
        <v>7.0</v>
      </c>
      <c r="C117" s="3" t="s">
        <v>850</v>
      </c>
      <c r="D117" s="3" t="s">
        <v>1369</v>
      </c>
      <c r="E117" s="3" t="s">
        <v>850</v>
      </c>
      <c r="F117" s="3">
        <v>1.0</v>
      </c>
      <c r="G117" s="3">
        <v>0.0</v>
      </c>
      <c r="H117" s="3">
        <v>0.0</v>
      </c>
      <c r="I117" s="3">
        <v>0.0</v>
      </c>
      <c r="J117" s="3">
        <v>1.0</v>
      </c>
      <c r="K117" s="3">
        <v>1.0</v>
      </c>
      <c r="L117" s="3">
        <v>1.0</v>
      </c>
      <c r="M117" s="3">
        <v>1.0</v>
      </c>
      <c r="N117" s="3">
        <v>0.0</v>
      </c>
      <c r="O117" s="3">
        <v>1.0</v>
      </c>
      <c r="P117" s="3">
        <v>1.0</v>
      </c>
      <c r="Q117" s="3">
        <v>0.0</v>
      </c>
      <c r="R117" s="3">
        <v>0.0</v>
      </c>
      <c r="S117" s="3">
        <v>0.0</v>
      </c>
      <c r="T117" s="3">
        <v>0.0</v>
      </c>
      <c r="U117" s="3">
        <v>0.0</v>
      </c>
      <c r="V117" s="3">
        <v>0.0</v>
      </c>
      <c r="W117" s="3" t="s">
        <v>109</v>
      </c>
      <c r="X117" s="3" t="s">
        <v>1706</v>
      </c>
      <c r="Y117" s="3" t="s">
        <v>1707</v>
      </c>
      <c r="Z117" s="3" t="s">
        <v>1708</v>
      </c>
      <c r="AA117" s="3" t="s">
        <v>1382</v>
      </c>
      <c r="AB117" s="3" t="s">
        <v>1374</v>
      </c>
      <c r="AC117" s="3" t="s">
        <v>1580</v>
      </c>
      <c r="AD117" s="3" t="s">
        <v>1581</v>
      </c>
      <c r="AE117" s="3" t="s">
        <v>1709</v>
      </c>
      <c r="AF117" s="3">
        <v>0.05</v>
      </c>
      <c r="AG117" s="3">
        <v>0.271</v>
      </c>
      <c r="AH117" s="3">
        <v>0.433</v>
      </c>
      <c r="AJ117" s="3">
        <v>18.742</v>
      </c>
      <c r="AK117" s="3" t="s">
        <v>1710</v>
      </c>
      <c r="AL117" s="3">
        <v>0.574</v>
      </c>
      <c r="AM117" s="3" t="s">
        <v>1711</v>
      </c>
    </row>
    <row r="118" ht="15.75" customHeight="1">
      <c r="A118" s="3">
        <v>1.7304E12</v>
      </c>
      <c r="B118" s="3">
        <v>11.0</v>
      </c>
      <c r="C118" s="3" t="s">
        <v>1712</v>
      </c>
      <c r="D118" s="3" t="s">
        <v>1369</v>
      </c>
      <c r="E118" s="3" t="s">
        <v>1712</v>
      </c>
      <c r="F118" s="3">
        <v>1.0</v>
      </c>
      <c r="G118" s="3">
        <v>1.0</v>
      </c>
      <c r="H118" s="3">
        <v>1.0</v>
      </c>
      <c r="I118" s="3">
        <v>1.0</v>
      </c>
      <c r="J118" s="3">
        <v>1.0</v>
      </c>
      <c r="K118" s="3">
        <v>1.0</v>
      </c>
      <c r="L118" s="3">
        <v>1.0</v>
      </c>
      <c r="M118" s="3">
        <v>1.0</v>
      </c>
      <c r="N118" s="3">
        <v>1.0</v>
      </c>
      <c r="O118" s="3">
        <v>1.0</v>
      </c>
      <c r="P118" s="3">
        <v>1.0</v>
      </c>
      <c r="Q118" s="3">
        <v>0.0</v>
      </c>
      <c r="R118" s="3">
        <v>0.0</v>
      </c>
      <c r="S118" s="3">
        <v>0.0</v>
      </c>
      <c r="T118" s="3">
        <v>0.0</v>
      </c>
      <c r="U118" s="3">
        <v>0.0</v>
      </c>
      <c r="V118" s="3">
        <v>0.0</v>
      </c>
      <c r="W118" s="3" t="s">
        <v>776</v>
      </c>
      <c r="X118" s="3" t="s">
        <v>1413</v>
      </c>
      <c r="Y118" s="3" t="s">
        <v>1414</v>
      </c>
      <c r="Z118" s="3" t="s">
        <v>1372</v>
      </c>
      <c r="AA118" s="3" t="s">
        <v>1415</v>
      </c>
      <c r="AB118" s="3" t="s">
        <v>1374</v>
      </c>
      <c r="AC118" s="3" t="s">
        <v>1632</v>
      </c>
      <c r="AD118" s="3" t="s">
        <v>1416</v>
      </c>
      <c r="AE118" s="3" t="s">
        <v>1417</v>
      </c>
      <c r="AF118" s="3">
        <v>-0.005</v>
      </c>
      <c r="AG118" s="3">
        <v>-0.054</v>
      </c>
      <c r="AH118" s="3">
        <v>0.296</v>
      </c>
      <c r="AK118" s="3" t="s">
        <v>1713</v>
      </c>
    </row>
    <row r="119" ht="15.75" customHeight="1">
      <c r="A119" s="3">
        <v>1.73032E12</v>
      </c>
      <c r="B119" s="3">
        <v>17.0</v>
      </c>
      <c r="C119" s="3" t="s">
        <v>736</v>
      </c>
      <c r="D119" s="3" t="s">
        <v>1369</v>
      </c>
      <c r="E119" s="3" t="s">
        <v>736</v>
      </c>
      <c r="F119" s="3">
        <v>1.0</v>
      </c>
      <c r="G119" s="3">
        <v>1.0</v>
      </c>
      <c r="H119" s="3">
        <v>1.0</v>
      </c>
      <c r="I119" s="3">
        <v>1.0</v>
      </c>
      <c r="J119" s="3">
        <v>1.0</v>
      </c>
      <c r="K119" s="3">
        <v>1.0</v>
      </c>
      <c r="L119" s="3">
        <v>1.0</v>
      </c>
      <c r="M119" s="3">
        <v>1.0</v>
      </c>
      <c r="N119" s="3">
        <v>1.0</v>
      </c>
      <c r="O119" s="3">
        <v>1.0</v>
      </c>
      <c r="P119" s="3">
        <v>1.0</v>
      </c>
      <c r="Q119" s="3">
        <v>1.0</v>
      </c>
      <c r="R119" s="3">
        <v>1.0</v>
      </c>
      <c r="S119" s="3">
        <v>1.0</v>
      </c>
      <c r="T119" s="3">
        <v>1.0</v>
      </c>
      <c r="U119" s="3">
        <v>1.0</v>
      </c>
      <c r="V119" s="3">
        <v>1.0</v>
      </c>
      <c r="W119" s="3" t="s">
        <v>1165</v>
      </c>
      <c r="X119" s="3" t="s">
        <v>1438</v>
      </c>
      <c r="Y119" s="3" t="s">
        <v>1439</v>
      </c>
      <c r="Z119" s="3" t="s">
        <v>1449</v>
      </c>
      <c r="AA119" s="3" t="s">
        <v>1553</v>
      </c>
      <c r="AB119" s="3" t="s">
        <v>1374</v>
      </c>
      <c r="AC119" s="3" t="s">
        <v>1391</v>
      </c>
      <c r="AD119" s="3" t="s">
        <v>1554</v>
      </c>
      <c r="AE119" s="3" t="s">
        <v>1444</v>
      </c>
      <c r="AF119" s="3">
        <v>0.082</v>
      </c>
      <c r="AG119" s="3">
        <v>0.291</v>
      </c>
      <c r="AH119" s="3">
        <v>0.22</v>
      </c>
      <c r="AI119" s="3">
        <v>243.043</v>
      </c>
      <c r="AJ119" s="3">
        <v>-1.614</v>
      </c>
      <c r="AK119" s="3" t="s">
        <v>1555</v>
      </c>
      <c r="AL119" s="3">
        <v>0.253</v>
      </c>
      <c r="AM119" s="3" t="s">
        <v>1446</v>
      </c>
    </row>
    <row r="120" ht="15.75" customHeight="1">
      <c r="A120" s="3">
        <v>1.7304E12</v>
      </c>
      <c r="B120" s="3">
        <v>11.0</v>
      </c>
      <c r="C120" s="3" t="s">
        <v>870</v>
      </c>
      <c r="D120" s="3" t="s">
        <v>1369</v>
      </c>
      <c r="E120" s="3" t="s">
        <v>870</v>
      </c>
      <c r="F120" s="3">
        <v>1.0</v>
      </c>
      <c r="G120" s="3">
        <v>1.0</v>
      </c>
      <c r="H120" s="3">
        <v>0.0</v>
      </c>
      <c r="I120" s="3">
        <v>1.0</v>
      </c>
      <c r="J120" s="3">
        <v>1.0</v>
      </c>
      <c r="K120" s="3">
        <v>1.0</v>
      </c>
      <c r="L120" s="3">
        <v>0.0</v>
      </c>
      <c r="M120" s="3">
        <v>1.0</v>
      </c>
      <c r="N120" s="3">
        <v>1.0</v>
      </c>
      <c r="O120" s="3">
        <v>1.0</v>
      </c>
      <c r="P120" s="3">
        <v>1.0</v>
      </c>
      <c r="Q120" s="3">
        <v>0.0</v>
      </c>
      <c r="R120" s="3">
        <v>0.0</v>
      </c>
      <c r="S120" s="3">
        <v>1.0</v>
      </c>
      <c r="T120" s="3">
        <v>1.0</v>
      </c>
      <c r="U120" s="3">
        <v>0.0</v>
      </c>
      <c r="V120" s="3">
        <v>0.0</v>
      </c>
      <c r="W120" s="3" t="s">
        <v>806</v>
      </c>
      <c r="X120" s="3" t="s">
        <v>1470</v>
      </c>
      <c r="Y120" s="3" t="s">
        <v>1470</v>
      </c>
      <c r="Z120" s="3" t="s">
        <v>1423</v>
      </c>
      <c r="AA120" s="3" t="s">
        <v>1382</v>
      </c>
      <c r="AB120" s="3" t="s">
        <v>1374</v>
      </c>
      <c r="AC120" s="3" t="s">
        <v>1374</v>
      </c>
      <c r="AD120" s="3" t="s">
        <v>1472</v>
      </c>
      <c r="AE120" s="3" t="s">
        <v>1473</v>
      </c>
      <c r="AF120" s="3">
        <v>0.151</v>
      </c>
      <c r="AG120" s="3">
        <v>4.093</v>
      </c>
      <c r="AH120" s="3">
        <v>0.342</v>
      </c>
      <c r="AJ120" s="3">
        <v>8.348</v>
      </c>
      <c r="AK120" s="3" t="s">
        <v>1714</v>
      </c>
      <c r="AM120" s="3" t="s">
        <v>1715</v>
      </c>
    </row>
    <row r="121" ht="15.75" customHeight="1">
      <c r="A121" s="3">
        <v>1.73035E12</v>
      </c>
      <c r="B121" s="3">
        <v>17.0</v>
      </c>
      <c r="C121" s="3" t="s">
        <v>60</v>
      </c>
      <c r="D121" s="3" t="s">
        <v>1369</v>
      </c>
      <c r="E121" s="3" t="s">
        <v>60</v>
      </c>
      <c r="F121" s="3">
        <v>1.0</v>
      </c>
      <c r="G121" s="3">
        <v>1.0</v>
      </c>
      <c r="H121" s="3">
        <v>1.0</v>
      </c>
      <c r="I121" s="3">
        <v>1.0</v>
      </c>
      <c r="J121" s="3">
        <v>1.0</v>
      </c>
      <c r="K121" s="3">
        <v>1.0</v>
      </c>
      <c r="L121" s="3">
        <v>1.0</v>
      </c>
      <c r="M121" s="3">
        <v>1.0</v>
      </c>
      <c r="N121" s="3">
        <v>1.0</v>
      </c>
      <c r="O121" s="3">
        <v>1.0</v>
      </c>
      <c r="P121" s="3">
        <v>1.0</v>
      </c>
      <c r="Q121" s="3">
        <v>1.0</v>
      </c>
      <c r="R121" s="3">
        <v>1.0</v>
      </c>
      <c r="S121" s="3">
        <v>1.0</v>
      </c>
      <c r="T121" s="3">
        <v>1.0</v>
      </c>
      <c r="U121" s="3">
        <v>1.0</v>
      </c>
      <c r="V121" s="3">
        <v>1.0</v>
      </c>
      <c r="W121" s="3" t="s">
        <v>1105</v>
      </c>
      <c r="X121" s="3" t="s">
        <v>1521</v>
      </c>
      <c r="Y121" s="3" t="s">
        <v>1522</v>
      </c>
      <c r="Z121" s="3" t="s">
        <v>1449</v>
      </c>
      <c r="AA121" s="3" t="s">
        <v>1523</v>
      </c>
      <c r="AB121" s="3" t="s">
        <v>1594</v>
      </c>
      <c r="AC121" s="3" t="s">
        <v>1374</v>
      </c>
      <c r="AD121" s="3" t="s">
        <v>1524</v>
      </c>
      <c r="AE121" s="3" t="s">
        <v>1525</v>
      </c>
      <c r="AF121" s="3">
        <v>0.028</v>
      </c>
      <c r="AG121" s="3">
        <v>0.067</v>
      </c>
      <c r="AH121" s="3">
        <v>0.481</v>
      </c>
      <c r="AI121" s="3">
        <v>1081.171</v>
      </c>
      <c r="AJ121" s="3">
        <v>1.827</v>
      </c>
      <c r="AK121" s="3" t="s">
        <v>1716</v>
      </c>
      <c r="AL121" s="3">
        <v>0.071</v>
      </c>
      <c r="AM121" s="3" t="s">
        <v>1527</v>
      </c>
    </row>
    <row r="122" ht="15.75" customHeight="1">
      <c r="A122" s="3">
        <v>1.73034E12</v>
      </c>
      <c r="B122" s="3">
        <v>17.0</v>
      </c>
      <c r="C122" s="3" t="s">
        <v>587</v>
      </c>
      <c r="D122" s="3" t="s">
        <v>1369</v>
      </c>
      <c r="E122" s="3" t="s">
        <v>587</v>
      </c>
      <c r="F122" s="3">
        <v>1.0</v>
      </c>
      <c r="G122" s="3">
        <v>1.0</v>
      </c>
      <c r="H122" s="3">
        <v>1.0</v>
      </c>
      <c r="I122" s="3">
        <v>1.0</v>
      </c>
      <c r="J122" s="3">
        <v>1.0</v>
      </c>
      <c r="K122" s="3">
        <v>1.0</v>
      </c>
      <c r="L122" s="3">
        <v>1.0</v>
      </c>
      <c r="M122" s="3">
        <v>1.0</v>
      </c>
      <c r="N122" s="3">
        <v>1.0</v>
      </c>
      <c r="O122" s="3">
        <v>1.0</v>
      </c>
      <c r="P122" s="3">
        <v>1.0</v>
      </c>
      <c r="Q122" s="3">
        <v>1.0</v>
      </c>
      <c r="R122" s="3">
        <v>1.0</v>
      </c>
      <c r="S122" s="3">
        <v>1.0</v>
      </c>
      <c r="T122" s="3">
        <v>1.0</v>
      </c>
      <c r="U122" s="3">
        <v>1.0</v>
      </c>
      <c r="V122" s="3">
        <v>1.0</v>
      </c>
      <c r="W122" s="3" t="s">
        <v>989</v>
      </c>
      <c r="X122" s="3" t="s">
        <v>1590</v>
      </c>
      <c r="Y122" s="3" t="s">
        <v>1591</v>
      </c>
      <c r="Z122" s="3" t="s">
        <v>1423</v>
      </c>
      <c r="AA122" s="3" t="s">
        <v>1593</v>
      </c>
      <c r="AB122" s="3" t="s">
        <v>1374</v>
      </c>
      <c r="AC122" s="3" t="s">
        <v>1374</v>
      </c>
      <c r="AD122" s="3" t="s">
        <v>1625</v>
      </c>
      <c r="AE122" s="3" t="s">
        <v>1595</v>
      </c>
      <c r="AF122" s="3">
        <v>0.189</v>
      </c>
      <c r="AG122" s="3">
        <v>2.257</v>
      </c>
      <c r="AH122" s="3" t="s">
        <v>1394</v>
      </c>
      <c r="AI122" s="3" t="s">
        <v>1394</v>
      </c>
      <c r="AJ122" s="3">
        <v>7.709</v>
      </c>
      <c r="AK122" s="3" t="s">
        <v>1626</v>
      </c>
      <c r="AL122" s="3" t="s">
        <v>1394</v>
      </c>
      <c r="AM122" s="3" t="s">
        <v>1469</v>
      </c>
    </row>
    <row r="123" ht="15.75" customHeight="1">
      <c r="A123" s="3">
        <v>1.7304E12</v>
      </c>
      <c r="B123" s="3">
        <v>16.0</v>
      </c>
      <c r="C123" s="3" t="s">
        <v>74</v>
      </c>
      <c r="D123" s="3" t="s">
        <v>1369</v>
      </c>
      <c r="E123" s="3" t="s">
        <v>74</v>
      </c>
      <c r="F123" s="3">
        <v>1.0</v>
      </c>
      <c r="G123" s="3">
        <v>1.0</v>
      </c>
      <c r="H123" s="3">
        <v>1.0</v>
      </c>
      <c r="I123" s="3">
        <v>1.0</v>
      </c>
      <c r="J123" s="3">
        <v>1.0</v>
      </c>
      <c r="K123" s="3">
        <v>1.0</v>
      </c>
      <c r="L123" s="3">
        <v>1.0</v>
      </c>
      <c r="M123" s="3">
        <v>1.0</v>
      </c>
      <c r="N123" s="3">
        <v>1.0</v>
      </c>
      <c r="O123" s="3">
        <v>1.0</v>
      </c>
      <c r="P123" s="3">
        <v>1.0</v>
      </c>
      <c r="Q123" s="3">
        <v>1.0</v>
      </c>
      <c r="R123" s="3">
        <v>0.0</v>
      </c>
      <c r="S123" s="3">
        <v>1.0</v>
      </c>
      <c r="T123" s="3">
        <v>1.0</v>
      </c>
      <c r="U123" s="3">
        <v>1.0</v>
      </c>
      <c r="V123" s="3">
        <v>1.0</v>
      </c>
      <c r="W123" s="3" t="s">
        <v>518</v>
      </c>
      <c r="X123" s="3" t="s">
        <v>1489</v>
      </c>
      <c r="Y123" s="3" t="s">
        <v>1571</v>
      </c>
      <c r="Z123" s="3" t="s">
        <v>1423</v>
      </c>
      <c r="AA123" s="3" t="s">
        <v>1491</v>
      </c>
      <c r="AB123" s="3" t="s">
        <v>1374</v>
      </c>
      <c r="AC123" s="3" t="s">
        <v>1451</v>
      </c>
      <c r="AD123" s="3" t="s">
        <v>1492</v>
      </c>
      <c r="AE123" s="3" t="s">
        <v>1493</v>
      </c>
      <c r="AF123" s="3">
        <v>0.056</v>
      </c>
      <c r="AG123" s="3">
        <v>0.257</v>
      </c>
      <c r="AH123" s="3" t="s">
        <v>1394</v>
      </c>
      <c r="AI123" s="3">
        <v>-13.378</v>
      </c>
      <c r="AJ123" s="3">
        <v>8.127</v>
      </c>
      <c r="AK123" s="3" t="s">
        <v>1561</v>
      </c>
      <c r="AL123" s="3">
        <v>0.134</v>
      </c>
      <c r="AM123" s="3" t="s">
        <v>1495</v>
      </c>
    </row>
    <row r="124" ht="15.75" customHeight="1">
      <c r="A124" s="3">
        <v>1.73038E12</v>
      </c>
      <c r="B124" s="3">
        <v>12.0</v>
      </c>
      <c r="C124" s="3" t="s">
        <v>1717</v>
      </c>
      <c r="D124" s="3" t="s">
        <v>1369</v>
      </c>
      <c r="E124" s="3" t="s">
        <v>1717</v>
      </c>
      <c r="F124" s="3">
        <v>1.0</v>
      </c>
      <c r="G124" s="3">
        <v>1.0</v>
      </c>
      <c r="H124" s="3">
        <v>1.0</v>
      </c>
      <c r="I124" s="3">
        <v>1.0</v>
      </c>
      <c r="J124" s="3">
        <v>1.0</v>
      </c>
      <c r="K124" s="3">
        <v>1.0</v>
      </c>
      <c r="L124" s="3">
        <v>0.0</v>
      </c>
      <c r="M124" s="3">
        <v>1.0</v>
      </c>
      <c r="N124" s="3">
        <v>1.0</v>
      </c>
      <c r="O124" s="3">
        <v>1.0</v>
      </c>
      <c r="P124" s="3">
        <v>1.0</v>
      </c>
      <c r="Q124" s="3">
        <v>0.0</v>
      </c>
      <c r="R124" s="3">
        <v>0.0</v>
      </c>
      <c r="S124" s="3">
        <v>1.0</v>
      </c>
      <c r="T124" s="3">
        <v>0.0</v>
      </c>
      <c r="U124" s="3">
        <v>0.0</v>
      </c>
      <c r="V124" s="3">
        <v>1.0</v>
      </c>
      <c r="W124" s="3" t="s">
        <v>812</v>
      </c>
      <c r="X124" s="3" t="s">
        <v>1421</v>
      </c>
      <c r="Y124" s="3" t="s">
        <v>1422</v>
      </c>
      <c r="Z124" s="3" t="s">
        <v>1431</v>
      </c>
      <c r="AA124" s="3" t="s">
        <v>1424</v>
      </c>
      <c r="AB124" s="3" t="s">
        <v>1374</v>
      </c>
      <c r="AC124" s="3" t="s">
        <v>1374</v>
      </c>
      <c r="AD124" s="3" t="s">
        <v>1425</v>
      </c>
      <c r="AE124" s="3" t="s">
        <v>1426</v>
      </c>
      <c r="AF124" s="3">
        <v>0.051</v>
      </c>
      <c r="AG124" s="3">
        <v>0.211</v>
      </c>
      <c r="AH124" s="3">
        <v>0.346</v>
      </c>
      <c r="AI124" s="3">
        <v>-29.45</v>
      </c>
      <c r="AJ124" s="3">
        <v>0.522</v>
      </c>
      <c r="AK124" s="3" t="s">
        <v>1718</v>
      </c>
      <c r="AL124" s="3">
        <v>0.197</v>
      </c>
      <c r="AM124" s="3" t="s">
        <v>1428</v>
      </c>
    </row>
    <row r="125" ht="15.75" customHeight="1">
      <c r="A125" s="3">
        <v>1.73038E12</v>
      </c>
      <c r="B125" s="3">
        <v>17.0</v>
      </c>
      <c r="C125" s="3" t="s">
        <v>937</v>
      </c>
      <c r="D125" s="3" t="s">
        <v>1369</v>
      </c>
      <c r="E125" s="3" t="s">
        <v>937</v>
      </c>
      <c r="F125" s="3">
        <v>1.0</v>
      </c>
      <c r="G125" s="3">
        <v>1.0</v>
      </c>
      <c r="H125" s="3">
        <v>1.0</v>
      </c>
      <c r="I125" s="3">
        <v>1.0</v>
      </c>
      <c r="J125" s="3">
        <v>1.0</v>
      </c>
      <c r="K125" s="3">
        <v>1.0</v>
      </c>
      <c r="L125" s="3">
        <v>1.0</v>
      </c>
      <c r="M125" s="3">
        <v>1.0</v>
      </c>
      <c r="N125" s="3">
        <v>1.0</v>
      </c>
      <c r="O125" s="3">
        <v>1.0</v>
      </c>
      <c r="P125" s="3">
        <v>1.0</v>
      </c>
      <c r="Q125" s="3">
        <v>1.0</v>
      </c>
      <c r="R125" s="3">
        <v>1.0</v>
      </c>
      <c r="S125" s="3">
        <v>1.0</v>
      </c>
      <c r="T125" s="3">
        <v>1.0</v>
      </c>
      <c r="U125" s="3">
        <v>1.0</v>
      </c>
      <c r="V125" s="3">
        <v>1.0</v>
      </c>
      <c r="W125" s="3" t="s">
        <v>1214</v>
      </c>
      <c r="X125" s="3" t="s">
        <v>1489</v>
      </c>
      <c r="Y125" s="3" t="s">
        <v>1571</v>
      </c>
      <c r="Z125" s="3" t="s">
        <v>1423</v>
      </c>
      <c r="AA125" s="3" t="s">
        <v>1491</v>
      </c>
      <c r="AB125" s="3" t="s">
        <v>1374</v>
      </c>
      <c r="AC125" s="3" t="s">
        <v>1451</v>
      </c>
      <c r="AD125" s="3" t="s">
        <v>1492</v>
      </c>
      <c r="AE125" s="3" t="s">
        <v>1493</v>
      </c>
      <c r="AF125" s="3">
        <v>0.056</v>
      </c>
      <c r="AG125" s="3">
        <v>0.256</v>
      </c>
      <c r="AH125" s="3">
        <v>0.372</v>
      </c>
      <c r="AI125" s="3">
        <v>-14.82</v>
      </c>
      <c r="AJ125" s="3">
        <v>8.127</v>
      </c>
      <c r="AK125" s="3" t="s">
        <v>1561</v>
      </c>
      <c r="AL125" s="3">
        <v>0.134</v>
      </c>
      <c r="AM125" s="3" t="s">
        <v>1495</v>
      </c>
    </row>
    <row r="126" ht="15.75" customHeight="1">
      <c r="A126" s="3">
        <v>1.73036E12</v>
      </c>
      <c r="B126" s="3">
        <v>16.0</v>
      </c>
      <c r="C126" s="3" t="s">
        <v>517</v>
      </c>
      <c r="D126" s="3" t="s">
        <v>1369</v>
      </c>
      <c r="E126" s="3" t="s">
        <v>517</v>
      </c>
      <c r="F126" s="3">
        <v>1.0</v>
      </c>
      <c r="G126" s="3">
        <v>1.0</v>
      </c>
      <c r="H126" s="3">
        <v>1.0</v>
      </c>
      <c r="I126" s="3">
        <v>1.0</v>
      </c>
      <c r="J126" s="3">
        <v>1.0</v>
      </c>
      <c r="K126" s="3">
        <v>1.0</v>
      </c>
      <c r="L126" s="3">
        <v>1.0</v>
      </c>
      <c r="M126" s="3">
        <v>1.0</v>
      </c>
      <c r="N126" s="3">
        <v>1.0</v>
      </c>
      <c r="O126" s="3">
        <v>1.0</v>
      </c>
      <c r="P126" s="3">
        <v>1.0</v>
      </c>
      <c r="Q126" s="3">
        <v>1.0</v>
      </c>
      <c r="R126" s="3">
        <v>1.0</v>
      </c>
      <c r="S126" s="3">
        <v>1.0</v>
      </c>
      <c r="T126" s="3">
        <v>0.0</v>
      </c>
      <c r="U126" s="3">
        <v>1.0</v>
      </c>
      <c r="V126" s="3">
        <v>1.0</v>
      </c>
      <c r="W126" s="3" t="s">
        <v>469</v>
      </c>
      <c r="X126" s="3" t="s">
        <v>1379</v>
      </c>
      <c r="Y126" s="3" t="s">
        <v>1380</v>
      </c>
      <c r="Z126" s="3" t="s">
        <v>1372</v>
      </c>
      <c r="AA126" s="3" t="s">
        <v>1382</v>
      </c>
      <c r="AB126" s="3" t="s">
        <v>1374</v>
      </c>
      <c r="AC126" s="3" t="s">
        <v>1400</v>
      </c>
      <c r="AD126" s="3" t="s">
        <v>1401</v>
      </c>
      <c r="AE126" s="3" t="s">
        <v>1385</v>
      </c>
      <c r="AF126" s="3">
        <v>0.191</v>
      </c>
      <c r="AG126" s="3">
        <v>2.348</v>
      </c>
      <c r="AH126" s="3">
        <v>0.205</v>
      </c>
      <c r="AI126" s="3">
        <v>63.713</v>
      </c>
      <c r="AJ126" s="3">
        <v>0.302</v>
      </c>
      <c r="AK126" s="3" t="s">
        <v>1719</v>
      </c>
      <c r="AL126" s="3">
        <v>0.198</v>
      </c>
      <c r="AM126" s="3" t="s">
        <v>1387</v>
      </c>
    </row>
    <row r="127" ht="15.75" customHeight="1">
      <c r="A127" s="3">
        <v>1.73038E12</v>
      </c>
      <c r="B127" s="3">
        <v>12.0</v>
      </c>
      <c r="C127" s="3" t="s">
        <v>811</v>
      </c>
      <c r="D127" s="3" t="s">
        <v>1369</v>
      </c>
      <c r="E127" s="3" t="s">
        <v>811</v>
      </c>
      <c r="F127" s="3">
        <v>1.0</v>
      </c>
      <c r="G127" s="3">
        <v>1.0</v>
      </c>
      <c r="H127" s="3">
        <v>1.0</v>
      </c>
      <c r="I127" s="3">
        <v>1.0</v>
      </c>
      <c r="J127" s="3">
        <v>1.0</v>
      </c>
      <c r="K127" s="3">
        <v>1.0</v>
      </c>
      <c r="L127" s="3">
        <v>1.0</v>
      </c>
      <c r="M127" s="3">
        <v>1.0</v>
      </c>
      <c r="N127" s="3">
        <v>1.0</v>
      </c>
      <c r="O127" s="3">
        <v>1.0</v>
      </c>
      <c r="P127" s="3">
        <v>1.0</v>
      </c>
      <c r="Q127" s="3">
        <v>0.0</v>
      </c>
      <c r="R127" s="3">
        <v>0.0</v>
      </c>
      <c r="S127" s="3">
        <v>0.0</v>
      </c>
      <c r="T127" s="3">
        <v>1.0</v>
      </c>
      <c r="U127" s="3">
        <v>0.0</v>
      </c>
      <c r="V127" s="3">
        <v>0.0</v>
      </c>
      <c r="W127" s="3" t="s">
        <v>137</v>
      </c>
      <c r="X127" s="3" t="s">
        <v>1600</v>
      </c>
      <c r="Y127" s="3" t="s">
        <v>1601</v>
      </c>
      <c r="Z127" s="3" t="s">
        <v>1372</v>
      </c>
      <c r="AA127" s="3" t="s">
        <v>1407</v>
      </c>
      <c r="AB127" s="3" t="s">
        <v>1374</v>
      </c>
      <c r="AC127" s="3" t="s">
        <v>1400</v>
      </c>
      <c r="AD127" s="3" t="s">
        <v>1408</v>
      </c>
      <c r="AE127" s="3" t="s">
        <v>1602</v>
      </c>
      <c r="AF127" s="3">
        <v>0.035</v>
      </c>
      <c r="AG127" s="3">
        <v>0.101</v>
      </c>
      <c r="AH127" s="3">
        <v>0.16</v>
      </c>
      <c r="AI127" s="3">
        <v>10.073</v>
      </c>
      <c r="AJ127" s="3">
        <v>-0.186</v>
      </c>
      <c r="AK127" s="3" t="s">
        <v>1720</v>
      </c>
      <c r="AL127" s="3">
        <v>0.219</v>
      </c>
      <c r="AM127" s="3" t="s">
        <v>1721</v>
      </c>
    </row>
    <row r="128" ht="15.75" customHeight="1">
      <c r="A128" s="3">
        <v>1.73037E12</v>
      </c>
      <c r="B128" s="3">
        <v>7.0</v>
      </c>
      <c r="C128" s="3" t="s">
        <v>1722</v>
      </c>
      <c r="D128" s="3" t="s">
        <v>1369</v>
      </c>
      <c r="E128" s="3" t="s">
        <v>1722</v>
      </c>
      <c r="F128" s="3">
        <v>1.0</v>
      </c>
      <c r="G128" s="3">
        <v>0.0</v>
      </c>
      <c r="H128" s="3">
        <v>0.0</v>
      </c>
      <c r="I128" s="3">
        <v>0.0</v>
      </c>
      <c r="J128" s="3">
        <v>1.0</v>
      </c>
      <c r="K128" s="3">
        <v>1.0</v>
      </c>
      <c r="L128" s="3">
        <v>1.0</v>
      </c>
      <c r="M128" s="3">
        <v>1.0</v>
      </c>
      <c r="N128" s="3">
        <v>0.0</v>
      </c>
      <c r="O128" s="3">
        <v>0.0</v>
      </c>
      <c r="P128" s="3">
        <v>0.0</v>
      </c>
      <c r="Q128" s="3">
        <v>0.0</v>
      </c>
      <c r="R128" s="3">
        <v>0.0</v>
      </c>
      <c r="S128" s="3">
        <v>1.0</v>
      </c>
      <c r="T128" s="3">
        <v>0.0</v>
      </c>
      <c r="U128" s="3">
        <v>0.0</v>
      </c>
      <c r="V128" s="3">
        <v>1.0</v>
      </c>
      <c r="W128" s="3" t="s">
        <v>363</v>
      </c>
      <c r="X128" s="3" t="s">
        <v>1723</v>
      </c>
      <c r="Y128" s="3" t="s">
        <v>1724</v>
      </c>
      <c r="Z128" s="3" t="s">
        <v>1725</v>
      </c>
      <c r="AA128" s="3" t="s">
        <v>1726</v>
      </c>
      <c r="AB128" s="3" t="s">
        <v>1727</v>
      </c>
      <c r="AC128" s="3" t="s">
        <v>1374</v>
      </c>
      <c r="AD128" s="3" t="s">
        <v>1375</v>
      </c>
      <c r="AE128" s="3" t="s">
        <v>1728</v>
      </c>
      <c r="AF128" s="3">
        <v>0.076</v>
      </c>
      <c r="AG128" s="3">
        <v>0.076</v>
      </c>
      <c r="AH128" s="3">
        <v>0.616</v>
      </c>
      <c r="AI128" s="3">
        <v>214.936</v>
      </c>
      <c r="AJ128" s="3">
        <v>7.628</v>
      </c>
      <c r="AK128" s="3" t="s">
        <v>1729</v>
      </c>
      <c r="AL128" s="3">
        <v>0.0</v>
      </c>
      <c r="AM128" s="3" t="s">
        <v>1461</v>
      </c>
    </row>
    <row r="129" ht="15.75" customHeight="1">
      <c r="A129" s="3">
        <v>1.73032E12</v>
      </c>
      <c r="B129" s="3">
        <v>17.0</v>
      </c>
      <c r="C129" s="3" t="s">
        <v>424</v>
      </c>
      <c r="D129" s="3" t="s">
        <v>1369</v>
      </c>
      <c r="E129" s="3" t="s">
        <v>424</v>
      </c>
      <c r="F129" s="3">
        <v>1.0</v>
      </c>
      <c r="G129" s="3">
        <v>1.0</v>
      </c>
      <c r="H129" s="3">
        <v>1.0</v>
      </c>
      <c r="I129" s="3">
        <v>1.0</v>
      </c>
      <c r="J129" s="3">
        <v>1.0</v>
      </c>
      <c r="K129" s="3">
        <v>1.0</v>
      </c>
      <c r="L129" s="3">
        <v>1.0</v>
      </c>
      <c r="M129" s="3">
        <v>1.0</v>
      </c>
      <c r="N129" s="3">
        <v>1.0</v>
      </c>
      <c r="O129" s="3">
        <v>1.0</v>
      </c>
      <c r="P129" s="3">
        <v>1.0</v>
      </c>
      <c r="Q129" s="3">
        <v>1.0</v>
      </c>
      <c r="R129" s="3">
        <v>1.0</v>
      </c>
      <c r="S129" s="3">
        <v>1.0</v>
      </c>
      <c r="T129" s="3">
        <v>1.0</v>
      </c>
      <c r="U129" s="3">
        <v>1.0</v>
      </c>
      <c r="V129" s="3">
        <v>1.0</v>
      </c>
      <c r="W129" s="3" t="s">
        <v>1320</v>
      </c>
      <c r="X129" s="3" t="s">
        <v>1521</v>
      </c>
      <c r="Y129" s="3" t="s">
        <v>1522</v>
      </c>
      <c r="Z129" s="3" t="s">
        <v>1372</v>
      </c>
      <c r="AA129" s="3" t="s">
        <v>1523</v>
      </c>
      <c r="AB129" s="3" t="s">
        <v>1374</v>
      </c>
      <c r="AC129" s="3" t="s">
        <v>1374</v>
      </c>
      <c r="AD129" s="3" t="s">
        <v>1524</v>
      </c>
      <c r="AE129" s="3" t="s">
        <v>1525</v>
      </c>
      <c r="AF129" s="3">
        <v>0.028</v>
      </c>
      <c r="AG129" s="3">
        <v>0.067</v>
      </c>
      <c r="AH129" s="3">
        <v>0.433</v>
      </c>
      <c r="AI129" s="3">
        <v>1082.216</v>
      </c>
      <c r="AJ129" s="3">
        <v>1.26</v>
      </c>
      <c r="AK129" s="3" t="s">
        <v>1526</v>
      </c>
      <c r="AL129" s="3">
        <v>0.059</v>
      </c>
      <c r="AM129" s="3" t="s">
        <v>1527</v>
      </c>
    </row>
    <row r="130" ht="15.75" customHeight="1">
      <c r="A130" s="3">
        <v>1.7304E12</v>
      </c>
      <c r="B130" s="3">
        <v>15.0</v>
      </c>
      <c r="C130" s="3" t="s">
        <v>1730</v>
      </c>
      <c r="D130" s="3" t="s">
        <v>1369</v>
      </c>
      <c r="E130" s="3" t="s">
        <v>1730</v>
      </c>
      <c r="F130" s="3">
        <v>1.0</v>
      </c>
      <c r="G130" s="3">
        <v>1.0</v>
      </c>
      <c r="H130" s="3">
        <v>1.0</v>
      </c>
      <c r="I130" s="3">
        <v>1.0</v>
      </c>
      <c r="J130" s="3">
        <v>1.0</v>
      </c>
      <c r="K130" s="3">
        <v>1.0</v>
      </c>
      <c r="L130" s="3">
        <v>1.0</v>
      </c>
      <c r="M130" s="3">
        <v>1.0</v>
      </c>
      <c r="N130" s="3">
        <v>1.0</v>
      </c>
      <c r="O130" s="3">
        <v>1.0</v>
      </c>
      <c r="P130" s="3">
        <v>1.0</v>
      </c>
      <c r="Q130" s="3">
        <v>1.0</v>
      </c>
      <c r="R130" s="3">
        <v>1.0</v>
      </c>
      <c r="S130" s="3">
        <v>0.0</v>
      </c>
      <c r="T130" s="3">
        <v>1.0</v>
      </c>
      <c r="U130" s="3">
        <v>1.0</v>
      </c>
      <c r="V130" s="3">
        <v>0.0</v>
      </c>
      <c r="W130" s="3" t="s">
        <v>843</v>
      </c>
      <c r="X130" s="3" t="s">
        <v>1370</v>
      </c>
      <c r="Y130" s="3" t="s">
        <v>1371</v>
      </c>
      <c r="Z130" s="3" t="s">
        <v>1372</v>
      </c>
      <c r="AA130" s="3" t="s">
        <v>1373</v>
      </c>
      <c r="AB130" s="3" t="s">
        <v>1374</v>
      </c>
      <c r="AC130" s="3" t="s">
        <v>1374</v>
      </c>
      <c r="AD130" s="3" t="s">
        <v>1375</v>
      </c>
      <c r="AE130" s="3" t="s">
        <v>1376</v>
      </c>
      <c r="AF130" s="3">
        <v>0.551</v>
      </c>
      <c r="AG130" s="3">
        <v>2.79</v>
      </c>
      <c r="AH130" s="3">
        <v>0.315</v>
      </c>
      <c r="AI130" s="3">
        <v>48.702</v>
      </c>
      <c r="AJ130" s="3">
        <v>-10.883</v>
      </c>
      <c r="AK130" s="3" t="s">
        <v>1377</v>
      </c>
      <c r="AL130" s="3">
        <v>0.11</v>
      </c>
      <c r="AM130" s="3" t="s">
        <v>1731</v>
      </c>
    </row>
    <row r="131" ht="15.75" customHeight="1">
      <c r="A131" s="3">
        <v>1.73031E12</v>
      </c>
      <c r="B131" s="3">
        <v>17.0</v>
      </c>
      <c r="C131" s="3" t="s">
        <v>199</v>
      </c>
      <c r="D131" s="3" t="s">
        <v>1369</v>
      </c>
      <c r="E131" s="3" t="s">
        <v>199</v>
      </c>
      <c r="F131" s="3">
        <v>1.0</v>
      </c>
      <c r="G131" s="3">
        <v>1.0</v>
      </c>
      <c r="H131" s="3">
        <v>1.0</v>
      </c>
      <c r="I131" s="3">
        <v>1.0</v>
      </c>
      <c r="J131" s="3">
        <v>1.0</v>
      </c>
      <c r="K131" s="3">
        <v>1.0</v>
      </c>
      <c r="L131" s="3">
        <v>1.0</v>
      </c>
      <c r="M131" s="3">
        <v>1.0</v>
      </c>
      <c r="N131" s="3">
        <v>1.0</v>
      </c>
      <c r="O131" s="3">
        <v>1.0</v>
      </c>
      <c r="P131" s="3">
        <v>1.0</v>
      </c>
      <c r="Q131" s="3">
        <v>1.0</v>
      </c>
      <c r="R131" s="3">
        <v>1.0</v>
      </c>
      <c r="S131" s="3">
        <v>1.0</v>
      </c>
      <c r="T131" s="3">
        <v>1.0</v>
      </c>
      <c r="U131" s="3">
        <v>1.0</v>
      </c>
      <c r="V131" s="3">
        <v>1.0</v>
      </c>
      <c r="W131" s="3" t="s">
        <v>1148</v>
      </c>
      <c r="X131" s="3" t="s">
        <v>1464</v>
      </c>
      <c r="Y131" s="3" t="s">
        <v>1465</v>
      </c>
      <c r="Z131" s="3" t="s">
        <v>1372</v>
      </c>
      <c r="AA131" s="3" t="s">
        <v>1373</v>
      </c>
      <c r="AB131" s="3" t="s">
        <v>1374</v>
      </c>
      <c r="AC131" s="3" t="s">
        <v>1391</v>
      </c>
      <c r="AD131" s="3" t="s">
        <v>1497</v>
      </c>
      <c r="AE131" s="3" t="s">
        <v>1467</v>
      </c>
      <c r="AF131" s="3">
        <v>0.204</v>
      </c>
      <c r="AG131" s="3">
        <v>2.509</v>
      </c>
      <c r="AH131" s="3">
        <v>0.311</v>
      </c>
      <c r="AI131" s="3">
        <v>13.241</v>
      </c>
      <c r="AJ131" s="3">
        <v>-5.256</v>
      </c>
      <c r="AK131" s="3" t="s">
        <v>1549</v>
      </c>
      <c r="AL131" s="3">
        <v>0.081</v>
      </c>
      <c r="AM131" s="3" t="s">
        <v>1469</v>
      </c>
    </row>
    <row r="132" ht="15.75" customHeight="1">
      <c r="A132" s="3">
        <v>1.73027E12</v>
      </c>
      <c r="B132" s="3">
        <v>16.0</v>
      </c>
      <c r="C132" s="3" t="s">
        <v>482</v>
      </c>
      <c r="D132" s="3" t="s">
        <v>1369</v>
      </c>
      <c r="E132" s="3" t="s">
        <v>482</v>
      </c>
      <c r="F132" s="3">
        <v>1.0</v>
      </c>
      <c r="G132" s="3">
        <v>1.0</v>
      </c>
      <c r="H132" s="3">
        <v>1.0</v>
      </c>
      <c r="I132" s="3">
        <v>1.0</v>
      </c>
      <c r="J132" s="3">
        <v>1.0</v>
      </c>
      <c r="K132" s="3">
        <v>1.0</v>
      </c>
      <c r="L132" s="3">
        <v>1.0</v>
      </c>
      <c r="M132" s="3">
        <v>1.0</v>
      </c>
      <c r="N132" s="3">
        <v>1.0</v>
      </c>
      <c r="O132" s="3">
        <v>1.0</v>
      </c>
      <c r="P132" s="3">
        <v>1.0</v>
      </c>
      <c r="Q132" s="3">
        <v>1.0</v>
      </c>
      <c r="R132" s="3">
        <v>1.0</v>
      </c>
      <c r="S132" s="3">
        <v>0.0</v>
      </c>
      <c r="T132" s="3">
        <v>1.0</v>
      </c>
      <c r="U132" s="3">
        <v>1.0</v>
      </c>
      <c r="V132" s="3">
        <v>1.0</v>
      </c>
      <c r="W132" s="3" t="s">
        <v>1326</v>
      </c>
      <c r="X132" s="3" t="s">
        <v>1388</v>
      </c>
      <c r="Y132" s="3" t="s">
        <v>1389</v>
      </c>
      <c r="Z132" s="3" t="s">
        <v>1449</v>
      </c>
      <c r="AA132" s="3" t="s">
        <v>1390</v>
      </c>
      <c r="AB132" s="3" t="s">
        <v>1374</v>
      </c>
      <c r="AC132" s="3" t="s">
        <v>1391</v>
      </c>
      <c r="AD132" s="3" t="s">
        <v>1392</v>
      </c>
      <c r="AE132" s="3" t="s">
        <v>1393</v>
      </c>
      <c r="AF132" s="3">
        <v>0.071</v>
      </c>
      <c r="AG132" s="3">
        <v>1.031</v>
      </c>
      <c r="AH132" s="3" t="s">
        <v>1394</v>
      </c>
      <c r="AI132" s="3" t="s">
        <v>1394</v>
      </c>
      <c r="AJ132" s="3">
        <v>13.718</v>
      </c>
      <c r="AK132" s="3" t="s">
        <v>1395</v>
      </c>
      <c r="AL132" s="3" t="s">
        <v>1394</v>
      </c>
      <c r="AM132" s="3" t="s">
        <v>1396</v>
      </c>
    </row>
    <row r="133" ht="15.75" customHeight="1">
      <c r="A133" s="3">
        <v>1.73028E12</v>
      </c>
      <c r="B133" s="3">
        <v>17.0</v>
      </c>
      <c r="C133" s="3" t="s">
        <v>341</v>
      </c>
      <c r="D133" s="3" t="s">
        <v>1369</v>
      </c>
      <c r="E133" s="3" t="s">
        <v>341</v>
      </c>
      <c r="F133" s="3">
        <v>1.0</v>
      </c>
      <c r="G133" s="3">
        <v>1.0</v>
      </c>
      <c r="H133" s="3">
        <v>1.0</v>
      </c>
      <c r="I133" s="3">
        <v>1.0</v>
      </c>
      <c r="J133" s="3">
        <v>1.0</v>
      </c>
      <c r="K133" s="3">
        <v>1.0</v>
      </c>
      <c r="L133" s="3">
        <v>1.0</v>
      </c>
      <c r="M133" s="3">
        <v>1.0</v>
      </c>
      <c r="N133" s="3">
        <v>1.0</v>
      </c>
      <c r="O133" s="3">
        <v>1.0</v>
      </c>
      <c r="P133" s="3">
        <v>1.0</v>
      </c>
      <c r="Q133" s="3">
        <v>1.0</v>
      </c>
      <c r="R133" s="3">
        <v>1.0</v>
      </c>
      <c r="S133" s="3">
        <v>1.0</v>
      </c>
      <c r="T133" s="3">
        <v>1.0</v>
      </c>
      <c r="U133" s="3">
        <v>1.0</v>
      </c>
      <c r="V133" s="3">
        <v>1.0</v>
      </c>
      <c r="W133" s="3" t="s">
        <v>1051</v>
      </c>
      <c r="X133" s="3" t="s">
        <v>1489</v>
      </c>
      <c r="Y133" s="3" t="s">
        <v>1490</v>
      </c>
      <c r="Z133" s="3" t="s">
        <v>1423</v>
      </c>
      <c r="AA133" s="3" t="s">
        <v>1491</v>
      </c>
      <c r="AB133" s="3" t="s">
        <v>1374</v>
      </c>
      <c r="AC133" s="3" t="s">
        <v>1451</v>
      </c>
      <c r="AD133" s="3" t="s">
        <v>1492</v>
      </c>
      <c r="AE133" s="3" t="s">
        <v>1493</v>
      </c>
      <c r="AF133" s="3">
        <v>0.056</v>
      </c>
      <c r="AG133" s="3">
        <v>0.257</v>
      </c>
      <c r="AH133" s="3">
        <v>0.371</v>
      </c>
      <c r="AI133" s="3">
        <v>-14.846</v>
      </c>
      <c r="AJ133" s="3">
        <v>8.124</v>
      </c>
      <c r="AK133" s="3" t="s">
        <v>1561</v>
      </c>
      <c r="AL133" s="3">
        <v>0.135</v>
      </c>
      <c r="AM133" s="3" t="s">
        <v>1495</v>
      </c>
    </row>
    <row r="134" ht="15.75" customHeight="1">
      <c r="A134" s="3">
        <v>1.7303E12</v>
      </c>
      <c r="B134" s="3">
        <v>17.0</v>
      </c>
      <c r="C134" s="3" t="s">
        <v>651</v>
      </c>
      <c r="D134" s="3" t="s">
        <v>1369</v>
      </c>
      <c r="E134" s="3" t="s">
        <v>651</v>
      </c>
      <c r="F134" s="3">
        <v>1.0</v>
      </c>
      <c r="G134" s="3">
        <v>1.0</v>
      </c>
      <c r="H134" s="3">
        <v>1.0</v>
      </c>
      <c r="I134" s="3">
        <v>1.0</v>
      </c>
      <c r="J134" s="3">
        <v>1.0</v>
      </c>
      <c r="K134" s="3">
        <v>1.0</v>
      </c>
      <c r="L134" s="3">
        <v>1.0</v>
      </c>
      <c r="M134" s="3">
        <v>1.0</v>
      </c>
      <c r="N134" s="3">
        <v>1.0</v>
      </c>
      <c r="O134" s="3">
        <v>1.0</v>
      </c>
      <c r="P134" s="3">
        <v>1.0</v>
      </c>
      <c r="Q134" s="3">
        <v>1.0</v>
      </c>
      <c r="R134" s="3">
        <v>1.0</v>
      </c>
      <c r="S134" s="3">
        <v>1.0</v>
      </c>
      <c r="T134" s="3">
        <v>1.0</v>
      </c>
      <c r="U134" s="3">
        <v>1.0</v>
      </c>
      <c r="V134" s="3">
        <v>1.0</v>
      </c>
      <c r="W134" s="3" t="s">
        <v>1116</v>
      </c>
      <c r="X134" s="3" t="s">
        <v>1438</v>
      </c>
      <c r="Y134" s="3" t="s">
        <v>1439</v>
      </c>
      <c r="Z134" s="3" t="s">
        <v>1449</v>
      </c>
      <c r="AA134" s="3" t="s">
        <v>1553</v>
      </c>
      <c r="AB134" s="3" t="s">
        <v>1374</v>
      </c>
      <c r="AC134" s="3" t="s">
        <v>1391</v>
      </c>
      <c r="AD134" s="3" t="s">
        <v>1554</v>
      </c>
      <c r="AE134" s="3" t="s">
        <v>1444</v>
      </c>
      <c r="AF134" s="3">
        <v>0.085</v>
      </c>
      <c r="AG134" s="3">
        <v>0.302</v>
      </c>
      <c r="AH134" s="3">
        <v>0.221</v>
      </c>
      <c r="AI134" s="3">
        <v>238.345</v>
      </c>
      <c r="AJ134" s="3">
        <v>-1.701</v>
      </c>
      <c r="AK134" s="3" t="s">
        <v>1555</v>
      </c>
      <c r="AL134" s="3">
        <v>0.26</v>
      </c>
      <c r="AM134" s="3" t="s">
        <v>1446</v>
      </c>
    </row>
    <row r="135" ht="15.75" customHeight="1">
      <c r="A135" s="3">
        <v>1.73039E12</v>
      </c>
      <c r="B135" s="3">
        <v>17.0</v>
      </c>
      <c r="C135" s="3" t="s">
        <v>321</v>
      </c>
      <c r="D135" s="3" t="s">
        <v>1369</v>
      </c>
      <c r="E135" s="3" t="s">
        <v>321</v>
      </c>
      <c r="F135" s="3">
        <v>1.0</v>
      </c>
      <c r="G135" s="3">
        <v>1.0</v>
      </c>
      <c r="H135" s="3">
        <v>1.0</v>
      </c>
      <c r="I135" s="3">
        <v>1.0</v>
      </c>
      <c r="J135" s="3">
        <v>1.0</v>
      </c>
      <c r="K135" s="3">
        <v>1.0</v>
      </c>
      <c r="L135" s="3">
        <v>1.0</v>
      </c>
      <c r="M135" s="3">
        <v>1.0</v>
      </c>
      <c r="N135" s="3">
        <v>1.0</v>
      </c>
      <c r="O135" s="3">
        <v>1.0</v>
      </c>
      <c r="P135" s="3">
        <v>1.0</v>
      </c>
      <c r="Q135" s="3">
        <v>1.0</v>
      </c>
      <c r="R135" s="3">
        <v>1.0</v>
      </c>
      <c r="S135" s="3">
        <v>1.0</v>
      </c>
      <c r="T135" s="3">
        <v>1.0</v>
      </c>
      <c r="U135" s="3">
        <v>1.0</v>
      </c>
      <c r="V135" s="3">
        <v>1.0</v>
      </c>
      <c r="W135" s="3" t="s">
        <v>1049</v>
      </c>
      <c r="X135" s="3" t="s">
        <v>1542</v>
      </c>
      <c r="Y135" s="3" t="s">
        <v>1543</v>
      </c>
      <c r="Z135" s="3" t="s">
        <v>1423</v>
      </c>
      <c r="AA135" s="3" t="s">
        <v>1544</v>
      </c>
      <c r="AB135" s="3" t="s">
        <v>1374</v>
      </c>
      <c r="AC135" s="3" t="s">
        <v>1451</v>
      </c>
      <c r="AD135" s="3" t="s">
        <v>1545</v>
      </c>
      <c r="AE135" s="3" t="s">
        <v>1546</v>
      </c>
      <c r="AF135" s="3">
        <v>0.035</v>
      </c>
      <c r="AG135" s="3">
        <v>0.068</v>
      </c>
      <c r="AH135" s="3" t="s">
        <v>1394</v>
      </c>
      <c r="AI135" s="3" t="s">
        <v>1394</v>
      </c>
      <c r="AJ135" s="3">
        <v>-10.884</v>
      </c>
      <c r="AK135" s="3" t="s">
        <v>1624</v>
      </c>
      <c r="AL135" s="3" t="s">
        <v>1394</v>
      </c>
      <c r="AM135" s="3" t="s">
        <v>1548</v>
      </c>
    </row>
    <row r="136" ht="15.75" customHeight="1">
      <c r="A136" s="3">
        <v>1.7304E12</v>
      </c>
      <c r="B136" s="3">
        <v>13.0</v>
      </c>
      <c r="C136" s="3" t="s">
        <v>350</v>
      </c>
      <c r="D136" s="3" t="s">
        <v>1369</v>
      </c>
      <c r="E136" s="3" t="s">
        <v>350</v>
      </c>
      <c r="F136" s="3">
        <v>1.0</v>
      </c>
      <c r="G136" s="3">
        <v>1.0</v>
      </c>
      <c r="H136" s="3">
        <v>1.0</v>
      </c>
      <c r="I136" s="3">
        <v>1.0</v>
      </c>
      <c r="J136" s="3">
        <v>1.0</v>
      </c>
      <c r="K136" s="3">
        <v>0.0</v>
      </c>
      <c r="L136" s="3">
        <v>0.0</v>
      </c>
      <c r="M136" s="3">
        <v>1.0</v>
      </c>
      <c r="N136" s="3">
        <v>0.0</v>
      </c>
      <c r="O136" s="3">
        <v>1.0</v>
      </c>
      <c r="P136" s="3">
        <v>1.0</v>
      </c>
      <c r="Q136" s="3">
        <v>1.0</v>
      </c>
      <c r="R136" s="3">
        <v>1.0</v>
      </c>
      <c r="S136" s="3">
        <v>0.0</v>
      </c>
      <c r="T136" s="3">
        <v>1.0</v>
      </c>
      <c r="U136" s="3">
        <v>1.0</v>
      </c>
      <c r="V136" s="3">
        <v>1.0</v>
      </c>
      <c r="W136" s="3" t="s">
        <v>1732</v>
      </c>
      <c r="X136" s="3" t="s">
        <v>1542</v>
      </c>
      <c r="Y136" s="3" t="s">
        <v>1543</v>
      </c>
      <c r="Z136" s="3" t="s">
        <v>1733</v>
      </c>
      <c r="AA136" s="3" t="s">
        <v>1734</v>
      </c>
      <c r="AB136" s="3" t="s">
        <v>1374</v>
      </c>
      <c r="AC136" s="3" t="s">
        <v>1451</v>
      </c>
      <c r="AD136" s="3" t="s">
        <v>1545</v>
      </c>
      <c r="AE136" s="3" t="s">
        <v>1394</v>
      </c>
      <c r="AF136" s="3">
        <v>0.035</v>
      </c>
      <c r="AG136" s="3">
        <v>0.068</v>
      </c>
      <c r="AH136" s="3" t="s">
        <v>1394</v>
      </c>
      <c r="AI136" s="3" t="s">
        <v>1394</v>
      </c>
      <c r="AJ136" s="3">
        <v>11.182</v>
      </c>
      <c r="AK136" s="3" t="s">
        <v>1604</v>
      </c>
      <c r="AL136" s="3" t="s">
        <v>1394</v>
      </c>
      <c r="AM136" s="3" t="s">
        <v>1548</v>
      </c>
    </row>
    <row r="137" ht="15.75" customHeight="1">
      <c r="A137" s="3">
        <v>1.73039E12</v>
      </c>
      <c r="B137" s="3">
        <v>14.0</v>
      </c>
      <c r="C137" s="3" t="s">
        <v>124</v>
      </c>
      <c r="D137" s="3" t="s">
        <v>1369</v>
      </c>
      <c r="E137" s="3" t="s">
        <v>124</v>
      </c>
      <c r="F137" s="3">
        <v>1.0</v>
      </c>
      <c r="G137" s="3">
        <v>1.0</v>
      </c>
      <c r="H137" s="3">
        <v>1.0</v>
      </c>
      <c r="I137" s="3">
        <v>1.0</v>
      </c>
      <c r="J137" s="3">
        <v>1.0</v>
      </c>
      <c r="K137" s="3">
        <v>1.0</v>
      </c>
      <c r="L137" s="3">
        <v>1.0</v>
      </c>
      <c r="M137" s="3">
        <v>1.0</v>
      </c>
      <c r="N137" s="3">
        <v>1.0</v>
      </c>
      <c r="O137" s="3">
        <v>1.0</v>
      </c>
      <c r="P137" s="3">
        <v>1.0</v>
      </c>
      <c r="Q137" s="3">
        <v>0.0</v>
      </c>
      <c r="R137" s="3">
        <v>0.0</v>
      </c>
      <c r="S137" s="3">
        <v>1.0</v>
      </c>
      <c r="T137" s="3">
        <v>1.0</v>
      </c>
      <c r="U137" s="3">
        <v>0.0</v>
      </c>
      <c r="V137" s="3">
        <v>1.0</v>
      </c>
      <c r="W137" s="3" t="s">
        <v>633</v>
      </c>
      <c r="X137" s="3" t="s">
        <v>1563</v>
      </c>
      <c r="Y137" s="3" t="s">
        <v>1564</v>
      </c>
      <c r="Z137" s="3" t="s">
        <v>1372</v>
      </c>
      <c r="AA137" s="3" t="s">
        <v>1565</v>
      </c>
      <c r="AB137" s="3" t="s">
        <v>1374</v>
      </c>
      <c r="AC137" s="3" t="s">
        <v>1400</v>
      </c>
      <c r="AD137" s="3" t="s">
        <v>1566</v>
      </c>
      <c r="AE137" s="3" t="s">
        <v>1567</v>
      </c>
      <c r="AF137" s="3">
        <v>0.345</v>
      </c>
      <c r="AG137" s="3">
        <v>0.674</v>
      </c>
      <c r="AH137" s="3">
        <v>0.353</v>
      </c>
      <c r="AI137" s="3">
        <v>0.353</v>
      </c>
      <c r="AJ137" s="3">
        <v>2.403</v>
      </c>
      <c r="AK137" s="3" t="s">
        <v>1568</v>
      </c>
      <c r="AL137" s="3">
        <v>0.353</v>
      </c>
      <c r="AM137" s="3" t="s">
        <v>1569</v>
      </c>
    </row>
    <row r="138" ht="15.75" customHeight="1">
      <c r="A138" s="3">
        <v>1.7303E12</v>
      </c>
      <c r="B138" s="3">
        <v>12.0</v>
      </c>
      <c r="C138" s="3" t="s">
        <v>136</v>
      </c>
      <c r="D138" s="3" t="s">
        <v>1369</v>
      </c>
      <c r="E138" s="3" t="s">
        <v>136</v>
      </c>
      <c r="F138" s="3">
        <v>1.0</v>
      </c>
      <c r="G138" s="3">
        <v>1.0</v>
      </c>
      <c r="H138" s="3">
        <v>1.0</v>
      </c>
      <c r="I138" s="3">
        <v>0.0</v>
      </c>
      <c r="J138" s="3">
        <v>1.0</v>
      </c>
      <c r="K138" s="3">
        <v>1.0</v>
      </c>
      <c r="L138" s="3">
        <v>1.0</v>
      </c>
      <c r="M138" s="3">
        <v>1.0</v>
      </c>
      <c r="N138" s="3">
        <v>1.0</v>
      </c>
      <c r="O138" s="3">
        <v>1.0</v>
      </c>
      <c r="P138" s="3">
        <v>1.0</v>
      </c>
      <c r="Q138" s="3">
        <v>0.0</v>
      </c>
      <c r="R138" s="3">
        <v>0.0</v>
      </c>
      <c r="S138" s="3">
        <v>1.0</v>
      </c>
      <c r="T138" s="3">
        <v>0.0</v>
      </c>
      <c r="U138" s="3">
        <v>0.0</v>
      </c>
      <c r="V138" s="3">
        <v>1.0</v>
      </c>
      <c r="W138" s="3" t="s">
        <v>85</v>
      </c>
      <c r="X138" s="3" t="s">
        <v>1429</v>
      </c>
      <c r="Y138" s="3" t="s">
        <v>1430</v>
      </c>
      <c r="Z138" s="3" t="s">
        <v>1735</v>
      </c>
      <c r="AA138" s="3" t="s">
        <v>1441</v>
      </c>
      <c r="AB138" s="3" t="s">
        <v>1736</v>
      </c>
      <c r="AC138" s="3" t="s">
        <v>1737</v>
      </c>
      <c r="AD138" s="3" t="s">
        <v>1738</v>
      </c>
      <c r="AE138" s="3" t="s">
        <v>1434</v>
      </c>
      <c r="AF138" s="3">
        <v>0.168</v>
      </c>
      <c r="AG138" s="3">
        <v>1.191</v>
      </c>
      <c r="AH138" s="3">
        <v>0.425</v>
      </c>
      <c r="AI138" s="3">
        <v>-112.041</v>
      </c>
      <c r="AJ138" s="3">
        <v>-3.535</v>
      </c>
      <c r="AK138" s="3" t="s">
        <v>1739</v>
      </c>
      <c r="AL138" s="3">
        <v>0.113</v>
      </c>
      <c r="AM138" s="3" t="s">
        <v>1436</v>
      </c>
    </row>
    <row r="139" ht="15.75" customHeight="1">
      <c r="A139" s="3">
        <v>1.7304E12</v>
      </c>
      <c r="B139" s="3">
        <v>13.0</v>
      </c>
      <c r="C139" s="3" t="s">
        <v>1740</v>
      </c>
      <c r="D139" s="3" t="s">
        <v>1369</v>
      </c>
      <c r="E139" s="3" t="s">
        <v>1740</v>
      </c>
      <c r="F139" s="3">
        <v>1.0</v>
      </c>
      <c r="G139" s="3">
        <v>1.0</v>
      </c>
      <c r="H139" s="3">
        <v>1.0</v>
      </c>
      <c r="I139" s="3">
        <v>1.0</v>
      </c>
      <c r="J139" s="3">
        <v>1.0</v>
      </c>
      <c r="K139" s="3">
        <v>1.0</v>
      </c>
      <c r="L139" s="3">
        <v>1.0</v>
      </c>
      <c r="M139" s="3">
        <v>1.0</v>
      </c>
      <c r="N139" s="3">
        <v>1.0</v>
      </c>
      <c r="O139" s="3">
        <v>1.0</v>
      </c>
      <c r="P139" s="3">
        <v>1.0</v>
      </c>
      <c r="Q139" s="3">
        <v>0.0</v>
      </c>
      <c r="R139" s="3">
        <v>0.0</v>
      </c>
      <c r="S139" s="3">
        <v>1.0</v>
      </c>
      <c r="T139" s="3">
        <v>0.0</v>
      </c>
      <c r="U139" s="3">
        <v>0.0</v>
      </c>
      <c r="V139" s="3">
        <v>1.0</v>
      </c>
      <c r="W139" s="3" t="s">
        <v>83</v>
      </c>
      <c r="X139" s="3" t="s">
        <v>1398</v>
      </c>
      <c r="Y139" s="3" t="s">
        <v>1399</v>
      </c>
      <c r="Z139" s="3" t="s">
        <v>1372</v>
      </c>
      <c r="AA139" s="3" t="s">
        <v>1373</v>
      </c>
      <c r="AB139" s="3" t="s">
        <v>1374</v>
      </c>
      <c r="AC139" s="3" t="s">
        <v>1383</v>
      </c>
      <c r="AD139" s="3" t="s">
        <v>1401</v>
      </c>
      <c r="AE139" s="3" t="s">
        <v>1402</v>
      </c>
      <c r="AF139" s="3">
        <v>0.006</v>
      </c>
      <c r="AG139" s="3">
        <v>0.072</v>
      </c>
      <c r="AH139" s="3">
        <v>0.172</v>
      </c>
      <c r="AI139" s="3">
        <v>0.0</v>
      </c>
      <c r="AJ139" s="3">
        <v>8.399</v>
      </c>
      <c r="AK139" s="3" t="s">
        <v>1663</v>
      </c>
      <c r="AL139" s="3">
        <v>0.259</v>
      </c>
      <c r="AM139" s="3" t="s">
        <v>1404</v>
      </c>
    </row>
    <row r="140" ht="15.75" customHeight="1">
      <c r="A140" s="3">
        <v>1.73038E12</v>
      </c>
      <c r="B140" s="3">
        <v>16.0</v>
      </c>
      <c r="C140" s="3" t="s">
        <v>464</v>
      </c>
      <c r="D140" s="3" t="s">
        <v>1369</v>
      </c>
      <c r="E140" s="3" t="s">
        <v>464</v>
      </c>
      <c r="F140" s="3">
        <v>1.0</v>
      </c>
      <c r="G140" s="3">
        <v>1.0</v>
      </c>
      <c r="H140" s="3">
        <v>1.0</v>
      </c>
      <c r="I140" s="3">
        <v>1.0</v>
      </c>
      <c r="J140" s="3">
        <v>1.0</v>
      </c>
      <c r="K140" s="3">
        <v>1.0</v>
      </c>
      <c r="L140" s="3">
        <v>1.0</v>
      </c>
      <c r="M140" s="3">
        <v>1.0</v>
      </c>
      <c r="N140" s="3">
        <v>1.0</v>
      </c>
      <c r="O140" s="3">
        <v>1.0</v>
      </c>
      <c r="P140" s="3">
        <v>1.0</v>
      </c>
      <c r="Q140" s="3">
        <v>1.0</v>
      </c>
      <c r="R140" s="3">
        <v>1.0</v>
      </c>
      <c r="S140" s="3">
        <v>0.0</v>
      </c>
      <c r="T140" s="3">
        <v>1.0</v>
      </c>
      <c r="U140" s="3">
        <v>1.0</v>
      </c>
      <c r="V140" s="3">
        <v>1.0</v>
      </c>
      <c r="W140" s="3" t="s">
        <v>1166</v>
      </c>
      <c r="X140" s="3" t="s">
        <v>1456</v>
      </c>
      <c r="Y140" s="3" t="s">
        <v>1457</v>
      </c>
      <c r="Z140" s="3" t="s">
        <v>1423</v>
      </c>
      <c r="AA140" s="3" t="s">
        <v>1458</v>
      </c>
      <c r="AB140" s="3" t="s">
        <v>1374</v>
      </c>
      <c r="AC140" s="3" t="s">
        <v>1374</v>
      </c>
      <c r="AD140" s="3" t="s">
        <v>1392</v>
      </c>
      <c r="AE140" s="3" t="s">
        <v>1459</v>
      </c>
      <c r="AF140" s="3">
        <v>0.076</v>
      </c>
      <c r="AG140" s="3">
        <v>0.61</v>
      </c>
      <c r="AH140" s="3">
        <v>0.287</v>
      </c>
      <c r="AI140" s="3">
        <v>108.878</v>
      </c>
      <c r="AJ140" s="3">
        <v>3.099</v>
      </c>
      <c r="AK140" s="3" t="s">
        <v>1463</v>
      </c>
      <c r="AL140" s="3">
        <v>0.08</v>
      </c>
      <c r="AM140" s="3" t="s">
        <v>1461</v>
      </c>
    </row>
    <row r="141" ht="15.75" customHeight="1">
      <c r="A141" s="3">
        <v>1.7304E12</v>
      </c>
      <c r="B141" s="3">
        <v>13.0</v>
      </c>
      <c r="C141" s="3" t="s">
        <v>791</v>
      </c>
      <c r="D141" s="3" t="s">
        <v>1369</v>
      </c>
      <c r="E141" s="3" t="s">
        <v>791</v>
      </c>
      <c r="F141" s="3">
        <v>1.0</v>
      </c>
      <c r="G141" s="3">
        <v>1.0</v>
      </c>
      <c r="H141" s="3">
        <v>1.0</v>
      </c>
      <c r="I141" s="3">
        <v>1.0</v>
      </c>
      <c r="J141" s="3">
        <v>1.0</v>
      </c>
      <c r="K141" s="3">
        <v>1.0</v>
      </c>
      <c r="L141" s="3">
        <v>0.0</v>
      </c>
      <c r="M141" s="3">
        <v>1.0</v>
      </c>
      <c r="N141" s="3">
        <v>1.0</v>
      </c>
      <c r="O141" s="3">
        <v>1.0</v>
      </c>
      <c r="P141" s="3">
        <v>1.0</v>
      </c>
      <c r="Q141" s="3">
        <v>1.0</v>
      </c>
      <c r="R141" s="3">
        <v>1.0</v>
      </c>
      <c r="S141" s="3">
        <v>0.0</v>
      </c>
      <c r="T141" s="3">
        <v>0.0</v>
      </c>
      <c r="U141" s="3">
        <v>1.0</v>
      </c>
      <c r="V141" s="3">
        <v>0.0</v>
      </c>
      <c r="W141" s="3" t="s">
        <v>503</v>
      </c>
      <c r="X141" s="3" t="s">
        <v>1447</v>
      </c>
      <c r="Y141" s="3" t="s">
        <v>1448</v>
      </c>
      <c r="Z141" s="3" t="s">
        <v>1449</v>
      </c>
      <c r="AA141" s="3" t="s">
        <v>1450</v>
      </c>
      <c r="AB141" s="3" t="s">
        <v>1374</v>
      </c>
      <c r="AD141" s="3" t="s">
        <v>1580</v>
      </c>
      <c r="AE141" s="3" t="s">
        <v>1453</v>
      </c>
      <c r="AF141" s="3">
        <v>0.033</v>
      </c>
      <c r="AG141" s="3">
        <v>0.217</v>
      </c>
      <c r="AH141" s="3">
        <v>0.496</v>
      </c>
      <c r="AI141" s="3">
        <v>48.583</v>
      </c>
      <c r="AJ141" s="3">
        <v>6.32</v>
      </c>
      <c r="AL141" s="3">
        <v>0.176</v>
      </c>
      <c r="AM141" s="3" t="s">
        <v>1741</v>
      </c>
    </row>
    <row r="142" ht="15.75" customHeight="1">
      <c r="A142" s="3">
        <v>1.73039E12</v>
      </c>
      <c r="B142" s="3">
        <v>17.0</v>
      </c>
      <c r="C142" s="3" t="s">
        <v>1742</v>
      </c>
      <c r="D142" s="3" t="s">
        <v>1369</v>
      </c>
      <c r="E142" s="3" t="s">
        <v>1742</v>
      </c>
      <c r="F142" s="3">
        <v>1.0</v>
      </c>
      <c r="G142" s="3">
        <v>1.0</v>
      </c>
      <c r="H142" s="3">
        <v>1.0</v>
      </c>
      <c r="I142" s="3">
        <v>1.0</v>
      </c>
      <c r="J142" s="3">
        <v>1.0</v>
      </c>
      <c r="K142" s="3">
        <v>1.0</v>
      </c>
      <c r="L142" s="3">
        <v>1.0</v>
      </c>
      <c r="M142" s="3">
        <v>1.0</v>
      </c>
      <c r="N142" s="3">
        <v>1.0</v>
      </c>
      <c r="O142" s="3">
        <v>1.0</v>
      </c>
      <c r="P142" s="3">
        <v>1.0</v>
      </c>
      <c r="Q142" s="3">
        <v>1.0</v>
      </c>
      <c r="R142" s="3">
        <v>1.0</v>
      </c>
      <c r="S142" s="3">
        <v>1.0</v>
      </c>
      <c r="T142" s="3">
        <v>1.0</v>
      </c>
      <c r="U142" s="3">
        <v>1.0</v>
      </c>
      <c r="V142" s="3">
        <v>1.0</v>
      </c>
      <c r="W142" s="3" t="s">
        <v>1107</v>
      </c>
      <c r="X142" s="3" t="s">
        <v>1470</v>
      </c>
      <c r="Y142" s="3" t="s">
        <v>1471</v>
      </c>
      <c r="Z142" s="3" t="s">
        <v>1372</v>
      </c>
      <c r="AA142" s="3" t="s">
        <v>1382</v>
      </c>
      <c r="AB142" s="3" t="s">
        <v>1374</v>
      </c>
      <c r="AC142" s="3" t="s">
        <v>1400</v>
      </c>
      <c r="AD142" s="3" t="s">
        <v>1472</v>
      </c>
      <c r="AE142" s="3" t="s">
        <v>1473</v>
      </c>
      <c r="AF142" s="3">
        <v>0.15</v>
      </c>
      <c r="AG142" s="3">
        <v>4.089</v>
      </c>
      <c r="AH142" s="3">
        <v>0.274</v>
      </c>
      <c r="AI142" s="3">
        <v>110.034</v>
      </c>
      <c r="AJ142" s="3">
        <v>9.21</v>
      </c>
      <c r="AK142" s="3" t="s">
        <v>1474</v>
      </c>
      <c r="AL142" s="3">
        <v>0.029</v>
      </c>
      <c r="AM142" s="3" t="s">
        <v>1475</v>
      </c>
    </row>
    <row r="143" ht="15.75" customHeight="1">
      <c r="A143" s="3">
        <v>1.73023E12</v>
      </c>
      <c r="B143" s="3">
        <v>15.0</v>
      </c>
      <c r="C143" s="3" t="s">
        <v>1743</v>
      </c>
      <c r="D143" s="3" t="s">
        <v>1369</v>
      </c>
      <c r="E143" s="3" t="s">
        <v>1743</v>
      </c>
      <c r="F143" s="3">
        <v>1.0</v>
      </c>
      <c r="G143" s="3">
        <v>1.0</v>
      </c>
      <c r="H143" s="3">
        <v>1.0</v>
      </c>
      <c r="I143" s="3">
        <v>0.0</v>
      </c>
      <c r="J143" s="3">
        <v>1.0</v>
      </c>
      <c r="K143" s="3">
        <v>1.0</v>
      </c>
      <c r="L143" s="3">
        <v>1.0</v>
      </c>
      <c r="M143" s="3">
        <v>1.0</v>
      </c>
      <c r="N143" s="3">
        <v>1.0</v>
      </c>
      <c r="O143" s="3">
        <v>1.0</v>
      </c>
      <c r="P143" s="3">
        <v>1.0</v>
      </c>
      <c r="Q143" s="3">
        <v>1.0</v>
      </c>
      <c r="R143" s="3">
        <v>1.0</v>
      </c>
      <c r="S143" s="3">
        <v>0.0</v>
      </c>
      <c r="T143" s="3">
        <v>1.0</v>
      </c>
      <c r="U143" s="3">
        <v>1.0</v>
      </c>
      <c r="V143" s="3">
        <v>1.0</v>
      </c>
      <c r="W143" s="3" t="s">
        <v>278</v>
      </c>
      <c r="X143" s="3" t="s">
        <v>1542</v>
      </c>
      <c r="Y143" s="3" t="s">
        <v>1543</v>
      </c>
      <c r="Z143" s="3" t="s">
        <v>1744</v>
      </c>
      <c r="AA143" s="3" t="s">
        <v>1544</v>
      </c>
      <c r="AB143" s="3" t="s">
        <v>1374</v>
      </c>
      <c r="AC143" s="3" t="s">
        <v>1451</v>
      </c>
      <c r="AD143" s="3" t="s">
        <v>1545</v>
      </c>
      <c r="AE143" s="3" t="s">
        <v>1546</v>
      </c>
      <c r="AF143" s="3">
        <v>0.035</v>
      </c>
      <c r="AG143" s="3">
        <v>0.068</v>
      </c>
      <c r="AH143" s="3">
        <v>0.251</v>
      </c>
      <c r="AI143" s="3">
        <v>52.671</v>
      </c>
      <c r="AJ143" s="3">
        <v>-0.057</v>
      </c>
      <c r="AK143" s="3" t="s">
        <v>1604</v>
      </c>
      <c r="AL143" s="3">
        <v>0.048</v>
      </c>
      <c r="AM143" s="3" t="s">
        <v>1548</v>
      </c>
    </row>
    <row r="144" ht="15.75" customHeight="1">
      <c r="A144" s="3">
        <v>1.73037E12</v>
      </c>
      <c r="B144" s="3">
        <v>0.0</v>
      </c>
      <c r="C144" s="3" t="s">
        <v>1745</v>
      </c>
      <c r="D144" s="3" t="s">
        <v>1369</v>
      </c>
      <c r="E144" s="3" t="s">
        <v>1745</v>
      </c>
      <c r="F144" s="3">
        <v>0.0</v>
      </c>
      <c r="G144" s="3">
        <v>0.0</v>
      </c>
      <c r="H144" s="3">
        <v>0.0</v>
      </c>
      <c r="I144" s="3">
        <v>0.0</v>
      </c>
      <c r="J144" s="3">
        <v>0.0</v>
      </c>
      <c r="K144" s="3">
        <v>0.0</v>
      </c>
      <c r="L144" s="3">
        <v>0.0</v>
      </c>
      <c r="M144" s="3">
        <v>0.0</v>
      </c>
      <c r="N144" s="3">
        <v>0.0</v>
      </c>
      <c r="O144" s="3">
        <v>0.0</v>
      </c>
      <c r="P144" s="3">
        <v>0.0</v>
      </c>
      <c r="Q144" s="3">
        <v>0.0</v>
      </c>
      <c r="R144" s="3">
        <v>0.0</v>
      </c>
      <c r="S144" s="3">
        <v>0.0</v>
      </c>
      <c r="T144" s="3">
        <v>0.0</v>
      </c>
      <c r="U144" s="3">
        <v>0.0</v>
      </c>
      <c r="V144" s="3">
        <v>0.0</v>
      </c>
      <c r="W144" s="3" t="s">
        <v>1746</v>
      </c>
      <c r="X144" s="3" t="s">
        <v>1483</v>
      </c>
      <c r="Y144" s="3" t="s">
        <v>1747</v>
      </c>
      <c r="Z144" s="3" t="s">
        <v>1372</v>
      </c>
      <c r="AA144" s="3" t="s">
        <v>1748</v>
      </c>
      <c r="AB144" s="3" t="s">
        <v>1374</v>
      </c>
      <c r="AC144" s="3" t="s">
        <v>1749</v>
      </c>
      <c r="AD144" s="3" t="s">
        <v>1750</v>
      </c>
      <c r="AE144" s="3" t="s">
        <v>1486</v>
      </c>
      <c r="AF144" s="3">
        <v>0.0354770305461836</v>
      </c>
      <c r="AG144" s="3">
        <v>1.396</v>
      </c>
      <c r="AH144" s="3">
        <v>0.457</v>
      </c>
      <c r="AJ144" s="3">
        <v>14.2146331660164</v>
      </c>
      <c r="AK144" s="3" t="s">
        <v>1751</v>
      </c>
      <c r="AM144" s="3" t="s">
        <v>1752</v>
      </c>
    </row>
    <row r="145" ht="15.75" customHeight="1">
      <c r="A145" s="3">
        <v>1.7304E12</v>
      </c>
      <c r="B145" s="3">
        <v>17.0</v>
      </c>
      <c r="C145" s="3" t="s">
        <v>872</v>
      </c>
      <c r="D145" s="3" t="s">
        <v>1369</v>
      </c>
      <c r="E145" s="3" t="s">
        <v>872</v>
      </c>
      <c r="F145" s="3">
        <v>1.0</v>
      </c>
      <c r="G145" s="3">
        <v>1.0</v>
      </c>
      <c r="H145" s="3">
        <v>1.0</v>
      </c>
      <c r="I145" s="3">
        <v>1.0</v>
      </c>
      <c r="J145" s="3">
        <v>1.0</v>
      </c>
      <c r="K145" s="3">
        <v>1.0</v>
      </c>
      <c r="L145" s="3">
        <v>1.0</v>
      </c>
      <c r="M145" s="3">
        <v>1.0</v>
      </c>
      <c r="N145" s="3">
        <v>1.0</v>
      </c>
      <c r="O145" s="3">
        <v>1.0</v>
      </c>
      <c r="P145" s="3">
        <v>1.0</v>
      </c>
      <c r="Q145" s="3">
        <v>1.0</v>
      </c>
      <c r="R145" s="3">
        <v>1.0</v>
      </c>
      <c r="S145" s="3">
        <v>1.0</v>
      </c>
      <c r="T145" s="3">
        <v>1.0</v>
      </c>
      <c r="U145" s="3">
        <v>1.0</v>
      </c>
      <c r="V145" s="3">
        <v>1.0</v>
      </c>
      <c r="W145" s="3" t="s">
        <v>1233</v>
      </c>
      <c r="X145" s="3" t="s">
        <v>1542</v>
      </c>
      <c r="Y145" s="3" t="s">
        <v>1543</v>
      </c>
      <c r="Z145" s="3" t="s">
        <v>1423</v>
      </c>
      <c r="AA145" s="3" t="s">
        <v>1544</v>
      </c>
      <c r="AB145" s="3" t="s">
        <v>1374</v>
      </c>
      <c r="AC145" s="3" t="s">
        <v>1451</v>
      </c>
      <c r="AD145" s="3" t="s">
        <v>1545</v>
      </c>
      <c r="AE145" s="3" t="s">
        <v>1546</v>
      </c>
      <c r="AF145" s="3">
        <v>0.035</v>
      </c>
      <c r="AG145" s="3">
        <v>0.068</v>
      </c>
      <c r="AH145" s="3">
        <v>0.252</v>
      </c>
      <c r="AI145" s="3">
        <v>54.063</v>
      </c>
      <c r="AJ145" s="3">
        <v>-10.304</v>
      </c>
      <c r="AK145" s="3" t="s">
        <v>1604</v>
      </c>
      <c r="AL145" s="3">
        <v>0.042</v>
      </c>
      <c r="AM145" s="3" t="s">
        <v>1548</v>
      </c>
    </row>
    <row r="146" ht="15.75" customHeight="1">
      <c r="A146" s="3">
        <v>1.73038E12</v>
      </c>
      <c r="B146" s="3">
        <v>14.0</v>
      </c>
      <c r="C146" s="3" t="s">
        <v>632</v>
      </c>
      <c r="D146" s="3" t="s">
        <v>1369</v>
      </c>
      <c r="E146" s="3" t="s">
        <v>632</v>
      </c>
      <c r="F146" s="3">
        <v>1.0</v>
      </c>
      <c r="G146" s="3">
        <v>1.0</v>
      </c>
      <c r="H146" s="3">
        <v>1.0</v>
      </c>
      <c r="I146" s="3">
        <v>1.0</v>
      </c>
      <c r="J146" s="3">
        <v>1.0</v>
      </c>
      <c r="K146" s="3">
        <v>1.0</v>
      </c>
      <c r="L146" s="3">
        <v>1.0</v>
      </c>
      <c r="M146" s="3">
        <v>1.0</v>
      </c>
      <c r="N146" s="3">
        <v>1.0</v>
      </c>
      <c r="O146" s="3">
        <v>1.0</v>
      </c>
      <c r="P146" s="3">
        <v>1.0</v>
      </c>
      <c r="Q146" s="3">
        <v>0.0</v>
      </c>
      <c r="R146" s="3">
        <v>0.0</v>
      </c>
      <c r="S146" s="3">
        <v>1.0</v>
      </c>
      <c r="T146" s="3">
        <v>1.0</v>
      </c>
      <c r="U146" s="3">
        <v>0.0</v>
      </c>
      <c r="V146" s="3">
        <v>1.0</v>
      </c>
      <c r="W146" s="3" t="s">
        <v>194</v>
      </c>
      <c r="X146" s="3" t="s">
        <v>1578</v>
      </c>
      <c r="Y146" s="3" t="s">
        <v>1579</v>
      </c>
      <c r="Z146" s="3" t="s">
        <v>1449</v>
      </c>
      <c r="AA146" s="3" t="s">
        <v>1382</v>
      </c>
      <c r="AB146" s="3" t="s">
        <v>1374</v>
      </c>
      <c r="AC146" s="3" t="s">
        <v>1580</v>
      </c>
      <c r="AD146" s="3" t="s">
        <v>1581</v>
      </c>
      <c r="AE146" s="3" t="s">
        <v>1582</v>
      </c>
      <c r="AF146" s="3">
        <v>0.051</v>
      </c>
      <c r="AG146" s="3">
        <v>0.281</v>
      </c>
      <c r="AH146" s="3">
        <v>0.416</v>
      </c>
      <c r="AI146" s="3">
        <v>-79.139</v>
      </c>
      <c r="AJ146" s="3">
        <v>18.645</v>
      </c>
      <c r="AK146" s="3" t="s">
        <v>1753</v>
      </c>
      <c r="AL146" s="3">
        <v>0.133</v>
      </c>
      <c r="AM146" s="3" t="s">
        <v>1584</v>
      </c>
    </row>
    <row r="147" ht="15.75" customHeight="1">
      <c r="A147" s="3">
        <v>1.73038E12</v>
      </c>
      <c r="B147" s="3">
        <v>0.0</v>
      </c>
      <c r="C147" s="3" t="s">
        <v>1754</v>
      </c>
      <c r="D147" s="3" t="s">
        <v>1369</v>
      </c>
      <c r="E147" s="3" t="s">
        <v>1754</v>
      </c>
      <c r="F147" s="3">
        <v>0.0</v>
      </c>
      <c r="G147" s="3">
        <v>0.0</v>
      </c>
      <c r="H147" s="3">
        <v>0.0</v>
      </c>
      <c r="I147" s="3">
        <v>0.0</v>
      </c>
      <c r="J147" s="3">
        <v>0.0</v>
      </c>
      <c r="K147" s="3">
        <v>0.0</v>
      </c>
      <c r="L147" s="3">
        <v>0.0</v>
      </c>
      <c r="M147" s="3">
        <v>0.0</v>
      </c>
      <c r="N147" s="3">
        <v>0.0</v>
      </c>
      <c r="O147" s="3">
        <v>0.0</v>
      </c>
      <c r="P147" s="3">
        <v>0.0</v>
      </c>
      <c r="Q147" s="3">
        <v>0.0</v>
      </c>
      <c r="R147" s="3">
        <v>0.0</v>
      </c>
      <c r="S147" s="3">
        <v>0.0</v>
      </c>
      <c r="T147" s="3">
        <v>0.0</v>
      </c>
      <c r="U147" s="3">
        <v>0.0</v>
      </c>
      <c r="V147" s="3">
        <v>0.0</v>
      </c>
      <c r="W147" s="3" t="s">
        <v>1755</v>
      </c>
      <c r="X147" s="3" t="s">
        <v>1698</v>
      </c>
      <c r="Y147" s="3" t="s">
        <v>1756</v>
      </c>
      <c r="Z147" s="3" t="s">
        <v>1757</v>
      </c>
      <c r="AA147" s="3" t="s">
        <v>1758</v>
      </c>
      <c r="AB147" s="3" t="s">
        <v>1374</v>
      </c>
      <c r="AC147" s="3" t="s">
        <v>1400</v>
      </c>
      <c r="AD147" s="3" t="s">
        <v>1375</v>
      </c>
      <c r="AE147" s="3" t="s">
        <v>1759</v>
      </c>
      <c r="AF147" s="3">
        <v>0.12</v>
      </c>
      <c r="AG147" s="3">
        <v>10.78</v>
      </c>
      <c r="AH147" s="3">
        <v>0.471</v>
      </c>
      <c r="AI147" s="3">
        <v>-181.719</v>
      </c>
      <c r="AJ147" s="3">
        <v>748.07</v>
      </c>
      <c r="AK147" s="3" t="s">
        <v>1760</v>
      </c>
      <c r="AL147" s="3">
        <v>-0.12</v>
      </c>
      <c r="AM147" s="3">
        <v>1.0</v>
      </c>
    </row>
    <row r="148" ht="15.75" customHeight="1">
      <c r="A148" s="3">
        <v>1.73038E12</v>
      </c>
      <c r="B148" s="3">
        <v>16.0</v>
      </c>
      <c r="C148" s="3" t="s">
        <v>78</v>
      </c>
      <c r="D148" s="3" t="s">
        <v>1369</v>
      </c>
      <c r="E148" s="3" t="s">
        <v>78</v>
      </c>
      <c r="F148" s="3">
        <v>1.0</v>
      </c>
      <c r="G148" s="3">
        <v>1.0</v>
      </c>
      <c r="H148" s="3">
        <v>1.0</v>
      </c>
      <c r="I148" s="3">
        <v>1.0</v>
      </c>
      <c r="J148" s="3">
        <v>1.0</v>
      </c>
      <c r="K148" s="3">
        <v>1.0</v>
      </c>
      <c r="L148" s="3">
        <v>1.0</v>
      </c>
      <c r="M148" s="3">
        <v>1.0</v>
      </c>
      <c r="N148" s="3">
        <v>1.0</v>
      </c>
      <c r="O148" s="3">
        <v>1.0</v>
      </c>
      <c r="P148" s="3">
        <v>1.0</v>
      </c>
      <c r="Q148" s="3">
        <v>0.0</v>
      </c>
      <c r="R148" s="3">
        <v>1.0</v>
      </c>
      <c r="S148" s="3">
        <v>1.0</v>
      </c>
      <c r="T148" s="3">
        <v>1.0</v>
      </c>
      <c r="U148" s="3">
        <v>1.0</v>
      </c>
      <c r="V148" s="3">
        <v>1.0</v>
      </c>
      <c r="W148" s="3" t="s">
        <v>1164</v>
      </c>
      <c r="X148" s="3" t="s">
        <v>1578</v>
      </c>
      <c r="Y148" s="3" t="s">
        <v>1579</v>
      </c>
      <c r="Z148" s="3" t="s">
        <v>1449</v>
      </c>
      <c r="AA148" s="3" t="s">
        <v>1382</v>
      </c>
      <c r="AB148" s="3" t="s">
        <v>1374</v>
      </c>
      <c r="AC148" s="3" t="s">
        <v>1580</v>
      </c>
      <c r="AD148" s="3" t="s">
        <v>1581</v>
      </c>
      <c r="AE148" s="3" t="s">
        <v>1582</v>
      </c>
      <c r="AF148" s="3">
        <v>0.05</v>
      </c>
      <c r="AG148" s="3">
        <v>0.272</v>
      </c>
      <c r="AH148" s="3">
        <v>0.425</v>
      </c>
      <c r="AI148" s="3">
        <v>-78.477</v>
      </c>
      <c r="AJ148" s="3">
        <v>18.718</v>
      </c>
      <c r="AK148" s="3" t="s">
        <v>1761</v>
      </c>
      <c r="AL148" s="3">
        <v>0.131</v>
      </c>
      <c r="AM148" s="3" t="s">
        <v>1584</v>
      </c>
    </row>
    <row r="149" ht="15.75" customHeight="1">
      <c r="A149" s="3">
        <v>1.73037E12</v>
      </c>
      <c r="B149" s="3">
        <v>16.0</v>
      </c>
      <c r="C149" s="3" t="s">
        <v>821</v>
      </c>
      <c r="D149" s="3" t="s">
        <v>1369</v>
      </c>
      <c r="E149" s="3" t="s">
        <v>821</v>
      </c>
      <c r="F149" s="3">
        <v>1.0</v>
      </c>
      <c r="G149" s="3">
        <v>1.0</v>
      </c>
      <c r="H149" s="3">
        <v>1.0</v>
      </c>
      <c r="I149" s="3">
        <v>1.0</v>
      </c>
      <c r="J149" s="3">
        <v>1.0</v>
      </c>
      <c r="K149" s="3">
        <v>1.0</v>
      </c>
      <c r="L149" s="3">
        <v>1.0</v>
      </c>
      <c r="M149" s="3">
        <v>1.0</v>
      </c>
      <c r="N149" s="3">
        <v>1.0</v>
      </c>
      <c r="O149" s="3">
        <v>1.0</v>
      </c>
      <c r="P149" s="3">
        <v>1.0</v>
      </c>
      <c r="Q149" s="3">
        <v>1.0</v>
      </c>
      <c r="R149" s="3">
        <v>1.0</v>
      </c>
      <c r="S149" s="3">
        <v>0.0</v>
      </c>
      <c r="T149" s="3">
        <v>1.0</v>
      </c>
      <c r="U149" s="3">
        <v>1.0</v>
      </c>
      <c r="V149" s="3">
        <v>1.0</v>
      </c>
      <c r="W149" s="3" t="s">
        <v>79</v>
      </c>
      <c r="X149" s="3" t="s">
        <v>1413</v>
      </c>
      <c r="Y149" s="3" t="s">
        <v>1414</v>
      </c>
      <c r="Z149" s="3" t="s">
        <v>1449</v>
      </c>
      <c r="AA149" s="3" t="s">
        <v>1415</v>
      </c>
      <c r="AB149" s="3" t="s">
        <v>1374</v>
      </c>
      <c r="AC149" s="3" t="s">
        <v>1632</v>
      </c>
      <c r="AD149" s="3" t="s">
        <v>1416</v>
      </c>
      <c r="AE149" s="3" t="s">
        <v>1417</v>
      </c>
      <c r="AF149" s="3">
        <v>-0.005</v>
      </c>
      <c r="AG149" s="3">
        <v>-0.054</v>
      </c>
      <c r="AH149" s="3">
        <v>0.296</v>
      </c>
      <c r="AI149" s="3">
        <v>142.789</v>
      </c>
      <c r="AJ149" s="3">
        <v>-42.223</v>
      </c>
      <c r="AK149" s="3" t="s">
        <v>1418</v>
      </c>
      <c r="AL149" s="3">
        <v>0.074</v>
      </c>
      <c r="AM149" s="3" t="s">
        <v>1419</v>
      </c>
    </row>
    <row r="150" ht="15.75" customHeight="1">
      <c r="A150" s="3">
        <v>1.7304E12</v>
      </c>
      <c r="B150" s="3">
        <v>16.0</v>
      </c>
      <c r="C150" s="3" t="s">
        <v>52</v>
      </c>
      <c r="D150" s="3" t="s">
        <v>1369</v>
      </c>
      <c r="E150" s="3" t="s">
        <v>52</v>
      </c>
      <c r="F150" s="3">
        <v>1.0</v>
      </c>
      <c r="G150" s="3">
        <v>1.0</v>
      </c>
      <c r="H150" s="3">
        <v>1.0</v>
      </c>
      <c r="I150" s="3">
        <v>1.0</v>
      </c>
      <c r="J150" s="3">
        <v>1.0</v>
      </c>
      <c r="K150" s="3">
        <v>1.0</v>
      </c>
      <c r="L150" s="3">
        <v>1.0</v>
      </c>
      <c r="M150" s="3">
        <v>1.0</v>
      </c>
      <c r="N150" s="3">
        <v>1.0</v>
      </c>
      <c r="O150" s="3">
        <v>1.0</v>
      </c>
      <c r="P150" s="3">
        <v>1.0</v>
      </c>
      <c r="Q150" s="3">
        <v>1.0</v>
      </c>
      <c r="R150" s="3">
        <v>1.0</v>
      </c>
      <c r="S150" s="3">
        <v>0.0</v>
      </c>
      <c r="T150" s="3">
        <v>1.0</v>
      </c>
      <c r="U150" s="3">
        <v>1.0</v>
      </c>
      <c r="V150" s="3">
        <v>1.0</v>
      </c>
      <c r="W150" s="3" t="s">
        <v>1293</v>
      </c>
      <c r="X150" s="3" t="s">
        <v>1470</v>
      </c>
      <c r="Y150" s="3" t="s">
        <v>1471</v>
      </c>
      <c r="Z150" s="3" t="s">
        <v>1372</v>
      </c>
      <c r="AA150" s="3" t="s">
        <v>1382</v>
      </c>
      <c r="AB150" s="3" t="s">
        <v>1374</v>
      </c>
      <c r="AC150" s="3" t="s">
        <v>1400</v>
      </c>
      <c r="AD150" s="3" t="s">
        <v>1472</v>
      </c>
      <c r="AE150" s="3" t="s">
        <v>1473</v>
      </c>
      <c r="AF150" s="3">
        <v>0.15</v>
      </c>
      <c r="AG150" s="3">
        <v>4.089</v>
      </c>
      <c r="AH150" s="3">
        <v>0.274</v>
      </c>
      <c r="AI150" s="3" t="s">
        <v>1394</v>
      </c>
      <c r="AJ150" s="3">
        <v>1.0</v>
      </c>
      <c r="AK150" s="3" t="s">
        <v>1474</v>
      </c>
      <c r="AL150" s="3" t="s">
        <v>1394</v>
      </c>
      <c r="AM150" s="3" t="s">
        <v>1475</v>
      </c>
    </row>
    <row r="151" ht="15.75" customHeight="1">
      <c r="A151" s="3">
        <v>1.7304E12</v>
      </c>
      <c r="B151" s="3">
        <v>0.0</v>
      </c>
      <c r="C151" s="3" t="s">
        <v>1762</v>
      </c>
      <c r="D151" s="3" t="s">
        <v>1369</v>
      </c>
      <c r="E151" s="3" t="s">
        <v>1762</v>
      </c>
      <c r="F151" s="3">
        <v>0.0</v>
      </c>
      <c r="G151" s="3">
        <v>0.0</v>
      </c>
      <c r="H151" s="3">
        <v>0.0</v>
      </c>
      <c r="I151" s="3">
        <v>0.0</v>
      </c>
      <c r="J151" s="3">
        <v>0.0</v>
      </c>
      <c r="K151" s="3">
        <v>0.0</v>
      </c>
      <c r="L151" s="3">
        <v>0.0</v>
      </c>
      <c r="M151" s="3">
        <v>0.0</v>
      </c>
      <c r="N151" s="3">
        <v>0.0</v>
      </c>
      <c r="O151" s="3">
        <v>0.0</v>
      </c>
      <c r="P151" s="3">
        <v>0.0</v>
      </c>
      <c r="Q151" s="3">
        <v>0.0</v>
      </c>
      <c r="R151" s="3">
        <v>0.0</v>
      </c>
      <c r="S151" s="3">
        <v>0.0</v>
      </c>
      <c r="T151" s="3">
        <v>0.0</v>
      </c>
      <c r="U151" s="3">
        <v>0.0</v>
      </c>
      <c r="V151" s="3">
        <v>0.0</v>
      </c>
      <c r="W151" s="3" t="s">
        <v>1763</v>
      </c>
      <c r="X151" s="3" t="s">
        <v>1764</v>
      </c>
      <c r="Y151" s="3" t="s">
        <v>1765</v>
      </c>
      <c r="Z151" s="3" t="s">
        <v>1766</v>
      </c>
      <c r="AA151" s="3" t="s">
        <v>1382</v>
      </c>
      <c r="AB151" s="3" t="s">
        <v>1374</v>
      </c>
      <c r="AC151" s="3" t="s">
        <v>1391</v>
      </c>
      <c r="AD151" s="3" t="s">
        <v>1374</v>
      </c>
      <c r="AE151" s="3" t="s">
        <v>1767</v>
      </c>
      <c r="AF151" s="3">
        <v>0.191</v>
      </c>
      <c r="AH151" s="3">
        <v>0.14</v>
      </c>
      <c r="AM151" s="3" t="s">
        <v>1404</v>
      </c>
    </row>
    <row r="152" ht="15.75" customHeight="1">
      <c r="A152" s="3">
        <v>1.73038E12</v>
      </c>
      <c r="B152" s="3">
        <v>17.0</v>
      </c>
      <c r="C152" s="3" t="s">
        <v>511</v>
      </c>
      <c r="D152" s="3" t="s">
        <v>1369</v>
      </c>
      <c r="E152" s="3" t="s">
        <v>511</v>
      </c>
      <c r="F152" s="3">
        <v>1.0</v>
      </c>
      <c r="G152" s="3">
        <v>1.0</v>
      </c>
      <c r="H152" s="3">
        <v>1.0</v>
      </c>
      <c r="I152" s="3">
        <v>1.0</v>
      </c>
      <c r="J152" s="3">
        <v>1.0</v>
      </c>
      <c r="K152" s="3">
        <v>1.0</v>
      </c>
      <c r="L152" s="3">
        <v>1.0</v>
      </c>
      <c r="M152" s="3">
        <v>1.0</v>
      </c>
      <c r="N152" s="3">
        <v>1.0</v>
      </c>
      <c r="O152" s="3">
        <v>1.0</v>
      </c>
      <c r="P152" s="3">
        <v>1.0</v>
      </c>
      <c r="Q152" s="3">
        <v>1.0</v>
      </c>
      <c r="R152" s="3">
        <v>1.0</v>
      </c>
      <c r="S152" s="3">
        <v>1.0</v>
      </c>
      <c r="T152" s="3">
        <v>1.0</v>
      </c>
      <c r="U152" s="3">
        <v>1.0</v>
      </c>
      <c r="V152" s="3">
        <v>1.0</v>
      </c>
      <c r="W152" s="3" t="s">
        <v>1129</v>
      </c>
      <c r="X152" s="3" t="s">
        <v>1421</v>
      </c>
      <c r="Y152" s="3" t="s">
        <v>1422</v>
      </c>
      <c r="Z152" s="3" t="s">
        <v>1423</v>
      </c>
      <c r="AA152" s="3" t="s">
        <v>1424</v>
      </c>
      <c r="AB152" s="3" t="s">
        <v>1374</v>
      </c>
      <c r="AC152" s="3" t="s">
        <v>1391</v>
      </c>
      <c r="AD152" s="3" t="s">
        <v>1425</v>
      </c>
      <c r="AE152" s="3" t="s">
        <v>1426</v>
      </c>
      <c r="AF152" s="3">
        <v>0.051</v>
      </c>
      <c r="AG152" s="3">
        <v>0.21</v>
      </c>
      <c r="AH152" s="3">
        <v>0.345</v>
      </c>
      <c r="AI152" s="3">
        <v>-29.396</v>
      </c>
      <c r="AJ152" s="3">
        <v>0.519</v>
      </c>
      <c r="AK152" s="3" t="s">
        <v>1427</v>
      </c>
      <c r="AL152" s="3">
        <v>0.189</v>
      </c>
      <c r="AM152" s="3" t="s">
        <v>1428</v>
      </c>
    </row>
    <row r="153" ht="15.75" customHeight="1">
      <c r="A153" s="3">
        <v>1.73019E12</v>
      </c>
      <c r="B153" s="3">
        <v>16.0</v>
      </c>
      <c r="C153" s="3" t="s">
        <v>927</v>
      </c>
      <c r="D153" s="3" t="s">
        <v>1369</v>
      </c>
      <c r="E153" s="3" t="s">
        <v>927</v>
      </c>
      <c r="F153" s="3">
        <v>1.0</v>
      </c>
      <c r="G153" s="3">
        <v>1.0</v>
      </c>
      <c r="H153" s="3">
        <v>1.0</v>
      </c>
      <c r="I153" s="3">
        <v>1.0</v>
      </c>
      <c r="J153" s="3">
        <v>1.0</v>
      </c>
      <c r="K153" s="3">
        <v>1.0</v>
      </c>
      <c r="L153" s="3">
        <v>1.0</v>
      </c>
      <c r="M153" s="3">
        <v>1.0</v>
      </c>
      <c r="N153" s="3">
        <v>1.0</v>
      </c>
      <c r="O153" s="3">
        <v>1.0</v>
      </c>
      <c r="P153" s="3">
        <v>1.0</v>
      </c>
      <c r="Q153" s="3">
        <v>1.0</v>
      </c>
      <c r="R153" s="3">
        <v>1.0</v>
      </c>
      <c r="S153" s="3">
        <v>0.0</v>
      </c>
      <c r="T153" s="3">
        <v>1.0</v>
      </c>
      <c r="U153" s="3">
        <v>1.0</v>
      </c>
      <c r="V153" s="3">
        <v>1.0</v>
      </c>
      <c r="W153" s="3" t="s">
        <v>986</v>
      </c>
      <c r="X153" s="3" t="s">
        <v>1370</v>
      </c>
      <c r="Y153" s="3" t="s">
        <v>1371</v>
      </c>
      <c r="Z153" s="3" t="s">
        <v>1449</v>
      </c>
      <c r="AA153" s="3" t="s">
        <v>1373</v>
      </c>
      <c r="AB153" s="3" t="s">
        <v>1374</v>
      </c>
      <c r="AC153" s="3" t="s">
        <v>1374</v>
      </c>
      <c r="AD153" s="3" t="s">
        <v>1375</v>
      </c>
      <c r="AE153" s="3" t="s">
        <v>1376</v>
      </c>
      <c r="AF153" s="3">
        <v>0.555</v>
      </c>
      <c r="AG153" s="3">
        <v>2.825</v>
      </c>
      <c r="AH153" s="3">
        <v>0.318</v>
      </c>
      <c r="AI153" s="3">
        <v>47.381</v>
      </c>
      <c r="AJ153" s="3">
        <v>6.829</v>
      </c>
      <c r="AK153" s="3" t="s">
        <v>1377</v>
      </c>
      <c r="AL153" s="3">
        <v>0.11</v>
      </c>
      <c r="AM153" s="3" t="s">
        <v>1509</v>
      </c>
    </row>
    <row r="154" ht="15.75" customHeight="1">
      <c r="A154" s="3">
        <v>1.73023E12</v>
      </c>
      <c r="B154" s="3">
        <v>0.0</v>
      </c>
      <c r="C154" s="3" t="s">
        <v>1768</v>
      </c>
      <c r="D154" s="3" t="s">
        <v>1369</v>
      </c>
      <c r="E154" s="3" t="s">
        <v>1768</v>
      </c>
      <c r="F154" s="3">
        <v>0.0</v>
      </c>
      <c r="G154" s="3">
        <v>0.0</v>
      </c>
      <c r="H154" s="3">
        <v>0.0</v>
      </c>
      <c r="I154" s="3">
        <v>0.0</v>
      </c>
      <c r="J154" s="3">
        <v>0.0</v>
      </c>
      <c r="K154" s="3">
        <v>0.0</v>
      </c>
      <c r="L154" s="3">
        <v>0.0</v>
      </c>
      <c r="M154" s="3">
        <v>0.0</v>
      </c>
      <c r="N154" s="3">
        <v>0.0</v>
      </c>
      <c r="O154" s="3">
        <v>0.0</v>
      </c>
      <c r="P154" s="3">
        <v>0.0</v>
      </c>
      <c r="Q154" s="3">
        <v>0.0</v>
      </c>
      <c r="R154" s="3">
        <v>0.0</v>
      </c>
      <c r="S154" s="3">
        <v>0.0</v>
      </c>
      <c r="T154" s="3">
        <v>0.0</v>
      </c>
      <c r="U154" s="3">
        <v>0.0</v>
      </c>
      <c r="V154" s="3">
        <v>0.0</v>
      </c>
      <c r="W154" s="3" t="s">
        <v>1769</v>
      </c>
      <c r="X154" s="3" t="s">
        <v>1770</v>
      </c>
    </row>
    <row r="155" ht="15.75" customHeight="1">
      <c r="A155" s="3">
        <v>1.73019E12</v>
      </c>
      <c r="B155" s="3">
        <v>11.0</v>
      </c>
      <c r="C155" s="3" t="s">
        <v>1771</v>
      </c>
      <c r="D155" s="3" t="s">
        <v>1369</v>
      </c>
      <c r="E155" s="3" t="s">
        <v>1771</v>
      </c>
      <c r="F155" s="3">
        <v>1.0</v>
      </c>
      <c r="G155" s="3">
        <v>1.0</v>
      </c>
      <c r="H155" s="3">
        <v>1.0</v>
      </c>
      <c r="I155" s="3">
        <v>1.0</v>
      </c>
      <c r="J155" s="3">
        <v>1.0</v>
      </c>
      <c r="K155" s="3">
        <v>1.0</v>
      </c>
      <c r="L155" s="3">
        <v>0.0</v>
      </c>
      <c r="M155" s="3">
        <v>1.0</v>
      </c>
      <c r="N155" s="3">
        <v>1.0</v>
      </c>
      <c r="O155" s="3">
        <v>1.0</v>
      </c>
      <c r="P155" s="3">
        <v>1.0</v>
      </c>
      <c r="Q155" s="3">
        <v>0.0</v>
      </c>
      <c r="R155" s="3">
        <v>0.0</v>
      </c>
      <c r="S155" s="3">
        <v>0.0</v>
      </c>
      <c r="T155" s="3">
        <v>1.0</v>
      </c>
      <c r="U155" s="3">
        <v>0.0</v>
      </c>
      <c r="V155" s="3">
        <v>0.0</v>
      </c>
      <c r="W155" s="3" t="s">
        <v>463</v>
      </c>
      <c r="X155" s="3" t="s">
        <v>1605</v>
      </c>
      <c r="Y155" s="3" t="s">
        <v>1772</v>
      </c>
      <c r="Z155" s="3" t="s">
        <v>1423</v>
      </c>
      <c r="AA155" s="3" t="s">
        <v>1382</v>
      </c>
      <c r="AB155" s="3" t="s">
        <v>1391</v>
      </c>
      <c r="AC155" s="3" t="s">
        <v>1451</v>
      </c>
      <c r="AD155" s="3" t="s">
        <v>1655</v>
      </c>
      <c r="AE155" s="3" t="s">
        <v>1656</v>
      </c>
      <c r="AF155" s="3">
        <v>0.065</v>
      </c>
      <c r="AG155" s="3">
        <v>1.45</v>
      </c>
      <c r="AH155" s="3">
        <v>0.308</v>
      </c>
      <c r="AI155" s="3">
        <v>-821.129</v>
      </c>
      <c r="AJ155" s="3">
        <v>5.383</v>
      </c>
      <c r="AK155" s="3" t="s">
        <v>1773</v>
      </c>
      <c r="AL155" s="3">
        <v>0.061</v>
      </c>
      <c r="AM155" s="3" t="s">
        <v>1774</v>
      </c>
    </row>
    <row r="156" ht="15.75" customHeight="1">
      <c r="A156" s="3">
        <v>1.73026E12</v>
      </c>
      <c r="B156" s="3">
        <v>14.0</v>
      </c>
      <c r="C156" s="3" t="s">
        <v>1775</v>
      </c>
      <c r="D156" s="3" t="s">
        <v>1369</v>
      </c>
      <c r="E156" s="3" t="s">
        <v>1775</v>
      </c>
      <c r="F156" s="3">
        <v>1.0</v>
      </c>
      <c r="G156" s="3">
        <v>1.0</v>
      </c>
      <c r="H156" s="3">
        <v>1.0</v>
      </c>
      <c r="I156" s="3">
        <v>1.0</v>
      </c>
      <c r="J156" s="3">
        <v>1.0</v>
      </c>
      <c r="K156" s="3">
        <v>1.0</v>
      </c>
      <c r="L156" s="3">
        <v>1.0</v>
      </c>
      <c r="M156" s="3">
        <v>1.0</v>
      </c>
      <c r="N156" s="3">
        <v>1.0</v>
      </c>
      <c r="O156" s="3">
        <v>1.0</v>
      </c>
      <c r="P156" s="3">
        <v>1.0</v>
      </c>
      <c r="Q156" s="3">
        <v>1.0</v>
      </c>
      <c r="R156" s="3">
        <v>0.0</v>
      </c>
      <c r="S156" s="3">
        <v>0.0</v>
      </c>
      <c r="T156" s="3">
        <v>1.0</v>
      </c>
      <c r="U156" s="3">
        <v>0.0</v>
      </c>
      <c r="V156" s="3">
        <v>1.0</v>
      </c>
      <c r="W156" s="3" t="s">
        <v>347</v>
      </c>
      <c r="X156" s="3" t="s">
        <v>1605</v>
      </c>
      <c r="Y156" s="3" t="s">
        <v>1654</v>
      </c>
      <c r="Z156" s="3" t="s">
        <v>1431</v>
      </c>
      <c r="AA156" s="3" t="s">
        <v>1382</v>
      </c>
      <c r="AB156" s="3" t="s">
        <v>1391</v>
      </c>
      <c r="AC156" s="3" t="s">
        <v>1374</v>
      </c>
      <c r="AD156" s="3" t="s">
        <v>1655</v>
      </c>
      <c r="AE156" s="3" t="s">
        <v>1656</v>
      </c>
      <c r="AF156" s="3">
        <v>0.066</v>
      </c>
      <c r="AG156" s="3">
        <v>1.466</v>
      </c>
      <c r="AH156" s="3">
        <v>0.309</v>
      </c>
      <c r="AI156" s="3">
        <v>-826.601</v>
      </c>
      <c r="AJ156" s="3">
        <v>0.135</v>
      </c>
      <c r="AK156" s="3" t="s">
        <v>1776</v>
      </c>
      <c r="AL156" s="3">
        <v>0.084</v>
      </c>
      <c r="AM156" s="3" t="s">
        <v>1608</v>
      </c>
    </row>
    <row r="157" ht="15.75" customHeight="1">
      <c r="A157" s="3">
        <v>1.7304E12</v>
      </c>
      <c r="B157" s="3">
        <v>13.0</v>
      </c>
      <c r="C157" s="3" t="s">
        <v>1777</v>
      </c>
      <c r="D157" s="3" t="s">
        <v>1369</v>
      </c>
      <c r="E157" s="3" t="s">
        <v>1777</v>
      </c>
      <c r="F157" s="3">
        <v>1.0</v>
      </c>
      <c r="G157" s="3">
        <v>1.0</v>
      </c>
      <c r="H157" s="3">
        <v>1.0</v>
      </c>
      <c r="I157" s="3">
        <v>1.0</v>
      </c>
      <c r="J157" s="3">
        <v>1.0</v>
      </c>
      <c r="K157" s="3">
        <v>1.0</v>
      </c>
      <c r="L157" s="3">
        <v>1.0</v>
      </c>
      <c r="M157" s="3">
        <v>1.0</v>
      </c>
      <c r="N157" s="3">
        <v>1.0</v>
      </c>
      <c r="O157" s="3">
        <v>1.0</v>
      </c>
      <c r="P157" s="3">
        <v>1.0</v>
      </c>
      <c r="Q157" s="3">
        <v>0.0</v>
      </c>
      <c r="R157" s="3">
        <v>0.0</v>
      </c>
      <c r="S157" s="3">
        <v>0.0</v>
      </c>
      <c r="T157" s="3">
        <v>1.0</v>
      </c>
      <c r="U157" s="3">
        <v>0.0</v>
      </c>
      <c r="V157" s="3">
        <v>1.0</v>
      </c>
      <c r="W157" s="3" t="s">
        <v>501</v>
      </c>
      <c r="X157" s="3" t="s">
        <v>1398</v>
      </c>
      <c r="Y157" s="3" t="s">
        <v>1399</v>
      </c>
      <c r="Z157" s="3" t="s">
        <v>1449</v>
      </c>
      <c r="AA157" s="3" t="s">
        <v>1373</v>
      </c>
      <c r="AB157" s="3" t="s">
        <v>1374</v>
      </c>
      <c r="AC157" s="3" t="s">
        <v>1400</v>
      </c>
      <c r="AD157" s="3" t="s">
        <v>1401</v>
      </c>
      <c r="AE157" s="3" t="s">
        <v>1402</v>
      </c>
      <c r="AF157" s="3">
        <v>0.006</v>
      </c>
      <c r="AG157" s="3">
        <v>0.07</v>
      </c>
      <c r="AH157" s="3">
        <v>0.172</v>
      </c>
      <c r="AI157" s="3">
        <v>33.332</v>
      </c>
      <c r="AJ157" s="3">
        <v>8.402</v>
      </c>
      <c r="AK157" s="3" t="s">
        <v>1663</v>
      </c>
      <c r="AL157" s="3">
        <v>0.258</v>
      </c>
      <c r="AM157" s="3" t="s">
        <v>1404</v>
      </c>
    </row>
    <row r="158" ht="15.75" customHeight="1">
      <c r="A158" s="3">
        <v>1.73019E12</v>
      </c>
      <c r="B158" s="3">
        <v>12.0</v>
      </c>
      <c r="C158" s="3" t="s">
        <v>84</v>
      </c>
      <c r="D158" s="3" t="s">
        <v>1369</v>
      </c>
      <c r="E158" s="3" t="s">
        <v>84</v>
      </c>
      <c r="F158" s="3">
        <v>1.0</v>
      </c>
      <c r="G158" s="3">
        <v>1.0</v>
      </c>
      <c r="H158" s="3">
        <v>1.0</v>
      </c>
      <c r="I158" s="3">
        <v>1.0</v>
      </c>
      <c r="J158" s="3">
        <v>1.0</v>
      </c>
      <c r="K158" s="3">
        <v>1.0</v>
      </c>
      <c r="L158" s="3">
        <v>1.0</v>
      </c>
      <c r="M158" s="3">
        <v>1.0</v>
      </c>
      <c r="N158" s="3">
        <v>1.0</v>
      </c>
      <c r="O158" s="3">
        <v>1.0</v>
      </c>
      <c r="P158" s="3">
        <v>1.0</v>
      </c>
      <c r="Q158" s="3">
        <v>0.0</v>
      </c>
      <c r="R158" s="3">
        <v>0.0</v>
      </c>
      <c r="S158" s="3">
        <v>0.0</v>
      </c>
      <c r="T158" s="3">
        <v>1.0</v>
      </c>
      <c r="U158" s="3">
        <v>0.0</v>
      </c>
      <c r="V158" s="3">
        <v>0.0</v>
      </c>
      <c r="W158" s="3" t="s">
        <v>268</v>
      </c>
      <c r="X158" s="3" t="s">
        <v>1464</v>
      </c>
      <c r="Y158" s="3" t="s">
        <v>1465</v>
      </c>
      <c r="Z158" s="3" t="s">
        <v>1372</v>
      </c>
      <c r="AA158" s="3" t="s">
        <v>1373</v>
      </c>
      <c r="AB158" s="3" t="s">
        <v>1374</v>
      </c>
      <c r="AC158" s="3" t="s">
        <v>1391</v>
      </c>
      <c r="AD158" s="3" t="s">
        <v>1497</v>
      </c>
      <c r="AE158" s="3" t="s">
        <v>1467</v>
      </c>
      <c r="AF158" s="3">
        <v>0.2</v>
      </c>
      <c r="AG158" s="3">
        <v>2.44</v>
      </c>
      <c r="AH158" s="3">
        <v>0.311</v>
      </c>
      <c r="AI158" s="3">
        <v>13.113</v>
      </c>
      <c r="AJ158" s="3">
        <v>1.013</v>
      </c>
      <c r="AK158" s="3" t="s">
        <v>1536</v>
      </c>
      <c r="AL158" s="3">
        <v>0.08</v>
      </c>
      <c r="AM158" s="3" t="s">
        <v>1778</v>
      </c>
    </row>
    <row r="159" ht="15.75" customHeight="1">
      <c r="A159" s="3">
        <v>1.73038E12</v>
      </c>
      <c r="B159" s="3">
        <v>10.0</v>
      </c>
      <c r="C159" s="3" t="s">
        <v>163</v>
      </c>
      <c r="D159" s="3" t="s">
        <v>1369</v>
      </c>
      <c r="E159" s="3" t="s">
        <v>163</v>
      </c>
      <c r="F159" s="3">
        <v>1.0</v>
      </c>
      <c r="G159" s="3">
        <v>1.0</v>
      </c>
      <c r="H159" s="3">
        <v>1.0</v>
      </c>
      <c r="I159" s="3">
        <v>1.0</v>
      </c>
      <c r="J159" s="3">
        <v>1.0</v>
      </c>
      <c r="K159" s="3">
        <v>1.0</v>
      </c>
      <c r="L159" s="3">
        <v>1.0</v>
      </c>
      <c r="M159" s="3">
        <v>1.0</v>
      </c>
      <c r="N159" s="3">
        <v>1.0</v>
      </c>
      <c r="O159" s="3">
        <v>1.0</v>
      </c>
      <c r="P159" s="3">
        <v>0.0</v>
      </c>
      <c r="Q159" s="3">
        <v>0.0</v>
      </c>
      <c r="R159" s="3">
        <v>0.0</v>
      </c>
      <c r="S159" s="3">
        <v>0.0</v>
      </c>
      <c r="T159" s="3">
        <v>0.0</v>
      </c>
      <c r="U159" s="3">
        <v>0.0</v>
      </c>
      <c r="V159" s="3">
        <v>0.0</v>
      </c>
      <c r="W159" s="3" t="s">
        <v>691</v>
      </c>
      <c r="X159" s="3" t="s">
        <v>1600</v>
      </c>
      <c r="Y159" s="3" t="s">
        <v>1601</v>
      </c>
      <c r="Z159" s="3" t="s">
        <v>1372</v>
      </c>
      <c r="AA159" s="3" t="s">
        <v>1779</v>
      </c>
      <c r="AB159" s="3" t="s">
        <v>1374</v>
      </c>
      <c r="AC159" s="3" t="s">
        <v>1400</v>
      </c>
      <c r="AD159" s="3" t="s">
        <v>1408</v>
      </c>
      <c r="AE159" s="3" t="s">
        <v>1602</v>
      </c>
      <c r="AF159" s="3">
        <v>0.034</v>
      </c>
      <c r="AG159" s="3">
        <v>0.011</v>
      </c>
      <c r="AH159" s="3">
        <v>-0.153</v>
      </c>
      <c r="AI159" s="3">
        <v>5.048</v>
      </c>
    </row>
    <row r="160" ht="15.75" customHeight="1">
      <c r="A160" s="3">
        <v>1.73038E12</v>
      </c>
      <c r="B160" s="3">
        <v>17.0</v>
      </c>
      <c r="C160" s="3" t="s">
        <v>585</v>
      </c>
      <c r="D160" s="3" t="s">
        <v>1369</v>
      </c>
      <c r="E160" s="3" t="s">
        <v>585</v>
      </c>
      <c r="F160" s="3">
        <v>1.0</v>
      </c>
      <c r="G160" s="3">
        <v>1.0</v>
      </c>
      <c r="H160" s="3">
        <v>1.0</v>
      </c>
      <c r="I160" s="3">
        <v>1.0</v>
      </c>
      <c r="J160" s="3">
        <v>1.0</v>
      </c>
      <c r="K160" s="3">
        <v>1.0</v>
      </c>
      <c r="L160" s="3">
        <v>1.0</v>
      </c>
      <c r="M160" s="3">
        <v>1.0</v>
      </c>
      <c r="N160" s="3">
        <v>1.0</v>
      </c>
      <c r="O160" s="3">
        <v>1.0</v>
      </c>
      <c r="P160" s="3">
        <v>1.0</v>
      </c>
      <c r="Q160" s="3">
        <v>1.0</v>
      </c>
      <c r="R160" s="3">
        <v>1.0</v>
      </c>
      <c r="S160" s="3">
        <v>1.0</v>
      </c>
      <c r="T160" s="3">
        <v>1.0</v>
      </c>
      <c r="U160" s="3">
        <v>1.0</v>
      </c>
      <c r="V160" s="3">
        <v>1.0</v>
      </c>
      <c r="W160" s="3" t="s">
        <v>1174</v>
      </c>
      <c r="X160" s="3" t="s">
        <v>1470</v>
      </c>
      <c r="Y160" s="3" t="s">
        <v>1660</v>
      </c>
      <c r="Z160" s="3" t="s">
        <v>1372</v>
      </c>
      <c r="AA160" s="3" t="s">
        <v>1382</v>
      </c>
      <c r="AB160" s="3" t="s">
        <v>1374</v>
      </c>
      <c r="AC160" s="3" t="s">
        <v>1400</v>
      </c>
      <c r="AD160" s="3" t="s">
        <v>1472</v>
      </c>
      <c r="AE160" s="3" t="s">
        <v>1473</v>
      </c>
      <c r="AF160" s="3">
        <v>0.151</v>
      </c>
      <c r="AG160" s="3">
        <v>4.103</v>
      </c>
      <c r="AH160" s="3">
        <v>0.274</v>
      </c>
      <c r="AI160" s="3">
        <v>109.012</v>
      </c>
      <c r="AJ160" s="3">
        <v>7.795</v>
      </c>
      <c r="AK160" s="3" t="s">
        <v>1474</v>
      </c>
      <c r="AL160" s="3">
        <v>0.022</v>
      </c>
      <c r="AM160" s="3" t="s">
        <v>1661</v>
      </c>
    </row>
    <row r="161" ht="15.75" customHeight="1">
      <c r="A161" s="3">
        <v>1.7304E12</v>
      </c>
      <c r="B161" s="3">
        <v>14.0</v>
      </c>
      <c r="C161" s="3" t="s">
        <v>409</v>
      </c>
      <c r="D161" s="3" t="s">
        <v>1369</v>
      </c>
      <c r="E161" s="3" t="s">
        <v>409</v>
      </c>
      <c r="F161" s="3">
        <v>1.0</v>
      </c>
      <c r="G161" s="3">
        <v>1.0</v>
      </c>
      <c r="H161" s="3">
        <v>1.0</v>
      </c>
      <c r="I161" s="3">
        <v>1.0</v>
      </c>
      <c r="J161" s="3">
        <v>1.0</v>
      </c>
      <c r="K161" s="3">
        <v>1.0</v>
      </c>
      <c r="L161" s="3">
        <v>1.0</v>
      </c>
      <c r="M161" s="3">
        <v>1.0</v>
      </c>
      <c r="N161" s="3">
        <v>1.0</v>
      </c>
      <c r="O161" s="3">
        <v>1.0</v>
      </c>
      <c r="P161" s="3">
        <v>1.0</v>
      </c>
      <c r="Q161" s="3">
        <v>1.0</v>
      </c>
      <c r="R161" s="3">
        <v>0.0</v>
      </c>
      <c r="S161" s="3">
        <v>0.0</v>
      </c>
      <c r="T161" s="3">
        <v>1.0</v>
      </c>
      <c r="U161" s="3">
        <v>0.0</v>
      </c>
      <c r="V161" s="3">
        <v>1.0</v>
      </c>
      <c r="W161" s="3" t="s">
        <v>886</v>
      </c>
      <c r="X161" s="3" t="s">
        <v>1600</v>
      </c>
      <c r="Y161" s="3" t="s">
        <v>1601</v>
      </c>
      <c r="Z161" s="3" t="s">
        <v>1372</v>
      </c>
      <c r="AA161" s="3" t="s">
        <v>1407</v>
      </c>
      <c r="AB161" s="3" t="s">
        <v>1374</v>
      </c>
      <c r="AC161" s="3" t="s">
        <v>1400</v>
      </c>
      <c r="AD161" s="3" t="s">
        <v>1408</v>
      </c>
      <c r="AE161" s="3" t="s">
        <v>1602</v>
      </c>
      <c r="AF161" s="3">
        <v>0.035</v>
      </c>
      <c r="AG161" s="3">
        <v>0.102</v>
      </c>
      <c r="AH161" s="3">
        <v>0.19</v>
      </c>
      <c r="AI161" s="3">
        <v>8.669</v>
      </c>
      <c r="AJ161" s="3">
        <v>-0.001</v>
      </c>
      <c r="AK161" s="3" t="s">
        <v>1780</v>
      </c>
      <c r="AL161" s="3">
        <v>-0.023</v>
      </c>
      <c r="AM161" s="3" t="s">
        <v>1411</v>
      </c>
    </row>
    <row r="162" ht="15.75" customHeight="1">
      <c r="A162" s="3">
        <v>1.73039E12</v>
      </c>
      <c r="B162" s="3">
        <v>16.0</v>
      </c>
      <c r="C162" s="3" t="s">
        <v>890</v>
      </c>
      <c r="D162" s="3" t="s">
        <v>1369</v>
      </c>
      <c r="E162" s="3" t="s">
        <v>890</v>
      </c>
      <c r="F162" s="3">
        <v>1.0</v>
      </c>
      <c r="G162" s="3">
        <v>1.0</v>
      </c>
      <c r="H162" s="3">
        <v>1.0</v>
      </c>
      <c r="I162" s="3">
        <v>1.0</v>
      </c>
      <c r="J162" s="3">
        <v>1.0</v>
      </c>
      <c r="K162" s="3">
        <v>1.0</v>
      </c>
      <c r="L162" s="3">
        <v>1.0</v>
      </c>
      <c r="M162" s="3">
        <v>1.0</v>
      </c>
      <c r="N162" s="3">
        <v>1.0</v>
      </c>
      <c r="O162" s="3">
        <v>1.0</v>
      </c>
      <c r="P162" s="3">
        <v>1.0</v>
      </c>
      <c r="Q162" s="3">
        <v>1.0</v>
      </c>
      <c r="R162" s="3">
        <v>1.0</v>
      </c>
      <c r="S162" s="3">
        <v>0.0</v>
      </c>
      <c r="T162" s="3">
        <v>1.0</v>
      </c>
      <c r="U162" s="3">
        <v>1.0</v>
      </c>
      <c r="V162" s="3">
        <v>1.0</v>
      </c>
      <c r="W162" s="3" t="s">
        <v>975</v>
      </c>
      <c r="X162" s="3" t="s">
        <v>1483</v>
      </c>
      <c r="Y162" s="3" t="s">
        <v>1484</v>
      </c>
      <c r="Z162" s="3" t="s">
        <v>1372</v>
      </c>
      <c r="AA162" s="3" t="s">
        <v>1373</v>
      </c>
      <c r="AB162" s="3" t="s">
        <v>1374</v>
      </c>
      <c r="AC162" s="3" t="s">
        <v>1374</v>
      </c>
      <c r="AD162" s="3" t="s">
        <v>1485</v>
      </c>
      <c r="AE162" s="3" t="s">
        <v>1486</v>
      </c>
      <c r="AF162" s="3">
        <v>0.017</v>
      </c>
      <c r="AG162" s="3">
        <v>0.29</v>
      </c>
      <c r="AH162" s="3" t="s">
        <v>1394</v>
      </c>
      <c r="AI162" s="3" t="s">
        <v>1394</v>
      </c>
      <c r="AJ162" s="3">
        <v>4.175</v>
      </c>
      <c r="AK162" s="3" t="s">
        <v>1572</v>
      </c>
      <c r="AL162" s="3" t="s">
        <v>1394</v>
      </c>
      <c r="AM162" s="3" t="s">
        <v>1573</v>
      </c>
    </row>
    <row r="163" ht="15.75" customHeight="1">
      <c r="A163" s="3">
        <v>1.73012E12</v>
      </c>
      <c r="B163" s="3">
        <v>16.0</v>
      </c>
      <c r="C163" s="3" t="s">
        <v>309</v>
      </c>
      <c r="D163" s="3" t="s">
        <v>1369</v>
      </c>
      <c r="E163" s="3" t="s">
        <v>309</v>
      </c>
      <c r="F163" s="3">
        <v>1.0</v>
      </c>
      <c r="G163" s="3">
        <v>1.0</v>
      </c>
      <c r="H163" s="3">
        <v>1.0</v>
      </c>
      <c r="I163" s="3">
        <v>1.0</v>
      </c>
      <c r="J163" s="3">
        <v>1.0</v>
      </c>
      <c r="K163" s="3">
        <v>1.0</v>
      </c>
      <c r="L163" s="3">
        <v>1.0</v>
      </c>
      <c r="M163" s="3">
        <v>1.0</v>
      </c>
      <c r="N163" s="3">
        <v>1.0</v>
      </c>
      <c r="O163" s="3">
        <v>1.0</v>
      </c>
      <c r="P163" s="3">
        <v>1.0</v>
      </c>
      <c r="Q163" s="3">
        <v>1.0</v>
      </c>
      <c r="R163" s="3">
        <v>1.0</v>
      </c>
      <c r="S163" s="3">
        <v>0.0</v>
      </c>
      <c r="T163" s="3">
        <v>1.0</v>
      </c>
      <c r="U163" s="3">
        <v>1.0</v>
      </c>
      <c r="V163" s="3">
        <v>1.0</v>
      </c>
      <c r="W163" s="3" t="s">
        <v>891</v>
      </c>
      <c r="X163" s="3" t="s">
        <v>1421</v>
      </c>
      <c r="Y163" s="3" t="s">
        <v>1422</v>
      </c>
      <c r="Z163" s="3" t="s">
        <v>1423</v>
      </c>
      <c r="AA163" s="3" t="s">
        <v>1424</v>
      </c>
      <c r="AB163" s="3" t="s">
        <v>1374</v>
      </c>
      <c r="AC163" s="3" t="s">
        <v>1391</v>
      </c>
      <c r="AD163" s="3" t="s">
        <v>1425</v>
      </c>
      <c r="AE163" s="3" t="s">
        <v>1781</v>
      </c>
      <c r="AF163" s="3">
        <v>0.051</v>
      </c>
      <c r="AG163" s="3">
        <v>0.21</v>
      </c>
      <c r="AH163" s="3">
        <v>0.345</v>
      </c>
      <c r="AI163" s="3">
        <v>-29.355</v>
      </c>
      <c r="AJ163" s="3">
        <v>1.354</v>
      </c>
      <c r="AK163" s="3" t="s">
        <v>1427</v>
      </c>
      <c r="AL163" s="3">
        <v>0.189</v>
      </c>
      <c r="AM163" s="3" t="s">
        <v>1428</v>
      </c>
    </row>
    <row r="164" ht="15.75" customHeight="1">
      <c r="A164" s="3">
        <v>1.73028E12</v>
      </c>
      <c r="B164" s="3">
        <v>17.0</v>
      </c>
      <c r="C164" s="3" t="s">
        <v>530</v>
      </c>
      <c r="D164" s="3" t="s">
        <v>1369</v>
      </c>
      <c r="E164" s="3" t="s">
        <v>530</v>
      </c>
      <c r="F164" s="3">
        <v>1.0</v>
      </c>
      <c r="G164" s="3">
        <v>1.0</v>
      </c>
      <c r="H164" s="3">
        <v>1.0</v>
      </c>
      <c r="I164" s="3">
        <v>1.0</v>
      </c>
      <c r="J164" s="3">
        <v>1.0</v>
      </c>
      <c r="K164" s="3">
        <v>1.0</v>
      </c>
      <c r="L164" s="3">
        <v>1.0</v>
      </c>
      <c r="M164" s="3">
        <v>1.0</v>
      </c>
      <c r="N164" s="3">
        <v>1.0</v>
      </c>
      <c r="O164" s="3">
        <v>1.0</v>
      </c>
      <c r="P164" s="3">
        <v>1.0</v>
      </c>
      <c r="Q164" s="3">
        <v>1.0</v>
      </c>
      <c r="R164" s="3">
        <v>1.0</v>
      </c>
      <c r="S164" s="3">
        <v>1.0</v>
      </c>
      <c r="T164" s="3">
        <v>1.0</v>
      </c>
      <c r="U164" s="3">
        <v>1.0</v>
      </c>
      <c r="V164" s="3">
        <v>1.0</v>
      </c>
      <c r="W164" s="3" t="s">
        <v>1213</v>
      </c>
      <c r="X164" s="3" t="s">
        <v>1429</v>
      </c>
      <c r="Y164" s="3" t="s">
        <v>1430</v>
      </c>
      <c r="Z164" s="3" t="s">
        <v>1423</v>
      </c>
      <c r="AA164" s="3" t="s">
        <v>1432</v>
      </c>
      <c r="AB164" s="3" t="s">
        <v>1374</v>
      </c>
      <c r="AC164" s="3" t="s">
        <v>1391</v>
      </c>
      <c r="AD164" s="3" t="s">
        <v>1433</v>
      </c>
      <c r="AE164" s="3" t="s">
        <v>1434</v>
      </c>
      <c r="AF164" s="3">
        <v>0.168</v>
      </c>
      <c r="AG164" s="3">
        <v>1.192</v>
      </c>
      <c r="AH164" s="3">
        <v>0.324</v>
      </c>
      <c r="AI164" s="3">
        <v>112.123</v>
      </c>
      <c r="AJ164" s="3">
        <v>-5.301</v>
      </c>
      <c r="AK164" s="3" t="s">
        <v>1481</v>
      </c>
      <c r="AL164" s="3">
        <v>0.113</v>
      </c>
      <c r="AM164" s="3" t="s">
        <v>1436</v>
      </c>
    </row>
    <row r="165" ht="15.75" customHeight="1">
      <c r="A165" s="3">
        <v>1.73036E12</v>
      </c>
      <c r="B165" s="3">
        <v>4.0</v>
      </c>
      <c r="C165" s="3" t="s">
        <v>1782</v>
      </c>
      <c r="D165" s="3" t="s">
        <v>1369</v>
      </c>
      <c r="E165" s="3" t="s">
        <v>1782</v>
      </c>
      <c r="F165" s="3">
        <v>1.0</v>
      </c>
      <c r="G165" s="3">
        <v>0.0</v>
      </c>
      <c r="H165" s="3">
        <v>0.0</v>
      </c>
      <c r="I165" s="3">
        <v>0.0</v>
      </c>
      <c r="J165" s="3">
        <v>1.0</v>
      </c>
      <c r="K165" s="3">
        <v>1.0</v>
      </c>
      <c r="L165" s="3">
        <v>1.0</v>
      </c>
      <c r="M165" s="3">
        <v>0.0</v>
      </c>
      <c r="N165" s="3">
        <v>0.0</v>
      </c>
      <c r="O165" s="3">
        <v>0.0</v>
      </c>
      <c r="P165" s="3">
        <v>0.0</v>
      </c>
      <c r="Q165" s="3">
        <v>0.0</v>
      </c>
      <c r="R165" s="3">
        <v>0.0</v>
      </c>
      <c r="S165" s="3">
        <v>0.0</v>
      </c>
      <c r="T165" s="3">
        <v>0.0</v>
      </c>
      <c r="U165" s="3">
        <v>0.0</v>
      </c>
      <c r="V165" s="3">
        <v>0.0</v>
      </c>
      <c r="W165" s="3" t="s">
        <v>923</v>
      </c>
      <c r="X165" s="3" t="s">
        <v>1783</v>
      </c>
      <c r="Y165" s="3" t="s">
        <v>1784</v>
      </c>
      <c r="Z165" s="3" t="s">
        <v>1614</v>
      </c>
      <c r="AA165" s="3" t="s">
        <v>1407</v>
      </c>
      <c r="AB165" s="3" t="s">
        <v>1374</v>
      </c>
      <c r="AC165" s="3" t="s">
        <v>1400</v>
      </c>
    </row>
    <row r="166" ht="15.75" customHeight="1">
      <c r="A166" s="3">
        <v>1.72963E12</v>
      </c>
      <c r="B166" s="3">
        <v>10.0</v>
      </c>
      <c r="C166" s="3" t="s">
        <v>960</v>
      </c>
      <c r="D166" s="3" t="s">
        <v>1369</v>
      </c>
      <c r="E166" s="3" t="s">
        <v>960</v>
      </c>
      <c r="F166" s="3">
        <v>1.0</v>
      </c>
      <c r="G166" s="3">
        <v>1.0</v>
      </c>
      <c r="H166" s="3">
        <v>1.0</v>
      </c>
      <c r="I166" s="3">
        <v>1.0</v>
      </c>
      <c r="J166" s="3">
        <v>1.0</v>
      </c>
      <c r="K166" s="3">
        <v>1.0</v>
      </c>
      <c r="L166" s="3">
        <v>0.0</v>
      </c>
      <c r="M166" s="3">
        <v>0.0</v>
      </c>
      <c r="N166" s="3">
        <v>1.0</v>
      </c>
      <c r="O166" s="3">
        <v>1.0</v>
      </c>
      <c r="P166" s="3">
        <v>1.0</v>
      </c>
      <c r="Q166" s="3">
        <v>0.0</v>
      </c>
      <c r="R166" s="3">
        <v>0.0</v>
      </c>
      <c r="S166" s="3">
        <v>0.0</v>
      </c>
      <c r="T166" s="3">
        <v>0.0</v>
      </c>
      <c r="U166" s="3">
        <v>0.0</v>
      </c>
      <c r="V166" s="3">
        <v>1.0</v>
      </c>
      <c r="W166" s="3" t="s">
        <v>67</v>
      </c>
      <c r="X166" s="3" t="s">
        <v>1398</v>
      </c>
      <c r="Y166" s="3" t="s">
        <v>1399</v>
      </c>
      <c r="Z166" s="3" t="s">
        <v>1449</v>
      </c>
      <c r="AA166" s="3" t="s">
        <v>1785</v>
      </c>
      <c r="AB166" s="3" t="s">
        <v>1374</v>
      </c>
      <c r="AC166" s="3" t="s">
        <v>1508</v>
      </c>
      <c r="AD166" s="3" t="s">
        <v>1786</v>
      </c>
      <c r="AE166" s="3" t="s">
        <v>1402</v>
      </c>
      <c r="AF166" s="3">
        <v>0.006</v>
      </c>
      <c r="AG166" s="3">
        <v>0.061</v>
      </c>
      <c r="AH166" s="3">
        <v>0.194</v>
      </c>
      <c r="AI166" s="3">
        <v>0.0</v>
      </c>
      <c r="AJ166" s="3">
        <v>0.057</v>
      </c>
      <c r="AK166" s="3" t="s">
        <v>1403</v>
      </c>
      <c r="AL166" s="3">
        <v>0.0</v>
      </c>
      <c r="AM166" s="3" t="s">
        <v>1404</v>
      </c>
    </row>
    <row r="167" ht="15.75" customHeight="1">
      <c r="A167" s="3">
        <v>1.7302E12</v>
      </c>
      <c r="B167" s="3">
        <v>11.0</v>
      </c>
      <c r="C167" s="3" t="s">
        <v>1787</v>
      </c>
      <c r="D167" s="3" t="s">
        <v>1369</v>
      </c>
      <c r="E167" s="3" t="s">
        <v>1787</v>
      </c>
      <c r="F167" s="3">
        <v>1.0</v>
      </c>
      <c r="G167" s="3">
        <v>1.0</v>
      </c>
      <c r="H167" s="3">
        <v>0.0</v>
      </c>
      <c r="I167" s="3">
        <v>1.0</v>
      </c>
      <c r="J167" s="3">
        <v>1.0</v>
      </c>
      <c r="K167" s="3">
        <v>1.0</v>
      </c>
      <c r="L167" s="3">
        <v>1.0</v>
      </c>
      <c r="M167" s="3">
        <v>1.0</v>
      </c>
      <c r="N167" s="3">
        <v>1.0</v>
      </c>
      <c r="O167" s="3">
        <v>1.0</v>
      </c>
      <c r="P167" s="3">
        <v>1.0</v>
      </c>
      <c r="Q167" s="3">
        <v>0.0</v>
      </c>
      <c r="R167" s="3">
        <v>1.0</v>
      </c>
      <c r="S167" s="3">
        <v>0.0</v>
      </c>
      <c r="T167" s="3">
        <v>0.0</v>
      </c>
      <c r="U167" s="3">
        <v>0.0</v>
      </c>
      <c r="V167" s="3">
        <v>0.0</v>
      </c>
      <c r="W167" s="3" t="s">
        <v>148</v>
      </c>
      <c r="X167" s="3" t="s">
        <v>1421</v>
      </c>
      <c r="Y167" s="3" t="s">
        <v>1422</v>
      </c>
      <c r="Z167" s="3" t="s">
        <v>1423</v>
      </c>
      <c r="AA167" s="3" t="s">
        <v>1424</v>
      </c>
      <c r="AB167" s="3" t="s">
        <v>1374</v>
      </c>
      <c r="AC167" s="3" t="s">
        <v>1391</v>
      </c>
      <c r="AD167" s="3" t="s">
        <v>1425</v>
      </c>
      <c r="AE167" s="3" t="s">
        <v>1781</v>
      </c>
      <c r="AF167" s="3">
        <v>0.051</v>
      </c>
      <c r="AG167" s="3">
        <v>0.21</v>
      </c>
      <c r="AH167" s="3">
        <v>0.345</v>
      </c>
      <c r="AI167" s="3" t="s">
        <v>1394</v>
      </c>
      <c r="AK167" s="3" t="s">
        <v>1427</v>
      </c>
      <c r="AL167" s="3">
        <v>67.0</v>
      </c>
    </row>
    <row r="168" ht="15.75" customHeight="1">
      <c r="A168" s="3">
        <v>1.73031E12</v>
      </c>
      <c r="B168" s="3">
        <v>13.0</v>
      </c>
      <c r="C168" s="3" t="s">
        <v>1788</v>
      </c>
      <c r="D168" s="3" t="s">
        <v>1369</v>
      </c>
      <c r="E168" s="3" t="s">
        <v>1788</v>
      </c>
      <c r="F168" s="3">
        <v>1.0</v>
      </c>
      <c r="G168" s="3">
        <v>1.0</v>
      </c>
      <c r="H168" s="3">
        <v>1.0</v>
      </c>
      <c r="I168" s="3">
        <v>1.0</v>
      </c>
      <c r="J168" s="3">
        <v>1.0</v>
      </c>
      <c r="K168" s="3">
        <v>1.0</v>
      </c>
      <c r="L168" s="3">
        <v>0.0</v>
      </c>
      <c r="M168" s="3">
        <v>1.0</v>
      </c>
      <c r="N168" s="3">
        <v>1.0</v>
      </c>
      <c r="O168" s="3">
        <v>1.0</v>
      </c>
      <c r="P168" s="3">
        <v>1.0</v>
      </c>
      <c r="Q168" s="3">
        <v>0.0</v>
      </c>
      <c r="R168" s="3">
        <v>0.0</v>
      </c>
      <c r="S168" s="3">
        <v>1.0</v>
      </c>
      <c r="T168" s="3">
        <v>1.0</v>
      </c>
      <c r="U168" s="3">
        <v>0.0</v>
      </c>
      <c r="V168" s="3">
        <v>1.0</v>
      </c>
      <c r="W168" s="3" t="s">
        <v>372</v>
      </c>
      <c r="X168" s="3" t="s">
        <v>1447</v>
      </c>
      <c r="Y168" s="3" t="s">
        <v>1448</v>
      </c>
      <c r="Z168" s="3" t="s">
        <v>1372</v>
      </c>
      <c r="AA168" s="3" t="s">
        <v>1450</v>
      </c>
      <c r="AB168" s="3" t="s">
        <v>1374</v>
      </c>
      <c r="AC168" s="3" t="s">
        <v>1374</v>
      </c>
      <c r="AD168" s="3" t="s">
        <v>1675</v>
      </c>
      <c r="AE168" s="3" t="s">
        <v>1453</v>
      </c>
      <c r="AF168" s="3">
        <v>0.033</v>
      </c>
      <c r="AG168" s="3">
        <v>0.217</v>
      </c>
      <c r="AI168" s="3">
        <v>48.585</v>
      </c>
      <c r="AJ168" s="3">
        <v>6.572</v>
      </c>
      <c r="AK168" s="3" t="s">
        <v>1789</v>
      </c>
      <c r="AL168" s="3">
        <v>-0.246</v>
      </c>
      <c r="AM168" s="3" t="s">
        <v>1455</v>
      </c>
    </row>
    <row r="169" ht="15.75" customHeight="1">
      <c r="A169" s="3">
        <v>1.73039E12</v>
      </c>
      <c r="B169" s="3">
        <v>17.0</v>
      </c>
      <c r="C169" s="3" t="s">
        <v>474</v>
      </c>
      <c r="D169" s="3" t="s">
        <v>1369</v>
      </c>
      <c r="E169" s="3" t="s">
        <v>474</v>
      </c>
      <c r="F169" s="3">
        <v>1.0</v>
      </c>
      <c r="G169" s="3">
        <v>1.0</v>
      </c>
      <c r="H169" s="3">
        <v>1.0</v>
      </c>
      <c r="I169" s="3">
        <v>1.0</v>
      </c>
      <c r="J169" s="3">
        <v>1.0</v>
      </c>
      <c r="K169" s="3">
        <v>1.0</v>
      </c>
      <c r="L169" s="3">
        <v>1.0</v>
      </c>
      <c r="M169" s="3">
        <v>1.0</v>
      </c>
      <c r="N169" s="3">
        <v>1.0</v>
      </c>
      <c r="O169" s="3">
        <v>1.0</v>
      </c>
      <c r="P169" s="3">
        <v>1.0</v>
      </c>
      <c r="Q169" s="3">
        <v>1.0</v>
      </c>
      <c r="R169" s="3">
        <v>1.0</v>
      </c>
      <c r="S169" s="3">
        <v>1.0</v>
      </c>
      <c r="T169" s="3">
        <v>1.0</v>
      </c>
      <c r="U169" s="3">
        <v>1.0</v>
      </c>
      <c r="V169" s="3">
        <v>1.0</v>
      </c>
      <c r="W169" s="3" t="s">
        <v>1192</v>
      </c>
      <c r="X169" s="3" t="s">
        <v>1563</v>
      </c>
      <c r="Y169" s="3" t="s">
        <v>1564</v>
      </c>
      <c r="Z169" s="3" t="s">
        <v>1372</v>
      </c>
      <c r="AA169" s="3" t="s">
        <v>1565</v>
      </c>
      <c r="AB169" s="3" t="s">
        <v>1374</v>
      </c>
      <c r="AC169" s="3" t="s">
        <v>1594</v>
      </c>
      <c r="AD169" s="3" t="s">
        <v>1566</v>
      </c>
      <c r="AE169" s="3" t="s">
        <v>1567</v>
      </c>
      <c r="AF169" s="3">
        <v>0.352</v>
      </c>
      <c r="AG169" s="3">
        <v>0.684</v>
      </c>
      <c r="AH169" s="3">
        <v>0.262</v>
      </c>
      <c r="AI169" s="3">
        <v>44.956</v>
      </c>
      <c r="AJ169" s="3">
        <v>2.439</v>
      </c>
      <c r="AK169" s="3" t="s">
        <v>1568</v>
      </c>
      <c r="AL169" s="3">
        <v>0.053</v>
      </c>
      <c r="AM169" s="3" t="s">
        <v>1569</v>
      </c>
    </row>
    <row r="170" ht="15.75" customHeight="1">
      <c r="A170" s="3">
        <v>1.73035E12</v>
      </c>
      <c r="B170" s="3">
        <v>17.0</v>
      </c>
      <c r="C170" s="3" t="s">
        <v>576</v>
      </c>
      <c r="D170" s="3" t="s">
        <v>1369</v>
      </c>
      <c r="E170" s="3" t="s">
        <v>576</v>
      </c>
      <c r="F170" s="3">
        <v>1.0</v>
      </c>
      <c r="G170" s="3">
        <v>1.0</v>
      </c>
      <c r="H170" s="3">
        <v>1.0</v>
      </c>
      <c r="I170" s="3">
        <v>1.0</v>
      </c>
      <c r="J170" s="3">
        <v>1.0</v>
      </c>
      <c r="K170" s="3">
        <v>1.0</v>
      </c>
      <c r="L170" s="3">
        <v>1.0</v>
      </c>
      <c r="M170" s="3">
        <v>1.0</v>
      </c>
      <c r="N170" s="3">
        <v>1.0</v>
      </c>
      <c r="O170" s="3">
        <v>1.0</v>
      </c>
      <c r="P170" s="3">
        <v>1.0</v>
      </c>
      <c r="Q170" s="3">
        <v>1.0</v>
      </c>
      <c r="R170" s="3">
        <v>1.0</v>
      </c>
      <c r="S170" s="3">
        <v>1.0</v>
      </c>
      <c r="T170" s="3">
        <v>1.0</v>
      </c>
      <c r="U170" s="3">
        <v>1.0</v>
      </c>
      <c r="V170" s="3">
        <v>1.0</v>
      </c>
      <c r="W170" s="3" t="s">
        <v>1167</v>
      </c>
      <c r="X170" s="3" t="s">
        <v>1379</v>
      </c>
      <c r="Y170" s="3" t="s">
        <v>1380</v>
      </c>
      <c r="Z170" s="3" t="s">
        <v>1372</v>
      </c>
      <c r="AA170" s="3" t="s">
        <v>1382</v>
      </c>
      <c r="AB170" s="3" t="s">
        <v>1374</v>
      </c>
      <c r="AC170" s="3" t="s">
        <v>1400</v>
      </c>
      <c r="AD170" s="3" t="s">
        <v>1425</v>
      </c>
      <c r="AE170" s="3" t="s">
        <v>1385</v>
      </c>
      <c r="AF170" s="3">
        <v>0.191</v>
      </c>
      <c r="AG170" s="3">
        <v>2.347</v>
      </c>
      <c r="AH170" s="3">
        <v>0.189</v>
      </c>
      <c r="AI170" s="3">
        <v>63.698</v>
      </c>
      <c r="AJ170" s="3">
        <v>0.21</v>
      </c>
      <c r="AK170" s="3" t="s">
        <v>1691</v>
      </c>
      <c r="AL170" s="3">
        <v>0.198</v>
      </c>
      <c r="AM170" s="3" t="s">
        <v>1387</v>
      </c>
    </row>
    <row r="171" ht="15.75" customHeight="1">
      <c r="A171" s="3">
        <v>1.7297E12</v>
      </c>
      <c r="B171" s="3">
        <v>13.0</v>
      </c>
      <c r="C171" s="3" t="s">
        <v>371</v>
      </c>
      <c r="D171" s="3" t="s">
        <v>1369</v>
      </c>
      <c r="E171" s="3" t="s">
        <v>371</v>
      </c>
      <c r="F171" s="3">
        <v>1.0</v>
      </c>
      <c r="G171" s="3">
        <v>1.0</v>
      </c>
      <c r="H171" s="3">
        <v>1.0</v>
      </c>
      <c r="I171" s="3">
        <v>1.0</v>
      </c>
      <c r="J171" s="3">
        <v>1.0</v>
      </c>
      <c r="K171" s="3">
        <v>1.0</v>
      </c>
      <c r="L171" s="3">
        <v>1.0</v>
      </c>
      <c r="M171" s="3">
        <v>1.0</v>
      </c>
      <c r="N171" s="3">
        <v>1.0</v>
      </c>
      <c r="O171" s="3">
        <v>1.0</v>
      </c>
      <c r="P171" s="3">
        <v>1.0</v>
      </c>
      <c r="Q171" s="3">
        <v>0.0</v>
      </c>
      <c r="R171" s="3">
        <v>0.0</v>
      </c>
      <c r="S171" s="3">
        <v>0.0</v>
      </c>
      <c r="T171" s="3">
        <v>1.0</v>
      </c>
      <c r="U171" s="3">
        <v>0.0</v>
      </c>
      <c r="V171" s="3">
        <v>1.0</v>
      </c>
      <c r="W171" s="3" t="s">
        <v>416</v>
      </c>
      <c r="X171" s="3" t="s">
        <v>1470</v>
      </c>
      <c r="Y171" s="3" t="s">
        <v>1471</v>
      </c>
      <c r="Z171" s="3" t="s">
        <v>1372</v>
      </c>
      <c r="AA171" s="3" t="s">
        <v>1382</v>
      </c>
      <c r="AB171" s="3" t="s">
        <v>1374</v>
      </c>
      <c r="AC171" s="3" t="s">
        <v>1400</v>
      </c>
      <c r="AD171" s="3" t="s">
        <v>1472</v>
      </c>
      <c r="AE171" s="3" t="s">
        <v>1473</v>
      </c>
      <c r="AF171" s="3">
        <v>0.15</v>
      </c>
      <c r="AG171" s="3">
        <v>4.074</v>
      </c>
      <c r="AH171" s="3">
        <v>0.295</v>
      </c>
      <c r="AI171" s="3">
        <v>109.433</v>
      </c>
      <c r="AJ171" s="3">
        <v>0.332</v>
      </c>
      <c r="AK171" s="3" t="s">
        <v>1790</v>
      </c>
      <c r="AL171" s="3">
        <v>0.022</v>
      </c>
      <c r="AM171" s="3" t="s">
        <v>1475</v>
      </c>
    </row>
    <row r="172" ht="15.75" customHeight="1">
      <c r="A172" s="3">
        <v>1.73037E12</v>
      </c>
      <c r="B172" s="3">
        <v>15.0</v>
      </c>
      <c r="C172" s="3" t="s">
        <v>277</v>
      </c>
      <c r="D172" s="3" t="s">
        <v>1369</v>
      </c>
      <c r="E172" s="3" t="s">
        <v>277</v>
      </c>
      <c r="F172" s="3">
        <v>1.0</v>
      </c>
      <c r="G172" s="3">
        <v>1.0</v>
      </c>
      <c r="H172" s="3">
        <v>1.0</v>
      </c>
      <c r="I172" s="3">
        <v>1.0</v>
      </c>
      <c r="J172" s="3">
        <v>1.0</v>
      </c>
      <c r="K172" s="3">
        <v>1.0</v>
      </c>
      <c r="L172" s="3">
        <v>1.0</v>
      </c>
      <c r="M172" s="3">
        <v>1.0</v>
      </c>
      <c r="N172" s="3">
        <v>1.0</v>
      </c>
      <c r="O172" s="3">
        <v>0.0</v>
      </c>
      <c r="P172" s="3">
        <v>1.0</v>
      </c>
      <c r="Q172" s="3">
        <v>1.0</v>
      </c>
      <c r="R172" s="3">
        <v>1.0</v>
      </c>
      <c r="S172" s="3">
        <v>0.0</v>
      </c>
      <c r="T172" s="3">
        <v>1.0</v>
      </c>
      <c r="U172" s="3">
        <v>1.0</v>
      </c>
      <c r="V172" s="3">
        <v>1.0</v>
      </c>
      <c r="W172" s="3" t="s">
        <v>298</v>
      </c>
      <c r="X172" s="3" t="s">
        <v>1483</v>
      </c>
      <c r="Y172" s="3" t="s">
        <v>1484</v>
      </c>
      <c r="Z172" s="3" t="s">
        <v>1372</v>
      </c>
      <c r="AA172" s="3" t="s">
        <v>1373</v>
      </c>
      <c r="AB172" s="3" t="s">
        <v>1374</v>
      </c>
      <c r="AC172" s="3" t="s">
        <v>1374</v>
      </c>
      <c r="AD172" s="3" t="s">
        <v>1485</v>
      </c>
      <c r="AE172" s="3" t="s">
        <v>1486</v>
      </c>
      <c r="AF172" s="3">
        <v>0.017</v>
      </c>
      <c r="AG172" s="3">
        <v>0.323</v>
      </c>
      <c r="AH172" s="3" t="s">
        <v>1394</v>
      </c>
      <c r="AI172" s="3" t="s">
        <v>1394</v>
      </c>
      <c r="AJ172" s="3">
        <v>29.192</v>
      </c>
      <c r="AK172" s="3" t="s">
        <v>1688</v>
      </c>
      <c r="AL172" s="3" t="s">
        <v>1394</v>
      </c>
      <c r="AM172" s="3" t="s">
        <v>1573</v>
      </c>
    </row>
    <row r="173" ht="15.75" customHeight="1">
      <c r="A173" s="3">
        <v>1.73039E12</v>
      </c>
      <c r="B173" s="3">
        <v>16.0</v>
      </c>
      <c r="C173" s="3" t="s">
        <v>823</v>
      </c>
      <c r="D173" s="3" t="s">
        <v>1369</v>
      </c>
      <c r="E173" s="3" t="s">
        <v>823</v>
      </c>
      <c r="F173" s="3">
        <v>1.0</v>
      </c>
      <c r="G173" s="3">
        <v>1.0</v>
      </c>
      <c r="H173" s="3">
        <v>1.0</v>
      </c>
      <c r="I173" s="3">
        <v>1.0</v>
      </c>
      <c r="J173" s="3">
        <v>1.0</v>
      </c>
      <c r="K173" s="3">
        <v>1.0</v>
      </c>
      <c r="L173" s="3">
        <v>1.0</v>
      </c>
      <c r="M173" s="3">
        <v>1.0</v>
      </c>
      <c r="N173" s="3">
        <v>1.0</v>
      </c>
      <c r="O173" s="3">
        <v>1.0</v>
      </c>
      <c r="P173" s="3">
        <v>0.0</v>
      </c>
      <c r="Q173" s="3">
        <v>1.0</v>
      </c>
      <c r="R173" s="3">
        <v>1.0</v>
      </c>
      <c r="S173" s="3">
        <v>1.0</v>
      </c>
      <c r="T173" s="3">
        <v>1.0</v>
      </c>
      <c r="U173" s="3">
        <v>1.0</v>
      </c>
      <c r="V173" s="3">
        <v>1.0</v>
      </c>
      <c r="W173" s="3" t="s">
        <v>1102</v>
      </c>
      <c r="X173" s="3" t="s">
        <v>1578</v>
      </c>
      <c r="Y173" s="3" t="s">
        <v>1579</v>
      </c>
      <c r="Z173" s="3" t="s">
        <v>1372</v>
      </c>
      <c r="AA173" s="3" t="s">
        <v>1382</v>
      </c>
      <c r="AB173" s="3" t="s">
        <v>1374</v>
      </c>
      <c r="AC173" s="3" t="s">
        <v>1580</v>
      </c>
      <c r="AD173" s="3" t="s">
        <v>1581</v>
      </c>
      <c r="AE173" s="3" t="s">
        <v>1582</v>
      </c>
      <c r="AF173" s="3">
        <v>0.051</v>
      </c>
      <c r="AG173" s="3">
        <v>0.279</v>
      </c>
      <c r="AH173" s="3">
        <v>0.426</v>
      </c>
      <c r="AI173" s="3">
        <v>-79.428</v>
      </c>
      <c r="AJ173" s="3">
        <v>19.675</v>
      </c>
      <c r="AK173" s="3" t="s">
        <v>1583</v>
      </c>
      <c r="AL173" s="3">
        <v>0.128</v>
      </c>
      <c r="AM173" s="3" t="s">
        <v>1584</v>
      </c>
    </row>
    <row r="174" ht="15.75" customHeight="1">
      <c r="A174" s="3">
        <v>1.73011E12</v>
      </c>
      <c r="B174" s="3">
        <v>17.0</v>
      </c>
      <c r="C174" s="3" t="s">
        <v>761</v>
      </c>
      <c r="D174" s="3" t="s">
        <v>1369</v>
      </c>
      <c r="E174" s="3" t="s">
        <v>761</v>
      </c>
      <c r="F174" s="3">
        <v>1.0</v>
      </c>
      <c r="G174" s="3">
        <v>1.0</v>
      </c>
      <c r="H174" s="3">
        <v>1.0</v>
      </c>
      <c r="I174" s="3">
        <v>1.0</v>
      </c>
      <c r="J174" s="3">
        <v>1.0</v>
      </c>
      <c r="K174" s="3">
        <v>1.0</v>
      </c>
      <c r="L174" s="3">
        <v>1.0</v>
      </c>
      <c r="M174" s="3">
        <v>1.0</v>
      </c>
      <c r="N174" s="3">
        <v>1.0</v>
      </c>
      <c r="O174" s="3">
        <v>1.0</v>
      </c>
      <c r="P174" s="3">
        <v>1.0</v>
      </c>
      <c r="Q174" s="3">
        <v>1.0</v>
      </c>
      <c r="R174" s="3">
        <v>1.0</v>
      </c>
      <c r="S174" s="3">
        <v>1.0</v>
      </c>
      <c r="T174" s="3">
        <v>1.0</v>
      </c>
      <c r="U174" s="3">
        <v>1.0</v>
      </c>
      <c r="V174" s="3">
        <v>1.0</v>
      </c>
      <c r="W174" s="3" t="s">
        <v>1210</v>
      </c>
      <c r="X174" s="3" t="s">
        <v>1483</v>
      </c>
      <c r="Y174" s="3" t="s">
        <v>1484</v>
      </c>
      <c r="Z174" s="3" t="s">
        <v>1372</v>
      </c>
      <c r="AA174" s="3" t="s">
        <v>1373</v>
      </c>
      <c r="AB174" s="3" t="s">
        <v>1374</v>
      </c>
      <c r="AC174" s="3" t="s">
        <v>1580</v>
      </c>
      <c r="AD174" s="3" t="s">
        <v>1485</v>
      </c>
      <c r="AE174" s="3" t="s">
        <v>1486</v>
      </c>
      <c r="AF174" s="3">
        <v>0.016</v>
      </c>
      <c r="AG174" s="3">
        <v>0.271</v>
      </c>
      <c r="AH174" s="3">
        <v>0.457</v>
      </c>
      <c r="AI174" s="3">
        <v>47.377</v>
      </c>
      <c r="AJ174" s="3">
        <v>27.862</v>
      </c>
      <c r="AK174" s="3" t="s">
        <v>1791</v>
      </c>
      <c r="AL174" s="3">
        <v>0.003</v>
      </c>
      <c r="AM174" s="3" t="s">
        <v>1573</v>
      </c>
    </row>
    <row r="175" ht="15.75" customHeight="1">
      <c r="A175" s="3">
        <v>1.7303E12</v>
      </c>
      <c r="B175" s="3">
        <v>0.0</v>
      </c>
      <c r="C175" s="3" t="s">
        <v>1792</v>
      </c>
      <c r="D175" s="3" t="s">
        <v>1369</v>
      </c>
      <c r="E175" s="3" t="s">
        <v>1792</v>
      </c>
      <c r="F175" s="3">
        <v>0.0</v>
      </c>
      <c r="G175" s="3">
        <v>0.0</v>
      </c>
      <c r="H175" s="3">
        <v>0.0</v>
      </c>
      <c r="I175" s="3">
        <v>0.0</v>
      </c>
      <c r="J175" s="3">
        <v>0.0</v>
      </c>
      <c r="K175" s="3">
        <v>0.0</v>
      </c>
      <c r="L175" s="3">
        <v>0.0</v>
      </c>
      <c r="M175" s="3">
        <v>0.0</v>
      </c>
      <c r="N175" s="3">
        <v>0.0</v>
      </c>
      <c r="O175" s="3">
        <v>0.0</v>
      </c>
      <c r="P175" s="3">
        <v>0.0</v>
      </c>
      <c r="Q175" s="3">
        <v>0.0</v>
      </c>
      <c r="R175" s="3">
        <v>0.0</v>
      </c>
      <c r="S175" s="3">
        <v>0.0</v>
      </c>
      <c r="T175" s="3">
        <v>0.0</v>
      </c>
      <c r="U175" s="3">
        <v>0.0</v>
      </c>
      <c r="V175" s="3">
        <v>0.0</v>
      </c>
      <c r="W175" s="3" t="s">
        <v>1793</v>
      </c>
      <c r="X175" s="3" t="s">
        <v>1794</v>
      </c>
      <c r="Y175" s="3" t="s">
        <v>1795</v>
      </c>
      <c r="Z175" s="3" t="s">
        <v>1796</v>
      </c>
      <c r="AA175" s="3" t="s">
        <v>1797</v>
      </c>
      <c r="AB175" s="3" t="s">
        <v>1374</v>
      </c>
      <c r="AC175" s="3" t="s">
        <v>1798</v>
      </c>
      <c r="AD175" s="3" t="s">
        <v>1451</v>
      </c>
      <c r="AE175" s="3" t="s">
        <v>1799</v>
      </c>
      <c r="AF175" s="3">
        <v>0.765</v>
      </c>
      <c r="AG175" s="3">
        <v>0.123</v>
      </c>
      <c r="AH175" s="3">
        <v>0.456</v>
      </c>
      <c r="AI175" s="3">
        <v>12.345</v>
      </c>
      <c r="AJ175" s="3">
        <v>4.567</v>
      </c>
      <c r="AK175" s="3" t="s">
        <v>1799</v>
      </c>
      <c r="AL175" s="3">
        <v>0.123</v>
      </c>
      <c r="AM175" s="3" t="s">
        <v>1800</v>
      </c>
    </row>
    <row r="176" ht="15.75" customHeight="1">
      <c r="A176" s="3">
        <v>1.73028E12</v>
      </c>
      <c r="B176" s="3">
        <v>17.0</v>
      </c>
      <c r="C176" s="3" t="s">
        <v>1801</v>
      </c>
      <c r="D176" s="3" t="s">
        <v>1369</v>
      </c>
      <c r="E176" s="3" t="s">
        <v>1801</v>
      </c>
      <c r="F176" s="3">
        <v>1.0</v>
      </c>
      <c r="G176" s="3">
        <v>1.0</v>
      </c>
      <c r="H176" s="3">
        <v>1.0</v>
      </c>
      <c r="I176" s="3">
        <v>1.0</v>
      </c>
      <c r="J176" s="3">
        <v>1.0</v>
      </c>
      <c r="K176" s="3">
        <v>1.0</v>
      </c>
      <c r="L176" s="3">
        <v>1.0</v>
      </c>
      <c r="M176" s="3">
        <v>1.0</v>
      </c>
      <c r="N176" s="3">
        <v>1.0</v>
      </c>
      <c r="O176" s="3">
        <v>1.0</v>
      </c>
      <c r="P176" s="3">
        <v>1.0</v>
      </c>
      <c r="Q176" s="3">
        <v>1.0</v>
      </c>
      <c r="R176" s="3">
        <v>1.0</v>
      </c>
      <c r="S176" s="3">
        <v>1.0</v>
      </c>
      <c r="T176" s="3">
        <v>1.0</v>
      </c>
      <c r="U176" s="3">
        <v>1.0</v>
      </c>
      <c r="V176" s="3">
        <v>1.0</v>
      </c>
      <c r="W176" s="3" t="s">
        <v>762</v>
      </c>
      <c r="X176" s="3" t="s">
        <v>1563</v>
      </c>
      <c r="Y176" s="3" t="s">
        <v>1564</v>
      </c>
      <c r="Z176" s="3" t="s">
        <v>1372</v>
      </c>
      <c r="AA176" s="3" t="s">
        <v>1565</v>
      </c>
      <c r="AB176" s="3" t="s">
        <v>1374</v>
      </c>
      <c r="AC176" s="3" t="s">
        <v>1400</v>
      </c>
      <c r="AD176" s="3" t="s">
        <v>1566</v>
      </c>
      <c r="AE176" s="3" t="s">
        <v>1567</v>
      </c>
      <c r="AF176" s="3">
        <v>0.345</v>
      </c>
      <c r="AG176" s="3">
        <v>0.674</v>
      </c>
      <c r="AH176" s="3">
        <v>0.262</v>
      </c>
      <c r="AI176" s="3">
        <v>45.869</v>
      </c>
      <c r="AJ176" s="3">
        <v>2.4</v>
      </c>
      <c r="AK176" s="3" t="s">
        <v>1568</v>
      </c>
      <c r="AL176" s="3">
        <v>0.066</v>
      </c>
      <c r="AM176" s="3" t="s">
        <v>1569</v>
      </c>
    </row>
    <row r="177" ht="15.75" customHeight="1">
      <c r="A177" s="3">
        <v>1.7304E12</v>
      </c>
      <c r="B177" s="3">
        <v>10.0</v>
      </c>
      <c r="C177" s="3" t="s">
        <v>135</v>
      </c>
      <c r="D177" s="3" t="s">
        <v>1369</v>
      </c>
      <c r="E177" s="3" t="s">
        <v>135</v>
      </c>
      <c r="F177" s="3">
        <v>1.0</v>
      </c>
      <c r="G177" s="3">
        <v>1.0</v>
      </c>
      <c r="H177" s="3">
        <v>1.0</v>
      </c>
      <c r="I177" s="3">
        <v>1.0</v>
      </c>
      <c r="J177" s="3">
        <v>1.0</v>
      </c>
      <c r="K177" s="3">
        <v>1.0</v>
      </c>
      <c r="L177" s="3">
        <v>0.0</v>
      </c>
      <c r="M177" s="3">
        <v>0.0</v>
      </c>
      <c r="N177" s="3">
        <v>1.0</v>
      </c>
      <c r="O177" s="3">
        <v>1.0</v>
      </c>
      <c r="P177" s="3">
        <v>1.0</v>
      </c>
      <c r="Q177" s="3">
        <v>1.0</v>
      </c>
      <c r="R177" s="3">
        <v>0.0</v>
      </c>
      <c r="S177" s="3">
        <v>0.0</v>
      </c>
      <c r="T177" s="3">
        <v>0.0</v>
      </c>
      <c r="U177" s="3">
        <v>0.0</v>
      </c>
      <c r="V177" s="3">
        <v>0.0</v>
      </c>
      <c r="W177" s="3" t="s">
        <v>292</v>
      </c>
      <c r="X177" s="3" t="s">
        <v>1413</v>
      </c>
      <c r="Y177" s="3" t="s">
        <v>1414</v>
      </c>
      <c r="Z177" s="3" t="s">
        <v>1372</v>
      </c>
      <c r="AA177" s="3" t="s">
        <v>1415</v>
      </c>
      <c r="AB177" s="3" t="s">
        <v>1374</v>
      </c>
      <c r="AE177" s="3" t="s">
        <v>1417</v>
      </c>
      <c r="AF177" s="3">
        <v>-0.005</v>
      </c>
      <c r="AG177" s="3">
        <v>-0.054</v>
      </c>
      <c r="AH177" s="3">
        <v>0.323</v>
      </c>
      <c r="AJ177" s="3">
        <v>-40.479</v>
      </c>
    </row>
    <row r="178" ht="15.75" customHeight="1">
      <c r="A178" s="3">
        <v>1.73014E12</v>
      </c>
      <c r="B178" s="3">
        <v>13.0</v>
      </c>
      <c r="C178" s="3" t="s">
        <v>554</v>
      </c>
      <c r="D178" s="3" t="s">
        <v>1369</v>
      </c>
      <c r="E178" s="3" t="s">
        <v>554</v>
      </c>
      <c r="F178" s="3">
        <v>1.0</v>
      </c>
      <c r="G178" s="3">
        <v>1.0</v>
      </c>
      <c r="H178" s="3">
        <v>1.0</v>
      </c>
      <c r="I178" s="3">
        <v>1.0</v>
      </c>
      <c r="J178" s="3">
        <v>1.0</v>
      </c>
      <c r="K178" s="3">
        <v>1.0</v>
      </c>
      <c r="L178" s="3">
        <v>1.0</v>
      </c>
      <c r="M178" s="3">
        <v>1.0</v>
      </c>
      <c r="N178" s="3">
        <v>1.0</v>
      </c>
      <c r="O178" s="3">
        <v>1.0</v>
      </c>
      <c r="P178" s="3">
        <v>1.0</v>
      </c>
      <c r="Q178" s="3">
        <v>0.0</v>
      </c>
      <c r="R178" s="3">
        <v>0.0</v>
      </c>
      <c r="S178" s="3">
        <v>0.0</v>
      </c>
      <c r="T178" s="3">
        <v>1.0</v>
      </c>
      <c r="U178" s="3">
        <v>0.0</v>
      </c>
      <c r="V178" s="3">
        <v>1.0</v>
      </c>
      <c r="W178" s="3" t="s">
        <v>388</v>
      </c>
      <c r="X178" s="3" t="s">
        <v>1398</v>
      </c>
      <c r="Y178" s="3" t="s">
        <v>1399</v>
      </c>
      <c r="Z178" s="3" t="s">
        <v>1449</v>
      </c>
      <c r="AA178" s="3" t="s">
        <v>1373</v>
      </c>
      <c r="AB178" s="3" t="s">
        <v>1374</v>
      </c>
      <c r="AC178" s="3" t="s">
        <v>1400</v>
      </c>
      <c r="AD178" s="3" t="s">
        <v>1401</v>
      </c>
      <c r="AE178" s="3" t="s">
        <v>1402</v>
      </c>
      <c r="AF178" s="3">
        <v>0.006</v>
      </c>
      <c r="AG178" s="3">
        <v>0.07</v>
      </c>
      <c r="AH178" s="3">
        <v>0.152</v>
      </c>
      <c r="AI178" s="3">
        <v>33.669</v>
      </c>
      <c r="AJ178" s="3">
        <v>1.386</v>
      </c>
      <c r="AK178" s="3" t="s">
        <v>1802</v>
      </c>
      <c r="AL178" s="3">
        <v>0.256</v>
      </c>
      <c r="AM178" s="3" t="s">
        <v>1404</v>
      </c>
    </row>
    <row r="179" ht="15.75" customHeight="1">
      <c r="A179" s="3">
        <v>1.73038E12</v>
      </c>
      <c r="B179" s="3">
        <v>8.0</v>
      </c>
      <c r="C179" s="3" t="s">
        <v>580</v>
      </c>
      <c r="D179" s="3" t="s">
        <v>1369</v>
      </c>
      <c r="E179" s="3" t="s">
        <v>580</v>
      </c>
      <c r="F179" s="3">
        <v>1.0</v>
      </c>
      <c r="G179" s="3">
        <v>1.0</v>
      </c>
      <c r="H179" s="3">
        <v>1.0</v>
      </c>
      <c r="I179" s="3">
        <v>0.0</v>
      </c>
      <c r="J179" s="3">
        <v>0.0</v>
      </c>
      <c r="K179" s="3">
        <v>1.0</v>
      </c>
      <c r="L179" s="3">
        <v>0.0</v>
      </c>
      <c r="M179" s="3">
        <v>1.0</v>
      </c>
      <c r="N179" s="3">
        <v>1.0</v>
      </c>
      <c r="O179" s="3">
        <v>1.0</v>
      </c>
      <c r="P179" s="3">
        <v>1.0</v>
      </c>
      <c r="Q179" s="3">
        <v>0.0</v>
      </c>
      <c r="R179" s="3">
        <v>0.0</v>
      </c>
      <c r="S179" s="3">
        <v>0.0</v>
      </c>
      <c r="T179" s="3">
        <v>0.0</v>
      </c>
      <c r="U179" s="3">
        <v>0.0</v>
      </c>
      <c r="V179" s="3">
        <v>0.0</v>
      </c>
      <c r="W179" s="3" t="s">
        <v>103</v>
      </c>
      <c r="X179" s="3" t="s">
        <v>1600</v>
      </c>
      <c r="Y179" s="3" t="s">
        <v>1601</v>
      </c>
      <c r="Z179" s="3" t="s">
        <v>1803</v>
      </c>
      <c r="AB179" s="3" t="s">
        <v>1374</v>
      </c>
      <c r="AD179" s="3" t="s">
        <v>1408</v>
      </c>
      <c r="AE179" s="3" t="s">
        <v>1602</v>
      </c>
      <c r="AF179" s="3">
        <v>0.035</v>
      </c>
      <c r="AG179" s="3">
        <v>0.101</v>
      </c>
      <c r="AH179" s="3">
        <v>0.191</v>
      </c>
      <c r="AI179" s="3">
        <v>8.715</v>
      </c>
      <c r="AJ179" s="3">
        <v>-0.026</v>
      </c>
      <c r="AL179" s="3">
        <v>0.001</v>
      </c>
    </row>
    <row r="180" ht="15.75" customHeight="1">
      <c r="A180" s="3">
        <v>1.73029E12</v>
      </c>
      <c r="B180" s="3">
        <v>17.0</v>
      </c>
      <c r="C180" s="3" t="s">
        <v>82</v>
      </c>
      <c r="D180" s="3" t="s">
        <v>1369</v>
      </c>
      <c r="E180" s="3" t="s">
        <v>82</v>
      </c>
      <c r="F180" s="3">
        <v>1.0</v>
      </c>
      <c r="G180" s="3">
        <v>1.0</v>
      </c>
      <c r="H180" s="3">
        <v>1.0</v>
      </c>
      <c r="I180" s="3">
        <v>1.0</v>
      </c>
      <c r="J180" s="3">
        <v>1.0</v>
      </c>
      <c r="K180" s="3">
        <v>1.0</v>
      </c>
      <c r="L180" s="3">
        <v>1.0</v>
      </c>
      <c r="M180" s="3">
        <v>1.0</v>
      </c>
      <c r="N180" s="3">
        <v>1.0</v>
      </c>
      <c r="O180" s="3">
        <v>1.0</v>
      </c>
      <c r="P180" s="3">
        <v>1.0</v>
      </c>
      <c r="Q180" s="3">
        <v>1.0</v>
      </c>
      <c r="R180" s="3">
        <v>1.0</v>
      </c>
      <c r="S180" s="3">
        <v>1.0</v>
      </c>
      <c r="T180" s="3">
        <v>1.0</v>
      </c>
      <c r="U180" s="3">
        <v>1.0</v>
      </c>
      <c r="V180" s="3">
        <v>1.0</v>
      </c>
      <c r="W180" s="3" t="s">
        <v>1804</v>
      </c>
      <c r="X180" s="3" t="s">
        <v>1370</v>
      </c>
      <c r="Y180" s="3" t="s">
        <v>1371</v>
      </c>
      <c r="Z180" s="3" t="s">
        <v>1449</v>
      </c>
      <c r="AA180" s="3" t="s">
        <v>1373</v>
      </c>
      <c r="AB180" s="3" t="s">
        <v>1374</v>
      </c>
      <c r="AC180" s="3" t="s">
        <v>1374</v>
      </c>
      <c r="AD180" s="3" t="s">
        <v>1375</v>
      </c>
      <c r="AE180" s="3" t="s">
        <v>1376</v>
      </c>
      <c r="AF180" s="3">
        <v>0.55</v>
      </c>
      <c r="AG180" s="3">
        <v>2.781</v>
      </c>
      <c r="AH180" s="3">
        <v>0.315</v>
      </c>
      <c r="AI180" s="3">
        <v>48.668</v>
      </c>
      <c r="AJ180" s="3">
        <v>7.531</v>
      </c>
      <c r="AK180" s="3" t="s">
        <v>1377</v>
      </c>
      <c r="AL180" s="3">
        <v>0.111</v>
      </c>
      <c r="AM180" s="3" t="s">
        <v>1509</v>
      </c>
    </row>
    <row r="181" ht="15.75" customHeight="1">
      <c r="A181" s="3">
        <v>1.72994E12</v>
      </c>
      <c r="B181" s="3">
        <v>3.0</v>
      </c>
      <c r="C181" s="3" t="s">
        <v>649</v>
      </c>
      <c r="D181" s="3" t="s">
        <v>1369</v>
      </c>
      <c r="E181" s="3" t="s">
        <v>649</v>
      </c>
      <c r="F181" s="3">
        <v>1.0</v>
      </c>
      <c r="G181" s="3">
        <v>0.0</v>
      </c>
      <c r="H181" s="3">
        <v>0.0</v>
      </c>
      <c r="I181" s="3">
        <v>0.0</v>
      </c>
      <c r="J181" s="3">
        <v>0.0</v>
      </c>
      <c r="K181" s="3">
        <v>1.0</v>
      </c>
      <c r="L181" s="3">
        <v>0.0</v>
      </c>
      <c r="M181" s="3">
        <v>1.0</v>
      </c>
      <c r="N181" s="3">
        <v>0.0</v>
      </c>
      <c r="O181" s="3">
        <v>0.0</v>
      </c>
      <c r="P181" s="3">
        <v>0.0</v>
      </c>
      <c r="Q181" s="3">
        <v>0.0</v>
      </c>
      <c r="R181" s="3">
        <v>0.0</v>
      </c>
      <c r="S181" s="3">
        <v>0.0</v>
      </c>
      <c r="T181" s="3">
        <v>0.0</v>
      </c>
      <c r="U181" s="3">
        <v>0.0</v>
      </c>
      <c r="V181" s="3">
        <v>0.0</v>
      </c>
      <c r="W181" s="3" t="s">
        <v>1294</v>
      </c>
      <c r="X181" s="3" t="s">
        <v>1805</v>
      </c>
      <c r="Y181" s="3" t="s">
        <v>1806</v>
      </c>
      <c r="Z181" s="3" t="s">
        <v>1807</v>
      </c>
      <c r="AA181" s="3" t="s">
        <v>1808</v>
      </c>
      <c r="AB181" s="3" t="s">
        <v>1374</v>
      </c>
      <c r="AC181" s="3" t="s">
        <v>1809</v>
      </c>
      <c r="AD181" s="3" t="s">
        <v>1554</v>
      </c>
      <c r="AE181" s="3" t="s">
        <v>1805</v>
      </c>
      <c r="AF181" s="3" t="s">
        <v>1519</v>
      </c>
      <c r="AG181" s="3" t="s">
        <v>1519</v>
      </c>
      <c r="AH181" s="3">
        <v>0.221</v>
      </c>
      <c r="AI181" s="3" t="s">
        <v>1519</v>
      </c>
      <c r="AJ181" s="3" t="s">
        <v>1519</v>
      </c>
      <c r="AK181" s="3" t="s">
        <v>1810</v>
      </c>
      <c r="AL181" s="3">
        <v>0.0</v>
      </c>
      <c r="AM181" s="3" t="s">
        <v>1519</v>
      </c>
    </row>
    <row r="182" ht="15.75" customHeight="1">
      <c r="A182" s="3">
        <v>1.73037E12</v>
      </c>
      <c r="B182" s="3">
        <v>14.0</v>
      </c>
      <c r="C182" s="3" t="s">
        <v>885</v>
      </c>
      <c r="D182" s="3" t="s">
        <v>1369</v>
      </c>
      <c r="E182" s="3" t="s">
        <v>885</v>
      </c>
      <c r="F182" s="3">
        <v>1.0</v>
      </c>
      <c r="G182" s="3">
        <v>1.0</v>
      </c>
      <c r="H182" s="3">
        <v>1.0</v>
      </c>
      <c r="I182" s="3">
        <v>1.0</v>
      </c>
      <c r="J182" s="3">
        <v>1.0</v>
      </c>
      <c r="K182" s="3">
        <v>1.0</v>
      </c>
      <c r="L182" s="3">
        <v>1.0</v>
      </c>
      <c r="M182" s="3">
        <v>1.0</v>
      </c>
      <c r="N182" s="3">
        <v>1.0</v>
      </c>
      <c r="O182" s="3">
        <v>1.0</v>
      </c>
      <c r="P182" s="3">
        <v>1.0</v>
      </c>
      <c r="Q182" s="3">
        <v>0.0</v>
      </c>
      <c r="R182" s="3">
        <v>0.0</v>
      </c>
      <c r="S182" s="3">
        <v>1.0</v>
      </c>
      <c r="T182" s="3">
        <v>1.0</v>
      </c>
      <c r="U182" s="3">
        <v>0.0</v>
      </c>
      <c r="V182" s="3">
        <v>1.0</v>
      </c>
      <c r="W182" s="3" t="s">
        <v>169</v>
      </c>
      <c r="X182" s="3" t="s">
        <v>1429</v>
      </c>
      <c r="Y182" s="3" t="s">
        <v>1430</v>
      </c>
      <c r="Z182" s="3" t="s">
        <v>1423</v>
      </c>
      <c r="AA182" s="3" t="s">
        <v>1432</v>
      </c>
      <c r="AB182" s="3" t="s">
        <v>1374</v>
      </c>
      <c r="AC182" s="3" t="s">
        <v>1391</v>
      </c>
      <c r="AD182" s="3" t="s">
        <v>1433</v>
      </c>
      <c r="AE182" s="3" t="s">
        <v>1434</v>
      </c>
      <c r="AF182" s="3">
        <v>0.168</v>
      </c>
      <c r="AG182" s="3">
        <v>1.192</v>
      </c>
      <c r="AH182" s="3">
        <v>0.358</v>
      </c>
      <c r="AI182" s="3">
        <v>112.0</v>
      </c>
      <c r="AJ182" s="3">
        <v>-5.301</v>
      </c>
      <c r="AK182" s="3" t="s">
        <v>1811</v>
      </c>
      <c r="AL182" s="3">
        <v>0.114</v>
      </c>
      <c r="AM182" s="3" t="s">
        <v>1436</v>
      </c>
    </row>
    <row r="183" ht="15.75" customHeight="1">
      <c r="A183" s="3">
        <v>1.73039E12</v>
      </c>
      <c r="B183" s="3">
        <v>17.0</v>
      </c>
      <c r="C183" s="3" t="s">
        <v>502</v>
      </c>
      <c r="D183" s="3" t="s">
        <v>1369</v>
      </c>
      <c r="E183" s="3" t="s">
        <v>502</v>
      </c>
      <c r="F183" s="3">
        <v>1.0</v>
      </c>
      <c r="G183" s="3">
        <v>1.0</v>
      </c>
      <c r="H183" s="3">
        <v>1.0</v>
      </c>
      <c r="I183" s="3">
        <v>1.0</v>
      </c>
      <c r="J183" s="3">
        <v>1.0</v>
      </c>
      <c r="K183" s="3">
        <v>1.0</v>
      </c>
      <c r="L183" s="3">
        <v>1.0</v>
      </c>
      <c r="M183" s="3">
        <v>1.0</v>
      </c>
      <c r="N183" s="3">
        <v>1.0</v>
      </c>
      <c r="O183" s="3">
        <v>1.0</v>
      </c>
      <c r="P183" s="3">
        <v>1.0</v>
      </c>
      <c r="Q183" s="3">
        <v>1.0</v>
      </c>
      <c r="R183" s="3">
        <v>1.0</v>
      </c>
      <c r="S183" s="3">
        <v>1.0</v>
      </c>
      <c r="T183" s="3">
        <v>1.0</v>
      </c>
      <c r="U183" s="3">
        <v>1.0</v>
      </c>
      <c r="V183" s="3">
        <v>1.0</v>
      </c>
      <c r="W183" s="3" t="s">
        <v>998</v>
      </c>
      <c r="X183" s="3" t="s">
        <v>1521</v>
      </c>
      <c r="Y183" s="3" t="s">
        <v>1522</v>
      </c>
      <c r="Z183" s="3" t="s">
        <v>1372</v>
      </c>
      <c r="AA183" s="3" t="s">
        <v>1523</v>
      </c>
      <c r="AB183" s="3" t="s">
        <v>1374</v>
      </c>
      <c r="AC183" s="3" t="s">
        <v>1374</v>
      </c>
      <c r="AD183" s="3" t="s">
        <v>1524</v>
      </c>
      <c r="AE183" s="3" t="s">
        <v>1525</v>
      </c>
      <c r="AF183" s="3">
        <v>0.029</v>
      </c>
      <c r="AG183" s="3">
        <v>0.068</v>
      </c>
      <c r="AH183" s="3" t="s">
        <v>1394</v>
      </c>
      <c r="AI183" s="3" t="s">
        <v>1394</v>
      </c>
      <c r="AJ183" s="3">
        <v>1.996</v>
      </c>
      <c r="AK183" s="3" t="s">
        <v>1812</v>
      </c>
      <c r="AL183" s="3" t="s">
        <v>1394</v>
      </c>
      <c r="AM183" s="3" t="s">
        <v>1527</v>
      </c>
    </row>
    <row r="184" ht="15.75" customHeight="1">
      <c r="A184" s="3">
        <v>1.73036E12</v>
      </c>
      <c r="B184" s="3">
        <v>12.0</v>
      </c>
      <c r="C184" s="3" t="s">
        <v>849</v>
      </c>
      <c r="D184" s="3" t="s">
        <v>1369</v>
      </c>
      <c r="E184" s="3" t="s">
        <v>849</v>
      </c>
      <c r="F184" s="3">
        <v>1.0</v>
      </c>
      <c r="G184" s="3">
        <v>1.0</v>
      </c>
      <c r="H184" s="3">
        <v>1.0</v>
      </c>
      <c r="I184" s="3">
        <v>1.0</v>
      </c>
      <c r="J184" s="3">
        <v>1.0</v>
      </c>
      <c r="K184" s="3">
        <v>1.0</v>
      </c>
      <c r="L184" s="3">
        <v>1.0</v>
      </c>
      <c r="M184" s="3">
        <v>1.0</v>
      </c>
      <c r="N184" s="3">
        <v>1.0</v>
      </c>
      <c r="O184" s="3">
        <v>1.0</v>
      </c>
      <c r="P184" s="3">
        <v>1.0</v>
      </c>
      <c r="Q184" s="3">
        <v>0.0</v>
      </c>
      <c r="R184" s="3">
        <v>0.0</v>
      </c>
      <c r="S184" s="3">
        <v>0.0</v>
      </c>
      <c r="T184" s="3">
        <v>1.0</v>
      </c>
      <c r="U184" s="3">
        <v>0.0</v>
      </c>
      <c r="V184" s="3">
        <v>0.0</v>
      </c>
      <c r="W184" s="3" t="s">
        <v>188</v>
      </c>
      <c r="X184" s="3" t="s">
        <v>1388</v>
      </c>
      <c r="Y184" s="3" t="s">
        <v>1389</v>
      </c>
      <c r="Z184" s="3" t="s">
        <v>1813</v>
      </c>
      <c r="AA184" s="3" t="s">
        <v>1814</v>
      </c>
      <c r="AB184" s="3" t="s">
        <v>1374</v>
      </c>
      <c r="AC184" s="3" t="s">
        <v>1391</v>
      </c>
      <c r="AD184" s="3" t="s">
        <v>1392</v>
      </c>
      <c r="AE184" s="3" t="s">
        <v>1393</v>
      </c>
      <c r="AF184" s="3">
        <v>0.071</v>
      </c>
      <c r="AG184" s="3">
        <v>1.031</v>
      </c>
      <c r="AH184" s="3">
        <v>0.323</v>
      </c>
      <c r="AI184" s="3">
        <v>294.695</v>
      </c>
      <c r="AJ184" s="3">
        <v>13.721</v>
      </c>
      <c r="AK184" s="3" t="s">
        <v>1685</v>
      </c>
      <c r="AL184" s="3">
        <v>0.097</v>
      </c>
      <c r="AM184" s="3" t="s">
        <v>1519</v>
      </c>
    </row>
    <row r="185" ht="15.75" customHeight="1">
      <c r="A185" s="3">
        <v>1.73039E12</v>
      </c>
      <c r="B185" s="3">
        <v>16.0</v>
      </c>
      <c r="C185" s="3" t="s">
        <v>909</v>
      </c>
      <c r="D185" s="3" t="s">
        <v>1369</v>
      </c>
      <c r="E185" s="3" t="s">
        <v>909</v>
      </c>
      <c r="F185" s="3">
        <v>1.0</v>
      </c>
      <c r="G185" s="3">
        <v>1.0</v>
      </c>
      <c r="H185" s="3">
        <v>1.0</v>
      </c>
      <c r="I185" s="3">
        <v>1.0</v>
      </c>
      <c r="J185" s="3">
        <v>1.0</v>
      </c>
      <c r="K185" s="3">
        <v>1.0</v>
      </c>
      <c r="L185" s="3">
        <v>1.0</v>
      </c>
      <c r="M185" s="3">
        <v>1.0</v>
      </c>
      <c r="N185" s="3">
        <v>1.0</v>
      </c>
      <c r="O185" s="3">
        <v>1.0</v>
      </c>
      <c r="P185" s="3">
        <v>1.0</v>
      </c>
      <c r="Q185" s="3">
        <v>0.0</v>
      </c>
      <c r="R185" s="3">
        <v>1.0</v>
      </c>
      <c r="S185" s="3">
        <v>1.0</v>
      </c>
      <c r="T185" s="3">
        <v>1.0</v>
      </c>
      <c r="U185" s="3">
        <v>1.0</v>
      </c>
      <c r="V185" s="3">
        <v>1.0</v>
      </c>
      <c r="W185" s="3" t="s">
        <v>824</v>
      </c>
      <c r="X185" s="3" t="s">
        <v>1542</v>
      </c>
      <c r="Y185" s="3" t="s">
        <v>1543</v>
      </c>
      <c r="Z185" s="3" t="s">
        <v>1423</v>
      </c>
      <c r="AA185" s="3" t="s">
        <v>1544</v>
      </c>
      <c r="AB185" s="3" t="s">
        <v>1374</v>
      </c>
      <c r="AC185" s="3" t="s">
        <v>1451</v>
      </c>
      <c r="AD185" s="3" t="s">
        <v>1545</v>
      </c>
      <c r="AE185" s="3" t="s">
        <v>1546</v>
      </c>
      <c r="AF185" s="3">
        <v>0.035</v>
      </c>
      <c r="AG185" s="3">
        <v>0.068</v>
      </c>
      <c r="AH185" s="3">
        <v>0.252</v>
      </c>
      <c r="AI185" s="3">
        <v>54.041</v>
      </c>
      <c r="AJ185" s="3">
        <v>-10.305</v>
      </c>
      <c r="AK185" s="3" t="s">
        <v>1604</v>
      </c>
      <c r="AL185" s="3">
        <v>0.042</v>
      </c>
      <c r="AM185" s="3" t="s">
        <v>1548</v>
      </c>
    </row>
    <row r="186" ht="15.75" customHeight="1">
      <c r="A186" s="3">
        <v>1.73037E12</v>
      </c>
      <c r="B186" s="3">
        <v>16.0</v>
      </c>
      <c r="C186" s="3" t="s">
        <v>939</v>
      </c>
      <c r="D186" s="3" t="s">
        <v>1369</v>
      </c>
      <c r="E186" s="3" t="s">
        <v>939</v>
      </c>
      <c r="F186" s="3">
        <v>1.0</v>
      </c>
      <c r="G186" s="3">
        <v>1.0</v>
      </c>
      <c r="H186" s="3">
        <v>1.0</v>
      </c>
      <c r="I186" s="3">
        <v>1.0</v>
      </c>
      <c r="J186" s="3">
        <v>1.0</v>
      </c>
      <c r="K186" s="3">
        <v>1.0</v>
      </c>
      <c r="L186" s="3">
        <v>1.0</v>
      </c>
      <c r="M186" s="3">
        <v>1.0</v>
      </c>
      <c r="N186" s="3">
        <v>1.0</v>
      </c>
      <c r="O186" s="3">
        <v>1.0</v>
      </c>
      <c r="P186" s="3">
        <v>1.0</v>
      </c>
      <c r="Q186" s="3">
        <v>1.0</v>
      </c>
      <c r="R186" s="3">
        <v>1.0</v>
      </c>
      <c r="S186" s="3">
        <v>0.0</v>
      </c>
      <c r="T186" s="3">
        <v>1.0</v>
      </c>
      <c r="U186" s="3">
        <v>1.0</v>
      </c>
      <c r="V186" s="3">
        <v>1.0</v>
      </c>
      <c r="W186" s="3" t="s">
        <v>1224</v>
      </c>
      <c r="X186" s="3" t="s">
        <v>1447</v>
      </c>
      <c r="Y186" s="3" t="s">
        <v>1448</v>
      </c>
      <c r="Z186" s="3" t="s">
        <v>1372</v>
      </c>
      <c r="AA186" s="3" t="s">
        <v>1450</v>
      </c>
      <c r="AB186" s="3" t="s">
        <v>1374</v>
      </c>
      <c r="AC186" s="3" t="s">
        <v>1451</v>
      </c>
      <c r="AD186" s="3" t="s">
        <v>1675</v>
      </c>
      <c r="AE186" s="3" t="s">
        <v>1453</v>
      </c>
      <c r="AF186" s="3">
        <v>0.033</v>
      </c>
      <c r="AG186" s="3">
        <v>0.217</v>
      </c>
      <c r="AH186" s="3">
        <v>0.388</v>
      </c>
      <c r="AI186" s="3">
        <v>48.585</v>
      </c>
      <c r="AJ186" s="3">
        <v>0.685</v>
      </c>
      <c r="AK186" s="3" t="s">
        <v>1789</v>
      </c>
      <c r="AL186" s="3">
        <v>0.176</v>
      </c>
      <c r="AM186" s="3" t="s">
        <v>1455</v>
      </c>
    </row>
    <row r="187" ht="15.75" customHeight="1">
      <c r="A187" s="3">
        <v>1.73029E12</v>
      </c>
      <c r="B187" s="3">
        <v>13.0</v>
      </c>
      <c r="C187" s="3" t="s">
        <v>387</v>
      </c>
      <c r="D187" s="3" t="s">
        <v>1369</v>
      </c>
      <c r="E187" s="3" t="s">
        <v>387</v>
      </c>
      <c r="F187" s="3">
        <v>1.0</v>
      </c>
      <c r="G187" s="3">
        <v>1.0</v>
      </c>
      <c r="H187" s="3">
        <v>1.0</v>
      </c>
      <c r="I187" s="3">
        <v>1.0</v>
      </c>
      <c r="J187" s="3">
        <v>1.0</v>
      </c>
      <c r="K187" s="3">
        <v>1.0</v>
      </c>
      <c r="L187" s="3">
        <v>1.0</v>
      </c>
      <c r="M187" s="3">
        <v>1.0</v>
      </c>
      <c r="N187" s="3">
        <v>1.0</v>
      </c>
      <c r="O187" s="3">
        <v>1.0</v>
      </c>
      <c r="P187" s="3">
        <v>1.0</v>
      </c>
      <c r="Q187" s="3">
        <v>0.0</v>
      </c>
      <c r="R187" s="3">
        <v>1.0</v>
      </c>
      <c r="S187" s="3">
        <v>0.0</v>
      </c>
      <c r="T187" s="3">
        <v>0.0</v>
      </c>
      <c r="U187" s="3">
        <v>0.0</v>
      </c>
      <c r="V187" s="3">
        <v>1.0</v>
      </c>
      <c r="W187" s="3" t="s">
        <v>771</v>
      </c>
      <c r="X187" s="3" t="s">
        <v>1379</v>
      </c>
      <c r="Y187" s="3" t="s">
        <v>1380</v>
      </c>
      <c r="Z187" s="3" t="s">
        <v>1372</v>
      </c>
      <c r="AA187" s="3" t="s">
        <v>1382</v>
      </c>
      <c r="AB187" s="3" t="s">
        <v>1374</v>
      </c>
      <c r="AC187" s="3" t="s">
        <v>1400</v>
      </c>
      <c r="AD187" s="3" t="s">
        <v>1425</v>
      </c>
      <c r="AE187" s="3" t="s">
        <v>1385</v>
      </c>
      <c r="AF187" s="3">
        <v>0.191</v>
      </c>
      <c r="AG187" s="3">
        <v>2.342</v>
      </c>
      <c r="AI187" s="3">
        <v>64.186</v>
      </c>
      <c r="AM187" s="3" t="s">
        <v>1387</v>
      </c>
    </row>
    <row r="188" ht="15.75" customHeight="1">
      <c r="A188" s="3">
        <v>1.73036E12</v>
      </c>
      <c r="B188" s="3">
        <v>16.0</v>
      </c>
      <c r="C188" s="3" t="s">
        <v>1815</v>
      </c>
      <c r="D188" s="3" t="s">
        <v>1369</v>
      </c>
      <c r="E188" s="3" t="s">
        <v>1815</v>
      </c>
      <c r="F188" s="3">
        <v>1.0</v>
      </c>
      <c r="G188" s="3">
        <v>1.0</v>
      </c>
      <c r="H188" s="3">
        <v>1.0</v>
      </c>
      <c r="I188" s="3">
        <v>1.0</v>
      </c>
      <c r="J188" s="3">
        <v>1.0</v>
      </c>
      <c r="K188" s="3">
        <v>1.0</v>
      </c>
      <c r="L188" s="3">
        <v>1.0</v>
      </c>
      <c r="M188" s="3">
        <v>1.0</v>
      </c>
      <c r="N188" s="3">
        <v>1.0</v>
      </c>
      <c r="O188" s="3">
        <v>1.0</v>
      </c>
      <c r="P188" s="3">
        <v>1.0</v>
      </c>
      <c r="Q188" s="3">
        <v>1.0</v>
      </c>
      <c r="R188" s="3">
        <v>1.0</v>
      </c>
      <c r="S188" s="3">
        <v>0.0</v>
      </c>
      <c r="T188" s="3">
        <v>1.0</v>
      </c>
      <c r="U188" s="3">
        <v>1.0</v>
      </c>
      <c r="V188" s="3">
        <v>1.0</v>
      </c>
      <c r="W188" s="3" t="s">
        <v>1321</v>
      </c>
      <c r="X188" s="3" t="s">
        <v>1405</v>
      </c>
      <c r="Y188" s="3" t="s">
        <v>1406</v>
      </c>
      <c r="Z188" s="3" t="s">
        <v>1372</v>
      </c>
      <c r="AA188" s="3" t="s">
        <v>1407</v>
      </c>
      <c r="AB188" s="3" t="s">
        <v>1374</v>
      </c>
      <c r="AC188" s="3" t="s">
        <v>1400</v>
      </c>
      <c r="AD188" s="3" t="s">
        <v>1506</v>
      </c>
      <c r="AE188" s="3" t="s">
        <v>1409</v>
      </c>
      <c r="AF188" s="3">
        <v>-0.017</v>
      </c>
      <c r="AG188" s="3">
        <v>-0.049</v>
      </c>
      <c r="AH188" s="3">
        <v>0.161</v>
      </c>
      <c r="AI188" s="3">
        <v>-178.529</v>
      </c>
      <c r="AJ188" s="3">
        <v>12.8</v>
      </c>
      <c r="AK188" s="3" t="s">
        <v>1535</v>
      </c>
      <c r="AL188" s="3">
        <v>0.255</v>
      </c>
      <c r="AM188" s="3" t="s">
        <v>1411</v>
      </c>
    </row>
    <row r="189" ht="15.75" customHeight="1">
      <c r="A189" s="3">
        <v>1.7304E12</v>
      </c>
      <c r="B189" s="3">
        <v>17.0</v>
      </c>
      <c r="C189" s="3" t="s">
        <v>500</v>
      </c>
      <c r="D189" s="3" t="s">
        <v>1369</v>
      </c>
      <c r="E189" s="3" t="s">
        <v>500</v>
      </c>
      <c r="F189" s="3">
        <v>1.0</v>
      </c>
      <c r="G189" s="3">
        <v>1.0</v>
      </c>
      <c r="H189" s="3">
        <v>1.0</v>
      </c>
      <c r="I189" s="3">
        <v>1.0</v>
      </c>
      <c r="J189" s="3">
        <v>1.0</v>
      </c>
      <c r="K189" s="3">
        <v>1.0</v>
      </c>
      <c r="L189" s="3">
        <v>1.0</v>
      </c>
      <c r="M189" s="3">
        <v>1.0</v>
      </c>
      <c r="N189" s="3">
        <v>1.0</v>
      </c>
      <c r="O189" s="3">
        <v>1.0</v>
      </c>
      <c r="P189" s="3">
        <v>1.0</v>
      </c>
      <c r="Q189" s="3">
        <v>1.0</v>
      </c>
      <c r="R189" s="3">
        <v>1.0</v>
      </c>
      <c r="S189" s="3">
        <v>1.0</v>
      </c>
      <c r="T189" s="3">
        <v>1.0</v>
      </c>
      <c r="U189" s="3">
        <v>1.0</v>
      </c>
      <c r="V189" s="3">
        <v>1.0</v>
      </c>
      <c r="W189" s="3" t="s">
        <v>1180</v>
      </c>
      <c r="X189" s="3" t="s">
        <v>1590</v>
      </c>
      <c r="Y189" s="3" t="s">
        <v>1591</v>
      </c>
      <c r="Z189" s="3" t="s">
        <v>1423</v>
      </c>
      <c r="AA189" s="3" t="s">
        <v>1593</v>
      </c>
      <c r="AB189" s="3" t="s">
        <v>1374</v>
      </c>
      <c r="AC189" s="3" t="s">
        <v>1374</v>
      </c>
      <c r="AD189" s="3" t="s">
        <v>1625</v>
      </c>
      <c r="AE189" s="3" t="s">
        <v>1595</v>
      </c>
      <c r="AF189" s="3">
        <v>0.188</v>
      </c>
      <c r="AG189" s="3">
        <v>2.242</v>
      </c>
      <c r="AH189" s="3" t="s">
        <v>1394</v>
      </c>
      <c r="AI189" s="3" t="s">
        <v>1394</v>
      </c>
      <c r="AJ189" s="3">
        <v>7.35</v>
      </c>
      <c r="AK189" s="3" t="s">
        <v>1626</v>
      </c>
      <c r="AL189" s="3" t="s">
        <v>1394</v>
      </c>
      <c r="AM189" s="3" t="s">
        <v>1469</v>
      </c>
    </row>
    <row r="190" ht="15.75" customHeight="1">
      <c r="A190" s="3">
        <v>1.72962E12</v>
      </c>
      <c r="B190" s="3">
        <v>16.0</v>
      </c>
      <c r="C190" s="3" t="s">
        <v>54</v>
      </c>
      <c r="D190" s="3" t="s">
        <v>1369</v>
      </c>
      <c r="E190" s="3" t="s">
        <v>54</v>
      </c>
      <c r="F190" s="3">
        <v>1.0</v>
      </c>
      <c r="G190" s="3">
        <v>1.0</v>
      </c>
      <c r="H190" s="3">
        <v>1.0</v>
      </c>
      <c r="I190" s="3">
        <v>1.0</v>
      </c>
      <c r="J190" s="3">
        <v>1.0</v>
      </c>
      <c r="K190" s="3">
        <v>1.0</v>
      </c>
      <c r="L190" s="3">
        <v>1.0</v>
      </c>
      <c r="M190" s="3">
        <v>1.0</v>
      </c>
      <c r="N190" s="3">
        <v>1.0</v>
      </c>
      <c r="O190" s="3">
        <v>1.0</v>
      </c>
      <c r="P190" s="3">
        <v>1.0</v>
      </c>
      <c r="Q190" s="3">
        <v>1.0</v>
      </c>
      <c r="R190" s="3">
        <v>1.0</v>
      </c>
      <c r="S190" s="3">
        <v>0.0</v>
      </c>
      <c r="T190" s="3">
        <v>1.0</v>
      </c>
      <c r="U190" s="3">
        <v>1.0</v>
      </c>
      <c r="V190" s="3">
        <v>1.0</v>
      </c>
      <c r="W190" s="3" t="s">
        <v>1317</v>
      </c>
      <c r="X190" s="3" t="s">
        <v>1578</v>
      </c>
      <c r="Y190" s="3" t="s">
        <v>1579</v>
      </c>
      <c r="Z190" s="3" t="s">
        <v>1372</v>
      </c>
      <c r="AA190" s="3" t="s">
        <v>1382</v>
      </c>
      <c r="AB190" s="3" t="s">
        <v>1374</v>
      </c>
      <c r="AC190" s="3" t="s">
        <v>1580</v>
      </c>
      <c r="AD190" s="3" t="s">
        <v>1581</v>
      </c>
      <c r="AE190" s="3" t="s">
        <v>1582</v>
      </c>
      <c r="AF190" s="3">
        <v>0.051</v>
      </c>
      <c r="AG190" s="3">
        <v>0.282</v>
      </c>
      <c r="AH190" s="3">
        <v>0.426</v>
      </c>
      <c r="AI190" s="3">
        <v>-81.263</v>
      </c>
      <c r="AJ190" s="3">
        <v>2.196</v>
      </c>
      <c r="AK190" s="3" t="s">
        <v>1583</v>
      </c>
      <c r="AL190" s="3">
        <v>0.138</v>
      </c>
      <c r="AM190" s="3" t="s">
        <v>1584</v>
      </c>
    </row>
    <row r="191" ht="15.75" customHeight="1">
      <c r="A191" s="3">
        <v>1.73018E12</v>
      </c>
      <c r="B191" s="3">
        <v>15.0</v>
      </c>
      <c r="C191" s="3" t="s">
        <v>191</v>
      </c>
      <c r="D191" s="3" t="s">
        <v>1369</v>
      </c>
      <c r="E191" s="3" t="s">
        <v>191</v>
      </c>
      <c r="F191" s="3">
        <v>1.0</v>
      </c>
      <c r="G191" s="3">
        <v>1.0</v>
      </c>
      <c r="H191" s="3">
        <v>1.0</v>
      </c>
      <c r="I191" s="3">
        <v>1.0</v>
      </c>
      <c r="J191" s="3">
        <v>1.0</v>
      </c>
      <c r="K191" s="3">
        <v>1.0</v>
      </c>
      <c r="L191" s="3">
        <v>1.0</v>
      </c>
      <c r="M191" s="3">
        <v>1.0</v>
      </c>
      <c r="N191" s="3">
        <v>1.0</v>
      </c>
      <c r="O191" s="3">
        <v>1.0</v>
      </c>
      <c r="P191" s="3">
        <v>1.0</v>
      </c>
      <c r="Q191" s="3">
        <v>0.0</v>
      </c>
      <c r="R191" s="3">
        <v>1.0</v>
      </c>
      <c r="S191" s="3">
        <v>0.0</v>
      </c>
      <c r="T191" s="3">
        <v>1.0</v>
      </c>
      <c r="U191" s="3">
        <v>1.0</v>
      </c>
      <c r="V191" s="3">
        <v>1.0</v>
      </c>
      <c r="W191" s="3" t="s">
        <v>89</v>
      </c>
      <c r="X191" s="3" t="s">
        <v>1521</v>
      </c>
      <c r="Y191" s="3" t="s">
        <v>1522</v>
      </c>
      <c r="Z191" s="3" t="s">
        <v>1372</v>
      </c>
      <c r="AA191" s="3" t="s">
        <v>1523</v>
      </c>
      <c r="AB191" s="3" t="s">
        <v>1374</v>
      </c>
      <c r="AC191" s="3" t="s">
        <v>1374</v>
      </c>
      <c r="AD191" s="3" t="s">
        <v>1524</v>
      </c>
      <c r="AE191" s="3" t="s">
        <v>1525</v>
      </c>
      <c r="AF191" s="3">
        <v>0.029</v>
      </c>
      <c r="AG191" s="3">
        <v>0.068</v>
      </c>
      <c r="AH191" s="3">
        <v>0.444</v>
      </c>
      <c r="AI191" s="3">
        <v>1067.887</v>
      </c>
      <c r="AJ191" s="3">
        <v>1.609</v>
      </c>
      <c r="AK191" s="3" t="s">
        <v>1812</v>
      </c>
      <c r="AL191" s="3">
        <v>0.069</v>
      </c>
      <c r="AM191" s="3" t="s">
        <v>1527</v>
      </c>
    </row>
    <row r="192" ht="15.75" customHeight="1">
      <c r="A192" s="3">
        <v>1.73036E12</v>
      </c>
      <c r="B192" s="3">
        <v>9.0</v>
      </c>
      <c r="C192" s="3" t="s">
        <v>333</v>
      </c>
      <c r="D192" s="3" t="s">
        <v>1369</v>
      </c>
      <c r="E192" s="3" t="s">
        <v>333</v>
      </c>
      <c r="F192" s="3">
        <v>1.0</v>
      </c>
      <c r="G192" s="3">
        <v>1.0</v>
      </c>
      <c r="H192" s="3">
        <v>1.0</v>
      </c>
      <c r="I192" s="3">
        <v>0.0</v>
      </c>
      <c r="J192" s="3">
        <v>1.0</v>
      </c>
      <c r="K192" s="3">
        <v>1.0</v>
      </c>
      <c r="L192" s="3">
        <v>1.0</v>
      </c>
      <c r="M192" s="3">
        <v>1.0</v>
      </c>
      <c r="N192" s="3">
        <v>0.0</v>
      </c>
      <c r="O192" s="3">
        <v>1.0</v>
      </c>
      <c r="P192" s="3">
        <v>1.0</v>
      </c>
      <c r="Q192" s="3">
        <v>0.0</v>
      </c>
      <c r="R192" s="3">
        <v>0.0</v>
      </c>
      <c r="S192" s="3">
        <v>0.0</v>
      </c>
      <c r="T192" s="3">
        <v>0.0</v>
      </c>
      <c r="U192" s="3">
        <v>0.0</v>
      </c>
      <c r="V192" s="3">
        <v>0.0</v>
      </c>
      <c r="W192" s="3" t="s">
        <v>406</v>
      </c>
      <c r="X192" s="3" t="s">
        <v>1379</v>
      </c>
      <c r="Y192" s="3" t="s">
        <v>1380</v>
      </c>
      <c r="Z192" s="3" t="s">
        <v>1512</v>
      </c>
      <c r="AA192" s="3" t="s">
        <v>1382</v>
      </c>
      <c r="AB192" s="3" t="s">
        <v>1374</v>
      </c>
      <c r="AC192" s="3" t="s">
        <v>1451</v>
      </c>
      <c r="AD192" s="3" t="s">
        <v>1786</v>
      </c>
      <c r="AE192" s="3" t="s">
        <v>1767</v>
      </c>
      <c r="AF192" s="3">
        <v>0.191</v>
      </c>
      <c r="AG192" s="3">
        <v>2.348</v>
      </c>
      <c r="AH192" s="3" t="s">
        <v>1519</v>
      </c>
      <c r="AJ192" s="3">
        <v>4.464</v>
      </c>
      <c r="AK192" s="3" t="s">
        <v>1816</v>
      </c>
      <c r="AM192" s="3" t="s">
        <v>1817</v>
      </c>
    </row>
    <row r="193" ht="15.75" customHeight="1">
      <c r="A193" s="3">
        <v>1.7304E12</v>
      </c>
      <c r="B193" s="3">
        <v>14.0</v>
      </c>
      <c r="C193" s="3" t="s">
        <v>168</v>
      </c>
      <c r="D193" s="3" t="s">
        <v>1369</v>
      </c>
      <c r="E193" s="3" t="s">
        <v>168</v>
      </c>
      <c r="F193" s="3">
        <v>1.0</v>
      </c>
      <c r="G193" s="3">
        <v>1.0</v>
      </c>
      <c r="H193" s="3">
        <v>1.0</v>
      </c>
      <c r="I193" s="3">
        <v>1.0</v>
      </c>
      <c r="J193" s="3">
        <v>1.0</v>
      </c>
      <c r="K193" s="3">
        <v>1.0</v>
      </c>
      <c r="L193" s="3">
        <v>1.0</v>
      </c>
      <c r="M193" s="3">
        <v>1.0</v>
      </c>
      <c r="N193" s="3">
        <v>1.0</v>
      </c>
      <c r="O193" s="3">
        <v>1.0</v>
      </c>
      <c r="P193" s="3">
        <v>1.0</v>
      </c>
      <c r="Q193" s="3">
        <v>0.0</v>
      </c>
      <c r="R193" s="3">
        <v>0.0</v>
      </c>
      <c r="S193" s="3">
        <v>1.0</v>
      </c>
      <c r="T193" s="3">
        <v>1.0</v>
      </c>
      <c r="U193" s="3">
        <v>0.0</v>
      </c>
      <c r="V193" s="3">
        <v>1.0</v>
      </c>
      <c r="W193" s="3" t="s">
        <v>492</v>
      </c>
      <c r="X193" s="3" t="s">
        <v>1421</v>
      </c>
      <c r="Y193" s="3" t="s">
        <v>1422</v>
      </c>
      <c r="Z193" s="3" t="s">
        <v>1423</v>
      </c>
      <c r="AA193" s="3" t="s">
        <v>1424</v>
      </c>
      <c r="AB193" s="3" t="s">
        <v>1374</v>
      </c>
      <c r="AC193" s="3" t="s">
        <v>1391</v>
      </c>
      <c r="AD193" s="3" t="s">
        <v>1425</v>
      </c>
      <c r="AE193" s="3" t="s">
        <v>1781</v>
      </c>
      <c r="AF193" s="3">
        <v>0.051</v>
      </c>
      <c r="AG193" s="3">
        <v>0.21</v>
      </c>
      <c r="AH193" s="3">
        <v>0.362</v>
      </c>
      <c r="AI193" s="3">
        <v>-29.046</v>
      </c>
      <c r="AJ193" s="3">
        <v>0.522</v>
      </c>
      <c r="AK193" s="3" t="s">
        <v>1818</v>
      </c>
      <c r="AL193" s="3">
        <v>0.188</v>
      </c>
      <c r="AM193" s="3" t="s">
        <v>1428</v>
      </c>
    </row>
    <row r="194" ht="15.75" customHeight="1">
      <c r="A194" s="3">
        <v>1.73039E12</v>
      </c>
      <c r="B194" s="3">
        <v>17.0</v>
      </c>
      <c r="C194" s="3" t="s">
        <v>910</v>
      </c>
      <c r="D194" s="3" t="s">
        <v>1369</v>
      </c>
      <c r="E194" s="3" t="s">
        <v>910</v>
      </c>
      <c r="F194" s="3">
        <v>1.0</v>
      </c>
      <c r="G194" s="3">
        <v>1.0</v>
      </c>
      <c r="H194" s="3">
        <v>1.0</v>
      </c>
      <c r="I194" s="3">
        <v>1.0</v>
      </c>
      <c r="J194" s="3">
        <v>1.0</v>
      </c>
      <c r="K194" s="3">
        <v>1.0</v>
      </c>
      <c r="L194" s="3">
        <v>1.0</v>
      </c>
      <c r="M194" s="3">
        <v>1.0</v>
      </c>
      <c r="N194" s="3">
        <v>1.0</v>
      </c>
      <c r="O194" s="3">
        <v>1.0</v>
      </c>
      <c r="P194" s="3">
        <v>1.0</v>
      </c>
      <c r="Q194" s="3">
        <v>1.0</v>
      </c>
      <c r="R194" s="3">
        <v>1.0</v>
      </c>
      <c r="S194" s="3">
        <v>1.0</v>
      </c>
      <c r="T194" s="3">
        <v>1.0</v>
      </c>
      <c r="U194" s="3">
        <v>1.0</v>
      </c>
      <c r="V194" s="3">
        <v>1.0</v>
      </c>
      <c r="W194" s="3" t="s">
        <v>1179</v>
      </c>
      <c r="X194" s="3" t="s">
        <v>1388</v>
      </c>
      <c r="Y194" s="3" t="s">
        <v>1389</v>
      </c>
      <c r="Z194" s="3" t="s">
        <v>1372</v>
      </c>
      <c r="AA194" s="3" t="s">
        <v>1390</v>
      </c>
      <c r="AB194" s="3" t="s">
        <v>1374</v>
      </c>
      <c r="AC194" s="3" t="s">
        <v>1391</v>
      </c>
      <c r="AD194" s="3" t="s">
        <v>1392</v>
      </c>
      <c r="AE194" s="3" t="s">
        <v>1393</v>
      </c>
      <c r="AF194" s="3">
        <v>0.072</v>
      </c>
      <c r="AG194" s="3">
        <v>1.042</v>
      </c>
      <c r="AH194" s="3">
        <v>0.322</v>
      </c>
      <c r="AI194" s="3">
        <v>289.889</v>
      </c>
      <c r="AJ194" s="3">
        <v>13.492</v>
      </c>
      <c r="AK194" s="3" t="s">
        <v>1685</v>
      </c>
      <c r="AL194" s="3">
        <v>0.1</v>
      </c>
      <c r="AM194" s="3" t="s">
        <v>1686</v>
      </c>
    </row>
    <row r="195" ht="15.75" customHeight="1">
      <c r="A195" s="3">
        <v>1.73038E12</v>
      </c>
      <c r="B195" s="3">
        <v>17.0</v>
      </c>
      <c r="C195" s="3" t="s">
        <v>415</v>
      </c>
      <c r="D195" s="3" t="s">
        <v>1369</v>
      </c>
      <c r="E195" s="3" t="s">
        <v>415</v>
      </c>
      <c r="F195" s="3">
        <v>1.0</v>
      </c>
      <c r="G195" s="3">
        <v>1.0</v>
      </c>
      <c r="H195" s="3">
        <v>1.0</v>
      </c>
      <c r="I195" s="3">
        <v>1.0</v>
      </c>
      <c r="J195" s="3">
        <v>1.0</v>
      </c>
      <c r="K195" s="3">
        <v>1.0</v>
      </c>
      <c r="L195" s="3">
        <v>1.0</v>
      </c>
      <c r="M195" s="3">
        <v>1.0</v>
      </c>
      <c r="N195" s="3">
        <v>1.0</v>
      </c>
      <c r="O195" s="3">
        <v>1.0</v>
      </c>
      <c r="P195" s="3">
        <v>1.0</v>
      </c>
      <c r="Q195" s="3">
        <v>1.0</v>
      </c>
      <c r="R195" s="3">
        <v>1.0</v>
      </c>
      <c r="S195" s="3">
        <v>1.0</v>
      </c>
      <c r="T195" s="3">
        <v>1.0</v>
      </c>
      <c r="U195" s="3">
        <v>1.0</v>
      </c>
      <c r="V195" s="3">
        <v>1.0</v>
      </c>
      <c r="W195" s="3" t="s">
        <v>1126</v>
      </c>
      <c r="X195" s="3" t="s">
        <v>1489</v>
      </c>
      <c r="Y195" s="3" t="s">
        <v>1571</v>
      </c>
      <c r="Z195" s="3" t="s">
        <v>1423</v>
      </c>
      <c r="AA195" s="3" t="s">
        <v>1491</v>
      </c>
      <c r="AB195" s="3" t="s">
        <v>1374</v>
      </c>
      <c r="AC195" s="3" t="s">
        <v>1451</v>
      </c>
      <c r="AD195" s="3" t="s">
        <v>1492</v>
      </c>
      <c r="AE195" s="3" t="s">
        <v>1493</v>
      </c>
      <c r="AF195" s="3">
        <v>0.056</v>
      </c>
      <c r="AG195" s="3">
        <v>0.256</v>
      </c>
      <c r="AH195" s="3">
        <v>0.372</v>
      </c>
      <c r="AI195" s="3">
        <v>-14.892</v>
      </c>
      <c r="AJ195" s="3">
        <v>8.085</v>
      </c>
      <c r="AK195" s="3" t="s">
        <v>1561</v>
      </c>
      <c r="AL195" s="3">
        <v>0.134</v>
      </c>
      <c r="AM195" s="3" t="s">
        <v>1495</v>
      </c>
    </row>
    <row r="196" ht="15.75" customHeight="1">
      <c r="A196" s="3">
        <v>1.73039E12</v>
      </c>
      <c r="B196" s="3">
        <v>13.0</v>
      </c>
      <c r="C196" s="3" t="s">
        <v>935</v>
      </c>
      <c r="D196" s="3" t="s">
        <v>1369</v>
      </c>
      <c r="E196" s="3" t="s">
        <v>935</v>
      </c>
      <c r="F196" s="3">
        <v>1.0</v>
      </c>
      <c r="G196" s="3">
        <v>1.0</v>
      </c>
      <c r="H196" s="3">
        <v>1.0</v>
      </c>
      <c r="I196" s="3">
        <v>0.0</v>
      </c>
      <c r="J196" s="3">
        <v>1.0</v>
      </c>
      <c r="K196" s="3">
        <v>1.0</v>
      </c>
      <c r="L196" s="3">
        <v>1.0</v>
      </c>
      <c r="M196" s="3">
        <v>1.0</v>
      </c>
      <c r="N196" s="3">
        <v>1.0</v>
      </c>
      <c r="O196" s="3">
        <v>1.0</v>
      </c>
      <c r="P196" s="3">
        <v>1.0</v>
      </c>
      <c r="Q196" s="3">
        <v>0.0</v>
      </c>
      <c r="R196" s="3">
        <v>0.0</v>
      </c>
      <c r="S196" s="3">
        <v>1.0</v>
      </c>
      <c r="T196" s="3">
        <v>1.0</v>
      </c>
      <c r="U196" s="3">
        <v>0.0</v>
      </c>
      <c r="V196" s="3">
        <v>1.0</v>
      </c>
      <c r="W196" s="3" t="s">
        <v>934</v>
      </c>
      <c r="X196" s="3" t="s">
        <v>1600</v>
      </c>
      <c r="Y196" s="3" t="s">
        <v>1601</v>
      </c>
      <c r="Z196" s="3" t="s">
        <v>1807</v>
      </c>
      <c r="AA196" s="3" t="s">
        <v>1407</v>
      </c>
      <c r="AB196" s="3" t="s">
        <v>1374</v>
      </c>
      <c r="AC196" s="3" t="s">
        <v>1400</v>
      </c>
      <c r="AD196" s="3" t="s">
        <v>1408</v>
      </c>
      <c r="AE196" s="3" t="s">
        <v>1602</v>
      </c>
      <c r="AF196" s="3">
        <v>0.034</v>
      </c>
      <c r="AG196" s="3">
        <v>0.1</v>
      </c>
      <c r="AH196" s="3">
        <v>0.159</v>
      </c>
      <c r="AI196" s="3">
        <v>7.314</v>
      </c>
      <c r="AJ196" s="3">
        <v>-0.403</v>
      </c>
      <c r="AK196" s="3" t="s">
        <v>1603</v>
      </c>
      <c r="AL196" s="3">
        <v>0.223</v>
      </c>
      <c r="AM196" s="3" t="s">
        <v>1411</v>
      </c>
    </row>
    <row r="197" ht="15.75" customHeight="1">
      <c r="A197" s="3">
        <v>1.7304E12</v>
      </c>
      <c r="B197" s="3">
        <v>17.0</v>
      </c>
      <c r="C197" s="3" t="s">
        <v>400</v>
      </c>
      <c r="D197" s="3" t="s">
        <v>1369</v>
      </c>
      <c r="E197" s="3" t="s">
        <v>400</v>
      </c>
      <c r="F197" s="3">
        <v>1.0</v>
      </c>
      <c r="G197" s="3">
        <v>1.0</v>
      </c>
      <c r="H197" s="3">
        <v>1.0</v>
      </c>
      <c r="I197" s="3">
        <v>1.0</v>
      </c>
      <c r="J197" s="3">
        <v>1.0</v>
      </c>
      <c r="K197" s="3">
        <v>1.0</v>
      </c>
      <c r="L197" s="3">
        <v>1.0</v>
      </c>
      <c r="M197" s="3">
        <v>1.0</v>
      </c>
      <c r="N197" s="3">
        <v>1.0</v>
      </c>
      <c r="O197" s="3">
        <v>1.0</v>
      </c>
      <c r="P197" s="3">
        <v>1.0</v>
      </c>
      <c r="Q197" s="3">
        <v>1.0</v>
      </c>
      <c r="R197" s="3">
        <v>1.0</v>
      </c>
      <c r="S197" s="3">
        <v>1.0</v>
      </c>
      <c r="T197" s="3">
        <v>1.0</v>
      </c>
      <c r="U197" s="3">
        <v>1.0</v>
      </c>
      <c r="V197" s="3">
        <v>1.0</v>
      </c>
      <c r="W197" s="3" t="s">
        <v>1145</v>
      </c>
      <c r="X197" s="3" t="s">
        <v>1470</v>
      </c>
      <c r="Y197" s="3" t="s">
        <v>1471</v>
      </c>
      <c r="Z197" s="3" t="s">
        <v>1372</v>
      </c>
      <c r="AA197" s="3" t="s">
        <v>1382</v>
      </c>
      <c r="AB197" s="3" t="s">
        <v>1374</v>
      </c>
      <c r="AC197" s="3" t="s">
        <v>1400</v>
      </c>
      <c r="AD197" s="3" t="s">
        <v>1472</v>
      </c>
      <c r="AE197" s="3" t="s">
        <v>1473</v>
      </c>
      <c r="AF197" s="3">
        <v>0.15</v>
      </c>
      <c r="AG197" s="3">
        <v>4.089</v>
      </c>
      <c r="AH197" s="3" t="s">
        <v>1394</v>
      </c>
      <c r="AI197" s="3" t="s">
        <v>1394</v>
      </c>
      <c r="AJ197" s="3">
        <v>9.21</v>
      </c>
      <c r="AK197" s="3" t="s">
        <v>1474</v>
      </c>
      <c r="AL197" s="3" t="s">
        <v>1394</v>
      </c>
      <c r="AM197" s="3" t="s">
        <v>1475</v>
      </c>
    </row>
    <row r="198" ht="15.75" customHeight="1">
      <c r="A198" s="3">
        <v>1.73035E12</v>
      </c>
      <c r="B198" s="3">
        <v>17.0</v>
      </c>
      <c r="C198" s="3" t="s">
        <v>770</v>
      </c>
      <c r="D198" s="3" t="s">
        <v>1369</v>
      </c>
      <c r="E198" s="3" t="s">
        <v>770</v>
      </c>
      <c r="F198" s="3">
        <v>1.0</v>
      </c>
      <c r="G198" s="3">
        <v>1.0</v>
      </c>
      <c r="H198" s="3">
        <v>1.0</v>
      </c>
      <c r="I198" s="3">
        <v>1.0</v>
      </c>
      <c r="J198" s="3">
        <v>1.0</v>
      </c>
      <c r="K198" s="3">
        <v>1.0</v>
      </c>
      <c r="L198" s="3">
        <v>1.0</v>
      </c>
      <c r="M198" s="3">
        <v>1.0</v>
      </c>
      <c r="N198" s="3">
        <v>1.0</v>
      </c>
      <c r="O198" s="3">
        <v>1.0</v>
      </c>
      <c r="P198" s="3">
        <v>1.0</v>
      </c>
      <c r="Q198" s="3">
        <v>1.0</v>
      </c>
      <c r="R198" s="3">
        <v>1.0</v>
      </c>
      <c r="S198" s="3">
        <v>1.0</v>
      </c>
      <c r="T198" s="3">
        <v>1.0</v>
      </c>
      <c r="U198" s="3">
        <v>1.0</v>
      </c>
      <c r="V198" s="3">
        <v>1.0</v>
      </c>
      <c r="W198" s="3" t="s">
        <v>1133</v>
      </c>
      <c r="X198" s="3" t="s">
        <v>1489</v>
      </c>
      <c r="Y198" s="3" t="s">
        <v>1571</v>
      </c>
      <c r="Z198" s="3" t="s">
        <v>1431</v>
      </c>
      <c r="AA198" s="3" t="s">
        <v>1491</v>
      </c>
      <c r="AB198" s="3" t="s">
        <v>1374</v>
      </c>
      <c r="AC198" s="3" t="s">
        <v>1451</v>
      </c>
      <c r="AD198" s="3" t="s">
        <v>1492</v>
      </c>
      <c r="AE198" s="3" t="s">
        <v>1493</v>
      </c>
      <c r="AF198" s="3">
        <v>0.056</v>
      </c>
      <c r="AG198" s="3">
        <v>0.256</v>
      </c>
      <c r="AH198" s="3">
        <v>0.372</v>
      </c>
      <c r="AI198" s="3">
        <v>-14.879</v>
      </c>
      <c r="AJ198" s="3">
        <v>8.079</v>
      </c>
      <c r="AK198" s="3" t="s">
        <v>1561</v>
      </c>
      <c r="AL198" s="3">
        <v>0.134</v>
      </c>
      <c r="AM198" s="3" t="s">
        <v>1495</v>
      </c>
    </row>
    <row r="199" ht="15.75" customHeight="1">
      <c r="A199" s="3">
        <v>1.7304E12</v>
      </c>
      <c r="B199" s="3">
        <v>13.0</v>
      </c>
      <c r="C199" s="3" t="s">
        <v>1819</v>
      </c>
      <c r="D199" s="3" t="s">
        <v>1369</v>
      </c>
      <c r="E199" s="3" t="s">
        <v>1819</v>
      </c>
      <c r="F199" s="3">
        <v>1.0</v>
      </c>
      <c r="G199" s="3">
        <v>1.0</v>
      </c>
      <c r="H199" s="3">
        <v>1.0</v>
      </c>
      <c r="I199" s="3">
        <v>1.0</v>
      </c>
      <c r="J199" s="3">
        <v>1.0</v>
      </c>
      <c r="K199" s="3">
        <v>1.0</v>
      </c>
      <c r="L199" s="3">
        <v>0.0</v>
      </c>
      <c r="M199" s="3">
        <v>1.0</v>
      </c>
      <c r="N199" s="3">
        <v>1.0</v>
      </c>
      <c r="O199" s="3">
        <v>1.0</v>
      </c>
      <c r="P199" s="3">
        <v>1.0</v>
      </c>
      <c r="Q199" s="3">
        <v>0.0</v>
      </c>
      <c r="R199" s="3">
        <v>0.0</v>
      </c>
      <c r="S199" s="3">
        <v>1.0</v>
      </c>
      <c r="T199" s="3">
        <v>1.0</v>
      </c>
      <c r="U199" s="3">
        <v>0.0</v>
      </c>
      <c r="V199" s="3">
        <v>1.0</v>
      </c>
      <c r="W199" s="3" t="s">
        <v>51</v>
      </c>
      <c r="X199" s="3" t="s">
        <v>1413</v>
      </c>
      <c r="Y199" s="3" t="s">
        <v>1414</v>
      </c>
      <c r="Z199" s="3" t="s">
        <v>1372</v>
      </c>
      <c r="AA199" s="3" t="s">
        <v>1415</v>
      </c>
      <c r="AB199" s="3" t="s">
        <v>1374</v>
      </c>
      <c r="AC199" s="3" t="s">
        <v>1820</v>
      </c>
      <c r="AD199" s="3" t="s">
        <v>1416</v>
      </c>
      <c r="AE199" s="3" t="s">
        <v>1417</v>
      </c>
      <c r="AF199" s="3">
        <v>-0.005</v>
      </c>
      <c r="AG199" s="3">
        <v>-0.054</v>
      </c>
      <c r="AH199" s="3">
        <v>0.3</v>
      </c>
      <c r="AI199" s="3">
        <v>142.855</v>
      </c>
      <c r="AJ199" s="3">
        <v>-42.091</v>
      </c>
      <c r="AK199" s="3" t="s">
        <v>1598</v>
      </c>
      <c r="AL199" s="3">
        <v>0.074</v>
      </c>
      <c r="AM199" s="3" t="s">
        <v>1419</v>
      </c>
    </row>
    <row r="200" ht="15.75" customHeight="1">
      <c r="A200" s="3">
        <v>1.7303E12</v>
      </c>
      <c r="B200" s="3">
        <v>14.0</v>
      </c>
      <c r="C200" s="3" t="s">
        <v>859</v>
      </c>
      <c r="D200" s="3" t="s">
        <v>1369</v>
      </c>
      <c r="E200" s="3" t="s">
        <v>859</v>
      </c>
      <c r="F200" s="3">
        <v>1.0</v>
      </c>
      <c r="G200" s="3">
        <v>1.0</v>
      </c>
      <c r="H200" s="3">
        <v>1.0</v>
      </c>
      <c r="I200" s="3">
        <v>1.0</v>
      </c>
      <c r="J200" s="3">
        <v>1.0</v>
      </c>
      <c r="K200" s="3">
        <v>1.0</v>
      </c>
      <c r="L200" s="3">
        <v>1.0</v>
      </c>
      <c r="M200" s="3">
        <v>1.0</v>
      </c>
      <c r="N200" s="3">
        <v>1.0</v>
      </c>
      <c r="O200" s="3">
        <v>1.0</v>
      </c>
      <c r="P200" s="3">
        <v>1.0</v>
      </c>
      <c r="Q200" s="3">
        <v>0.0</v>
      </c>
      <c r="R200" s="3">
        <v>0.0</v>
      </c>
      <c r="S200" s="3">
        <v>1.0</v>
      </c>
      <c r="T200" s="3">
        <v>1.0</v>
      </c>
      <c r="U200" s="3">
        <v>0.0</v>
      </c>
      <c r="V200" s="3">
        <v>1.0</v>
      </c>
      <c r="W200" s="3" t="s">
        <v>448</v>
      </c>
      <c r="X200" s="3" t="s">
        <v>1542</v>
      </c>
      <c r="Y200" s="3" t="s">
        <v>1543</v>
      </c>
      <c r="Z200" s="3" t="s">
        <v>1431</v>
      </c>
      <c r="AA200" s="3" t="s">
        <v>1544</v>
      </c>
      <c r="AB200" s="3" t="s">
        <v>1374</v>
      </c>
      <c r="AC200" s="3" t="s">
        <v>1451</v>
      </c>
      <c r="AD200" s="3" t="s">
        <v>1545</v>
      </c>
      <c r="AE200" s="3" t="s">
        <v>1546</v>
      </c>
      <c r="AF200" s="3">
        <v>0.035</v>
      </c>
      <c r="AG200" s="3">
        <v>0.068</v>
      </c>
      <c r="AH200" s="3">
        <v>0.316</v>
      </c>
      <c r="AI200" s="3">
        <v>54.076</v>
      </c>
      <c r="AJ200" s="3">
        <v>-10.884</v>
      </c>
      <c r="AK200" s="3" t="s">
        <v>1585</v>
      </c>
      <c r="AL200" s="3">
        <v>0.044</v>
      </c>
      <c r="AM200" s="3" t="s">
        <v>1548</v>
      </c>
    </row>
    <row r="201" ht="15.75" customHeight="1">
      <c r="A201" s="3">
        <v>1.7304E12</v>
      </c>
      <c r="B201" s="3">
        <v>13.0</v>
      </c>
      <c r="C201" s="3" t="s">
        <v>328</v>
      </c>
      <c r="D201" s="3" t="s">
        <v>1369</v>
      </c>
      <c r="E201" s="3" t="s">
        <v>328</v>
      </c>
      <c r="F201" s="3">
        <v>1.0</v>
      </c>
      <c r="G201" s="3">
        <v>1.0</v>
      </c>
      <c r="H201" s="3">
        <v>1.0</v>
      </c>
      <c r="I201" s="3">
        <v>1.0</v>
      </c>
      <c r="J201" s="3">
        <v>1.0</v>
      </c>
      <c r="K201" s="3">
        <v>1.0</v>
      </c>
      <c r="L201" s="3">
        <v>1.0</v>
      </c>
      <c r="M201" s="3">
        <v>1.0</v>
      </c>
      <c r="N201" s="3">
        <v>1.0</v>
      </c>
      <c r="O201" s="3">
        <v>1.0</v>
      </c>
      <c r="P201" s="3">
        <v>1.0</v>
      </c>
      <c r="Q201" s="3">
        <v>0.0</v>
      </c>
      <c r="R201" s="3">
        <v>0.0</v>
      </c>
      <c r="S201" s="3">
        <v>1.0</v>
      </c>
      <c r="T201" s="3">
        <v>0.0</v>
      </c>
      <c r="U201" s="3">
        <v>0.0</v>
      </c>
      <c r="V201" s="3">
        <v>1.0</v>
      </c>
      <c r="W201" s="3" t="s">
        <v>869</v>
      </c>
      <c r="X201" s="3" t="s">
        <v>1821</v>
      </c>
      <c r="Y201" s="3" t="s">
        <v>1822</v>
      </c>
      <c r="Z201" s="3" t="s">
        <v>1823</v>
      </c>
      <c r="AA201" s="3" t="s">
        <v>1824</v>
      </c>
      <c r="AB201" s="3" t="s">
        <v>1539</v>
      </c>
      <c r="AC201" s="3" t="s">
        <v>1678</v>
      </c>
      <c r="AD201" s="3" t="s">
        <v>1650</v>
      </c>
      <c r="AE201" s="3" t="s">
        <v>1825</v>
      </c>
      <c r="AF201" s="3">
        <v>-0.028</v>
      </c>
      <c r="AG201" s="3">
        <v>-0.064</v>
      </c>
      <c r="AH201" s="3">
        <v>0.83</v>
      </c>
      <c r="AI201" s="3">
        <v>-1.393</v>
      </c>
      <c r="AJ201" s="3">
        <v>-0.64</v>
      </c>
      <c r="AK201" s="3" t="s">
        <v>1826</v>
      </c>
      <c r="AL201" s="3">
        <v>0.032</v>
      </c>
      <c r="AM201" s="3" t="s">
        <v>1827</v>
      </c>
    </row>
    <row r="202" ht="15.75" customHeight="1">
      <c r="A202" s="3">
        <v>1.7304E12</v>
      </c>
      <c r="B202" s="3">
        <v>13.0</v>
      </c>
      <c r="C202" s="3" t="s">
        <v>868</v>
      </c>
      <c r="D202" s="3" t="s">
        <v>1369</v>
      </c>
      <c r="E202" s="3" t="s">
        <v>868</v>
      </c>
      <c r="F202" s="3">
        <v>1.0</v>
      </c>
      <c r="G202" s="3">
        <v>1.0</v>
      </c>
      <c r="H202" s="3">
        <v>1.0</v>
      </c>
      <c r="I202" s="3">
        <v>1.0</v>
      </c>
      <c r="J202" s="3">
        <v>1.0</v>
      </c>
      <c r="K202" s="3">
        <v>1.0</v>
      </c>
      <c r="L202" s="3">
        <v>1.0</v>
      </c>
      <c r="M202" s="3">
        <v>1.0</v>
      </c>
      <c r="N202" s="3">
        <v>1.0</v>
      </c>
      <c r="O202" s="3">
        <v>1.0</v>
      </c>
      <c r="P202" s="3">
        <v>1.0</v>
      </c>
      <c r="Q202" s="3">
        <v>0.0</v>
      </c>
      <c r="R202" s="3">
        <v>0.0</v>
      </c>
      <c r="S202" s="3">
        <v>0.0</v>
      </c>
      <c r="T202" s="3">
        <v>1.0</v>
      </c>
      <c r="U202" s="3">
        <v>0.0</v>
      </c>
      <c r="V202" s="3">
        <v>1.0</v>
      </c>
      <c r="W202" s="3" t="s">
        <v>408</v>
      </c>
      <c r="X202" s="3" t="s">
        <v>1634</v>
      </c>
      <c r="Y202" s="3" t="s">
        <v>1635</v>
      </c>
      <c r="Z202" s="3" t="s">
        <v>1372</v>
      </c>
      <c r="AA202" s="3" t="s">
        <v>1636</v>
      </c>
      <c r="AB202" s="3" t="s">
        <v>1374</v>
      </c>
      <c r="AC202" s="3" t="s">
        <v>1391</v>
      </c>
      <c r="AD202" s="3" t="s">
        <v>1680</v>
      </c>
      <c r="AE202" s="3" t="s">
        <v>1637</v>
      </c>
      <c r="AF202" s="3">
        <v>0.046</v>
      </c>
      <c r="AG202" s="3">
        <v>1.423</v>
      </c>
      <c r="AH202" s="3">
        <v>0.301</v>
      </c>
      <c r="AI202" s="3">
        <v>219.586</v>
      </c>
      <c r="AJ202" s="3">
        <v>5.456</v>
      </c>
      <c r="AK202" s="3" t="s">
        <v>1828</v>
      </c>
      <c r="AL202" s="3">
        <v>0.081</v>
      </c>
      <c r="AM202" s="3" t="s">
        <v>1469</v>
      </c>
    </row>
    <row r="203" ht="15.75" customHeight="1">
      <c r="A203" s="3">
        <v>1.73037E12</v>
      </c>
      <c r="B203" s="3">
        <v>13.0</v>
      </c>
      <c r="C203" s="3" t="s">
        <v>407</v>
      </c>
      <c r="D203" s="3" t="s">
        <v>1369</v>
      </c>
      <c r="E203" s="3" t="s">
        <v>407</v>
      </c>
      <c r="F203" s="3">
        <v>1.0</v>
      </c>
      <c r="G203" s="3">
        <v>1.0</v>
      </c>
      <c r="H203" s="3">
        <v>1.0</v>
      </c>
      <c r="I203" s="3">
        <v>1.0</v>
      </c>
      <c r="J203" s="3">
        <v>1.0</v>
      </c>
      <c r="K203" s="3">
        <v>1.0</v>
      </c>
      <c r="L203" s="3">
        <v>0.0</v>
      </c>
      <c r="M203" s="3">
        <v>1.0</v>
      </c>
      <c r="N203" s="3">
        <v>1.0</v>
      </c>
      <c r="O203" s="3">
        <v>1.0</v>
      </c>
      <c r="P203" s="3">
        <v>1.0</v>
      </c>
      <c r="Q203" s="3">
        <v>0.0</v>
      </c>
      <c r="R203" s="3">
        <v>0.0</v>
      </c>
      <c r="S203" s="3">
        <v>1.0</v>
      </c>
      <c r="T203" s="3">
        <v>1.0</v>
      </c>
      <c r="U203" s="3">
        <v>0.0</v>
      </c>
      <c r="V203" s="3">
        <v>1.0</v>
      </c>
      <c r="W203" s="3" t="s">
        <v>173</v>
      </c>
      <c r="X203" s="3" t="s">
        <v>1600</v>
      </c>
      <c r="Y203" s="3" t="s">
        <v>1601</v>
      </c>
      <c r="Z203" s="3" t="s">
        <v>1372</v>
      </c>
      <c r="AA203" s="3" t="s">
        <v>1407</v>
      </c>
      <c r="AB203" s="3" t="s">
        <v>1374</v>
      </c>
      <c r="AC203" s="3" t="s">
        <v>1391</v>
      </c>
      <c r="AD203" s="3" t="s">
        <v>1408</v>
      </c>
      <c r="AE203" s="3" t="s">
        <v>1602</v>
      </c>
      <c r="AF203" s="3">
        <v>0.035</v>
      </c>
      <c r="AG203" s="3">
        <v>0.104</v>
      </c>
      <c r="AH203" s="3">
        <v>0.16</v>
      </c>
      <c r="AI203" s="3">
        <v>7.314</v>
      </c>
      <c r="AJ203" s="3">
        <v>-0.35</v>
      </c>
      <c r="AK203" s="3" t="s">
        <v>1603</v>
      </c>
      <c r="AL203" s="3">
        <v>0.231</v>
      </c>
      <c r="AM203" s="3" t="s">
        <v>1411</v>
      </c>
    </row>
    <row r="204" ht="15.75" customHeight="1">
      <c r="A204" s="3">
        <v>1.72968E12</v>
      </c>
      <c r="B204" s="3">
        <v>12.0</v>
      </c>
      <c r="C204" s="3" t="s">
        <v>187</v>
      </c>
      <c r="D204" s="3" t="s">
        <v>1369</v>
      </c>
      <c r="E204" s="3" t="s">
        <v>187</v>
      </c>
      <c r="F204" s="3">
        <v>1.0</v>
      </c>
      <c r="G204" s="3">
        <v>1.0</v>
      </c>
      <c r="H204" s="3">
        <v>1.0</v>
      </c>
      <c r="I204" s="3">
        <v>1.0</v>
      </c>
      <c r="J204" s="3">
        <v>1.0</v>
      </c>
      <c r="K204" s="3">
        <v>1.0</v>
      </c>
      <c r="L204" s="3">
        <v>1.0</v>
      </c>
      <c r="M204" s="3">
        <v>1.0</v>
      </c>
      <c r="N204" s="3">
        <v>1.0</v>
      </c>
      <c r="O204" s="3">
        <v>1.0</v>
      </c>
      <c r="P204" s="3">
        <v>1.0</v>
      </c>
      <c r="Q204" s="3">
        <v>0.0</v>
      </c>
      <c r="R204" s="3">
        <v>0.0</v>
      </c>
      <c r="S204" s="3">
        <v>0.0</v>
      </c>
      <c r="T204" s="3">
        <v>0.0</v>
      </c>
      <c r="U204" s="3">
        <v>0.0</v>
      </c>
      <c r="V204" s="3">
        <v>1.0</v>
      </c>
      <c r="W204" s="3" t="s">
        <v>71</v>
      </c>
      <c r="X204" s="3" t="s">
        <v>1405</v>
      </c>
      <c r="Y204" s="3" t="s">
        <v>1406</v>
      </c>
      <c r="Z204" s="3" t="s">
        <v>1449</v>
      </c>
      <c r="AA204" s="3" t="s">
        <v>1407</v>
      </c>
      <c r="AB204" s="3" t="s">
        <v>1374</v>
      </c>
      <c r="AC204" s="3" t="s">
        <v>1400</v>
      </c>
      <c r="AD204" s="3" t="s">
        <v>1506</v>
      </c>
      <c r="AE204" s="3" t="s">
        <v>1409</v>
      </c>
      <c r="AF204" s="3">
        <v>-0.018</v>
      </c>
      <c r="AG204" s="3">
        <v>-0.051</v>
      </c>
      <c r="AH204" s="3">
        <v>0.162</v>
      </c>
      <c r="AI204" s="3">
        <v>-177.781</v>
      </c>
      <c r="AJ204" s="3">
        <v>1.531</v>
      </c>
      <c r="AK204" s="3" t="s">
        <v>1829</v>
      </c>
      <c r="AL204" s="3">
        <v>0.631</v>
      </c>
      <c r="AM204" s="3" t="s">
        <v>1411</v>
      </c>
    </row>
    <row r="205" ht="15.75" customHeight="1">
      <c r="A205" s="3">
        <v>1.7304E12</v>
      </c>
      <c r="B205" s="3">
        <v>2.0</v>
      </c>
      <c r="C205" s="3" t="s">
        <v>855</v>
      </c>
      <c r="D205" s="3" t="s">
        <v>1369</v>
      </c>
      <c r="E205" s="3" t="s">
        <v>855</v>
      </c>
      <c r="F205" s="3">
        <v>1.0</v>
      </c>
      <c r="G205" s="3">
        <v>0.0</v>
      </c>
      <c r="H205" s="3">
        <v>0.0</v>
      </c>
      <c r="I205" s="3">
        <v>0.0</v>
      </c>
      <c r="J205" s="3">
        <v>1.0</v>
      </c>
      <c r="K205" s="3">
        <v>0.0</v>
      </c>
      <c r="L205" s="3">
        <v>0.0</v>
      </c>
      <c r="M205" s="3">
        <v>0.0</v>
      </c>
      <c r="N205" s="3">
        <v>0.0</v>
      </c>
      <c r="O205" s="3">
        <v>0.0</v>
      </c>
      <c r="P205" s="3">
        <v>0.0</v>
      </c>
      <c r="Q205" s="3">
        <v>0.0</v>
      </c>
      <c r="R205" s="3">
        <v>0.0</v>
      </c>
      <c r="S205" s="3">
        <v>0.0</v>
      </c>
      <c r="T205" s="3">
        <v>0.0</v>
      </c>
      <c r="U205" s="3">
        <v>0.0</v>
      </c>
      <c r="V205" s="3">
        <v>0.0</v>
      </c>
      <c r="W205" s="3" t="s">
        <v>822</v>
      </c>
      <c r="X205" s="3" t="s">
        <v>1764</v>
      </c>
      <c r="Y205" s="3" t="s">
        <v>1830</v>
      </c>
      <c r="Z205" s="3" t="s">
        <v>1766</v>
      </c>
      <c r="AA205" s="3" t="s">
        <v>1382</v>
      </c>
      <c r="AB205" s="3" t="s">
        <v>1508</v>
      </c>
      <c r="AC205" s="3" t="s">
        <v>1374</v>
      </c>
    </row>
    <row r="206" ht="15.75" customHeight="1">
      <c r="A206" s="3">
        <v>1.7304E12</v>
      </c>
      <c r="B206" s="3">
        <v>1.0</v>
      </c>
      <c r="C206" s="3" t="s">
        <v>468</v>
      </c>
      <c r="D206" s="3" t="s">
        <v>1369</v>
      </c>
      <c r="E206" s="3" t="s">
        <v>468</v>
      </c>
      <c r="F206" s="3">
        <v>1.0</v>
      </c>
      <c r="G206" s="3">
        <v>0.0</v>
      </c>
      <c r="H206" s="3">
        <v>0.0</v>
      </c>
      <c r="I206" s="3">
        <v>0.0</v>
      </c>
      <c r="J206" s="3">
        <v>0.0</v>
      </c>
      <c r="K206" s="3">
        <v>0.0</v>
      </c>
      <c r="L206" s="3">
        <v>0.0</v>
      </c>
      <c r="M206" s="3">
        <v>0.0</v>
      </c>
      <c r="N206" s="3">
        <v>0.0</v>
      </c>
      <c r="O206" s="3">
        <v>0.0</v>
      </c>
      <c r="P206" s="3">
        <v>0.0</v>
      </c>
      <c r="Q206" s="3">
        <v>0.0</v>
      </c>
      <c r="R206" s="3">
        <v>0.0</v>
      </c>
      <c r="S206" s="3">
        <v>0.0</v>
      </c>
      <c r="T206" s="3">
        <v>0.0</v>
      </c>
      <c r="U206" s="3">
        <v>0.0</v>
      </c>
      <c r="V206" s="3">
        <v>0.0</v>
      </c>
      <c r="W206" s="3" t="s">
        <v>465</v>
      </c>
      <c r="X206" s="3" t="s">
        <v>1831</v>
      </c>
      <c r="Y206" s="3" t="s">
        <v>1832</v>
      </c>
      <c r="Z206" s="3" t="s">
        <v>1512</v>
      </c>
      <c r="AA206" s="3" t="s">
        <v>1833</v>
      </c>
      <c r="AB206" s="3" t="s">
        <v>1834</v>
      </c>
      <c r="AC206" s="3" t="s">
        <v>1835</v>
      </c>
      <c r="AD206" s="3" t="s">
        <v>1836</v>
      </c>
      <c r="AE206" s="3" t="s">
        <v>1837</v>
      </c>
      <c r="AF206" s="3" t="s">
        <v>1838</v>
      </c>
      <c r="AG206" s="3">
        <v>0.674</v>
      </c>
      <c r="AH206" s="3">
        <v>0.305</v>
      </c>
      <c r="AI206" s="3">
        <v>45.914</v>
      </c>
      <c r="AK206" s="3" t="s">
        <v>1839</v>
      </c>
      <c r="AL206" s="3">
        <v>0.066</v>
      </c>
      <c r="AM206" s="3" t="s">
        <v>1840</v>
      </c>
    </row>
    <row r="207" ht="15.75" customHeight="1">
      <c r="A207" s="3">
        <v>1.73036E12</v>
      </c>
      <c r="B207" s="3">
        <v>14.0</v>
      </c>
      <c r="C207" s="3" t="s">
        <v>898</v>
      </c>
      <c r="D207" s="3" t="s">
        <v>1369</v>
      </c>
      <c r="E207" s="3" t="s">
        <v>898</v>
      </c>
      <c r="F207" s="3">
        <v>1.0</v>
      </c>
      <c r="G207" s="3">
        <v>1.0</v>
      </c>
      <c r="H207" s="3">
        <v>1.0</v>
      </c>
      <c r="I207" s="3">
        <v>1.0</v>
      </c>
      <c r="J207" s="3">
        <v>1.0</v>
      </c>
      <c r="K207" s="3">
        <v>1.0</v>
      </c>
      <c r="L207" s="3">
        <v>1.0</v>
      </c>
      <c r="M207" s="3">
        <v>1.0</v>
      </c>
      <c r="N207" s="3">
        <v>1.0</v>
      </c>
      <c r="O207" s="3">
        <v>1.0</v>
      </c>
      <c r="P207" s="3">
        <v>1.0</v>
      </c>
      <c r="Q207" s="3">
        <v>1.0</v>
      </c>
      <c r="R207" s="3">
        <v>0.0</v>
      </c>
      <c r="S207" s="3">
        <v>0.0</v>
      </c>
      <c r="T207" s="3">
        <v>1.0</v>
      </c>
      <c r="U207" s="3">
        <v>0.0</v>
      </c>
      <c r="V207" s="3">
        <v>1.0</v>
      </c>
      <c r="W207" s="3" t="s">
        <v>156</v>
      </c>
      <c r="X207" s="3" t="s">
        <v>1398</v>
      </c>
      <c r="Y207" s="3" t="s">
        <v>1399</v>
      </c>
      <c r="Z207" s="3" t="s">
        <v>1372</v>
      </c>
      <c r="AA207" s="3" t="s">
        <v>1373</v>
      </c>
      <c r="AB207" s="3" t="s">
        <v>1374</v>
      </c>
      <c r="AC207" s="3" t="s">
        <v>1400</v>
      </c>
      <c r="AD207" s="3" t="s">
        <v>1401</v>
      </c>
      <c r="AE207" s="3" t="s">
        <v>1402</v>
      </c>
      <c r="AF207" s="3">
        <v>0.006</v>
      </c>
      <c r="AG207" s="3">
        <v>0.069</v>
      </c>
      <c r="AH207" s="3">
        <v>0.171</v>
      </c>
      <c r="AI207" s="3">
        <v>33.27</v>
      </c>
      <c r="AJ207" s="3">
        <v>33.285</v>
      </c>
      <c r="AK207" s="3" t="s">
        <v>1841</v>
      </c>
      <c r="AL207" s="3">
        <v>0.258</v>
      </c>
      <c r="AM207" s="3" t="s">
        <v>1404</v>
      </c>
    </row>
    <row r="208" ht="15.75" customHeight="1">
      <c r="A208" s="3">
        <v>1.73037E12</v>
      </c>
      <c r="B208" s="3">
        <v>17.0</v>
      </c>
      <c r="C208" s="3" t="s">
        <v>933</v>
      </c>
      <c r="D208" s="3" t="s">
        <v>1369</v>
      </c>
      <c r="E208" s="3" t="s">
        <v>933</v>
      </c>
      <c r="F208" s="3">
        <v>1.0</v>
      </c>
      <c r="G208" s="3">
        <v>1.0</v>
      </c>
      <c r="H208" s="3">
        <v>1.0</v>
      </c>
      <c r="I208" s="3">
        <v>1.0</v>
      </c>
      <c r="J208" s="3">
        <v>1.0</v>
      </c>
      <c r="K208" s="3">
        <v>1.0</v>
      </c>
      <c r="L208" s="3">
        <v>1.0</v>
      </c>
      <c r="M208" s="3">
        <v>1.0</v>
      </c>
      <c r="N208" s="3">
        <v>1.0</v>
      </c>
      <c r="O208" s="3">
        <v>1.0</v>
      </c>
      <c r="P208" s="3">
        <v>1.0</v>
      </c>
      <c r="Q208" s="3">
        <v>1.0</v>
      </c>
      <c r="R208" s="3">
        <v>1.0</v>
      </c>
      <c r="S208" s="3">
        <v>1.0</v>
      </c>
      <c r="T208" s="3">
        <v>1.0</v>
      </c>
      <c r="U208" s="3">
        <v>1.0</v>
      </c>
      <c r="V208" s="3">
        <v>1.0</v>
      </c>
      <c r="W208" s="3" t="s">
        <v>1273</v>
      </c>
      <c r="X208" s="3" t="s">
        <v>1421</v>
      </c>
      <c r="Y208" s="3" t="s">
        <v>1422</v>
      </c>
      <c r="Z208" s="3" t="s">
        <v>1423</v>
      </c>
      <c r="AA208" s="3" t="s">
        <v>1424</v>
      </c>
      <c r="AB208" s="3" t="s">
        <v>1374</v>
      </c>
      <c r="AC208" s="3" t="s">
        <v>1391</v>
      </c>
      <c r="AD208" s="3" t="s">
        <v>1425</v>
      </c>
      <c r="AE208" s="3" t="s">
        <v>1426</v>
      </c>
      <c r="AF208" s="3">
        <v>0.054</v>
      </c>
      <c r="AG208" s="3">
        <v>0.221</v>
      </c>
      <c r="AH208" s="3">
        <v>0.344</v>
      </c>
      <c r="AI208" s="3">
        <v>-27.581</v>
      </c>
      <c r="AJ208" s="3">
        <v>0.38</v>
      </c>
      <c r="AK208" s="3" t="s">
        <v>1427</v>
      </c>
      <c r="AL208" s="3">
        <v>0.185</v>
      </c>
      <c r="AM208" s="3" t="s">
        <v>1428</v>
      </c>
    </row>
    <row r="209" ht="15.75" customHeight="1">
      <c r="A209" s="3">
        <v>1.73032E12</v>
      </c>
      <c r="B209" s="3">
        <v>17.0</v>
      </c>
      <c r="C209" s="3" t="s">
        <v>50</v>
      </c>
      <c r="D209" s="3" t="s">
        <v>1369</v>
      </c>
      <c r="E209" s="3" t="s">
        <v>50</v>
      </c>
      <c r="F209" s="3">
        <v>1.0</v>
      </c>
      <c r="G209" s="3">
        <v>1.0</v>
      </c>
      <c r="H209" s="3">
        <v>1.0</v>
      </c>
      <c r="I209" s="3">
        <v>1.0</v>
      </c>
      <c r="J209" s="3">
        <v>1.0</v>
      </c>
      <c r="K209" s="3">
        <v>1.0</v>
      </c>
      <c r="L209" s="3">
        <v>1.0</v>
      </c>
      <c r="M209" s="3">
        <v>1.0</v>
      </c>
      <c r="N209" s="3">
        <v>1.0</v>
      </c>
      <c r="O209" s="3">
        <v>1.0</v>
      </c>
      <c r="P209" s="3">
        <v>1.0</v>
      </c>
      <c r="Q209" s="3">
        <v>1.0</v>
      </c>
      <c r="R209" s="3">
        <v>1.0</v>
      </c>
      <c r="S209" s="3">
        <v>1.0</v>
      </c>
      <c r="T209" s="3">
        <v>1.0</v>
      </c>
      <c r="U209" s="3">
        <v>1.0</v>
      </c>
      <c r="V209" s="3">
        <v>1.0</v>
      </c>
      <c r="W209" s="3" t="s">
        <v>1319</v>
      </c>
      <c r="X209" s="3" t="s">
        <v>1388</v>
      </c>
      <c r="Y209" s="3" t="s">
        <v>1389</v>
      </c>
      <c r="Z209" s="3" t="s">
        <v>1372</v>
      </c>
      <c r="AA209" s="3" t="s">
        <v>1390</v>
      </c>
      <c r="AB209" s="3" t="s">
        <v>1374</v>
      </c>
      <c r="AC209" s="3" t="s">
        <v>1391</v>
      </c>
      <c r="AD209" s="3" t="s">
        <v>1392</v>
      </c>
      <c r="AE209" s="3" t="s">
        <v>1393</v>
      </c>
      <c r="AF209" s="3">
        <v>0.071</v>
      </c>
      <c r="AG209" s="3">
        <v>1.031</v>
      </c>
      <c r="AH209" s="3" t="s">
        <v>1394</v>
      </c>
      <c r="AI209" s="3" t="s">
        <v>1394</v>
      </c>
      <c r="AJ209" s="3">
        <v>13.721</v>
      </c>
      <c r="AK209" s="3" t="s">
        <v>1395</v>
      </c>
      <c r="AL209" s="3" t="s">
        <v>1394</v>
      </c>
      <c r="AM209" s="3" t="s">
        <v>1396</v>
      </c>
    </row>
    <row r="210" ht="15.75" customHeight="1">
      <c r="A210" s="3">
        <v>1.73039E12</v>
      </c>
      <c r="B210" s="3">
        <v>16.0</v>
      </c>
      <c r="C210" s="3" t="s">
        <v>745</v>
      </c>
      <c r="D210" s="3" t="s">
        <v>1369</v>
      </c>
      <c r="E210" s="3" t="s">
        <v>745</v>
      </c>
      <c r="F210" s="3">
        <v>1.0</v>
      </c>
      <c r="G210" s="3">
        <v>1.0</v>
      </c>
      <c r="H210" s="3">
        <v>1.0</v>
      </c>
      <c r="I210" s="3">
        <v>1.0</v>
      </c>
      <c r="J210" s="3">
        <v>1.0</v>
      </c>
      <c r="K210" s="3">
        <v>1.0</v>
      </c>
      <c r="L210" s="3">
        <v>1.0</v>
      </c>
      <c r="M210" s="3">
        <v>1.0</v>
      </c>
      <c r="N210" s="3">
        <v>1.0</v>
      </c>
      <c r="O210" s="3">
        <v>1.0</v>
      </c>
      <c r="P210" s="3">
        <v>1.0</v>
      </c>
      <c r="Q210" s="3">
        <v>1.0</v>
      </c>
      <c r="R210" s="3">
        <v>1.0</v>
      </c>
      <c r="S210" s="3">
        <v>0.0</v>
      </c>
      <c r="T210" s="3">
        <v>1.0</v>
      </c>
      <c r="U210" s="3">
        <v>1.0</v>
      </c>
      <c r="V210" s="3">
        <v>1.0</v>
      </c>
      <c r="W210" s="3" t="s">
        <v>987</v>
      </c>
      <c r="X210" s="3" t="s">
        <v>1447</v>
      </c>
      <c r="Y210" s="3" t="s">
        <v>1448</v>
      </c>
      <c r="Z210" s="3" t="s">
        <v>1372</v>
      </c>
      <c r="AA210" s="3" t="s">
        <v>1450</v>
      </c>
      <c r="AB210" s="3" t="s">
        <v>1374</v>
      </c>
      <c r="AC210" s="3" t="s">
        <v>1451</v>
      </c>
      <c r="AD210" s="3" t="s">
        <v>1452</v>
      </c>
      <c r="AE210" s="3" t="s">
        <v>1453</v>
      </c>
      <c r="AF210" s="3">
        <v>0.035</v>
      </c>
      <c r="AG210" s="3">
        <v>0.228</v>
      </c>
      <c r="AH210" s="3">
        <v>0.375</v>
      </c>
      <c r="AI210" s="3">
        <v>48.318</v>
      </c>
      <c r="AJ210" s="3">
        <v>0.711</v>
      </c>
      <c r="AK210" s="3" t="s">
        <v>1599</v>
      </c>
      <c r="AL210" s="3">
        <v>0.169</v>
      </c>
      <c r="AM210" s="3" t="s">
        <v>1455</v>
      </c>
    </row>
    <row r="211" ht="15.75" customHeight="1">
      <c r="A211" s="3">
        <v>1.73039E12</v>
      </c>
      <c r="B211" s="3">
        <v>16.0</v>
      </c>
      <c r="C211" s="3" t="s">
        <v>536</v>
      </c>
      <c r="D211" s="3" t="s">
        <v>1369</v>
      </c>
      <c r="E211" s="3" t="s">
        <v>536</v>
      </c>
      <c r="F211" s="3">
        <v>1.0</v>
      </c>
      <c r="G211" s="3">
        <v>1.0</v>
      </c>
      <c r="H211" s="3">
        <v>1.0</v>
      </c>
      <c r="I211" s="3">
        <v>1.0</v>
      </c>
      <c r="J211" s="3">
        <v>1.0</v>
      </c>
      <c r="K211" s="3">
        <v>1.0</v>
      </c>
      <c r="L211" s="3">
        <v>1.0</v>
      </c>
      <c r="M211" s="3">
        <v>1.0</v>
      </c>
      <c r="N211" s="3">
        <v>1.0</v>
      </c>
      <c r="O211" s="3">
        <v>1.0</v>
      </c>
      <c r="P211" s="3">
        <v>1.0</v>
      </c>
      <c r="Q211" s="3">
        <v>1.0</v>
      </c>
      <c r="R211" s="3">
        <v>1.0</v>
      </c>
      <c r="S211" s="3">
        <v>0.0</v>
      </c>
      <c r="T211" s="3">
        <v>1.0</v>
      </c>
      <c r="U211" s="3">
        <v>1.0</v>
      </c>
      <c r="V211" s="3">
        <v>1.0</v>
      </c>
      <c r="W211" s="3" t="s">
        <v>1231</v>
      </c>
      <c r="X211" s="3" t="s">
        <v>1398</v>
      </c>
      <c r="Y211" s="3" t="s">
        <v>1399</v>
      </c>
      <c r="Z211" s="3" t="s">
        <v>1372</v>
      </c>
      <c r="AA211" s="3" t="s">
        <v>1373</v>
      </c>
      <c r="AB211" s="3" t="s">
        <v>1374</v>
      </c>
      <c r="AC211" s="3" t="s">
        <v>1400</v>
      </c>
      <c r="AD211" s="3" t="s">
        <v>1401</v>
      </c>
      <c r="AE211" s="3" t="s">
        <v>1402</v>
      </c>
      <c r="AF211" s="3">
        <v>0.006</v>
      </c>
      <c r="AG211" s="3">
        <v>0.07</v>
      </c>
      <c r="AH211" s="3" t="s">
        <v>1394</v>
      </c>
      <c r="AI211" s="3" t="s">
        <v>1394</v>
      </c>
      <c r="AJ211" s="3">
        <v>33.327</v>
      </c>
      <c r="AK211" s="3" t="s">
        <v>1663</v>
      </c>
      <c r="AL211" s="3" t="s">
        <v>1394</v>
      </c>
      <c r="AM211" s="3" t="s">
        <v>1404</v>
      </c>
    </row>
    <row r="212" ht="15.75" customHeight="1">
      <c r="A212" s="3">
        <v>1.73036E12</v>
      </c>
      <c r="B212" s="3">
        <v>17.0</v>
      </c>
      <c r="C212" s="3" t="s">
        <v>1842</v>
      </c>
      <c r="D212" s="3" t="s">
        <v>1369</v>
      </c>
      <c r="E212" s="3" t="s">
        <v>1842</v>
      </c>
      <c r="F212" s="3">
        <v>1.0</v>
      </c>
      <c r="G212" s="3">
        <v>1.0</v>
      </c>
      <c r="H212" s="3">
        <v>1.0</v>
      </c>
      <c r="I212" s="3">
        <v>1.0</v>
      </c>
      <c r="J212" s="3">
        <v>1.0</v>
      </c>
      <c r="K212" s="3">
        <v>1.0</v>
      </c>
      <c r="L212" s="3">
        <v>1.0</v>
      </c>
      <c r="M212" s="3">
        <v>1.0</v>
      </c>
      <c r="N212" s="3">
        <v>1.0</v>
      </c>
      <c r="O212" s="3">
        <v>1.0</v>
      </c>
      <c r="P212" s="3">
        <v>1.0</v>
      </c>
      <c r="Q212" s="3">
        <v>1.0</v>
      </c>
      <c r="R212" s="3">
        <v>1.0</v>
      </c>
      <c r="S212" s="3">
        <v>1.0</v>
      </c>
      <c r="T212" s="3">
        <v>1.0</v>
      </c>
      <c r="U212" s="3">
        <v>1.0</v>
      </c>
      <c r="V212" s="3">
        <v>1.0</v>
      </c>
      <c r="W212" s="3" t="s">
        <v>985</v>
      </c>
      <c r="X212" s="3" t="s">
        <v>1489</v>
      </c>
      <c r="Y212" s="3" t="s">
        <v>1490</v>
      </c>
      <c r="Z212" s="3" t="s">
        <v>1423</v>
      </c>
      <c r="AA212" s="3" t="s">
        <v>1491</v>
      </c>
      <c r="AB212" s="3" t="s">
        <v>1374</v>
      </c>
      <c r="AC212" s="3" t="s">
        <v>1451</v>
      </c>
      <c r="AD212" s="3" t="s">
        <v>1492</v>
      </c>
      <c r="AE212" s="3" t="s">
        <v>1493</v>
      </c>
      <c r="AF212" s="3">
        <v>0.056</v>
      </c>
      <c r="AG212" s="3">
        <v>0.253</v>
      </c>
      <c r="AH212" s="3">
        <v>0.372</v>
      </c>
      <c r="AI212" s="3">
        <v>-13.373</v>
      </c>
      <c r="AJ212" s="3">
        <v>8.332</v>
      </c>
      <c r="AK212" s="3" t="s">
        <v>1561</v>
      </c>
      <c r="AL212" s="3">
        <v>0.135</v>
      </c>
      <c r="AM212" s="3" t="s">
        <v>1495</v>
      </c>
    </row>
    <row r="213" ht="15.75" customHeight="1">
      <c r="A213" s="3">
        <v>1.7304E12</v>
      </c>
      <c r="B213" s="3">
        <v>15.0</v>
      </c>
      <c r="C213" s="3" t="s">
        <v>968</v>
      </c>
      <c r="D213" s="3" t="s">
        <v>1369</v>
      </c>
      <c r="E213" s="3" t="s">
        <v>968</v>
      </c>
      <c r="F213" s="3">
        <v>1.0</v>
      </c>
      <c r="G213" s="3">
        <v>1.0</v>
      </c>
      <c r="H213" s="3">
        <v>1.0</v>
      </c>
      <c r="I213" s="3">
        <v>1.0</v>
      </c>
      <c r="J213" s="3">
        <v>1.0</v>
      </c>
      <c r="K213" s="3">
        <v>1.0</v>
      </c>
      <c r="L213" s="3">
        <v>1.0</v>
      </c>
      <c r="M213" s="3">
        <v>1.0</v>
      </c>
      <c r="N213" s="3">
        <v>1.0</v>
      </c>
      <c r="O213" s="3">
        <v>1.0</v>
      </c>
      <c r="P213" s="3">
        <v>1.0</v>
      </c>
      <c r="Q213" s="3">
        <v>0.0</v>
      </c>
      <c r="R213" s="3">
        <v>1.0</v>
      </c>
      <c r="S213" s="3">
        <v>0.0</v>
      </c>
      <c r="T213" s="3">
        <v>1.0</v>
      </c>
      <c r="U213" s="3">
        <v>1.0</v>
      </c>
      <c r="V213" s="3">
        <v>1.0</v>
      </c>
      <c r="W213" s="3" t="s">
        <v>219</v>
      </c>
      <c r="X213" s="3" t="s">
        <v>1605</v>
      </c>
      <c r="Y213" s="3" t="s">
        <v>1772</v>
      </c>
      <c r="Z213" s="3" t="s">
        <v>1423</v>
      </c>
      <c r="AA213" s="3" t="s">
        <v>1382</v>
      </c>
      <c r="AB213" s="3" t="s">
        <v>1391</v>
      </c>
      <c r="AC213" s="3" t="s">
        <v>1374</v>
      </c>
      <c r="AD213" s="3" t="s">
        <v>1655</v>
      </c>
      <c r="AE213" s="3" t="s">
        <v>1656</v>
      </c>
      <c r="AF213" s="3">
        <v>0.065</v>
      </c>
      <c r="AG213" s="3">
        <v>1.452</v>
      </c>
      <c r="AH213" s="3" t="s">
        <v>1394</v>
      </c>
      <c r="AI213" s="3">
        <v>-833.265</v>
      </c>
      <c r="AJ213" s="3">
        <v>40.419</v>
      </c>
      <c r="AK213" s="3" t="s">
        <v>1607</v>
      </c>
      <c r="AL213" s="3">
        <v>0.061</v>
      </c>
      <c r="AM213" s="3" t="s">
        <v>1608</v>
      </c>
    </row>
    <row r="214" ht="15.75" customHeight="1">
      <c r="A214" s="3">
        <v>1.73039E12</v>
      </c>
      <c r="B214" s="3">
        <v>15.0</v>
      </c>
      <c r="C214" s="3" t="s">
        <v>1843</v>
      </c>
      <c r="D214" s="3" t="s">
        <v>1369</v>
      </c>
      <c r="E214" s="3" t="s">
        <v>1843</v>
      </c>
      <c r="F214" s="3">
        <v>1.0</v>
      </c>
      <c r="G214" s="3">
        <v>1.0</v>
      </c>
      <c r="H214" s="3">
        <v>1.0</v>
      </c>
      <c r="I214" s="3">
        <v>1.0</v>
      </c>
      <c r="J214" s="3">
        <v>1.0</v>
      </c>
      <c r="K214" s="3">
        <v>1.0</v>
      </c>
      <c r="L214" s="3">
        <v>1.0</v>
      </c>
      <c r="M214" s="3">
        <v>1.0</v>
      </c>
      <c r="N214" s="3">
        <v>1.0</v>
      </c>
      <c r="O214" s="3">
        <v>1.0</v>
      </c>
      <c r="P214" s="3">
        <v>1.0</v>
      </c>
      <c r="Q214" s="3">
        <v>1.0</v>
      </c>
      <c r="R214" s="3">
        <v>1.0</v>
      </c>
      <c r="S214" s="3">
        <v>0.0</v>
      </c>
      <c r="T214" s="3">
        <v>0.0</v>
      </c>
      <c r="U214" s="3">
        <v>1.0</v>
      </c>
      <c r="V214" s="3">
        <v>1.0</v>
      </c>
      <c r="W214" s="3" t="s">
        <v>590</v>
      </c>
      <c r="X214" s="3" t="s">
        <v>1605</v>
      </c>
      <c r="Y214" s="3" t="s">
        <v>1654</v>
      </c>
      <c r="Z214" s="3" t="s">
        <v>1423</v>
      </c>
      <c r="AA214" s="3" t="s">
        <v>1382</v>
      </c>
      <c r="AB214" s="3" t="s">
        <v>1391</v>
      </c>
      <c r="AC214" s="3" t="s">
        <v>1374</v>
      </c>
      <c r="AD214" s="3" t="s">
        <v>1655</v>
      </c>
      <c r="AE214" s="3" t="s">
        <v>1656</v>
      </c>
      <c r="AF214" s="3">
        <v>0.065</v>
      </c>
      <c r="AG214" s="3">
        <v>1.477</v>
      </c>
      <c r="AH214" s="3" t="s">
        <v>1394</v>
      </c>
      <c r="AI214" s="3" t="s">
        <v>1394</v>
      </c>
      <c r="AJ214" s="3" t="s">
        <v>1394</v>
      </c>
      <c r="AK214" s="3" t="s">
        <v>1844</v>
      </c>
      <c r="AL214" s="3" t="s">
        <v>1394</v>
      </c>
      <c r="AM214" s="3" t="s">
        <v>1608</v>
      </c>
    </row>
    <row r="215" ht="15.75" customHeight="1">
      <c r="A215" s="3">
        <v>1.73038E12</v>
      </c>
      <c r="B215" s="3">
        <v>17.0</v>
      </c>
      <c r="C215" s="3" t="s">
        <v>967</v>
      </c>
      <c r="D215" s="3" t="s">
        <v>1369</v>
      </c>
      <c r="E215" s="3" t="s">
        <v>967</v>
      </c>
      <c r="F215" s="3">
        <v>1.0</v>
      </c>
      <c r="G215" s="3">
        <v>1.0</v>
      </c>
      <c r="H215" s="3">
        <v>1.0</v>
      </c>
      <c r="I215" s="3">
        <v>1.0</v>
      </c>
      <c r="J215" s="3">
        <v>1.0</v>
      </c>
      <c r="K215" s="3">
        <v>1.0</v>
      </c>
      <c r="L215" s="3">
        <v>1.0</v>
      </c>
      <c r="M215" s="3">
        <v>1.0</v>
      </c>
      <c r="N215" s="3">
        <v>1.0</v>
      </c>
      <c r="O215" s="3">
        <v>1.0</v>
      </c>
      <c r="P215" s="3">
        <v>1.0</v>
      </c>
      <c r="Q215" s="3">
        <v>1.0</v>
      </c>
      <c r="R215" s="3">
        <v>1.0</v>
      </c>
      <c r="S215" s="3">
        <v>1.0</v>
      </c>
      <c r="T215" s="3">
        <v>1.0</v>
      </c>
      <c r="U215" s="3">
        <v>1.0</v>
      </c>
      <c r="V215" s="3">
        <v>1.0</v>
      </c>
      <c r="W215" s="3" t="s">
        <v>1306</v>
      </c>
      <c r="X215" s="3" t="s">
        <v>1578</v>
      </c>
      <c r="Y215" s="3" t="s">
        <v>1579</v>
      </c>
      <c r="Z215" s="3" t="s">
        <v>1372</v>
      </c>
      <c r="AA215" s="3" t="s">
        <v>1382</v>
      </c>
      <c r="AB215" s="3" t="s">
        <v>1374</v>
      </c>
      <c r="AC215" s="3" t="s">
        <v>1580</v>
      </c>
      <c r="AD215" s="3" t="s">
        <v>1581</v>
      </c>
      <c r="AE215" s="3" t="s">
        <v>1582</v>
      </c>
      <c r="AF215" s="3">
        <v>0.051</v>
      </c>
      <c r="AG215" s="3">
        <v>0.28</v>
      </c>
      <c r="AH215" s="3">
        <v>0.426</v>
      </c>
      <c r="AI215" s="3">
        <v>-79.423</v>
      </c>
      <c r="AJ215" s="3">
        <v>19.01</v>
      </c>
      <c r="AK215" s="3" t="s">
        <v>1583</v>
      </c>
      <c r="AL215" s="3">
        <v>0.128</v>
      </c>
      <c r="AM215" s="3" t="s">
        <v>1584</v>
      </c>
    </row>
    <row r="216" ht="15.75" customHeight="1">
      <c r="A216" s="3">
        <v>1.73027E12</v>
      </c>
      <c r="B216" s="3">
        <v>17.0</v>
      </c>
      <c r="C216" s="3" t="s">
        <v>172</v>
      </c>
      <c r="D216" s="3" t="s">
        <v>1369</v>
      </c>
      <c r="E216" s="3" t="s">
        <v>172</v>
      </c>
      <c r="F216" s="3">
        <v>1.0</v>
      </c>
      <c r="G216" s="3">
        <v>1.0</v>
      </c>
      <c r="H216" s="3">
        <v>1.0</v>
      </c>
      <c r="I216" s="3">
        <v>1.0</v>
      </c>
      <c r="J216" s="3">
        <v>1.0</v>
      </c>
      <c r="K216" s="3">
        <v>1.0</v>
      </c>
      <c r="L216" s="3">
        <v>1.0</v>
      </c>
      <c r="M216" s="3">
        <v>1.0</v>
      </c>
      <c r="N216" s="3">
        <v>1.0</v>
      </c>
      <c r="O216" s="3">
        <v>1.0</v>
      </c>
      <c r="P216" s="3">
        <v>1.0</v>
      </c>
      <c r="Q216" s="3">
        <v>1.0</v>
      </c>
      <c r="R216" s="3">
        <v>1.0</v>
      </c>
      <c r="S216" s="3">
        <v>1.0</v>
      </c>
      <c r="T216" s="3">
        <v>1.0</v>
      </c>
      <c r="U216" s="3">
        <v>1.0</v>
      </c>
      <c r="V216" s="3">
        <v>1.0</v>
      </c>
      <c r="W216" s="3" t="s">
        <v>1142</v>
      </c>
      <c r="X216" s="3" t="s">
        <v>1421</v>
      </c>
      <c r="Y216" s="3" t="s">
        <v>1422</v>
      </c>
      <c r="Z216" s="3" t="s">
        <v>1423</v>
      </c>
      <c r="AA216" s="3" t="s">
        <v>1424</v>
      </c>
      <c r="AB216" s="3" t="s">
        <v>1374</v>
      </c>
      <c r="AC216" s="3" t="s">
        <v>1391</v>
      </c>
      <c r="AD216" s="3" t="s">
        <v>1425</v>
      </c>
      <c r="AE216" s="3" t="s">
        <v>1426</v>
      </c>
      <c r="AF216" s="3">
        <v>0.051</v>
      </c>
      <c r="AG216" s="3">
        <v>0.21</v>
      </c>
      <c r="AH216" s="3">
        <v>0.345</v>
      </c>
      <c r="AI216" s="3">
        <v>-29.371</v>
      </c>
      <c r="AJ216" s="3">
        <v>0.522</v>
      </c>
      <c r="AK216" s="3" t="s">
        <v>1427</v>
      </c>
      <c r="AL216" s="3">
        <v>0.189</v>
      </c>
      <c r="AM216" s="3" t="s">
        <v>1428</v>
      </c>
    </row>
    <row r="217" ht="15.75" customHeight="1">
      <c r="A217" s="3">
        <v>1.73037E12</v>
      </c>
      <c r="B217" s="3">
        <v>16.0</v>
      </c>
      <c r="C217" s="3" t="s">
        <v>161</v>
      </c>
      <c r="D217" s="3" t="s">
        <v>1369</v>
      </c>
      <c r="E217" s="3" t="s">
        <v>161</v>
      </c>
      <c r="F217" s="3">
        <v>1.0</v>
      </c>
      <c r="G217" s="3">
        <v>1.0</v>
      </c>
      <c r="H217" s="3">
        <v>1.0</v>
      </c>
      <c r="I217" s="3">
        <v>1.0</v>
      </c>
      <c r="J217" s="3">
        <v>1.0</v>
      </c>
      <c r="K217" s="3">
        <v>1.0</v>
      </c>
      <c r="L217" s="3">
        <v>0.0</v>
      </c>
      <c r="M217" s="3">
        <v>1.0</v>
      </c>
      <c r="N217" s="3">
        <v>1.0</v>
      </c>
      <c r="O217" s="3">
        <v>1.0</v>
      </c>
      <c r="P217" s="3">
        <v>1.0</v>
      </c>
      <c r="Q217" s="3">
        <v>1.0</v>
      </c>
      <c r="R217" s="3">
        <v>1.0</v>
      </c>
      <c r="S217" s="3">
        <v>1.0</v>
      </c>
      <c r="T217" s="3">
        <v>1.0</v>
      </c>
      <c r="U217" s="3">
        <v>1.0</v>
      </c>
      <c r="V217" s="3">
        <v>1.0</v>
      </c>
      <c r="W217" s="3" t="s">
        <v>1195</v>
      </c>
      <c r="X217" s="3" t="s">
        <v>1429</v>
      </c>
      <c r="Y217" s="3" t="s">
        <v>1430</v>
      </c>
      <c r="Z217" s="3" t="s">
        <v>1423</v>
      </c>
      <c r="AA217" s="3" t="s">
        <v>1432</v>
      </c>
      <c r="AB217" s="3" t="s">
        <v>1374</v>
      </c>
      <c r="AC217" s="3" t="s">
        <v>1845</v>
      </c>
      <c r="AD217" s="3" t="s">
        <v>1433</v>
      </c>
      <c r="AE217" s="3" t="s">
        <v>1434</v>
      </c>
      <c r="AF217" s="3">
        <v>0.168</v>
      </c>
      <c r="AG217" s="3">
        <v>1.189</v>
      </c>
      <c r="AH217" s="3">
        <v>0.326</v>
      </c>
      <c r="AI217" s="3">
        <v>111.475</v>
      </c>
      <c r="AJ217" s="3">
        <v>-4.918</v>
      </c>
      <c r="AK217" s="3" t="s">
        <v>1481</v>
      </c>
      <c r="AL217" s="3">
        <v>0.118</v>
      </c>
      <c r="AM217" s="3" t="s">
        <v>1436</v>
      </c>
    </row>
    <row r="218" ht="15.75" customHeight="1">
      <c r="A218" s="3">
        <v>1.7304E12</v>
      </c>
      <c r="B218" s="3">
        <v>0.0</v>
      </c>
      <c r="C218" s="3" t="s">
        <v>1846</v>
      </c>
      <c r="D218" s="3" t="s">
        <v>1369</v>
      </c>
      <c r="E218" s="3" t="s">
        <v>1846</v>
      </c>
      <c r="F218" s="3">
        <v>0.0</v>
      </c>
      <c r="G218" s="3">
        <v>0.0</v>
      </c>
      <c r="H218" s="3">
        <v>0.0</v>
      </c>
      <c r="I218" s="3">
        <v>0.0</v>
      </c>
      <c r="J218" s="3">
        <v>0.0</v>
      </c>
      <c r="K218" s="3">
        <v>0.0</v>
      </c>
      <c r="L218" s="3">
        <v>0.0</v>
      </c>
      <c r="M218" s="3">
        <v>0.0</v>
      </c>
      <c r="N218" s="3">
        <v>0.0</v>
      </c>
      <c r="O218" s="3">
        <v>0.0</v>
      </c>
      <c r="P218" s="3">
        <v>0.0</v>
      </c>
      <c r="Q218" s="3">
        <v>0.0</v>
      </c>
      <c r="R218" s="3">
        <v>0.0</v>
      </c>
      <c r="S218" s="3">
        <v>0.0</v>
      </c>
      <c r="T218" s="3">
        <v>0.0</v>
      </c>
      <c r="U218" s="3">
        <v>0.0</v>
      </c>
      <c r="V218" s="3">
        <v>0.0</v>
      </c>
      <c r="W218" s="3" t="s">
        <v>1847</v>
      </c>
      <c r="X218" s="3" t="s">
        <v>1848</v>
      </c>
      <c r="Y218" s="3" t="s">
        <v>1849</v>
      </c>
      <c r="Z218" s="3" t="s">
        <v>1512</v>
      </c>
      <c r="AA218" s="3" t="s">
        <v>1415</v>
      </c>
      <c r="AB218" s="3" t="s">
        <v>1374</v>
      </c>
      <c r="AC218" s="3" t="s">
        <v>1391</v>
      </c>
      <c r="AD218" s="3" t="s">
        <v>1394</v>
      </c>
      <c r="AE218" s="3" t="s">
        <v>1394</v>
      </c>
      <c r="AF218" s="3" t="s">
        <v>1394</v>
      </c>
      <c r="AG218" s="3" t="s">
        <v>1394</v>
      </c>
      <c r="AH218" s="3" t="s">
        <v>1394</v>
      </c>
      <c r="AI218" s="3" t="s">
        <v>1394</v>
      </c>
      <c r="AJ218" s="3" t="s">
        <v>1394</v>
      </c>
      <c r="AK218" s="3" t="s">
        <v>1394</v>
      </c>
      <c r="AL218" s="3" t="s">
        <v>1394</v>
      </c>
      <c r="AM218" s="3" t="s">
        <v>1394</v>
      </c>
    </row>
    <row r="219" ht="15.75" customHeight="1">
      <c r="A219" s="3">
        <v>1.73038E12</v>
      </c>
      <c r="B219" s="3">
        <v>17.0</v>
      </c>
      <c r="C219" s="3" t="s">
        <v>882</v>
      </c>
      <c r="D219" s="3" t="s">
        <v>1369</v>
      </c>
      <c r="E219" s="3" t="s">
        <v>882</v>
      </c>
      <c r="F219" s="3">
        <v>1.0</v>
      </c>
      <c r="G219" s="3">
        <v>1.0</v>
      </c>
      <c r="H219" s="3">
        <v>1.0</v>
      </c>
      <c r="I219" s="3">
        <v>1.0</v>
      </c>
      <c r="J219" s="3">
        <v>1.0</v>
      </c>
      <c r="K219" s="3">
        <v>1.0</v>
      </c>
      <c r="L219" s="3">
        <v>1.0</v>
      </c>
      <c r="M219" s="3">
        <v>1.0</v>
      </c>
      <c r="N219" s="3">
        <v>1.0</v>
      </c>
      <c r="O219" s="3">
        <v>1.0</v>
      </c>
      <c r="P219" s="3">
        <v>1.0</v>
      </c>
      <c r="Q219" s="3">
        <v>1.0</v>
      </c>
      <c r="R219" s="3">
        <v>1.0</v>
      </c>
      <c r="S219" s="3">
        <v>1.0</v>
      </c>
      <c r="T219" s="3">
        <v>1.0</v>
      </c>
      <c r="U219" s="3">
        <v>1.0</v>
      </c>
      <c r="V219" s="3">
        <v>1.0</v>
      </c>
      <c r="W219" s="3" t="s">
        <v>1038</v>
      </c>
      <c r="X219" s="3" t="s">
        <v>1405</v>
      </c>
      <c r="Y219" s="3" t="s">
        <v>1406</v>
      </c>
      <c r="Z219" s="3" t="s">
        <v>1372</v>
      </c>
      <c r="AA219" s="3" t="s">
        <v>1407</v>
      </c>
      <c r="AB219" s="3" t="s">
        <v>1374</v>
      </c>
      <c r="AC219" s="3" t="s">
        <v>1400</v>
      </c>
      <c r="AD219" s="3" t="s">
        <v>1506</v>
      </c>
      <c r="AE219" s="3" t="s">
        <v>1409</v>
      </c>
      <c r="AF219" s="3">
        <v>-0.017</v>
      </c>
      <c r="AG219" s="3">
        <v>-0.05</v>
      </c>
      <c r="AH219" s="3">
        <v>0.162</v>
      </c>
      <c r="AI219" s="3">
        <v>-173.813</v>
      </c>
      <c r="AJ219" s="3">
        <v>11.023</v>
      </c>
      <c r="AK219" s="3" t="s">
        <v>1535</v>
      </c>
      <c r="AL219" s="3">
        <v>0.256</v>
      </c>
      <c r="AM219" s="3" t="s">
        <v>1411</v>
      </c>
    </row>
    <row r="220" ht="15.75" customHeight="1">
      <c r="A220" s="3">
        <v>1.73008E12</v>
      </c>
      <c r="B220" s="3">
        <v>15.0</v>
      </c>
      <c r="C220" s="3" t="s">
        <v>665</v>
      </c>
      <c r="D220" s="3" t="s">
        <v>1369</v>
      </c>
      <c r="E220" s="3" t="s">
        <v>665</v>
      </c>
      <c r="F220" s="3">
        <v>1.0</v>
      </c>
      <c r="G220" s="3">
        <v>1.0</v>
      </c>
      <c r="H220" s="3">
        <v>1.0</v>
      </c>
      <c r="I220" s="3">
        <v>1.0</v>
      </c>
      <c r="J220" s="3">
        <v>1.0</v>
      </c>
      <c r="K220" s="3">
        <v>1.0</v>
      </c>
      <c r="L220" s="3">
        <v>1.0</v>
      </c>
      <c r="M220" s="3">
        <v>1.0</v>
      </c>
      <c r="N220" s="3">
        <v>1.0</v>
      </c>
      <c r="O220" s="3">
        <v>1.0</v>
      </c>
      <c r="P220" s="3">
        <v>1.0</v>
      </c>
      <c r="Q220" s="3">
        <v>0.0</v>
      </c>
      <c r="R220" s="3">
        <v>1.0</v>
      </c>
      <c r="S220" s="3">
        <v>0.0</v>
      </c>
      <c r="T220" s="3">
        <v>1.0</v>
      </c>
      <c r="U220" s="3">
        <v>1.0</v>
      </c>
      <c r="V220" s="3">
        <v>1.0</v>
      </c>
      <c r="W220" s="3" t="s">
        <v>238</v>
      </c>
      <c r="X220" s="3" t="s">
        <v>1405</v>
      </c>
      <c r="Y220" s="3" t="s">
        <v>1406</v>
      </c>
      <c r="Z220" s="3" t="s">
        <v>1372</v>
      </c>
      <c r="AA220" s="3" t="s">
        <v>1407</v>
      </c>
      <c r="AB220" s="3" t="s">
        <v>1374</v>
      </c>
      <c r="AC220" s="3" t="s">
        <v>1508</v>
      </c>
      <c r="AD220" s="3" t="s">
        <v>1632</v>
      </c>
      <c r="AE220" s="3" t="s">
        <v>1409</v>
      </c>
      <c r="AF220" s="3">
        <v>-0.017</v>
      </c>
      <c r="AG220" s="3">
        <v>-0.05</v>
      </c>
      <c r="AI220" s="3">
        <v>-178.493</v>
      </c>
      <c r="AJ220" s="3">
        <v>12.01</v>
      </c>
      <c r="AK220" s="3" t="s">
        <v>1850</v>
      </c>
      <c r="AL220" s="3">
        <v>0.259</v>
      </c>
      <c r="AM220" s="3" t="s">
        <v>1411</v>
      </c>
    </row>
    <row r="221" ht="15.75" customHeight="1">
      <c r="A221" s="3">
        <v>1.72969E12</v>
      </c>
      <c r="B221" s="3">
        <v>13.0</v>
      </c>
      <c r="C221" s="3" t="s">
        <v>360</v>
      </c>
      <c r="D221" s="3" t="s">
        <v>1369</v>
      </c>
      <c r="E221" s="3" t="s">
        <v>360</v>
      </c>
      <c r="F221" s="3">
        <v>1.0</v>
      </c>
      <c r="G221" s="3">
        <v>1.0</v>
      </c>
      <c r="H221" s="3">
        <v>1.0</v>
      </c>
      <c r="I221" s="3">
        <v>1.0</v>
      </c>
      <c r="J221" s="3">
        <v>1.0</v>
      </c>
      <c r="K221" s="3">
        <v>1.0</v>
      </c>
      <c r="L221" s="3">
        <v>1.0</v>
      </c>
      <c r="M221" s="3">
        <v>1.0</v>
      </c>
      <c r="N221" s="3">
        <v>1.0</v>
      </c>
      <c r="O221" s="3">
        <v>1.0</v>
      </c>
      <c r="P221" s="3">
        <v>1.0</v>
      </c>
      <c r="Q221" s="3">
        <v>0.0</v>
      </c>
      <c r="R221" s="3">
        <v>0.0</v>
      </c>
      <c r="S221" s="3">
        <v>0.0</v>
      </c>
      <c r="T221" s="3">
        <v>1.0</v>
      </c>
      <c r="U221" s="3">
        <v>0.0</v>
      </c>
      <c r="V221" s="3">
        <v>1.0</v>
      </c>
      <c r="W221" s="3" t="s">
        <v>743</v>
      </c>
      <c r="X221" s="3" t="s">
        <v>1851</v>
      </c>
      <c r="Y221" s="3" t="s">
        <v>1465</v>
      </c>
      <c r="Z221" s="3" t="s">
        <v>1372</v>
      </c>
      <c r="AA221" s="3" t="s">
        <v>1373</v>
      </c>
      <c r="AB221" s="3" t="s">
        <v>1374</v>
      </c>
      <c r="AC221" s="3" t="s">
        <v>1391</v>
      </c>
      <c r="AD221" s="3" t="s">
        <v>1497</v>
      </c>
      <c r="AE221" s="3" t="s">
        <v>1467</v>
      </c>
      <c r="AF221" s="3">
        <v>0.2</v>
      </c>
      <c r="AG221" s="3">
        <v>2.435</v>
      </c>
      <c r="AH221" s="3">
        <v>0.311</v>
      </c>
      <c r="AI221" s="3">
        <v>13.298</v>
      </c>
      <c r="AJ221" s="3">
        <v>0.046</v>
      </c>
      <c r="AK221" s="3" t="s">
        <v>1536</v>
      </c>
      <c r="AL221" s="3">
        <v>0.088</v>
      </c>
      <c r="AM221" s="3" t="s">
        <v>1469</v>
      </c>
    </row>
    <row r="222" ht="15.75" customHeight="1">
      <c r="A222" s="3">
        <v>1.73028E12</v>
      </c>
      <c r="B222" s="3">
        <v>17.0</v>
      </c>
      <c r="C222" s="3" t="s">
        <v>548</v>
      </c>
      <c r="D222" s="3" t="s">
        <v>1369</v>
      </c>
      <c r="E222" s="3" t="s">
        <v>548</v>
      </c>
      <c r="F222" s="3">
        <v>1.0</v>
      </c>
      <c r="G222" s="3">
        <v>1.0</v>
      </c>
      <c r="H222" s="3">
        <v>1.0</v>
      </c>
      <c r="I222" s="3">
        <v>1.0</v>
      </c>
      <c r="J222" s="3">
        <v>1.0</v>
      </c>
      <c r="K222" s="3">
        <v>1.0</v>
      </c>
      <c r="L222" s="3">
        <v>1.0</v>
      </c>
      <c r="M222" s="3">
        <v>1.0</v>
      </c>
      <c r="N222" s="3">
        <v>1.0</v>
      </c>
      <c r="O222" s="3">
        <v>1.0</v>
      </c>
      <c r="P222" s="3">
        <v>1.0</v>
      </c>
      <c r="Q222" s="3">
        <v>1.0</v>
      </c>
      <c r="R222" s="3">
        <v>1.0</v>
      </c>
      <c r="S222" s="3">
        <v>1.0</v>
      </c>
      <c r="T222" s="3">
        <v>1.0</v>
      </c>
      <c r="U222" s="3">
        <v>1.0</v>
      </c>
      <c r="V222" s="3">
        <v>1.0</v>
      </c>
      <c r="W222" s="3" t="s">
        <v>1263</v>
      </c>
      <c r="X222" s="3" t="s">
        <v>1600</v>
      </c>
      <c r="Y222" s="3" t="s">
        <v>1601</v>
      </c>
      <c r="Z222" s="3" t="s">
        <v>1449</v>
      </c>
      <c r="AA222" s="3" t="s">
        <v>1407</v>
      </c>
      <c r="AB222" s="3" t="s">
        <v>1374</v>
      </c>
      <c r="AC222" s="3" t="s">
        <v>1400</v>
      </c>
      <c r="AD222" s="3" t="s">
        <v>1408</v>
      </c>
      <c r="AE222" s="3" t="s">
        <v>1602</v>
      </c>
      <c r="AF222" s="3">
        <v>0.036</v>
      </c>
      <c r="AG222" s="3">
        <v>0.105</v>
      </c>
      <c r="AH222" s="3">
        <v>0.158</v>
      </c>
      <c r="AI222" s="3">
        <v>8.329</v>
      </c>
      <c r="AJ222" s="3">
        <v>-0.043</v>
      </c>
      <c r="AK222" s="3" t="s">
        <v>1603</v>
      </c>
      <c r="AL222" s="3">
        <v>0.231</v>
      </c>
      <c r="AM222" s="3" t="s">
        <v>1411</v>
      </c>
    </row>
    <row r="223" ht="15.75" customHeight="1">
      <c r="A223" s="3">
        <v>1.73039E12</v>
      </c>
      <c r="B223" s="3">
        <v>17.0</v>
      </c>
      <c r="C223" s="3" t="s">
        <v>354</v>
      </c>
      <c r="D223" s="3" t="s">
        <v>1369</v>
      </c>
      <c r="E223" s="3" t="s">
        <v>354</v>
      </c>
      <c r="F223" s="3">
        <v>1.0</v>
      </c>
      <c r="G223" s="3">
        <v>1.0</v>
      </c>
      <c r="H223" s="3">
        <v>1.0</v>
      </c>
      <c r="I223" s="3">
        <v>1.0</v>
      </c>
      <c r="J223" s="3">
        <v>1.0</v>
      </c>
      <c r="K223" s="3">
        <v>1.0</v>
      </c>
      <c r="L223" s="3">
        <v>1.0</v>
      </c>
      <c r="M223" s="3">
        <v>1.0</v>
      </c>
      <c r="N223" s="3">
        <v>1.0</v>
      </c>
      <c r="O223" s="3">
        <v>1.0</v>
      </c>
      <c r="P223" s="3">
        <v>1.0</v>
      </c>
      <c r="Q223" s="3">
        <v>1.0</v>
      </c>
      <c r="R223" s="3">
        <v>1.0</v>
      </c>
      <c r="S223" s="3">
        <v>1.0</v>
      </c>
      <c r="T223" s="3">
        <v>1.0</v>
      </c>
      <c r="U223" s="3">
        <v>1.0</v>
      </c>
      <c r="V223" s="3">
        <v>1.0</v>
      </c>
      <c r="W223" s="3" t="s">
        <v>1201</v>
      </c>
      <c r="X223" s="3" t="s">
        <v>1398</v>
      </c>
      <c r="Y223" s="3" t="s">
        <v>1399</v>
      </c>
      <c r="Z223" s="3" t="s">
        <v>1372</v>
      </c>
      <c r="AA223" s="3" t="s">
        <v>1373</v>
      </c>
      <c r="AB223" s="3" t="s">
        <v>1374</v>
      </c>
      <c r="AC223" s="3" t="s">
        <v>1400</v>
      </c>
      <c r="AD223" s="3" t="s">
        <v>1401</v>
      </c>
      <c r="AE223" s="3" t="s">
        <v>1402</v>
      </c>
      <c r="AF223" s="3">
        <v>0.007</v>
      </c>
      <c r="AG223" s="3">
        <v>0.074</v>
      </c>
      <c r="AH223" s="3">
        <v>0.171</v>
      </c>
      <c r="AI223" s="3">
        <v>34.893</v>
      </c>
      <c r="AJ223" s="3">
        <v>8.438</v>
      </c>
      <c r="AK223" s="3" t="s">
        <v>1663</v>
      </c>
      <c r="AL223" s="3">
        <v>0.25</v>
      </c>
      <c r="AM223" s="3" t="s">
        <v>1404</v>
      </c>
    </row>
    <row r="224" ht="15.75" customHeight="1">
      <c r="A224" s="3">
        <v>1.73024E12</v>
      </c>
      <c r="B224" s="3">
        <v>14.0</v>
      </c>
      <c r="C224" s="3" t="s">
        <v>155</v>
      </c>
      <c r="D224" s="3" t="s">
        <v>1369</v>
      </c>
      <c r="E224" s="3" t="s">
        <v>155</v>
      </c>
      <c r="F224" s="3">
        <v>1.0</v>
      </c>
      <c r="G224" s="3">
        <v>1.0</v>
      </c>
      <c r="H224" s="3">
        <v>1.0</v>
      </c>
      <c r="I224" s="3">
        <v>1.0</v>
      </c>
      <c r="J224" s="3">
        <v>1.0</v>
      </c>
      <c r="K224" s="3">
        <v>1.0</v>
      </c>
      <c r="L224" s="3">
        <v>1.0</v>
      </c>
      <c r="M224" s="3">
        <v>1.0</v>
      </c>
      <c r="N224" s="3">
        <v>0.0</v>
      </c>
      <c r="O224" s="3">
        <v>1.0</v>
      </c>
      <c r="P224" s="3">
        <v>1.0</v>
      </c>
      <c r="Q224" s="3">
        <v>1.0</v>
      </c>
      <c r="R224" s="3">
        <v>1.0</v>
      </c>
      <c r="S224" s="3">
        <v>0.0</v>
      </c>
      <c r="T224" s="3">
        <v>1.0</v>
      </c>
      <c r="U224" s="3">
        <v>0.0</v>
      </c>
      <c r="V224" s="3">
        <v>1.0</v>
      </c>
      <c r="W224" s="3" t="s">
        <v>377</v>
      </c>
      <c r="X224" s="3" t="s">
        <v>1438</v>
      </c>
      <c r="Y224" s="3" t="s">
        <v>1439</v>
      </c>
      <c r="Z224" s="3" t="s">
        <v>1372</v>
      </c>
      <c r="AA224" s="3" t="s">
        <v>1553</v>
      </c>
      <c r="AB224" s="3" t="s">
        <v>1374</v>
      </c>
      <c r="AC224" s="3" t="s">
        <v>1391</v>
      </c>
      <c r="AD224" s="3" t="s">
        <v>1554</v>
      </c>
      <c r="AE224" s="3" t="s">
        <v>1852</v>
      </c>
      <c r="AF224" s="3">
        <v>0.084</v>
      </c>
      <c r="AG224" s="3">
        <v>0.296</v>
      </c>
      <c r="AH224" s="3">
        <v>0.242</v>
      </c>
      <c r="AI224" s="3">
        <v>242.393</v>
      </c>
      <c r="AJ224" s="3">
        <v>0.019</v>
      </c>
      <c r="AK224" s="3" t="s">
        <v>1853</v>
      </c>
      <c r="AL224" s="3">
        <v>0.017</v>
      </c>
      <c r="AM224" s="3" t="s">
        <v>1446</v>
      </c>
    </row>
    <row r="225" ht="15.75" customHeight="1">
      <c r="A225" s="3">
        <v>1.73037E12</v>
      </c>
      <c r="B225" s="3">
        <v>0.0</v>
      </c>
      <c r="C225" s="3" t="s">
        <v>1854</v>
      </c>
      <c r="D225" s="3" t="s">
        <v>1369</v>
      </c>
      <c r="E225" s="3" t="s">
        <v>1854</v>
      </c>
      <c r="F225" s="3">
        <v>0.0</v>
      </c>
      <c r="G225" s="3">
        <v>0.0</v>
      </c>
      <c r="H225" s="3">
        <v>0.0</v>
      </c>
      <c r="I225" s="3">
        <v>0.0</v>
      </c>
      <c r="J225" s="3">
        <v>0.0</v>
      </c>
      <c r="K225" s="3">
        <v>0.0</v>
      </c>
      <c r="L225" s="3">
        <v>0.0</v>
      </c>
      <c r="M225" s="3">
        <v>0.0</v>
      </c>
      <c r="N225" s="3">
        <v>0.0</v>
      </c>
      <c r="O225" s="3">
        <v>0.0</v>
      </c>
      <c r="P225" s="3">
        <v>0.0</v>
      </c>
      <c r="Q225" s="3">
        <v>0.0</v>
      </c>
      <c r="R225" s="3">
        <v>0.0</v>
      </c>
      <c r="S225" s="3">
        <v>0.0</v>
      </c>
      <c r="T225" s="3">
        <v>0.0</v>
      </c>
      <c r="U225" s="3">
        <v>0.0</v>
      </c>
      <c r="V225" s="3">
        <v>0.0</v>
      </c>
      <c r="W225" s="3" t="s">
        <v>1855</v>
      </c>
      <c r="X225" s="3" t="s">
        <v>1856</v>
      </c>
      <c r="Y225" s="3" t="s">
        <v>1577</v>
      </c>
    </row>
    <row r="226" ht="15.75" customHeight="1">
      <c r="A226" s="3">
        <v>1.72995E12</v>
      </c>
      <c r="B226" s="3">
        <v>15.0</v>
      </c>
      <c r="C226" s="3" t="s">
        <v>237</v>
      </c>
      <c r="D226" s="3" t="s">
        <v>1369</v>
      </c>
      <c r="E226" s="3" t="s">
        <v>237</v>
      </c>
      <c r="F226" s="3">
        <v>1.0</v>
      </c>
      <c r="G226" s="3">
        <v>1.0</v>
      </c>
      <c r="H226" s="3">
        <v>1.0</v>
      </c>
      <c r="I226" s="3">
        <v>1.0</v>
      </c>
      <c r="J226" s="3">
        <v>1.0</v>
      </c>
      <c r="K226" s="3">
        <v>1.0</v>
      </c>
      <c r="L226" s="3">
        <v>1.0</v>
      </c>
      <c r="M226" s="3">
        <v>1.0</v>
      </c>
      <c r="N226" s="3">
        <v>1.0</v>
      </c>
      <c r="O226" s="3">
        <v>1.0</v>
      </c>
      <c r="P226" s="3">
        <v>1.0</v>
      </c>
      <c r="Q226" s="3">
        <v>1.0</v>
      </c>
      <c r="R226" s="3">
        <v>0.0</v>
      </c>
      <c r="S226" s="3">
        <v>0.0</v>
      </c>
      <c r="T226" s="3">
        <v>1.0</v>
      </c>
      <c r="U226" s="3">
        <v>1.0</v>
      </c>
      <c r="V226" s="3">
        <v>1.0</v>
      </c>
      <c r="W226" s="3" t="s">
        <v>319</v>
      </c>
      <c r="X226" s="3" t="s">
        <v>1563</v>
      </c>
      <c r="Y226" s="3" t="s">
        <v>1564</v>
      </c>
      <c r="Z226" s="3" t="s">
        <v>1449</v>
      </c>
      <c r="AA226" s="3" t="s">
        <v>1649</v>
      </c>
      <c r="AB226" s="3" t="s">
        <v>1374</v>
      </c>
      <c r="AC226" s="3" t="s">
        <v>1650</v>
      </c>
      <c r="AD226" s="3" t="s">
        <v>1566</v>
      </c>
      <c r="AE226" s="3" t="s">
        <v>1567</v>
      </c>
      <c r="AF226" s="3">
        <v>0.344</v>
      </c>
      <c r="AG226" s="3">
        <v>0.671</v>
      </c>
      <c r="AH226" s="3">
        <v>0.262</v>
      </c>
      <c r="AI226" s="3">
        <v>46.94</v>
      </c>
      <c r="AJ226" s="3">
        <v>2.469</v>
      </c>
      <c r="AK226" s="3" t="s">
        <v>1568</v>
      </c>
      <c r="AL226" s="3">
        <v>0.051</v>
      </c>
      <c r="AM226" s="3" t="s">
        <v>1569</v>
      </c>
    </row>
    <row r="227" ht="15.75" customHeight="1">
      <c r="A227" s="3">
        <v>1.7304E12</v>
      </c>
      <c r="B227" s="3">
        <v>14.0</v>
      </c>
      <c r="C227" s="3" t="s">
        <v>376</v>
      </c>
      <c r="D227" s="3" t="s">
        <v>1369</v>
      </c>
      <c r="E227" s="3" t="s">
        <v>376</v>
      </c>
      <c r="F227" s="3">
        <v>1.0</v>
      </c>
      <c r="G227" s="3">
        <v>1.0</v>
      </c>
      <c r="H227" s="3">
        <v>1.0</v>
      </c>
      <c r="I227" s="3">
        <v>1.0</v>
      </c>
      <c r="J227" s="3">
        <v>1.0</v>
      </c>
      <c r="K227" s="3">
        <v>1.0</v>
      </c>
      <c r="L227" s="3">
        <v>1.0</v>
      </c>
      <c r="M227" s="3">
        <v>1.0</v>
      </c>
      <c r="N227" s="3">
        <v>1.0</v>
      </c>
      <c r="O227" s="3">
        <v>1.0</v>
      </c>
      <c r="P227" s="3">
        <v>1.0</v>
      </c>
      <c r="Q227" s="3">
        <v>0.0</v>
      </c>
      <c r="R227" s="3">
        <v>0.0</v>
      </c>
      <c r="S227" s="3">
        <v>1.0</v>
      </c>
      <c r="T227" s="3">
        <v>1.0</v>
      </c>
      <c r="U227" s="3">
        <v>0.0</v>
      </c>
      <c r="V227" s="3">
        <v>1.0</v>
      </c>
      <c r="W227" s="3" t="s">
        <v>562</v>
      </c>
      <c r="X227" s="3" t="s">
        <v>1379</v>
      </c>
      <c r="Y227" s="3" t="s">
        <v>1380</v>
      </c>
      <c r="Z227" s="3" t="s">
        <v>1372</v>
      </c>
      <c r="AA227" s="3" t="s">
        <v>1382</v>
      </c>
      <c r="AB227" s="3" t="s">
        <v>1374</v>
      </c>
      <c r="AC227" s="3" t="s">
        <v>1400</v>
      </c>
      <c r="AD227" s="3" t="s">
        <v>1425</v>
      </c>
      <c r="AE227" s="3" t="s">
        <v>1385</v>
      </c>
      <c r="AF227" s="3">
        <v>0.191</v>
      </c>
      <c r="AG227" s="3">
        <v>2.348</v>
      </c>
      <c r="AH227" s="3">
        <v>0.197</v>
      </c>
      <c r="AI227" s="3">
        <v>62.025</v>
      </c>
      <c r="AJ227" s="3">
        <v>0.302</v>
      </c>
      <c r="AK227" s="3" t="s">
        <v>1857</v>
      </c>
      <c r="AL227" s="3">
        <v>0.685</v>
      </c>
      <c r="AM227" s="3" t="s">
        <v>1387</v>
      </c>
    </row>
    <row r="228" ht="15.75" customHeight="1">
      <c r="A228" s="3">
        <v>1.73031E12</v>
      </c>
      <c r="B228" s="3">
        <v>17.0</v>
      </c>
      <c r="C228" s="3" t="s">
        <v>429</v>
      </c>
      <c r="D228" s="3" t="s">
        <v>1369</v>
      </c>
      <c r="E228" s="3" t="s">
        <v>429</v>
      </c>
      <c r="F228" s="3">
        <v>1.0</v>
      </c>
      <c r="G228" s="3">
        <v>1.0</v>
      </c>
      <c r="H228" s="3">
        <v>1.0</v>
      </c>
      <c r="I228" s="3">
        <v>1.0</v>
      </c>
      <c r="J228" s="3">
        <v>1.0</v>
      </c>
      <c r="K228" s="3">
        <v>1.0</v>
      </c>
      <c r="L228" s="3">
        <v>1.0</v>
      </c>
      <c r="M228" s="3">
        <v>1.0</v>
      </c>
      <c r="N228" s="3">
        <v>1.0</v>
      </c>
      <c r="O228" s="3">
        <v>1.0</v>
      </c>
      <c r="P228" s="3">
        <v>1.0</v>
      </c>
      <c r="Q228" s="3">
        <v>1.0</v>
      </c>
      <c r="R228" s="3">
        <v>1.0</v>
      </c>
      <c r="S228" s="3">
        <v>1.0</v>
      </c>
      <c r="T228" s="3">
        <v>1.0</v>
      </c>
      <c r="U228" s="3">
        <v>1.0</v>
      </c>
      <c r="V228" s="3">
        <v>1.0</v>
      </c>
      <c r="W228" s="3" t="s">
        <v>1120</v>
      </c>
      <c r="X228" s="3" t="s">
        <v>1456</v>
      </c>
      <c r="Y228" s="3" t="s">
        <v>1457</v>
      </c>
      <c r="Z228" s="3" t="s">
        <v>1431</v>
      </c>
      <c r="AA228" s="3" t="s">
        <v>1458</v>
      </c>
      <c r="AB228" s="3" t="s">
        <v>1374</v>
      </c>
      <c r="AC228" s="3" t="s">
        <v>1374</v>
      </c>
      <c r="AD228" s="3" t="s">
        <v>1392</v>
      </c>
      <c r="AE228" s="3" t="s">
        <v>1459</v>
      </c>
      <c r="AF228" s="3">
        <v>0.082</v>
      </c>
      <c r="AG228" s="3">
        <v>0.676</v>
      </c>
      <c r="AH228" s="3">
        <v>0.289</v>
      </c>
      <c r="AI228" s="3">
        <v>106.026</v>
      </c>
      <c r="AJ228" s="3">
        <v>2.813</v>
      </c>
      <c r="AK228" s="3" t="s">
        <v>1858</v>
      </c>
      <c r="AL228" s="3">
        <v>0.052</v>
      </c>
      <c r="AM228" s="3" t="s">
        <v>1588</v>
      </c>
    </row>
    <row r="229" ht="15.75" customHeight="1">
      <c r="A229" s="3">
        <v>1.73037E12</v>
      </c>
      <c r="B229" s="3">
        <v>17.0</v>
      </c>
      <c r="C229" s="3" t="s">
        <v>185</v>
      </c>
      <c r="D229" s="3" t="s">
        <v>1369</v>
      </c>
      <c r="E229" s="3" t="s">
        <v>185</v>
      </c>
      <c r="F229" s="3">
        <v>1.0</v>
      </c>
      <c r="G229" s="3">
        <v>1.0</v>
      </c>
      <c r="H229" s="3">
        <v>1.0</v>
      </c>
      <c r="I229" s="3">
        <v>1.0</v>
      </c>
      <c r="J229" s="3">
        <v>1.0</v>
      </c>
      <c r="K229" s="3">
        <v>1.0</v>
      </c>
      <c r="L229" s="3">
        <v>1.0</v>
      </c>
      <c r="M229" s="3">
        <v>1.0</v>
      </c>
      <c r="N229" s="3">
        <v>1.0</v>
      </c>
      <c r="O229" s="3">
        <v>1.0</v>
      </c>
      <c r="P229" s="3">
        <v>1.0</v>
      </c>
      <c r="Q229" s="3">
        <v>1.0</v>
      </c>
      <c r="R229" s="3">
        <v>1.0</v>
      </c>
      <c r="S229" s="3">
        <v>1.0</v>
      </c>
      <c r="T229" s="3">
        <v>1.0</v>
      </c>
      <c r="U229" s="3">
        <v>1.0</v>
      </c>
      <c r="V229" s="3">
        <v>1.0</v>
      </c>
      <c r="W229" s="3" t="s">
        <v>1150</v>
      </c>
      <c r="X229" s="3" t="s">
        <v>1398</v>
      </c>
      <c r="Y229" s="3" t="s">
        <v>1399</v>
      </c>
      <c r="Z229" s="3" t="s">
        <v>1372</v>
      </c>
      <c r="AA229" s="3" t="s">
        <v>1373</v>
      </c>
      <c r="AB229" s="3" t="s">
        <v>1374</v>
      </c>
      <c r="AC229" s="3" t="s">
        <v>1400</v>
      </c>
      <c r="AD229" s="3" t="s">
        <v>1401</v>
      </c>
      <c r="AE229" s="3" t="s">
        <v>1402</v>
      </c>
      <c r="AF229" s="3">
        <v>0.006</v>
      </c>
      <c r="AG229" s="3">
        <v>0.072</v>
      </c>
      <c r="AH229" s="3">
        <v>0.172</v>
      </c>
      <c r="AI229" s="3">
        <v>33.411</v>
      </c>
      <c r="AJ229" s="3">
        <v>8.395</v>
      </c>
      <c r="AK229" s="3" t="s">
        <v>1663</v>
      </c>
      <c r="AL229" s="3">
        <v>0.259</v>
      </c>
      <c r="AM229" s="3" t="s">
        <v>1404</v>
      </c>
    </row>
    <row r="230" ht="15.75" customHeight="1">
      <c r="A230" s="3">
        <v>1.73029E12</v>
      </c>
      <c r="B230" s="3">
        <v>14.0</v>
      </c>
      <c r="C230" s="3" t="s">
        <v>561</v>
      </c>
      <c r="D230" s="3" t="s">
        <v>1369</v>
      </c>
      <c r="E230" s="3" t="s">
        <v>561</v>
      </c>
      <c r="F230" s="3">
        <v>1.0</v>
      </c>
      <c r="G230" s="3">
        <v>1.0</v>
      </c>
      <c r="H230" s="3">
        <v>1.0</v>
      </c>
      <c r="I230" s="3">
        <v>1.0</v>
      </c>
      <c r="J230" s="3">
        <v>1.0</v>
      </c>
      <c r="K230" s="3">
        <v>1.0</v>
      </c>
      <c r="L230" s="3">
        <v>1.0</v>
      </c>
      <c r="M230" s="3">
        <v>1.0</v>
      </c>
      <c r="N230" s="3">
        <v>1.0</v>
      </c>
      <c r="O230" s="3">
        <v>1.0</v>
      </c>
      <c r="P230" s="3">
        <v>1.0</v>
      </c>
      <c r="Q230" s="3">
        <v>0.0</v>
      </c>
      <c r="R230" s="3">
        <v>1.0</v>
      </c>
      <c r="S230" s="3">
        <v>0.0</v>
      </c>
      <c r="T230" s="3">
        <v>1.0</v>
      </c>
      <c r="U230" s="3">
        <v>1.0</v>
      </c>
      <c r="V230" s="3">
        <v>0.0</v>
      </c>
      <c r="W230" s="3" t="s">
        <v>726</v>
      </c>
      <c r="X230" s="3" t="s">
        <v>1590</v>
      </c>
      <c r="Y230" s="3" t="s">
        <v>1591</v>
      </c>
      <c r="Z230" s="3" t="s">
        <v>1423</v>
      </c>
      <c r="AA230" s="3" t="s">
        <v>1593</v>
      </c>
      <c r="AB230" s="3" t="s">
        <v>1374</v>
      </c>
      <c r="AC230" s="3" t="s">
        <v>1374</v>
      </c>
      <c r="AD230" s="3" t="s">
        <v>1625</v>
      </c>
      <c r="AE230" s="3" t="s">
        <v>1595</v>
      </c>
      <c r="AF230" s="3">
        <v>0.188</v>
      </c>
      <c r="AG230" s="3">
        <v>2.241</v>
      </c>
      <c r="AH230" s="3">
        <v>0.407</v>
      </c>
      <c r="AI230" s="3" t="s">
        <v>1394</v>
      </c>
      <c r="AJ230" s="3">
        <v>0.938</v>
      </c>
      <c r="AK230" s="3" t="s">
        <v>1859</v>
      </c>
      <c r="AL230" s="3" t="s">
        <v>1394</v>
      </c>
      <c r="AM230" s="3" t="s">
        <v>1705</v>
      </c>
    </row>
    <row r="231" ht="15.75" customHeight="1">
      <c r="A231" s="3">
        <v>1.73039E12</v>
      </c>
      <c r="B231" s="3">
        <v>13.0</v>
      </c>
      <c r="C231" s="3" t="s">
        <v>742</v>
      </c>
      <c r="D231" s="3" t="s">
        <v>1369</v>
      </c>
      <c r="E231" s="3" t="s">
        <v>742</v>
      </c>
      <c r="F231" s="3">
        <v>1.0</v>
      </c>
      <c r="G231" s="3">
        <v>1.0</v>
      </c>
      <c r="H231" s="3">
        <v>1.0</v>
      </c>
      <c r="I231" s="3">
        <v>1.0</v>
      </c>
      <c r="J231" s="3">
        <v>1.0</v>
      </c>
      <c r="K231" s="3">
        <v>1.0</v>
      </c>
      <c r="L231" s="3">
        <v>1.0</v>
      </c>
      <c r="M231" s="3">
        <v>1.0</v>
      </c>
      <c r="N231" s="3">
        <v>1.0</v>
      </c>
      <c r="O231" s="3">
        <v>1.0</v>
      </c>
      <c r="P231" s="3">
        <v>1.0</v>
      </c>
      <c r="Q231" s="3">
        <v>0.0</v>
      </c>
      <c r="R231" s="3">
        <v>0.0</v>
      </c>
      <c r="S231" s="3">
        <v>0.0</v>
      </c>
      <c r="T231" s="3">
        <v>1.0</v>
      </c>
      <c r="U231" s="3">
        <v>0.0</v>
      </c>
      <c r="V231" s="3">
        <v>1.0</v>
      </c>
      <c r="W231" s="3" t="s">
        <v>549</v>
      </c>
      <c r="X231" s="3" t="s">
        <v>1398</v>
      </c>
      <c r="Y231" s="3" t="s">
        <v>1399</v>
      </c>
      <c r="Z231" s="3" t="s">
        <v>1372</v>
      </c>
      <c r="AA231" s="3" t="s">
        <v>1373</v>
      </c>
      <c r="AB231" s="3" t="s">
        <v>1374</v>
      </c>
      <c r="AC231" s="3" t="s">
        <v>1400</v>
      </c>
      <c r="AD231" s="3" t="s">
        <v>1401</v>
      </c>
      <c r="AE231" s="3" t="s">
        <v>1402</v>
      </c>
      <c r="AF231" s="3">
        <v>0.013</v>
      </c>
      <c r="AG231" s="3">
        <v>0.168</v>
      </c>
      <c r="AH231" s="3">
        <v>0.391</v>
      </c>
      <c r="AI231" s="3">
        <v>31.936</v>
      </c>
      <c r="AJ231" s="3">
        <v>8.579</v>
      </c>
      <c r="AK231" s="3" t="s">
        <v>1663</v>
      </c>
      <c r="AL231" s="3">
        <v>0.268</v>
      </c>
      <c r="AM231" s="3" t="s">
        <v>1404</v>
      </c>
    </row>
    <row r="232" ht="15.75" customHeight="1">
      <c r="A232" s="3">
        <v>1.73038E12</v>
      </c>
      <c r="B232" s="3">
        <v>13.0</v>
      </c>
      <c r="C232" s="3" t="s">
        <v>832</v>
      </c>
      <c r="D232" s="3" t="s">
        <v>1369</v>
      </c>
      <c r="E232" s="3" t="s">
        <v>832</v>
      </c>
      <c r="F232" s="3">
        <v>1.0</v>
      </c>
      <c r="G232" s="3">
        <v>1.0</v>
      </c>
      <c r="H232" s="3">
        <v>1.0</v>
      </c>
      <c r="I232" s="3">
        <v>1.0</v>
      </c>
      <c r="J232" s="3">
        <v>1.0</v>
      </c>
      <c r="K232" s="3">
        <v>1.0</v>
      </c>
      <c r="L232" s="3">
        <v>1.0</v>
      </c>
      <c r="M232" s="3">
        <v>1.0</v>
      </c>
      <c r="N232" s="3">
        <v>1.0</v>
      </c>
      <c r="O232" s="3">
        <v>1.0</v>
      </c>
      <c r="P232" s="3">
        <v>1.0</v>
      </c>
      <c r="Q232" s="3">
        <v>0.0</v>
      </c>
      <c r="R232" s="3">
        <v>0.0</v>
      </c>
      <c r="S232" s="3">
        <v>0.0</v>
      </c>
      <c r="T232" s="3">
        <v>1.0</v>
      </c>
      <c r="U232" s="3">
        <v>0.0</v>
      </c>
      <c r="V232" s="3">
        <v>1.0</v>
      </c>
      <c r="W232" s="3" t="s">
        <v>355</v>
      </c>
      <c r="X232" s="3" t="s">
        <v>1413</v>
      </c>
      <c r="Y232" s="3" t="s">
        <v>1414</v>
      </c>
      <c r="Z232" s="3" t="s">
        <v>1372</v>
      </c>
      <c r="AA232" s="3" t="s">
        <v>1415</v>
      </c>
      <c r="AB232" s="3" t="s">
        <v>1374</v>
      </c>
      <c r="AC232" s="3" t="s">
        <v>1632</v>
      </c>
      <c r="AD232" s="3" t="s">
        <v>1860</v>
      </c>
      <c r="AE232" s="3" t="s">
        <v>1417</v>
      </c>
      <c r="AF232" s="3">
        <v>-0.005</v>
      </c>
      <c r="AG232" s="3">
        <v>-0.054</v>
      </c>
      <c r="AH232" s="3">
        <v>0.309</v>
      </c>
      <c r="AI232" s="3">
        <v>143.0</v>
      </c>
      <c r="AJ232" s="3">
        <v>-5.447</v>
      </c>
      <c r="AK232" s="3" t="s">
        <v>1861</v>
      </c>
      <c r="AL232" s="3">
        <v>0.074</v>
      </c>
      <c r="AM232" s="3" t="s">
        <v>1419</v>
      </c>
    </row>
    <row r="233" ht="15.75" customHeight="1">
      <c r="A233" s="3">
        <v>1.7304E12</v>
      </c>
      <c r="B233" s="3">
        <v>17.0</v>
      </c>
      <c r="C233" s="3" t="s">
        <v>1862</v>
      </c>
      <c r="D233" s="3" t="s">
        <v>1369</v>
      </c>
      <c r="E233" s="3" t="s">
        <v>1862</v>
      </c>
      <c r="F233" s="3">
        <v>1.0</v>
      </c>
      <c r="G233" s="3">
        <v>1.0</v>
      </c>
      <c r="H233" s="3">
        <v>1.0</v>
      </c>
      <c r="I233" s="3">
        <v>1.0</v>
      </c>
      <c r="J233" s="3">
        <v>1.0</v>
      </c>
      <c r="K233" s="3">
        <v>1.0</v>
      </c>
      <c r="L233" s="3">
        <v>1.0</v>
      </c>
      <c r="M233" s="3">
        <v>1.0</v>
      </c>
      <c r="N233" s="3">
        <v>1.0</v>
      </c>
      <c r="O233" s="3">
        <v>1.0</v>
      </c>
      <c r="P233" s="3">
        <v>1.0</v>
      </c>
      <c r="Q233" s="3">
        <v>1.0</v>
      </c>
      <c r="R233" s="3">
        <v>1.0</v>
      </c>
      <c r="S233" s="3">
        <v>1.0</v>
      </c>
      <c r="T233" s="3">
        <v>1.0</v>
      </c>
      <c r="U233" s="3">
        <v>1.0</v>
      </c>
      <c r="V233" s="3">
        <v>1.0</v>
      </c>
      <c r="W233" s="3" t="s">
        <v>1044</v>
      </c>
      <c r="X233" s="3" t="s">
        <v>1521</v>
      </c>
      <c r="Y233" s="3" t="s">
        <v>1522</v>
      </c>
      <c r="Z233" s="3" t="s">
        <v>1372</v>
      </c>
      <c r="AA233" s="3" t="s">
        <v>1523</v>
      </c>
      <c r="AB233" s="3" t="s">
        <v>1374</v>
      </c>
      <c r="AC233" s="3" t="s">
        <v>1451</v>
      </c>
      <c r="AD233" s="3" t="s">
        <v>1524</v>
      </c>
      <c r="AE233" s="3" t="s">
        <v>1525</v>
      </c>
      <c r="AF233" s="3">
        <v>0.028</v>
      </c>
      <c r="AG233" s="3">
        <v>0.067</v>
      </c>
      <c r="AH233" s="3">
        <v>0.413</v>
      </c>
      <c r="AI233" s="3">
        <v>1082.399</v>
      </c>
      <c r="AJ233" s="3">
        <v>1.282</v>
      </c>
      <c r="AK233" s="3" t="s">
        <v>1863</v>
      </c>
      <c r="AL233" s="3">
        <v>0.059</v>
      </c>
      <c r="AM233" s="3" t="s">
        <v>1527</v>
      </c>
    </row>
    <row r="234" ht="15.75" customHeight="1">
      <c r="A234" s="3">
        <v>1.73032E12</v>
      </c>
      <c r="B234" s="3">
        <v>17.0</v>
      </c>
      <c r="C234" s="3" t="s">
        <v>445</v>
      </c>
      <c r="D234" s="3" t="s">
        <v>1369</v>
      </c>
      <c r="E234" s="3" t="s">
        <v>445</v>
      </c>
      <c r="F234" s="3">
        <v>1.0</v>
      </c>
      <c r="G234" s="3">
        <v>1.0</v>
      </c>
      <c r="H234" s="3">
        <v>1.0</v>
      </c>
      <c r="I234" s="3">
        <v>1.0</v>
      </c>
      <c r="J234" s="3">
        <v>1.0</v>
      </c>
      <c r="K234" s="3">
        <v>1.0</v>
      </c>
      <c r="L234" s="3">
        <v>1.0</v>
      </c>
      <c r="M234" s="3">
        <v>1.0</v>
      </c>
      <c r="N234" s="3">
        <v>1.0</v>
      </c>
      <c r="O234" s="3">
        <v>1.0</v>
      </c>
      <c r="P234" s="3">
        <v>1.0</v>
      </c>
      <c r="Q234" s="3">
        <v>1.0</v>
      </c>
      <c r="R234" s="3">
        <v>1.0</v>
      </c>
      <c r="S234" s="3">
        <v>1.0</v>
      </c>
      <c r="T234" s="3">
        <v>1.0</v>
      </c>
      <c r="U234" s="3">
        <v>1.0</v>
      </c>
      <c r="V234" s="3">
        <v>1.0</v>
      </c>
      <c r="W234" s="3" t="s">
        <v>1140</v>
      </c>
      <c r="X234" s="3" t="s">
        <v>1563</v>
      </c>
      <c r="Y234" s="3" t="s">
        <v>1564</v>
      </c>
      <c r="Z234" s="3" t="s">
        <v>1372</v>
      </c>
      <c r="AA234" s="3" t="s">
        <v>1565</v>
      </c>
      <c r="AB234" s="3" t="s">
        <v>1374</v>
      </c>
      <c r="AC234" s="3" t="s">
        <v>1400</v>
      </c>
      <c r="AD234" s="3" t="s">
        <v>1566</v>
      </c>
      <c r="AE234" s="3" t="s">
        <v>1567</v>
      </c>
      <c r="AF234" s="3">
        <v>0.345</v>
      </c>
      <c r="AG234" s="3">
        <v>0.674</v>
      </c>
      <c r="AH234" s="3">
        <v>0.262</v>
      </c>
      <c r="AI234" s="3">
        <v>45.869</v>
      </c>
      <c r="AJ234" s="3">
        <v>2.4</v>
      </c>
      <c r="AK234" s="3" t="s">
        <v>1568</v>
      </c>
      <c r="AL234" s="3">
        <v>0.066</v>
      </c>
      <c r="AM234" s="3" t="s">
        <v>1569</v>
      </c>
    </row>
    <row r="235" ht="15.75" customHeight="1">
      <c r="A235" s="3">
        <v>1.73023E12</v>
      </c>
      <c r="B235" s="3">
        <v>9.0</v>
      </c>
      <c r="C235" s="3" t="s">
        <v>1864</v>
      </c>
      <c r="D235" s="3" t="s">
        <v>1369</v>
      </c>
      <c r="E235" s="3" t="s">
        <v>1864</v>
      </c>
      <c r="F235" s="3">
        <v>1.0</v>
      </c>
      <c r="G235" s="3">
        <v>1.0</v>
      </c>
      <c r="H235" s="3">
        <v>1.0</v>
      </c>
      <c r="I235" s="3">
        <v>0.0</v>
      </c>
      <c r="J235" s="3">
        <v>1.0</v>
      </c>
      <c r="K235" s="3">
        <v>1.0</v>
      </c>
      <c r="L235" s="3">
        <v>0.0</v>
      </c>
      <c r="M235" s="3">
        <v>1.0</v>
      </c>
      <c r="N235" s="3">
        <v>1.0</v>
      </c>
      <c r="O235" s="3">
        <v>1.0</v>
      </c>
      <c r="P235" s="3">
        <v>0.0</v>
      </c>
      <c r="Q235" s="3">
        <v>0.0</v>
      </c>
      <c r="R235" s="3">
        <v>0.0</v>
      </c>
      <c r="S235" s="3">
        <v>0.0</v>
      </c>
      <c r="T235" s="3">
        <v>1.0</v>
      </c>
      <c r="U235" s="3">
        <v>0.0</v>
      </c>
      <c r="V235" s="3">
        <v>0.0</v>
      </c>
      <c r="W235" s="3" t="s">
        <v>861</v>
      </c>
      <c r="X235" s="3" t="s">
        <v>1421</v>
      </c>
      <c r="Y235" s="3" t="s">
        <v>1422</v>
      </c>
      <c r="Z235" s="3" t="s">
        <v>1865</v>
      </c>
      <c r="AA235" s="3" t="s">
        <v>1424</v>
      </c>
      <c r="AB235" s="3" t="s">
        <v>1374</v>
      </c>
      <c r="AC235" s="3" t="s">
        <v>1383</v>
      </c>
      <c r="AD235" s="3" t="s">
        <v>1425</v>
      </c>
      <c r="AE235" s="3" t="s">
        <v>1426</v>
      </c>
      <c r="AF235" s="3">
        <v>0.051</v>
      </c>
      <c r="AK235" s="3" t="s">
        <v>1866</v>
      </c>
    </row>
    <row r="236" ht="15.75" customHeight="1">
      <c r="A236" s="3">
        <v>1.73037E12</v>
      </c>
      <c r="B236" s="3">
        <v>17.0</v>
      </c>
      <c r="C236" s="3" t="s">
        <v>789</v>
      </c>
      <c r="D236" s="3" t="s">
        <v>1369</v>
      </c>
      <c r="E236" s="3" t="s">
        <v>789</v>
      </c>
      <c r="F236" s="3">
        <v>1.0</v>
      </c>
      <c r="G236" s="3">
        <v>1.0</v>
      </c>
      <c r="H236" s="3">
        <v>1.0</v>
      </c>
      <c r="I236" s="3">
        <v>1.0</v>
      </c>
      <c r="J236" s="3">
        <v>1.0</v>
      </c>
      <c r="K236" s="3">
        <v>1.0</v>
      </c>
      <c r="L236" s="3">
        <v>1.0</v>
      </c>
      <c r="M236" s="3">
        <v>1.0</v>
      </c>
      <c r="N236" s="3">
        <v>1.0</v>
      </c>
      <c r="O236" s="3">
        <v>1.0</v>
      </c>
      <c r="P236" s="3">
        <v>1.0</v>
      </c>
      <c r="Q236" s="3">
        <v>1.0</v>
      </c>
      <c r="R236" s="3">
        <v>1.0</v>
      </c>
      <c r="S236" s="3">
        <v>1.0</v>
      </c>
      <c r="T236" s="3">
        <v>1.0</v>
      </c>
      <c r="U236" s="3">
        <v>1.0</v>
      </c>
      <c r="V236" s="3">
        <v>1.0</v>
      </c>
      <c r="W236" s="3" t="s">
        <v>1157</v>
      </c>
      <c r="X236" s="3" t="s">
        <v>1600</v>
      </c>
      <c r="Y236" s="3" t="s">
        <v>1601</v>
      </c>
      <c r="Z236" s="3" t="s">
        <v>1372</v>
      </c>
      <c r="AA236" s="3" t="s">
        <v>1407</v>
      </c>
      <c r="AB236" s="3" t="s">
        <v>1374</v>
      </c>
      <c r="AC236" s="3" t="s">
        <v>1400</v>
      </c>
      <c r="AD236" s="3" t="s">
        <v>1408</v>
      </c>
      <c r="AE236" s="3" t="s">
        <v>1602</v>
      </c>
      <c r="AF236" s="3">
        <v>0.035</v>
      </c>
      <c r="AG236" s="3">
        <v>0.102</v>
      </c>
      <c r="AH236" s="3">
        <v>0.16</v>
      </c>
      <c r="AI236" s="3">
        <v>8.663</v>
      </c>
      <c r="AJ236" s="3">
        <v>-0.486</v>
      </c>
      <c r="AK236" s="3" t="s">
        <v>1603</v>
      </c>
      <c r="AL236" s="3">
        <v>0.223</v>
      </c>
      <c r="AM236" s="3" t="s">
        <v>1411</v>
      </c>
    </row>
    <row r="237" ht="15.75" customHeight="1">
      <c r="A237" s="3">
        <v>1.73037E12</v>
      </c>
      <c r="B237" s="3">
        <v>17.0</v>
      </c>
      <c r="C237" s="3" t="s">
        <v>285</v>
      </c>
      <c r="D237" s="3" t="s">
        <v>1369</v>
      </c>
      <c r="E237" s="3" t="s">
        <v>285</v>
      </c>
      <c r="F237" s="3">
        <v>1.0</v>
      </c>
      <c r="G237" s="3">
        <v>1.0</v>
      </c>
      <c r="H237" s="3">
        <v>1.0</v>
      </c>
      <c r="I237" s="3">
        <v>1.0</v>
      </c>
      <c r="J237" s="3">
        <v>1.0</v>
      </c>
      <c r="K237" s="3">
        <v>1.0</v>
      </c>
      <c r="L237" s="3">
        <v>1.0</v>
      </c>
      <c r="M237" s="3">
        <v>1.0</v>
      </c>
      <c r="N237" s="3">
        <v>1.0</v>
      </c>
      <c r="O237" s="3">
        <v>1.0</v>
      </c>
      <c r="P237" s="3">
        <v>1.0</v>
      </c>
      <c r="Q237" s="3">
        <v>1.0</v>
      </c>
      <c r="R237" s="3">
        <v>1.0</v>
      </c>
      <c r="S237" s="3">
        <v>1.0</v>
      </c>
      <c r="T237" s="3">
        <v>1.0</v>
      </c>
      <c r="U237" s="3">
        <v>1.0</v>
      </c>
      <c r="V237" s="3">
        <v>1.0</v>
      </c>
      <c r="W237" s="3" t="s">
        <v>1281</v>
      </c>
      <c r="X237" s="3" t="s">
        <v>1429</v>
      </c>
      <c r="Y237" s="3" t="s">
        <v>1430</v>
      </c>
      <c r="Z237" s="3" t="s">
        <v>1423</v>
      </c>
      <c r="AA237" s="3" t="s">
        <v>1432</v>
      </c>
      <c r="AB237" s="3" t="s">
        <v>1374</v>
      </c>
      <c r="AC237" s="3" t="s">
        <v>1391</v>
      </c>
      <c r="AD237" s="3" t="s">
        <v>1433</v>
      </c>
      <c r="AE237" s="3" t="s">
        <v>1434</v>
      </c>
      <c r="AF237" s="3">
        <v>0.168</v>
      </c>
      <c r="AG237" s="3">
        <v>1.19</v>
      </c>
      <c r="AH237" s="3">
        <v>0.326</v>
      </c>
      <c r="AI237" s="3">
        <v>111.477</v>
      </c>
      <c r="AJ237" s="3">
        <v>-4.918</v>
      </c>
      <c r="AK237" s="3" t="s">
        <v>1481</v>
      </c>
      <c r="AL237" s="3">
        <v>0.118</v>
      </c>
      <c r="AM237" s="3" t="s">
        <v>1436</v>
      </c>
    </row>
    <row r="238" ht="15.75" customHeight="1">
      <c r="A238" s="3">
        <v>1.73038E12</v>
      </c>
      <c r="B238" s="3">
        <v>15.0</v>
      </c>
      <c r="C238" s="3" t="s">
        <v>318</v>
      </c>
      <c r="D238" s="3" t="s">
        <v>1369</v>
      </c>
      <c r="E238" s="3" t="s">
        <v>318</v>
      </c>
      <c r="F238" s="3">
        <v>1.0</v>
      </c>
      <c r="G238" s="3">
        <v>1.0</v>
      </c>
      <c r="H238" s="3">
        <v>1.0</v>
      </c>
      <c r="I238" s="3">
        <v>1.0</v>
      </c>
      <c r="J238" s="3">
        <v>1.0</v>
      </c>
      <c r="K238" s="3">
        <v>1.0</v>
      </c>
      <c r="L238" s="3">
        <v>1.0</v>
      </c>
      <c r="M238" s="3">
        <v>1.0</v>
      </c>
      <c r="N238" s="3">
        <v>1.0</v>
      </c>
      <c r="O238" s="3">
        <v>0.0</v>
      </c>
      <c r="P238" s="3">
        <v>1.0</v>
      </c>
      <c r="Q238" s="3">
        <v>1.0</v>
      </c>
      <c r="R238" s="3">
        <v>0.0</v>
      </c>
      <c r="S238" s="3">
        <v>1.0</v>
      </c>
      <c r="T238" s="3">
        <v>1.0</v>
      </c>
      <c r="U238" s="3">
        <v>1.0</v>
      </c>
      <c r="V238" s="3">
        <v>1.0</v>
      </c>
      <c r="W238" s="3" t="s">
        <v>619</v>
      </c>
      <c r="X238" s="3" t="s">
        <v>1521</v>
      </c>
      <c r="Y238" s="3" t="s">
        <v>1522</v>
      </c>
      <c r="Z238" s="3" t="s">
        <v>1372</v>
      </c>
      <c r="AA238" s="3" t="s">
        <v>1523</v>
      </c>
      <c r="AB238" s="3" t="s">
        <v>1594</v>
      </c>
      <c r="AC238" s="3" t="s">
        <v>1374</v>
      </c>
      <c r="AD238" s="3" t="s">
        <v>1524</v>
      </c>
      <c r="AE238" s="3" t="s">
        <v>1525</v>
      </c>
      <c r="AF238" s="3">
        <v>0.028</v>
      </c>
      <c r="AG238" s="3">
        <v>0.067</v>
      </c>
      <c r="AH238" s="3">
        <v>0.48</v>
      </c>
      <c r="AI238" s="3">
        <v>1081.863</v>
      </c>
      <c r="AJ238" s="3">
        <v>1.281</v>
      </c>
      <c r="AK238" s="3" t="s">
        <v>1716</v>
      </c>
      <c r="AL238" s="3">
        <v>0.059</v>
      </c>
      <c r="AM238" s="3" t="s">
        <v>1527</v>
      </c>
    </row>
    <row r="239" ht="15.75" customHeight="1">
      <c r="A239" s="3">
        <v>1.7304E12</v>
      </c>
      <c r="B239" s="3">
        <v>14.0</v>
      </c>
      <c r="C239" s="3" t="s">
        <v>946</v>
      </c>
      <c r="D239" s="3" t="s">
        <v>1369</v>
      </c>
      <c r="E239" s="3" t="s">
        <v>946</v>
      </c>
      <c r="F239" s="3">
        <v>1.0</v>
      </c>
      <c r="G239" s="3">
        <v>1.0</v>
      </c>
      <c r="H239" s="3">
        <v>1.0</v>
      </c>
      <c r="I239" s="3">
        <v>1.0</v>
      </c>
      <c r="J239" s="3">
        <v>1.0</v>
      </c>
      <c r="K239" s="3">
        <v>1.0</v>
      </c>
      <c r="L239" s="3">
        <v>1.0</v>
      </c>
      <c r="M239" s="3">
        <v>1.0</v>
      </c>
      <c r="N239" s="3">
        <v>1.0</v>
      </c>
      <c r="O239" s="3">
        <v>1.0</v>
      </c>
      <c r="P239" s="3">
        <v>1.0</v>
      </c>
      <c r="Q239" s="3">
        <v>0.0</v>
      </c>
      <c r="R239" s="3">
        <v>0.0</v>
      </c>
      <c r="S239" s="3">
        <v>1.0</v>
      </c>
      <c r="T239" s="3">
        <v>1.0</v>
      </c>
      <c r="U239" s="3">
        <v>0.0</v>
      </c>
      <c r="V239" s="3">
        <v>1.0</v>
      </c>
      <c r="W239" s="3" t="s">
        <v>477</v>
      </c>
      <c r="X239" s="3" t="s">
        <v>1447</v>
      </c>
      <c r="Y239" s="3" t="s">
        <v>1448</v>
      </c>
      <c r="Z239" s="3" t="s">
        <v>1372</v>
      </c>
      <c r="AA239" s="3" t="s">
        <v>1450</v>
      </c>
      <c r="AB239" s="3" t="s">
        <v>1374</v>
      </c>
      <c r="AC239" s="3" t="s">
        <v>1451</v>
      </c>
      <c r="AD239" s="3" t="s">
        <v>1452</v>
      </c>
      <c r="AE239" s="3" t="s">
        <v>1453</v>
      </c>
      <c r="AF239" s="3">
        <v>0.033</v>
      </c>
      <c r="AG239" s="3">
        <v>0.217</v>
      </c>
      <c r="AH239" s="3">
        <v>0.375</v>
      </c>
      <c r="AI239" s="3">
        <v>48.579</v>
      </c>
      <c r="AJ239" s="3">
        <v>6.574</v>
      </c>
      <c r="AK239" s="3" t="s">
        <v>1599</v>
      </c>
      <c r="AL239" s="3">
        <v>0.175</v>
      </c>
      <c r="AM239" s="3" t="s">
        <v>1455</v>
      </c>
    </row>
    <row r="240" ht="15.75" customHeight="1">
      <c r="A240" s="3">
        <v>1.73032E12</v>
      </c>
      <c r="B240" s="3">
        <v>9.0</v>
      </c>
      <c r="C240" s="3" t="s">
        <v>1867</v>
      </c>
      <c r="D240" s="3" t="s">
        <v>1369</v>
      </c>
      <c r="E240" s="3" t="s">
        <v>1867</v>
      </c>
      <c r="F240" s="3">
        <v>1.0</v>
      </c>
      <c r="G240" s="3">
        <v>0.0</v>
      </c>
      <c r="H240" s="3">
        <v>0.0</v>
      </c>
      <c r="I240" s="3">
        <v>1.0</v>
      </c>
      <c r="J240" s="3">
        <v>1.0</v>
      </c>
      <c r="K240" s="3">
        <v>1.0</v>
      </c>
      <c r="L240" s="3">
        <v>1.0</v>
      </c>
      <c r="M240" s="3">
        <v>1.0</v>
      </c>
      <c r="N240" s="3">
        <v>1.0</v>
      </c>
      <c r="O240" s="3">
        <v>0.0</v>
      </c>
      <c r="P240" s="3">
        <v>0.0</v>
      </c>
      <c r="Q240" s="3">
        <v>0.0</v>
      </c>
      <c r="R240" s="3">
        <v>0.0</v>
      </c>
      <c r="S240" s="3">
        <v>1.0</v>
      </c>
      <c r="T240" s="3">
        <v>0.0</v>
      </c>
      <c r="U240" s="3">
        <v>0.0</v>
      </c>
      <c r="V240" s="3">
        <v>1.0</v>
      </c>
      <c r="W240" s="3" t="s">
        <v>516</v>
      </c>
      <c r="X240" s="3" t="s">
        <v>1868</v>
      </c>
      <c r="Y240" s="3" t="s">
        <v>1869</v>
      </c>
      <c r="Z240" s="3" t="s">
        <v>1423</v>
      </c>
      <c r="AA240" s="3" t="s">
        <v>1432</v>
      </c>
      <c r="AB240" s="3" t="s">
        <v>1374</v>
      </c>
      <c r="AC240" s="3" t="s">
        <v>1391</v>
      </c>
      <c r="AD240" s="3" t="s">
        <v>1433</v>
      </c>
      <c r="AE240" s="3" t="s">
        <v>1434</v>
      </c>
      <c r="AF240" s="3">
        <v>0.195</v>
      </c>
      <c r="AG240" s="3">
        <v>0.123</v>
      </c>
      <c r="AH240" s="3">
        <v>0.334</v>
      </c>
      <c r="AI240" s="3">
        <v>6.558</v>
      </c>
      <c r="AJ240" s="3">
        <v>-5.157</v>
      </c>
      <c r="AK240" s="3" t="s">
        <v>1870</v>
      </c>
      <c r="AL240" s="3">
        <v>0.113</v>
      </c>
      <c r="AM240" s="3" t="s">
        <v>1436</v>
      </c>
    </row>
    <row r="241" ht="15.75" customHeight="1">
      <c r="A241" s="3">
        <v>1.73036E12</v>
      </c>
      <c r="B241" s="3">
        <v>16.0</v>
      </c>
      <c r="C241" s="3" t="s">
        <v>1871</v>
      </c>
      <c r="D241" s="3" t="s">
        <v>1369</v>
      </c>
      <c r="E241" s="3" t="s">
        <v>1871</v>
      </c>
      <c r="F241" s="3">
        <v>1.0</v>
      </c>
      <c r="G241" s="3">
        <v>1.0</v>
      </c>
      <c r="H241" s="3">
        <v>1.0</v>
      </c>
      <c r="I241" s="3">
        <v>0.0</v>
      </c>
      <c r="J241" s="3">
        <v>1.0</v>
      </c>
      <c r="K241" s="3">
        <v>1.0</v>
      </c>
      <c r="L241" s="3">
        <v>1.0</v>
      </c>
      <c r="M241" s="3">
        <v>1.0</v>
      </c>
      <c r="N241" s="3">
        <v>1.0</v>
      </c>
      <c r="O241" s="3">
        <v>1.0</v>
      </c>
      <c r="P241" s="3">
        <v>1.0</v>
      </c>
      <c r="Q241" s="3">
        <v>1.0</v>
      </c>
      <c r="R241" s="3">
        <v>1.0</v>
      </c>
      <c r="S241" s="3">
        <v>1.0</v>
      </c>
      <c r="T241" s="3">
        <v>1.0</v>
      </c>
      <c r="U241" s="3">
        <v>1.0</v>
      </c>
      <c r="V241" s="3">
        <v>1.0</v>
      </c>
      <c r="W241" s="3" t="s">
        <v>1033</v>
      </c>
      <c r="X241" s="3" t="s">
        <v>1476</v>
      </c>
      <c r="Y241" s="3" t="s">
        <v>1477</v>
      </c>
      <c r="Z241" s="3" t="s">
        <v>1372</v>
      </c>
      <c r="AA241" s="3" t="s">
        <v>1415</v>
      </c>
      <c r="AB241" s="3" t="s">
        <v>1374</v>
      </c>
      <c r="AC241" s="3" t="s">
        <v>1374</v>
      </c>
      <c r="AD241" s="3" t="s">
        <v>1500</v>
      </c>
      <c r="AE241" s="3" t="s">
        <v>1479</v>
      </c>
      <c r="AF241" s="3">
        <v>0.033</v>
      </c>
      <c r="AG241" s="3">
        <v>0.657</v>
      </c>
      <c r="AH241" s="3" t="s">
        <v>1394</v>
      </c>
      <c r="AI241" s="3" t="s">
        <v>1394</v>
      </c>
      <c r="AJ241" s="3">
        <v>-12.112</v>
      </c>
      <c r="AK241" s="3" t="s">
        <v>1872</v>
      </c>
      <c r="AL241" s="3" t="s">
        <v>1394</v>
      </c>
      <c r="AM241" s="3" t="s">
        <v>1419</v>
      </c>
    </row>
    <row r="242" ht="15.75" customHeight="1">
      <c r="A242" s="3">
        <v>1.73037E12</v>
      </c>
      <c r="B242" s="3">
        <v>17.0</v>
      </c>
      <c r="C242" s="3" t="s">
        <v>540</v>
      </c>
      <c r="D242" s="3" t="s">
        <v>1369</v>
      </c>
      <c r="E242" s="3" t="s">
        <v>540</v>
      </c>
      <c r="F242" s="3">
        <v>1.0</v>
      </c>
      <c r="G242" s="3">
        <v>1.0</v>
      </c>
      <c r="H242" s="3">
        <v>1.0</v>
      </c>
      <c r="I242" s="3">
        <v>1.0</v>
      </c>
      <c r="J242" s="3">
        <v>1.0</v>
      </c>
      <c r="K242" s="3">
        <v>1.0</v>
      </c>
      <c r="L242" s="3">
        <v>1.0</v>
      </c>
      <c r="M242" s="3">
        <v>1.0</v>
      </c>
      <c r="N242" s="3">
        <v>1.0</v>
      </c>
      <c r="O242" s="3">
        <v>1.0</v>
      </c>
      <c r="P242" s="3">
        <v>1.0</v>
      </c>
      <c r="Q242" s="3">
        <v>1.0</v>
      </c>
      <c r="R242" s="3">
        <v>1.0</v>
      </c>
      <c r="S242" s="3">
        <v>1.0</v>
      </c>
      <c r="T242" s="3">
        <v>1.0</v>
      </c>
      <c r="U242" s="3">
        <v>1.0</v>
      </c>
      <c r="V242" s="3">
        <v>1.0</v>
      </c>
      <c r="W242" s="3" t="s">
        <v>1091</v>
      </c>
      <c r="X242" s="3" t="s">
        <v>1542</v>
      </c>
      <c r="Y242" s="3" t="s">
        <v>1543</v>
      </c>
      <c r="Z242" s="3" t="s">
        <v>1423</v>
      </c>
      <c r="AA242" s="3" t="s">
        <v>1544</v>
      </c>
      <c r="AB242" s="3" t="s">
        <v>1374</v>
      </c>
      <c r="AC242" s="3" t="s">
        <v>1451</v>
      </c>
      <c r="AD242" s="3" t="s">
        <v>1545</v>
      </c>
      <c r="AE242" s="3" t="s">
        <v>1546</v>
      </c>
      <c r="AF242" s="3">
        <v>0.035</v>
      </c>
      <c r="AG242" s="3">
        <v>0.068</v>
      </c>
      <c r="AH242" s="3">
        <v>0.252</v>
      </c>
      <c r="AI242" s="3">
        <v>53.961</v>
      </c>
      <c r="AJ242" s="3">
        <v>-10.302</v>
      </c>
      <c r="AK242" s="3" t="s">
        <v>1604</v>
      </c>
      <c r="AL242" s="3">
        <v>0.042</v>
      </c>
      <c r="AM242" s="3" t="s">
        <v>1548</v>
      </c>
    </row>
    <row r="243" ht="15.75" customHeight="1">
      <c r="A243" s="3">
        <v>1.73038E12</v>
      </c>
      <c r="B243" s="3">
        <v>17.0</v>
      </c>
      <c r="C243" s="3" t="s">
        <v>130</v>
      </c>
      <c r="D243" s="3" t="s">
        <v>1369</v>
      </c>
      <c r="E243" s="3" t="s">
        <v>130</v>
      </c>
      <c r="F243" s="3">
        <v>1.0</v>
      </c>
      <c r="G243" s="3">
        <v>1.0</v>
      </c>
      <c r="H243" s="3">
        <v>1.0</v>
      </c>
      <c r="I243" s="3">
        <v>1.0</v>
      </c>
      <c r="J243" s="3">
        <v>1.0</v>
      </c>
      <c r="K243" s="3">
        <v>1.0</v>
      </c>
      <c r="L243" s="3">
        <v>1.0</v>
      </c>
      <c r="M243" s="3">
        <v>1.0</v>
      </c>
      <c r="N243" s="3">
        <v>1.0</v>
      </c>
      <c r="O243" s="3">
        <v>1.0</v>
      </c>
      <c r="P243" s="3">
        <v>1.0</v>
      </c>
      <c r="Q243" s="3">
        <v>1.0</v>
      </c>
      <c r="R243" s="3">
        <v>1.0</v>
      </c>
      <c r="S243" s="3">
        <v>1.0</v>
      </c>
      <c r="T243" s="3">
        <v>1.0</v>
      </c>
      <c r="U243" s="3">
        <v>1.0</v>
      </c>
      <c r="V243" s="3">
        <v>1.0</v>
      </c>
      <c r="W243" s="3" t="s">
        <v>1197</v>
      </c>
      <c r="X243" s="3" t="s">
        <v>1388</v>
      </c>
      <c r="Y243" s="3" t="s">
        <v>1389</v>
      </c>
      <c r="Z243" s="3" t="s">
        <v>1372</v>
      </c>
      <c r="AA243" s="3" t="s">
        <v>1390</v>
      </c>
      <c r="AB243" s="3" t="s">
        <v>1374</v>
      </c>
      <c r="AC243" s="3" t="s">
        <v>1391</v>
      </c>
      <c r="AD243" s="3" t="s">
        <v>1392</v>
      </c>
      <c r="AE243" s="3" t="s">
        <v>1393</v>
      </c>
      <c r="AF243" s="3">
        <v>0.071</v>
      </c>
      <c r="AG243" s="3">
        <v>1.031</v>
      </c>
      <c r="AH243" s="3">
        <v>0.324</v>
      </c>
      <c r="AI243" s="3">
        <v>294.7</v>
      </c>
      <c r="AJ243" s="3">
        <v>13.732</v>
      </c>
      <c r="AK243" s="3" t="s">
        <v>1685</v>
      </c>
      <c r="AL243" s="3">
        <v>0.098</v>
      </c>
      <c r="AM243" s="3" t="s">
        <v>1396</v>
      </c>
    </row>
    <row r="244" ht="15.75" customHeight="1">
      <c r="A244" s="3">
        <v>1.7304E12</v>
      </c>
      <c r="B244" s="3">
        <v>15.0</v>
      </c>
      <c r="C244" s="3" t="s">
        <v>666</v>
      </c>
      <c r="D244" s="3" t="s">
        <v>1369</v>
      </c>
      <c r="E244" s="3" t="s">
        <v>666</v>
      </c>
      <c r="F244" s="3">
        <v>1.0</v>
      </c>
      <c r="G244" s="3">
        <v>1.0</v>
      </c>
      <c r="H244" s="3">
        <v>1.0</v>
      </c>
      <c r="I244" s="3">
        <v>1.0</v>
      </c>
      <c r="J244" s="3">
        <v>1.0</v>
      </c>
      <c r="K244" s="3">
        <v>1.0</v>
      </c>
      <c r="L244" s="3">
        <v>1.0</v>
      </c>
      <c r="M244" s="3">
        <v>1.0</v>
      </c>
      <c r="N244" s="3">
        <v>1.0</v>
      </c>
      <c r="O244" s="3">
        <v>1.0</v>
      </c>
      <c r="P244" s="3">
        <v>1.0</v>
      </c>
      <c r="Q244" s="3">
        <v>1.0</v>
      </c>
      <c r="R244" s="3">
        <v>1.0</v>
      </c>
      <c r="S244" s="3">
        <v>0.0</v>
      </c>
      <c r="T244" s="3">
        <v>0.0</v>
      </c>
      <c r="U244" s="3">
        <v>1.0</v>
      </c>
      <c r="V244" s="3">
        <v>1.0</v>
      </c>
      <c r="W244" s="3" t="s">
        <v>796</v>
      </c>
      <c r="X244" s="3" t="s">
        <v>1370</v>
      </c>
      <c r="Y244" s="3" t="s">
        <v>1371</v>
      </c>
      <c r="Z244" s="3" t="s">
        <v>1372</v>
      </c>
      <c r="AA244" s="3" t="s">
        <v>1373</v>
      </c>
      <c r="AB244" s="3" t="s">
        <v>1374</v>
      </c>
      <c r="AC244" s="3" t="s">
        <v>1374</v>
      </c>
      <c r="AD244" s="3" t="s">
        <v>1375</v>
      </c>
      <c r="AE244" s="3" t="s">
        <v>1376</v>
      </c>
      <c r="AF244" s="3">
        <v>0.555</v>
      </c>
      <c r="AG244" s="3">
        <v>2.826</v>
      </c>
      <c r="AH244" s="3" t="s">
        <v>1394</v>
      </c>
      <c r="AI244" s="3" t="s">
        <v>1394</v>
      </c>
      <c r="AJ244" s="3">
        <v>7.215</v>
      </c>
      <c r="AK244" s="3" t="s">
        <v>1377</v>
      </c>
      <c r="AL244" s="3" t="s">
        <v>1394</v>
      </c>
      <c r="AM244" s="3" t="s">
        <v>1509</v>
      </c>
    </row>
    <row r="245" ht="15.75" customHeight="1">
      <c r="A245" s="3">
        <v>1.73029E12</v>
      </c>
      <c r="B245" s="3">
        <v>16.0</v>
      </c>
      <c r="C245" s="3" t="s">
        <v>702</v>
      </c>
      <c r="D245" s="3" t="s">
        <v>1369</v>
      </c>
      <c r="E245" s="3" t="s">
        <v>702</v>
      </c>
      <c r="F245" s="3">
        <v>1.0</v>
      </c>
      <c r="G245" s="3">
        <v>1.0</v>
      </c>
      <c r="H245" s="3">
        <v>1.0</v>
      </c>
      <c r="I245" s="3">
        <v>1.0</v>
      </c>
      <c r="J245" s="3">
        <v>1.0</v>
      </c>
      <c r="K245" s="3">
        <v>1.0</v>
      </c>
      <c r="L245" s="3">
        <v>1.0</v>
      </c>
      <c r="M245" s="3">
        <v>1.0</v>
      </c>
      <c r="N245" s="3">
        <v>1.0</v>
      </c>
      <c r="O245" s="3">
        <v>1.0</v>
      </c>
      <c r="P245" s="3">
        <v>1.0</v>
      </c>
      <c r="Q245" s="3">
        <v>1.0</v>
      </c>
      <c r="R245" s="3">
        <v>1.0</v>
      </c>
      <c r="S245" s="3">
        <v>1.0</v>
      </c>
      <c r="T245" s="3">
        <v>0.0</v>
      </c>
      <c r="U245" s="3">
        <v>1.0</v>
      </c>
      <c r="V245" s="3">
        <v>1.0</v>
      </c>
      <c r="W245" s="3" t="s">
        <v>1873</v>
      </c>
      <c r="X245" s="3" t="s">
        <v>1542</v>
      </c>
      <c r="Y245" s="3" t="s">
        <v>1543</v>
      </c>
      <c r="Z245" s="3" t="s">
        <v>1423</v>
      </c>
      <c r="AA245" s="3" t="s">
        <v>1544</v>
      </c>
      <c r="AB245" s="3" t="s">
        <v>1374</v>
      </c>
      <c r="AC245" s="3" t="s">
        <v>1451</v>
      </c>
      <c r="AD245" s="3" t="s">
        <v>1545</v>
      </c>
      <c r="AE245" s="3" t="s">
        <v>1546</v>
      </c>
      <c r="AF245" s="3">
        <v>0.035</v>
      </c>
      <c r="AG245" s="3">
        <v>0.068</v>
      </c>
      <c r="AH245" s="3" t="s">
        <v>1394</v>
      </c>
      <c r="AI245" s="3" t="s">
        <v>1394</v>
      </c>
      <c r="AJ245" s="3">
        <v>-10.883</v>
      </c>
      <c r="AK245" s="3" t="s">
        <v>1874</v>
      </c>
      <c r="AL245" s="3" t="s">
        <v>1394</v>
      </c>
      <c r="AM245" s="3" t="s">
        <v>1548</v>
      </c>
    </row>
    <row r="246" ht="15.75" customHeight="1">
      <c r="A246" s="3">
        <v>1.73035E12</v>
      </c>
      <c r="B246" s="3">
        <v>17.0</v>
      </c>
      <c r="C246" s="3" t="s">
        <v>972</v>
      </c>
      <c r="D246" s="3" t="s">
        <v>1369</v>
      </c>
      <c r="E246" s="3" t="s">
        <v>972</v>
      </c>
      <c r="F246" s="3">
        <v>1.0</v>
      </c>
      <c r="G246" s="3">
        <v>1.0</v>
      </c>
      <c r="H246" s="3">
        <v>1.0</v>
      </c>
      <c r="I246" s="3">
        <v>1.0</v>
      </c>
      <c r="J246" s="3">
        <v>1.0</v>
      </c>
      <c r="K246" s="3">
        <v>1.0</v>
      </c>
      <c r="L246" s="3">
        <v>1.0</v>
      </c>
      <c r="M246" s="3">
        <v>1.0</v>
      </c>
      <c r="N246" s="3">
        <v>1.0</v>
      </c>
      <c r="O246" s="3">
        <v>1.0</v>
      </c>
      <c r="P246" s="3">
        <v>1.0</v>
      </c>
      <c r="Q246" s="3">
        <v>1.0</v>
      </c>
      <c r="R246" s="3">
        <v>1.0</v>
      </c>
      <c r="S246" s="3">
        <v>1.0</v>
      </c>
      <c r="T246" s="3">
        <v>1.0</v>
      </c>
      <c r="U246" s="3">
        <v>1.0</v>
      </c>
      <c r="V246" s="3">
        <v>1.0</v>
      </c>
      <c r="W246" s="3" t="s">
        <v>1011</v>
      </c>
      <c r="X246" s="3" t="s">
        <v>1600</v>
      </c>
      <c r="Y246" s="3" t="s">
        <v>1601</v>
      </c>
      <c r="Z246" s="3" t="s">
        <v>1372</v>
      </c>
      <c r="AA246" s="3" t="s">
        <v>1407</v>
      </c>
      <c r="AB246" s="3" t="s">
        <v>1374</v>
      </c>
      <c r="AC246" s="3" t="s">
        <v>1400</v>
      </c>
      <c r="AD246" s="3" t="s">
        <v>1408</v>
      </c>
      <c r="AE246" s="3" t="s">
        <v>1602</v>
      </c>
      <c r="AF246" s="3">
        <v>0.035</v>
      </c>
      <c r="AG246" s="3">
        <v>0.103</v>
      </c>
      <c r="AH246" s="3">
        <v>0.16</v>
      </c>
      <c r="AI246" s="3">
        <v>7.353</v>
      </c>
      <c r="AJ246" s="3">
        <v>-0.345</v>
      </c>
      <c r="AK246" s="3" t="s">
        <v>1603</v>
      </c>
      <c r="AL246" s="3">
        <v>0.229</v>
      </c>
      <c r="AM246" s="3" t="s">
        <v>1411</v>
      </c>
    </row>
    <row r="247" ht="15.75" customHeight="1">
      <c r="A247" s="3">
        <v>1.73036E12</v>
      </c>
      <c r="B247" s="3">
        <v>17.0</v>
      </c>
      <c r="C247" s="3" t="s">
        <v>816</v>
      </c>
      <c r="D247" s="3" t="s">
        <v>1369</v>
      </c>
      <c r="E247" s="3" t="s">
        <v>816</v>
      </c>
      <c r="F247" s="3">
        <v>1.0</v>
      </c>
      <c r="G247" s="3">
        <v>1.0</v>
      </c>
      <c r="H247" s="3">
        <v>1.0</v>
      </c>
      <c r="I247" s="3">
        <v>1.0</v>
      </c>
      <c r="J247" s="3">
        <v>1.0</v>
      </c>
      <c r="K247" s="3">
        <v>1.0</v>
      </c>
      <c r="L247" s="3">
        <v>1.0</v>
      </c>
      <c r="M247" s="3">
        <v>1.0</v>
      </c>
      <c r="N247" s="3">
        <v>1.0</v>
      </c>
      <c r="O247" s="3">
        <v>1.0</v>
      </c>
      <c r="P247" s="3">
        <v>1.0</v>
      </c>
      <c r="Q247" s="3">
        <v>1.0</v>
      </c>
      <c r="R247" s="3">
        <v>1.0</v>
      </c>
      <c r="S247" s="3">
        <v>1.0</v>
      </c>
      <c r="T247" s="3">
        <v>1.0</v>
      </c>
      <c r="U247" s="3">
        <v>1.0</v>
      </c>
      <c r="V247" s="3">
        <v>1.0</v>
      </c>
      <c r="W247" s="3" t="s">
        <v>1018</v>
      </c>
      <c r="X247" s="3" t="s">
        <v>1605</v>
      </c>
      <c r="Y247" s="3" t="s">
        <v>1654</v>
      </c>
      <c r="Z247" s="3" t="s">
        <v>1423</v>
      </c>
      <c r="AA247" s="3" t="s">
        <v>1382</v>
      </c>
      <c r="AB247" s="3" t="s">
        <v>1391</v>
      </c>
      <c r="AC247" s="3" t="s">
        <v>1374</v>
      </c>
      <c r="AD247" s="3" t="s">
        <v>1655</v>
      </c>
      <c r="AE247" s="3" t="s">
        <v>1656</v>
      </c>
      <c r="AF247" s="3">
        <v>0.065</v>
      </c>
      <c r="AG247" s="3">
        <v>1.477</v>
      </c>
      <c r="AH247" s="3">
        <v>0.312</v>
      </c>
      <c r="AI247" s="3">
        <v>-842.766</v>
      </c>
      <c r="AJ247" s="3">
        <v>40.848</v>
      </c>
      <c r="AK247" s="3" t="s">
        <v>1657</v>
      </c>
      <c r="AL247" s="3">
        <v>0.068</v>
      </c>
      <c r="AM247" s="3" t="s">
        <v>1608</v>
      </c>
    </row>
    <row r="248" ht="15.75" customHeight="1">
      <c r="A248" s="3">
        <v>1.73026E12</v>
      </c>
      <c r="B248" s="3">
        <v>16.0</v>
      </c>
      <c r="C248" s="3" t="s">
        <v>681</v>
      </c>
      <c r="D248" s="3" t="s">
        <v>1369</v>
      </c>
      <c r="E248" s="3" t="s">
        <v>681</v>
      </c>
      <c r="F248" s="3">
        <v>1.0</v>
      </c>
      <c r="G248" s="3">
        <v>1.0</v>
      </c>
      <c r="H248" s="3">
        <v>1.0</v>
      </c>
      <c r="I248" s="3">
        <v>1.0</v>
      </c>
      <c r="J248" s="3">
        <v>1.0</v>
      </c>
      <c r="K248" s="3">
        <v>1.0</v>
      </c>
      <c r="L248" s="3">
        <v>1.0</v>
      </c>
      <c r="M248" s="3">
        <v>1.0</v>
      </c>
      <c r="N248" s="3">
        <v>1.0</v>
      </c>
      <c r="O248" s="3">
        <v>1.0</v>
      </c>
      <c r="P248" s="3">
        <v>1.0</v>
      </c>
      <c r="Q248" s="3">
        <v>1.0</v>
      </c>
      <c r="R248" s="3">
        <v>1.0</v>
      </c>
      <c r="S248" s="3">
        <v>0.0</v>
      </c>
      <c r="T248" s="3">
        <v>1.0</v>
      </c>
      <c r="U248" s="3">
        <v>1.0</v>
      </c>
      <c r="V248" s="3">
        <v>1.0</v>
      </c>
      <c r="W248" s="3" t="s">
        <v>1196</v>
      </c>
      <c r="X248" s="3" t="s">
        <v>1370</v>
      </c>
      <c r="Y248" s="3" t="s">
        <v>1371</v>
      </c>
      <c r="Z248" s="3" t="s">
        <v>1449</v>
      </c>
      <c r="AA248" s="3" t="s">
        <v>1373</v>
      </c>
      <c r="AB248" s="3" t="s">
        <v>1374</v>
      </c>
      <c r="AC248" s="3" t="s">
        <v>1374</v>
      </c>
      <c r="AD248" s="3" t="s">
        <v>1375</v>
      </c>
      <c r="AE248" s="3" t="s">
        <v>1376</v>
      </c>
      <c r="AF248" s="3">
        <v>0.555</v>
      </c>
      <c r="AG248" s="3">
        <v>2.825</v>
      </c>
      <c r="AH248" s="3" t="s">
        <v>1394</v>
      </c>
      <c r="AI248" s="3" t="s">
        <v>1394</v>
      </c>
      <c r="AJ248" s="3">
        <v>6.737</v>
      </c>
      <c r="AK248" s="3" t="s">
        <v>1377</v>
      </c>
      <c r="AL248" s="3" t="s">
        <v>1394</v>
      </c>
      <c r="AM248" s="3" t="s">
        <v>1509</v>
      </c>
    </row>
    <row r="249" ht="15.75" customHeight="1">
      <c r="A249" s="3">
        <v>1.7304E12</v>
      </c>
      <c r="B249" s="3">
        <v>0.0</v>
      </c>
      <c r="C249" s="3" t="s">
        <v>1875</v>
      </c>
      <c r="D249" s="3" t="s">
        <v>1369</v>
      </c>
      <c r="E249" s="3" t="s">
        <v>1875</v>
      </c>
      <c r="F249" s="3">
        <v>0.0</v>
      </c>
      <c r="G249" s="3">
        <v>0.0</v>
      </c>
      <c r="H249" s="3">
        <v>0.0</v>
      </c>
      <c r="I249" s="3">
        <v>0.0</v>
      </c>
      <c r="J249" s="3">
        <v>0.0</v>
      </c>
      <c r="K249" s="3">
        <v>0.0</v>
      </c>
      <c r="L249" s="3">
        <v>0.0</v>
      </c>
      <c r="M249" s="3">
        <v>0.0</v>
      </c>
      <c r="N249" s="3">
        <v>0.0</v>
      </c>
      <c r="O249" s="3">
        <v>0.0</v>
      </c>
      <c r="P249" s="3">
        <v>0.0</v>
      </c>
      <c r="Q249" s="3">
        <v>0.0</v>
      </c>
      <c r="R249" s="3">
        <v>0.0</v>
      </c>
      <c r="S249" s="3">
        <v>0.0</v>
      </c>
      <c r="T249" s="3">
        <v>0.0</v>
      </c>
      <c r="U249" s="3">
        <v>0.0</v>
      </c>
      <c r="V249" s="3">
        <v>0.0</v>
      </c>
      <c r="X249" s="3">
        <v>1.0</v>
      </c>
      <c r="AB249" s="3" t="s">
        <v>1876</v>
      </c>
      <c r="AC249" s="3" t="s">
        <v>1594</v>
      </c>
      <c r="AD249" s="3" t="s">
        <v>1594</v>
      </c>
    </row>
    <row r="250" ht="15.75" customHeight="1">
      <c r="A250" s="3">
        <v>1.7304E12</v>
      </c>
      <c r="B250" s="3">
        <v>15.0</v>
      </c>
      <c r="C250" s="3" t="s">
        <v>880</v>
      </c>
      <c r="D250" s="3" t="s">
        <v>1369</v>
      </c>
      <c r="E250" s="3" t="s">
        <v>880</v>
      </c>
      <c r="F250" s="3">
        <v>1.0</v>
      </c>
      <c r="G250" s="3">
        <v>1.0</v>
      </c>
      <c r="H250" s="3">
        <v>1.0</v>
      </c>
      <c r="I250" s="3">
        <v>1.0</v>
      </c>
      <c r="J250" s="3">
        <v>1.0</v>
      </c>
      <c r="K250" s="3">
        <v>1.0</v>
      </c>
      <c r="L250" s="3">
        <v>1.0</v>
      </c>
      <c r="M250" s="3">
        <v>0.0</v>
      </c>
      <c r="N250" s="3">
        <v>1.0</v>
      </c>
      <c r="O250" s="3">
        <v>1.0</v>
      </c>
      <c r="P250" s="3">
        <v>1.0</v>
      </c>
      <c r="Q250" s="3">
        <v>1.0</v>
      </c>
      <c r="R250" s="3">
        <v>1.0</v>
      </c>
      <c r="S250" s="3">
        <v>0.0</v>
      </c>
      <c r="T250" s="3">
        <v>1.0</v>
      </c>
      <c r="U250" s="3">
        <v>1.0</v>
      </c>
      <c r="V250" s="3">
        <v>1.0</v>
      </c>
      <c r="W250" s="3" t="s">
        <v>728</v>
      </c>
      <c r="X250" s="3" t="s">
        <v>1405</v>
      </c>
      <c r="Y250" s="3" t="s">
        <v>1406</v>
      </c>
      <c r="Z250" s="3" t="s">
        <v>1372</v>
      </c>
      <c r="AA250" s="3" t="s">
        <v>1407</v>
      </c>
      <c r="AB250" s="3" t="s">
        <v>1374</v>
      </c>
      <c r="AC250" s="3" t="s">
        <v>1400</v>
      </c>
      <c r="AD250" s="3" t="s">
        <v>1877</v>
      </c>
      <c r="AE250" s="3" t="s">
        <v>1409</v>
      </c>
      <c r="AF250" s="3">
        <v>-0.017</v>
      </c>
      <c r="AG250" s="3">
        <v>-0.05</v>
      </c>
      <c r="AH250" s="3">
        <v>0.162</v>
      </c>
      <c r="AI250" s="3">
        <v>-173.813</v>
      </c>
      <c r="AJ250" s="3">
        <v>11.886</v>
      </c>
      <c r="AK250" s="3" t="s">
        <v>1535</v>
      </c>
      <c r="AL250" s="3">
        <v>0.256</v>
      </c>
      <c r="AM250" s="3" t="s">
        <v>1411</v>
      </c>
    </row>
    <row r="251" ht="15.75" customHeight="1">
      <c r="A251" s="3">
        <v>1.73036E12</v>
      </c>
      <c r="B251" s="3">
        <v>17.0</v>
      </c>
      <c r="C251" s="3" t="s">
        <v>732</v>
      </c>
      <c r="D251" s="3" t="s">
        <v>1369</v>
      </c>
      <c r="E251" s="3" t="s">
        <v>732</v>
      </c>
      <c r="F251" s="3">
        <v>1.0</v>
      </c>
      <c r="G251" s="3">
        <v>1.0</v>
      </c>
      <c r="H251" s="3">
        <v>1.0</v>
      </c>
      <c r="I251" s="3">
        <v>1.0</v>
      </c>
      <c r="J251" s="3">
        <v>1.0</v>
      </c>
      <c r="K251" s="3">
        <v>1.0</v>
      </c>
      <c r="L251" s="3">
        <v>1.0</v>
      </c>
      <c r="M251" s="3">
        <v>1.0</v>
      </c>
      <c r="N251" s="3">
        <v>1.0</v>
      </c>
      <c r="O251" s="3">
        <v>1.0</v>
      </c>
      <c r="P251" s="3">
        <v>1.0</v>
      </c>
      <c r="Q251" s="3">
        <v>1.0</v>
      </c>
      <c r="R251" s="3">
        <v>1.0</v>
      </c>
      <c r="S251" s="3">
        <v>1.0</v>
      </c>
      <c r="T251" s="3">
        <v>1.0</v>
      </c>
      <c r="U251" s="3">
        <v>1.0</v>
      </c>
      <c r="V251" s="3">
        <v>1.0</v>
      </c>
      <c r="W251" s="3" t="s">
        <v>1292</v>
      </c>
      <c r="X251" s="3" t="s">
        <v>1370</v>
      </c>
      <c r="Y251" s="3" t="s">
        <v>1371</v>
      </c>
      <c r="Z251" s="3" t="s">
        <v>1372</v>
      </c>
      <c r="AA251" s="3" t="s">
        <v>1373</v>
      </c>
      <c r="AB251" s="3" t="s">
        <v>1374</v>
      </c>
      <c r="AC251" s="3" t="s">
        <v>1374</v>
      </c>
      <c r="AD251" s="3" t="s">
        <v>1375</v>
      </c>
      <c r="AE251" s="3" t="s">
        <v>1376</v>
      </c>
      <c r="AF251" s="3">
        <v>0.555</v>
      </c>
      <c r="AG251" s="3">
        <v>2.825</v>
      </c>
      <c r="AH251" s="3">
        <v>0.336</v>
      </c>
      <c r="AI251" s="3">
        <v>47.295</v>
      </c>
      <c r="AJ251" s="3">
        <v>7.239</v>
      </c>
      <c r="AK251" s="3" t="s">
        <v>1878</v>
      </c>
      <c r="AL251" s="3">
        <v>0.11</v>
      </c>
      <c r="AM251" s="3" t="s">
        <v>1509</v>
      </c>
    </row>
    <row r="252" ht="15.75" customHeight="1">
      <c r="A252" s="3">
        <v>1.73029E12</v>
      </c>
      <c r="B252" s="3">
        <v>16.0</v>
      </c>
      <c r="C252" s="3" t="s">
        <v>104</v>
      </c>
      <c r="D252" s="3" t="s">
        <v>1369</v>
      </c>
      <c r="E252" s="3" t="s">
        <v>104</v>
      </c>
      <c r="F252" s="3">
        <v>1.0</v>
      </c>
      <c r="G252" s="3">
        <v>1.0</v>
      </c>
      <c r="H252" s="3">
        <v>1.0</v>
      </c>
      <c r="I252" s="3">
        <v>1.0</v>
      </c>
      <c r="J252" s="3">
        <v>1.0</v>
      </c>
      <c r="K252" s="3">
        <v>1.0</v>
      </c>
      <c r="L252" s="3">
        <v>1.0</v>
      </c>
      <c r="M252" s="3">
        <v>1.0</v>
      </c>
      <c r="N252" s="3">
        <v>1.0</v>
      </c>
      <c r="O252" s="3">
        <v>1.0</v>
      </c>
      <c r="P252" s="3">
        <v>1.0</v>
      </c>
      <c r="Q252" s="3">
        <v>1.0</v>
      </c>
      <c r="R252" s="3">
        <v>1.0</v>
      </c>
      <c r="S252" s="3">
        <v>1.0</v>
      </c>
      <c r="T252" s="3">
        <v>0.0</v>
      </c>
      <c r="U252" s="3">
        <v>1.0</v>
      </c>
      <c r="V252" s="3">
        <v>1.0</v>
      </c>
      <c r="W252" s="3" t="s">
        <v>1243</v>
      </c>
      <c r="X252" s="3" t="s">
        <v>1413</v>
      </c>
      <c r="Y252" s="3" t="s">
        <v>1414</v>
      </c>
      <c r="Z252" s="3" t="s">
        <v>1372</v>
      </c>
      <c r="AA252" s="3" t="s">
        <v>1415</v>
      </c>
      <c r="AB252" s="3" t="s">
        <v>1374</v>
      </c>
      <c r="AC252" s="3" t="s">
        <v>1632</v>
      </c>
      <c r="AD252" s="3" t="s">
        <v>1416</v>
      </c>
      <c r="AE252" s="3" t="s">
        <v>1417</v>
      </c>
      <c r="AF252" s="3">
        <v>-0.005</v>
      </c>
      <c r="AG252" s="3">
        <v>-0.054</v>
      </c>
      <c r="AH252" s="3">
        <v>0.296</v>
      </c>
      <c r="AI252" s="3">
        <v>142.779</v>
      </c>
      <c r="AJ252" s="3">
        <v>-42.214</v>
      </c>
      <c r="AK252" s="3" t="s">
        <v>1713</v>
      </c>
      <c r="AL252" s="3">
        <v>0.074</v>
      </c>
      <c r="AM252" s="3" t="s">
        <v>1419</v>
      </c>
    </row>
    <row r="253" ht="15.75" customHeight="1">
      <c r="A253" s="3">
        <v>1.73039E12</v>
      </c>
      <c r="B253" s="3">
        <v>16.0</v>
      </c>
      <c r="C253" s="3" t="s">
        <v>1879</v>
      </c>
      <c r="D253" s="3" t="s">
        <v>1369</v>
      </c>
      <c r="E253" s="3" t="s">
        <v>1879</v>
      </c>
      <c r="F253" s="3">
        <v>1.0</v>
      </c>
      <c r="G253" s="3">
        <v>1.0</v>
      </c>
      <c r="H253" s="3">
        <v>1.0</v>
      </c>
      <c r="I253" s="3">
        <v>1.0</v>
      </c>
      <c r="J253" s="3">
        <v>1.0</v>
      </c>
      <c r="K253" s="3">
        <v>1.0</v>
      </c>
      <c r="L253" s="3">
        <v>0.0</v>
      </c>
      <c r="M253" s="3">
        <v>1.0</v>
      </c>
      <c r="N253" s="3">
        <v>1.0</v>
      </c>
      <c r="O253" s="3">
        <v>1.0</v>
      </c>
      <c r="P253" s="3">
        <v>1.0</v>
      </c>
      <c r="Q253" s="3">
        <v>1.0</v>
      </c>
      <c r="R253" s="3">
        <v>1.0</v>
      </c>
      <c r="S253" s="3">
        <v>1.0</v>
      </c>
      <c r="T253" s="3">
        <v>1.0</v>
      </c>
      <c r="U253" s="3">
        <v>1.0</v>
      </c>
      <c r="V253" s="3">
        <v>1.0</v>
      </c>
      <c r="W253" s="3" t="s">
        <v>105</v>
      </c>
      <c r="X253" s="3" t="s">
        <v>1542</v>
      </c>
      <c r="Y253" s="3" t="s">
        <v>1543</v>
      </c>
      <c r="Z253" s="3" t="s">
        <v>1423</v>
      </c>
      <c r="AA253" s="3" t="s">
        <v>1544</v>
      </c>
      <c r="AB253" s="3" t="s">
        <v>1374</v>
      </c>
      <c r="AC253" s="3" t="s">
        <v>1880</v>
      </c>
      <c r="AD253" s="3" t="s">
        <v>1545</v>
      </c>
      <c r="AE253" s="3" t="s">
        <v>1546</v>
      </c>
      <c r="AF253" s="3">
        <v>0.035</v>
      </c>
      <c r="AG253" s="3">
        <v>0.068</v>
      </c>
      <c r="AH253" s="3">
        <v>0.252</v>
      </c>
      <c r="AI253" s="3">
        <v>54.063</v>
      </c>
      <c r="AJ253" s="3">
        <v>-10.304</v>
      </c>
      <c r="AK253" s="3" t="s">
        <v>1604</v>
      </c>
      <c r="AL253" s="3">
        <v>0.042</v>
      </c>
      <c r="AM253" s="3" t="s">
        <v>1548</v>
      </c>
    </row>
    <row r="254" ht="15.75" customHeight="1">
      <c r="A254" s="3">
        <v>1.73023E12</v>
      </c>
      <c r="B254" s="3">
        <v>13.0</v>
      </c>
      <c r="C254" s="3" t="s">
        <v>634</v>
      </c>
      <c r="D254" s="3" t="s">
        <v>1369</v>
      </c>
      <c r="E254" s="3" t="s">
        <v>634</v>
      </c>
      <c r="F254" s="3">
        <v>1.0</v>
      </c>
      <c r="G254" s="3">
        <v>1.0</v>
      </c>
      <c r="H254" s="3">
        <v>1.0</v>
      </c>
      <c r="I254" s="3">
        <v>1.0</v>
      </c>
      <c r="J254" s="3">
        <v>1.0</v>
      </c>
      <c r="K254" s="3">
        <v>1.0</v>
      </c>
      <c r="L254" s="3">
        <v>1.0</v>
      </c>
      <c r="M254" s="3">
        <v>1.0</v>
      </c>
      <c r="N254" s="3">
        <v>1.0</v>
      </c>
      <c r="O254" s="3">
        <v>1.0</v>
      </c>
      <c r="P254" s="3">
        <v>1.0</v>
      </c>
      <c r="Q254" s="3">
        <v>0.0</v>
      </c>
      <c r="R254" s="3">
        <v>0.0</v>
      </c>
      <c r="S254" s="3">
        <v>0.0</v>
      </c>
      <c r="T254" s="3">
        <v>1.0</v>
      </c>
      <c r="U254" s="3">
        <v>0.0</v>
      </c>
      <c r="V254" s="3">
        <v>1.0</v>
      </c>
      <c r="W254" s="3" t="s">
        <v>430</v>
      </c>
      <c r="X254" s="3" t="s">
        <v>1398</v>
      </c>
      <c r="Y254" s="3" t="s">
        <v>1399</v>
      </c>
      <c r="Z254" s="3" t="s">
        <v>1372</v>
      </c>
      <c r="AA254" s="3" t="s">
        <v>1373</v>
      </c>
      <c r="AB254" s="3" t="s">
        <v>1374</v>
      </c>
      <c r="AC254" s="3" t="s">
        <v>1400</v>
      </c>
      <c r="AD254" s="3" t="s">
        <v>1401</v>
      </c>
      <c r="AE254" s="3" t="s">
        <v>1402</v>
      </c>
      <c r="AF254" s="3">
        <v>0.006</v>
      </c>
      <c r="AG254" s="3">
        <v>0.069</v>
      </c>
      <c r="AH254" s="3">
        <v>0.171</v>
      </c>
      <c r="AI254" s="3">
        <v>33.688</v>
      </c>
      <c r="AJ254" s="3">
        <v>8.589</v>
      </c>
      <c r="AK254" s="3" t="s">
        <v>1841</v>
      </c>
      <c r="AL254" s="3">
        <v>0.256</v>
      </c>
      <c r="AM254" s="3" t="s">
        <v>1404</v>
      </c>
    </row>
    <row r="255" ht="15.75" customHeight="1">
      <c r="A255" s="3">
        <v>1.73039E12</v>
      </c>
      <c r="B255" s="3">
        <v>17.0</v>
      </c>
      <c r="C255" s="3" t="s">
        <v>688</v>
      </c>
      <c r="D255" s="3" t="s">
        <v>1369</v>
      </c>
      <c r="E255" s="3" t="s">
        <v>688</v>
      </c>
      <c r="F255" s="3">
        <v>1.0</v>
      </c>
      <c r="G255" s="3">
        <v>1.0</v>
      </c>
      <c r="H255" s="3">
        <v>1.0</v>
      </c>
      <c r="I255" s="3">
        <v>1.0</v>
      </c>
      <c r="J255" s="3">
        <v>1.0</v>
      </c>
      <c r="K255" s="3">
        <v>1.0</v>
      </c>
      <c r="L255" s="3">
        <v>1.0</v>
      </c>
      <c r="M255" s="3">
        <v>1.0</v>
      </c>
      <c r="N255" s="3">
        <v>1.0</v>
      </c>
      <c r="O255" s="3">
        <v>1.0</v>
      </c>
      <c r="P255" s="3">
        <v>1.0</v>
      </c>
      <c r="Q255" s="3">
        <v>1.0</v>
      </c>
      <c r="R255" s="3">
        <v>1.0</v>
      </c>
      <c r="S255" s="3">
        <v>1.0</v>
      </c>
      <c r="T255" s="3">
        <v>1.0</v>
      </c>
      <c r="U255" s="3">
        <v>1.0</v>
      </c>
      <c r="V255" s="3">
        <v>1.0</v>
      </c>
      <c r="W255" s="3" t="s">
        <v>1260</v>
      </c>
      <c r="X255" s="3" t="s">
        <v>1470</v>
      </c>
      <c r="Y255" s="3" t="s">
        <v>1471</v>
      </c>
      <c r="Z255" s="3" t="s">
        <v>1372</v>
      </c>
      <c r="AA255" s="3" t="s">
        <v>1382</v>
      </c>
      <c r="AB255" s="3" t="s">
        <v>1374</v>
      </c>
      <c r="AC255" s="3" t="s">
        <v>1400</v>
      </c>
      <c r="AD255" s="3" t="s">
        <v>1472</v>
      </c>
      <c r="AE255" s="3" t="s">
        <v>1473</v>
      </c>
      <c r="AF255" s="3">
        <v>0.15</v>
      </c>
      <c r="AG255" s="3">
        <v>4.089</v>
      </c>
      <c r="AH255" s="3">
        <v>0.304</v>
      </c>
      <c r="AI255" s="3">
        <v>110.034</v>
      </c>
      <c r="AJ255" s="3">
        <v>9.21</v>
      </c>
      <c r="AK255" s="3" t="s">
        <v>1881</v>
      </c>
      <c r="AL255" s="3">
        <v>0.029</v>
      </c>
      <c r="AM255" s="3" t="s">
        <v>1475</v>
      </c>
    </row>
    <row r="256" ht="15.75" customHeight="1">
      <c r="A256" s="3">
        <v>1.73038E12</v>
      </c>
      <c r="B256" s="3">
        <v>14.0</v>
      </c>
      <c r="C256" s="3" t="s">
        <v>1882</v>
      </c>
      <c r="D256" s="3" t="s">
        <v>1369</v>
      </c>
      <c r="E256" s="3" t="s">
        <v>1882</v>
      </c>
      <c r="F256" s="3">
        <v>1.0</v>
      </c>
      <c r="G256" s="3">
        <v>1.0</v>
      </c>
      <c r="H256" s="3">
        <v>1.0</v>
      </c>
      <c r="I256" s="3">
        <v>1.0</v>
      </c>
      <c r="J256" s="3">
        <v>1.0</v>
      </c>
      <c r="K256" s="3">
        <v>1.0</v>
      </c>
      <c r="L256" s="3">
        <v>1.0</v>
      </c>
      <c r="M256" s="3">
        <v>1.0</v>
      </c>
      <c r="N256" s="3">
        <v>1.0</v>
      </c>
      <c r="O256" s="3">
        <v>1.0</v>
      </c>
      <c r="P256" s="3">
        <v>1.0</v>
      </c>
      <c r="Q256" s="3">
        <v>0.0</v>
      </c>
      <c r="R256" s="3">
        <v>0.0</v>
      </c>
      <c r="S256" s="3">
        <v>1.0</v>
      </c>
      <c r="T256" s="3">
        <v>1.0</v>
      </c>
      <c r="U256" s="3">
        <v>0.0</v>
      </c>
      <c r="V256" s="3">
        <v>1.0</v>
      </c>
      <c r="W256" s="3" t="s">
        <v>247</v>
      </c>
      <c r="X256" s="3" t="s">
        <v>1413</v>
      </c>
      <c r="Y256" s="3" t="s">
        <v>1414</v>
      </c>
      <c r="Z256" s="3" t="s">
        <v>1372</v>
      </c>
      <c r="AA256" s="3" t="s">
        <v>1415</v>
      </c>
      <c r="AB256" s="3" t="s">
        <v>1374</v>
      </c>
      <c r="AC256" s="3" t="s">
        <v>1632</v>
      </c>
      <c r="AD256" s="3" t="s">
        <v>1860</v>
      </c>
      <c r="AE256" s="3" t="s">
        <v>1417</v>
      </c>
      <c r="AF256" s="3">
        <v>-0.005</v>
      </c>
      <c r="AG256" s="3">
        <v>-0.054</v>
      </c>
      <c r="AH256" s="3">
        <v>3984.166</v>
      </c>
      <c r="AI256" s="3">
        <v>-203.623</v>
      </c>
      <c r="AJ256" s="3">
        <v>-42.232</v>
      </c>
      <c r="AK256" s="3" t="s">
        <v>1861</v>
      </c>
      <c r="AL256" s="3">
        <v>0.691</v>
      </c>
      <c r="AM256" s="3" t="s">
        <v>1419</v>
      </c>
    </row>
    <row r="257" ht="15.75" customHeight="1">
      <c r="A257" s="3">
        <v>1.7304E12</v>
      </c>
      <c r="B257" s="3">
        <v>5.0</v>
      </c>
      <c r="C257" s="3" t="s">
        <v>1883</v>
      </c>
      <c r="D257" s="3" t="s">
        <v>1369</v>
      </c>
      <c r="E257" s="3" t="s">
        <v>1883</v>
      </c>
      <c r="F257" s="3">
        <v>1.0</v>
      </c>
      <c r="G257" s="3">
        <v>1.0</v>
      </c>
      <c r="H257" s="3">
        <v>0.0</v>
      </c>
      <c r="I257" s="3">
        <v>1.0</v>
      </c>
      <c r="J257" s="3">
        <v>1.0</v>
      </c>
      <c r="K257" s="3">
        <v>1.0</v>
      </c>
      <c r="L257" s="3">
        <v>0.0</v>
      </c>
      <c r="M257" s="3">
        <v>0.0</v>
      </c>
      <c r="N257" s="3">
        <v>0.0</v>
      </c>
      <c r="O257" s="3">
        <v>0.0</v>
      </c>
      <c r="P257" s="3">
        <v>0.0</v>
      </c>
      <c r="Q257" s="3">
        <v>0.0</v>
      </c>
      <c r="R257" s="3">
        <v>0.0</v>
      </c>
      <c r="S257" s="3">
        <v>0.0</v>
      </c>
      <c r="T257" s="3">
        <v>0.0</v>
      </c>
      <c r="U257" s="3">
        <v>0.0</v>
      </c>
      <c r="V257" s="3">
        <v>0.0</v>
      </c>
      <c r="W257" s="3" t="s">
        <v>162</v>
      </c>
      <c r="X257" s="3" t="s">
        <v>1379</v>
      </c>
      <c r="Z257" s="3" t="s">
        <v>1884</v>
      </c>
      <c r="AA257" s="3" t="s">
        <v>1382</v>
      </c>
      <c r="AB257" s="3" t="s">
        <v>1508</v>
      </c>
    </row>
    <row r="258" ht="15.75" customHeight="1">
      <c r="A258" s="3">
        <v>1.73031E12</v>
      </c>
      <c r="B258" s="3">
        <v>17.0</v>
      </c>
      <c r="C258" s="3" t="s">
        <v>1885</v>
      </c>
      <c r="D258" s="3" t="s">
        <v>1369</v>
      </c>
      <c r="E258" s="3" t="s">
        <v>1885</v>
      </c>
      <c r="F258" s="3">
        <v>1.0</v>
      </c>
      <c r="G258" s="3">
        <v>1.0</v>
      </c>
      <c r="H258" s="3">
        <v>1.0</v>
      </c>
      <c r="I258" s="3">
        <v>1.0</v>
      </c>
      <c r="J258" s="3">
        <v>1.0</v>
      </c>
      <c r="K258" s="3">
        <v>1.0</v>
      </c>
      <c r="L258" s="3">
        <v>1.0</v>
      </c>
      <c r="M258" s="3">
        <v>1.0</v>
      </c>
      <c r="N258" s="3">
        <v>1.0</v>
      </c>
      <c r="O258" s="3">
        <v>1.0</v>
      </c>
      <c r="P258" s="3">
        <v>1.0</v>
      </c>
      <c r="Q258" s="3">
        <v>1.0</v>
      </c>
      <c r="R258" s="3">
        <v>1.0</v>
      </c>
      <c r="S258" s="3">
        <v>1.0</v>
      </c>
      <c r="T258" s="3">
        <v>1.0</v>
      </c>
      <c r="U258" s="3">
        <v>1.0</v>
      </c>
      <c r="V258" s="3">
        <v>1.0</v>
      </c>
      <c r="W258" s="3" t="s">
        <v>1245</v>
      </c>
      <c r="X258" s="3" t="s">
        <v>1447</v>
      </c>
      <c r="Y258" s="3" t="s">
        <v>1448</v>
      </c>
      <c r="Z258" s="3" t="s">
        <v>1372</v>
      </c>
      <c r="AA258" s="3" t="s">
        <v>1450</v>
      </c>
      <c r="AB258" s="3" t="s">
        <v>1374</v>
      </c>
      <c r="AC258" s="3" t="s">
        <v>1451</v>
      </c>
      <c r="AD258" s="3" t="s">
        <v>1675</v>
      </c>
      <c r="AE258" s="3" t="s">
        <v>1453</v>
      </c>
      <c r="AF258" s="3">
        <v>0.033</v>
      </c>
      <c r="AG258" s="3">
        <v>0.217</v>
      </c>
      <c r="AH258" s="3">
        <v>0.388</v>
      </c>
      <c r="AI258" s="3">
        <v>48.595</v>
      </c>
      <c r="AJ258" s="3">
        <v>6.569</v>
      </c>
      <c r="AK258" s="3" t="s">
        <v>1789</v>
      </c>
      <c r="AL258" s="3">
        <v>0.176</v>
      </c>
      <c r="AM258" s="3" t="s">
        <v>1455</v>
      </c>
    </row>
    <row r="259" ht="15.75" customHeight="1">
      <c r="A259" s="3">
        <v>1.7304E12</v>
      </c>
      <c r="B259" s="3">
        <v>17.0</v>
      </c>
      <c r="C259" s="3" t="s">
        <v>1886</v>
      </c>
      <c r="D259" s="3" t="s">
        <v>1369</v>
      </c>
      <c r="E259" s="3" t="s">
        <v>1886</v>
      </c>
      <c r="F259" s="3">
        <v>1.0</v>
      </c>
      <c r="G259" s="3">
        <v>1.0</v>
      </c>
      <c r="H259" s="3">
        <v>1.0</v>
      </c>
      <c r="I259" s="3">
        <v>1.0</v>
      </c>
      <c r="J259" s="3">
        <v>1.0</v>
      </c>
      <c r="K259" s="3">
        <v>1.0</v>
      </c>
      <c r="L259" s="3">
        <v>1.0</v>
      </c>
      <c r="M259" s="3">
        <v>1.0</v>
      </c>
      <c r="N259" s="3">
        <v>1.0</v>
      </c>
      <c r="O259" s="3">
        <v>1.0</v>
      </c>
      <c r="P259" s="3">
        <v>1.0</v>
      </c>
      <c r="Q259" s="3">
        <v>1.0</v>
      </c>
      <c r="R259" s="3">
        <v>1.0</v>
      </c>
      <c r="S259" s="3">
        <v>1.0</v>
      </c>
      <c r="T259" s="3">
        <v>1.0</v>
      </c>
      <c r="U259" s="3">
        <v>1.0</v>
      </c>
      <c r="V259" s="3">
        <v>1.0</v>
      </c>
      <c r="W259" s="3" t="s">
        <v>1887</v>
      </c>
      <c r="X259" s="3" t="s">
        <v>1405</v>
      </c>
      <c r="Y259" s="3" t="s">
        <v>1406</v>
      </c>
      <c r="Z259" s="3" t="s">
        <v>1372</v>
      </c>
      <c r="AA259" s="3" t="s">
        <v>1407</v>
      </c>
      <c r="AB259" s="3" t="s">
        <v>1374</v>
      </c>
      <c r="AC259" s="3" t="s">
        <v>1400</v>
      </c>
      <c r="AD259" s="3" t="s">
        <v>1506</v>
      </c>
      <c r="AE259" s="3" t="s">
        <v>1409</v>
      </c>
      <c r="AF259" s="3">
        <v>-0.017</v>
      </c>
      <c r="AG259" s="3">
        <v>-0.05</v>
      </c>
      <c r="AH259" s="3" t="s">
        <v>1394</v>
      </c>
      <c r="AI259" s="3" t="s">
        <v>1394</v>
      </c>
      <c r="AJ259" s="3">
        <v>11.023</v>
      </c>
      <c r="AK259" s="3" t="s">
        <v>1535</v>
      </c>
      <c r="AL259" s="3" t="s">
        <v>1394</v>
      </c>
      <c r="AM259" s="3" t="s">
        <v>1411</v>
      </c>
    </row>
    <row r="260" ht="15.75" customHeight="1">
      <c r="A260" s="3">
        <v>1.7304E12</v>
      </c>
      <c r="B260" s="3">
        <v>15.0</v>
      </c>
      <c r="C260" s="3" t="s">
        <v>1888</v>
      </c>
      <c r="D260" s="3" t="s">
        <v>1369</v>
      </c>
      <c r="E260" s="3" t="s">
        <v>1888</v>
      </c>
      <c r="F260" s="3">
        <v>1.0</v>
      </c>
      <c r="G260" s="3">
        <v>1.0</v>
      </c>
      <c r="H260" s="3">
        <v>1.0</v>
      </c>
      <c r="I260" s="3">
        <v>1.0</v>
      </c>
      <c r="J260" s="3">
        <v>1.0</v>
      </c>
      <c r="K260" s="3">
        <v>1.0</v>
      </c>
      <c r="L260" s="3">
        <v>1.0</v>
      </c>
      <c r="M260" s="3">
        <v>1.0</v>
      </c>
      <c r="N260" s="3">
        <v>1.0</v>
      </c>
      <c r="O260" s="3">
        <v>1.0</v>
      </c>
      <c r="P260" s="3">
        <v>1.0</v>
      </c>
      <c r="Q260" s="3">
        <v>1.0</v>
      </c>
      <c r="R260" s="3">
        <v>0.0</v>
      </c>
      <c r="S260" s="3">
        <v>1.0</v>
      </c>
      <c r="T260" s="3">
        <v>1.0</v>
      </c>
      <c r="U260" s="3">
        <v>0.0</v>
      </c>
      <c r="V260" s="3">
        <v>1.0</v>
      </c>
      <c r="W260" s="3" t="s">
        <v>132</v>
      </c>
      <c r="X260" s="3" t="s">
        <v>1388</v>
      </c>
      <c r="Y260" s="3" t="s">
        <v>1389</v>
      </c>
      <c r="Z260" s="3" t="s">
        <v>1449</v>
      </c>
      <c r="AA260" s="3" t="s">
        <v>1390</v>
      </c>
      <c r="AB260" s="3" t="s">
        <v>1374</v>
      </c>
      <c r="AC260" s="3" t="s">
        <v>1391</v>
      </c>
      <c r="AD260" s="3" t="s">
        <v>1392</v>
      </c>
      <c r="AE260" s="3" t="s">
        <v>1393</v>
      </c>
      <c r="AF260" s="3">
        <v>0.071</v>
      </c>
      <c r="AG260" s="3">
        <v>1.031</v>
      </c>
      <c r="AH260" s="3">
        <v>0.317</v>
      </c>
      <c r="AI260" s="3">
        <v>294.544</v>
      </c>
      <c r="AJ260" s="3">
        <v>13.693</v>
      </c>
      <c r="AK260" s="3" t="s">
        <v>1395</v>
      </c>
      <c r="AL260" s="3" t="s">
        <v>1519</v>
      </c>
      <c r="AM260" s="3" t="s">
        <v>1396</v>
      </c>
    </row>
    <row r="261" ht="15.75" customHeight="1">
      <c r="A261" s="3">
        <v>1.7303E12</v>
      </c>
      <c r="B261" s="3">
        <v>17.0</v>
      </c>
      <c r="C261" s="3" t="s">
        <v>594</v>
      </c>
      <c r="D261" s="3" t="s">
        <v>1369</v>
      </c>
      <c r="E261" s="3" t="s">
        <v>594</v>
      </c>
      <c r="F261" s="3">
        <v>1.0</v>
      </c>
      <c r="G261" s="3">
        <v>1.0</v>
      </c>
      <c r="H261" s="3">
        <v>1.0</v>
      </c>
      <c r="I261" s="3">
        <v>1.0</v>
      </c>
      <c r="J261" s="3">
        <v>1.0</v>
      </c>
      <c r="K261" s="3">
        <v>1.0</v>
      </c>
      <c r="L261" s="3">
        <v>1.0</v>
      </c>
      <c r="M261" s="3">
        <v>1.0</v>
      </c>
      <c r="N261" s="3">
        <v>1.0</v>
      </c>
      <c r="O261" s="3">
        <v>1.0</v>
      </c>
      <c r="P261" s="3">
        <v>1.0</v>
      </c>
      <c r="Q261" s="3">
        <v>1.0</v>
      </c>
      <c r="R261" s="3">
        <v>1.0</v>
      </c>
      <c r="S261" s="3">
        <v>1.0</v>
      </c>
      <c r="T261" s="3">
        <v>1.0</v>
      </c>
      <c r="U261" s="3">
        <v>1.0</v>
      </c>
      <c r="V261" s="3">
        <v>1.0</v>
      </c>
      <c r="W261" s="3" t="s">
        <v>1152</v>
      </c>
      <c r="X261" s="3" t="s">
        <v>1421</v>
      </c>
      <c r="Y261" s="3" t="s">
        <v>1422</v>
      </c>
      <c r="Z261" s="3" t="s">
        <v>1423</v>
      </c>
      <c r="AA261" s="3" t="s">
        <v>1424</v>
      </c>
      <c r="AB261" s="3" t="s">
        <v>1374</v>
      </c>
      <c r="AC261" s="3" t="s">
        <v>1391</v>
      </c>
      <c r="AD261" s="3" t="s">
        <v>1425</v>
      </c>
      <c r="AE261" s="3" t="s">
        <v>1426</v>
      </c>
      <c r="AF261" s="3">
        <v>0.051</v>
      </c>
      <c r="AG261" s="3">
        <v>0.209</v>
      </c>
      <c r="AH261" s="3">
        <v>0.345</v>
      </c>
      <c r="AI261" s="3">
        <v>-29.403</v>
      </c>
      <c r="AJ261" s="3">
        <v>0.522</v>
      </c>
      <c r="AK261" s="3" t="s">
        <v>1427</v>
      </c>
      <c r="AL261" s="3">
        <v>0.189</v>
      </c>
      <c r="AM261" s="3" t="s">
        <v>1428</v>
      </c>
    </row>
    <row r="262" ht="15.75" customHeight="1">
      <c r="A262" s="3">
        <v>1.7303E12</v>
      </c>
      <c r="B262" s="3">
        <v>16.0</v>
      </c>
      <c r="C262" s="3" t="s">
        <v>239</v>
      </c>
      <c r="D262" s="3" t="s">
        <v>1369</v>
      </c>
      <c r="E262" s="3" t="s">
        <v>239</v>
      </c>
      <c r="F262" s="3">
        <v>1.0</v>
      </c>
      <c r="G262" s="3">
        <v>1.0</v>
      </c>
      <c r="H262" s="3">
        <v>1.0</v>
      </c>
      <c r="I262" s="3">
        <v>1.0</v>
      </c>
      <c r="J262" s="3">
        <v>1.0</v>
      </c>
      <c r="K262" s="3">
        <v>1.0</v>
      </c>
      <c r="L262" s="3">
        <v>1.0</v>
      </c>
      <c r="M262" s="3">
        <v>1.0</v>
      </c>
      <c r="N262" s="3">
        <v>1.0</v>
      </c>
      <c r="O262" s="3">
        <v>1.0</v>
      </c>
      <c r="P262" s="3">
        <v>1.0</v>
      </c>
      <c r="Q262" s="3">
        <v>1.0</v>
      </c>
      <c r="R262" s="3">
        <v>1.0</v>
      </c>
      <c r="S262" s="3">
        <v>0.0</v>
      </c>
      <c r="T262" s="3">
        <v>1.0</v>
      </c>
      <c r="U262" s="3">
        <v>1.0</v>
      </c>
      <c r="V262" s="3">
        <v>1.0</v>
      </c>
      <c r="W262" s="3" t="s">
        <v>1889</v>
      </c>
      <c r="X262" s="3" t="s">
        <v>1600</v>
      </c>
      <c r="Y262" s="3" t="s">
        <v>1601</v>
      </c>
      <c r="Z262" s="3" t="s">
        <v>1372</v>
      </c>
      <c r="AA262" s="3" t="s">
        <v>1407</v>
      </c>
      <c r="AB262" s="3" t="s">
        <v>1374</v>
      </c>
      <c r="AC262" s="3" t="s">
        <v>1400</v>
      </c>
      <c r="AD262" s="3" t="s">
        <v>1408</v>
      </c>
      <c r="AE262" s="3" t="s">
        <v>1602</v>
      </c>
      <c r="AF262" s="3">
        <v>0.034</v>
      </c>
      <c r="AG262" s="3">
        <v>0.1</v>
      </c>
      <c r="AH262" s="3" t="s">
        <v>1394</v>
      </c>
      <c r="AI262" s="3" t="s">
        <v>1394</v>
      </c>
      <c r="AJ262" s="3">
        <v>-0.418</v>
      </c>
      <c r="AK262" s="3" t="s">
        <v>1890</v>
      </c>
      <c r="AL262" s="3" t="s">
        <v>1394</v>
      </c>
      <c r="AM262" s="3" t="s">
        <v>1411</v>
      </c>
    </row>
    <row r="263" ht="15.75" customHeight="1">
      <c r="A263" s="3">
        <v>1.73031E12</v>
      </c>
      <c r="B263" s="3">
        <v>14.0</v>
      </c>
      <c r="C263" s="3" t="s">
        <v>800</v>
      </c>
      <c r="D263" s="3" t="s">
        <v>1369</v>
      </c>
      <c r="E263" s="3" t="s">
        <v>800</v>
      </c>
      <c r="F263" s="3">
        <v>1.0</v>
      </c>
      <c r="G263" s="3">
        <v>1.0</v>
      </c>
      <c r="H263" s="3">
        <v>1.0</v>
      </c>
      <c r="I263" s="3">
        <v>1.0</v>
      </c>
      <c r="J263" s="3">
        <v>1.0</v>
      </c>
      <c r="K263" s="3">
        <v>1.0</v>
      </c>
      <c r="L263" s="3">
        <v>1.0</v>
      </c>
      <c r="M263" s="3">
        <v>1.0</v>
      </c>
      <c r="N263" s="3">
        <v>1.0</v>
      </c>
      <c r="O263" s="3">
        <v>1.0</v>
      </c>
      <c r="P263" s="3">
        <v>1.0</v>
      </c>
      <c r="Q263" s="3">
        <v>0.0</v>
      </c>
      <c r="R263" s="3">
        <v>0.0</v>
      </c>
      <c r="S263" s="3">
        <v>1.0</v>
      </c>
      <c r="T263" s="3">
        <v>1.0</v>
      </c>
      <c r="U263" s="3">
        <v>0.0</v>
      </c>
      <c r="V263" s="3">
        <v>1.0</v>
      </c>
      <c r="W263" s="3" t="s">
        <v>798</v>
      </c>
      <c r="X263" s="3" t="s">
        <v>1634</v>
      </c>
      <c r="Y263" s="3" t="s">
        <v>1635</v>
      </c>
      <c r="Z263" s="3" t="s">
        <v>1372</v>
      </c>
      <c r="AA263" s="3" t="s">
        <v>1636</v>
      </c>
      <c r="AB263" s="3" t="s">
        <v>1374</v>
      </c>
      <c r="AC263" s="3" t="s">
        <v>1391</v>
      </c>
      <c r="AD263" s="3" t="s">
        <v>1375</v>
      </c>
      <c r="AE263" s="3" t="s">
        <v>1637</v>
      </c>
      <c r="AF263" s="3">
        <v>0.046</v>
      </c>
      <c r="AG263" s="3">
        <v>1.457</v>
      </c>
      <c r="AH263" s="3">
        <v>0.311</v>
      </c>
      <c r="AI263" s="3">
        <v>220.834</v>
      </c>
      <c r="AJ263" s="3">
        <v>36.447</v>
      </c>
      <c r="AK263" s="3" t="s">
        <v>1687</v>
      </c>
      <c r="AL263" s="3">
        <v>0.081</v>
      </c>
      <c r="AM263" s="3" t="s">
        <v>1469</v>
      </c>
    </row>
    <row r="264" ht="15.75" customHeight="1">
      <c r="A264" s="3">
        <v>1.73028E12</v>
      </c>
      <c r="B264" s="3">
        <v>16.0</v>
      </c>
      <c r="C264" s="3" t="s">
        <v>828</v>
      </c>
      <c r="D264" s="3" t="s">
        <v>1369</v>
      </c>
      <c r="E264" s="3" t="s">
        <v>828</v>
      </c>
      <c r="F264" s="3">
        <v>1.0</v>
      </c>
      <c r="G264" s="3">
        <v>1.0</v>
      </c>
      <c r="H264" s="3">
        <v>1.0</v>
      </c>
      <c r="I264" s="3">
        <v>1.0</v>
      </c>
      <c r="J264" s="3">
        <v>1.0</v>
      </c>
      <c r="K264" s="3">
        <v>1.0</v>
      </c>
      <c r="L264" s="3">
        <v>1.0</v>
      </c>
      <c r="M264" s="3">
        <v>1.0</v>
      </c>
      <c r="N264" s="3">
        <v>1.0</v>
      </c>
      <c r="O264" s="3">
        <v>1.0</v>
      </c>
      <c r="P264" s="3">
        <v>1.0</v>
      </c>
      <c r="Q264" s="3">
        <v>0.0</v>
      </c>
      <c r="R264" s="3">
        <v>1.0</v>
      </c>
      <c r="S264" s="3">
        <v>1.0</v>
      </c>
      <c r="T264" s="3">
        <v>1.0</v>
      </c>
      <c r="U264" s="3">
        <v>1.0</v>
      </c>
      <c r="V264" s="3">
        <v>1.0</v>
      </c>
      <c r="W264" s="3" t="s">
        <v>1070</v>
      </c>
      <c r="X264" s="3" t="s">
        <v>1429</v>
      </c>
      <c r="Y264" s="3" t="s">
        <v>1430</v>
      </c>
      <c r="Z264" s="3" t="s">
        <v>1423</v>
      </c>
      <c r="AA264" s="3" t="s">
        <v>1432</v>
      </c>
      <c r="AB264" s="3" t="s">
        <v>1374</v>
      </c>
      <c r="AC264" s="3" t="s">
        <v>1391</v>
      </c>
      <c r="AD264" s="3" t="s">
        <v>1433</v>
      </c>
      <c r="AE264" s="3" t="s">
        <v>1434</v>
      </c>
      <c r="AF264" s="3">
        <v>0.168</v>
      </c>
      <c r="AG264" s="3">
        <v>1.191</v>
      </c>
      <c r="AH264" s="3" t="s">
        <v>1394</v>
      </c>
      <c r="AI264" s="3">
        <v>112.121</v>
      </c>
      <c r="AJ264" s="3">
        <v>-5.3</v>
      </c>
      <c r="AK264" s="3" t="s">
        <v>1435</v>
      </c>
      <c r="AL264" s="3">
        <v>0.113</v>
      </c>
      <c r="AM264" s="3" t="s">
        <v>1436</v>
      </c>
    </row>
    <row r="265" ht="15.75" customHeight="1">
      <c r="A265" s="3">
        <v>1.73031E12</v>
      </c>
      <c r="B265" s="3">
        <v>17.0</v>
      </c>
      <c r="C265" s="3" t="s">
        <v>544</v>
      </c>
      <c r="D265" s="3" t="s">
        <v>1369</v>
      </c>
      <c r="E265" s="3" t="s">
        <v>544</v>
      </c>
      <c r="F265" s="3">
        <v>1.0</v>
      </c>
      <c r="G265" s="3">
        <v>1.0</v>
      </c>
      <c r="H265" s="3">
        <v>1.0</v>
      </c>
      <c r="I265" s="3">
        <v>1.0</v>
      </c>
      <c r="J265" s="3">
        <v>1.0</v>
      </c>
      <c r="K265" s="3">
        <v>1.0</v>
      </c>
      <c r="L265" s="3">
        <v>1.0</v>
      </c>
      <c r="M265" s="3">
        <v>1.0</v>
      </c>
      <c r="N265" s="3">
        <v>1.0</v>
      </c>
      <c r="O265" s="3">
        <v>1.0</v>
      </c>
      <c r="P265" s="3">
        <v>1.0</v>
      </c>
      <c r="Q265" s="3">
        <v>1.0</v>
      </c>
      <c r="R265" s="3">
        <v>1.0</v>
      </c>
      <c r="S265" s="3">
        <v>1.0</v>
      </c>
      <c r="T265" s="3">
        <v>1.0</v>
      </c>
      <c r="U265" s="3">
        <v>1.0</v>
      </c>
      <c r="V265" s="3">
        <v>1.0</v>
      </c>
      <c r="W265" s="3" t="s">
        <v>1188</v>
      </c>
      <c r="X265" s="3" t="s">
        <v>1470</v>
      </c>
      <c r="Y265" s="3" t="s">
        <v>1471</v>
      </c>
      <c r="Z265" s="3" t="s">
        <v>1372</v>
      </c>
      <c r="AA265" s="3" t="s">
        <v>1382</v>
      </c>
      <c r="AB265" s="3" t="s">
        <v>1374</v>
      </c>
      <c r="AC265" s="3" t="s">
        <v>1400</v>
      </c>
      <c r="AD265" s="3" t="s">
        <v>1472</v>
      </c>
      <c r="AE265" s="3" t="s">
        <v>1473</v>
      </c>
      <c r="AF265" s="3">
        <v>0.15</v>
      </c>
      <c r="AG265" s="3">
        <v>4.088</v>
      </c>
      <c r="AH265" s="3" t="s">
        <v>1394</v>
      </c>
      <c r="AI265" s="3" t="s">
        <v>1394</v>
      </c>
      <c r="AJ265" s="3">
        <v>9.397</v>
      </c>
      <c r="AK265" s="3" t="s">
        <v>1891</v>
      </c>
      <c r="AL265" s="3" t="s">
        <v>1394</v>
      </c>
      <c r="AM265" s="3" t="s">
        <v>1475</v>
      </c>
    </row>
    <row r="266" ht="15.75" customHeight="1">
      <c r="A266" s="3">
        <v>1.73039E12</v>
      </c>
      <c r="B266" s="3">
        <v>17.0</v>
      </c>
      <c r="C266" s="3" t="s">
        <v>243</v>
      </c>
      <c r="D266" s="3" t="s">
        <v>1369</v>
      </c>
      <c r="E266" s="3" t="s">
        <v>243</v>
      </c>
      <c r="F266" s="3">
        <v>1.0</v>
      </c>
      <c r="G266" s="3">
        <v>1.0</v>
      </c>
      <c r="H266" s="3">
        <v>1.0</v>
      </c>
      <c r="I266" s="3">
        <v>1.0</v>
      </c>
      <c r="J266" s="3">
        <v>1.0</v>
      </c>
      <c r="K266" s="3">
        <v>1.0</v>
      </c>
      <c r="L266" s="3">
        <v>1.0</v>
      </c>
      <c r="M266" s="3">
        <v>1.0</v>
      </c>
      <c r="N266" s="3">
        <v>1.0</v>
      </c>
      <c r="O266" s="3">
        <v>1.0</v>
      </c>
      <c r="P266" s="3">
        <v>1.0</v>
      </c>
      <c r="Q266" s="3">
        <v>1.0</v>
      </c>
      <c r="R266" s="3">
        <v>1.0</v>
      </c>
      <c r="S266" s="3">
        <v>1.0</v>
      </c>
      <c r="T266" s="3">
        <v>1.0</v>
      </c>
      <c r="U266" s="3">
        <v>1.0</v>
      </c>
      <c r="V266" s="3">
        <v>1.0</v>
      </c>
      <c r="W266" s="3" t="s">
        <v>1199</v>
      </c>
      <c r="X266" s="3" t="s">
        <v>1542</v>
      </c>
      <c r="Y266" s="3" t="s">
        <v>1543</v>
      </c>
      <c r="Z266" s="3" t="s">
        <v>1431</v>
      </c>
      <c r="AA266" s="3" t="s">
        <v>1544</v>
      </c>
      <c r="AB266" s="3" t="s">
        <v>1374</v>
      </c>
      <c r="AC266" s="3" t="s">
        <v>1451</v>
      </c>
      <c r="AD266" s="3" t="s">
        <v>1545</v>
      </c>
      <c r="AE266" s="3" t="s">
        <v>1892</v>
      </c>
      <c r="AF266" s="3">
        <v>0.036</v>
      </c>
      <c r="AG266" s="3">
        <v>0.068</v>
      </c>
      <c r="AH266" s="3" t="s">
        <v>1394</v>
      </c>
      <c r="AI266" s="3" t="s">
        <v>1394</v>
      </c>
      <c r="AJ266" s="3">
        <v>-10.574</v>
      </c>
      <c r="AK266" s="3" t="s">
        <v>1624</v>
      </c>
      <c r="AL266" s="3" t="s">
        <v>1394</v>
      </c>
      <c r="AM266" s="3" t="s">
        <v>1548</v>
      </c>
    </row>
    <row r="267" ht="15.75" customHeight="1">
      <c r="A267" s="3">
        <v>1.73036E12</v>
      </c>
      <c r="B267" s="3">
        <v>17.0</v>
      </c>
      <c r="C267" s="3" t="s">
        <v>724</v>
      </c>
      <c r="D267" s="3" t="s">
        <v>1369</v>
      </c>
      <c r="E267" s="3" t="s">
        <v>724</v>
      </c>
      <c r="F267" s="3">
        <v>1.0</v>
      </c>
      <c r="G267" s="3">
        <v>1.0</v>
      </c>
      <c r="H267" s="3">
        <v>1.0</v>
      </c>
      <c r="I267" s="3">
        <v>1.0</v>
      </c>
      <c r="J267" s="3">
        <v>1.0</v>
      </c>
      <c r="K267" s="3">
        <v>1.0</v>
      </c>
      <c r="L267" s="3">
        <v>1.0</v>
      </c>
      <c r="M267" s="3">
        <v>1.0</v>
      </c>
      <c r="N267" s="3">
        <v>1.0</v>
      </c>
      <c r="O267" s="3">
        <v>1.0</v>
      </c>
      <c r="P267" s="3">
        <v>1.0</v>
      </c>
      <c r="Q267" s="3">
        <v>1.0</v>
      </c>
      <c r="R267" s="3">
        <v>1.0</v>
      </c>
      <c r="S267" s="3">
        <v>1.0</v>
      </c>
      <c r="T267" s="3">
        <v>1.0</v>
      </c>
      <c r="U267" s="3">
        <v>1.0</v>
      </c>
      <c r="V267" s="3">
        <v>1.0</v>
      </c>
      <c r="W267" s="3" t="s">
        <v>1039</v>
      </c>
      <c r="X267" s="3" t="s">
        <v>1438</v>
      </c>
      <c r="Y267" s="3" t="s">
        <v>1439</v>
      </c>
      <c r="Z267" s="3" t="s">
        <v>1372</v>
      </c>
      <c r="AA267" s="3" t="s">
        <v>1553</v>
      </c>
      <c r="AB267" s="3" t="s">
        <v>1374</v>
      </c>
      <c r="AC267" s="3" t="s">
        <v>1391</v>
      </c>
      <c r="AD267" s="3" t="s">
        <v>1554</v>
      </c>
      <c r="AE267" s="3" t="s">
        <v>1444</v>
      </c>
      <c r="AF267" s="3">
        <v>0.085</v>
      </c>
      <c r="AG267" s="3">
        <v>0.301</v>
      </c>
      <c r="AH267" s="3" t="s">
        <v>1394</v>
      </c>
      <c r="AI267" s="3" t="s">
        <v>1394</v>
      </c>
      <c r="AJ267" s="3">
        <v>-1.712</v>
      </c>
      <c r="AK267" s="3" t="s">
        <v>1555</v>
      </c>
      <c r="AL267" s="3" t="s">
        <v>1394</v>
      </c>
      <c r="AM267" s="3" t="s">
        <v>1446</v>
      </c>
    </row>
    <row r="268" ht="15.75" customHeight="1">
      <c r="A268" s="3">
        <v>1.73037E12</v>
      </c>
      <c r="B268" s="3">
        <v>12.0</v>
      </c>
      <c r="C268" s="3" t="s">
        <v>1893</v>
      </c>
      <c r="D268" s="3" t="s">
        <v>1369</v>
      </c>
      <c r="E268" s="3" t="s">
        <v>1893</v>
      </c>
      <c r="F268" s="3">
        <v>1.0</v>
      </c>
      <c r="G268" s="3">
        <v>1.0</v>
      </c>
      <c r="H268" s="3">
        <v>1.0</v>
      </c>
      <c r="I268" s="3">
        <v>1.0</v>
      </c>
      <c r="J268" s="3">
        <v>1.0</v>
      </c>
      <c r="K268" s="3">
        <v>1.0</v>
      </c>
      <c r="L268" s="3">
        <v>1.0</v>
      </c>
      <c r="M268" s="3">
        <v>1.0</v>
      </c>
      <c r="N268" s="3">
        <v>1.0</v>
      </c>
      <c r="O268" s="3">
        <v>1.0</v>
      </c>
      <c r="P268" s="3">
        <v>1.0</v>
      </c>
      <c r="Q268" s="3">
        <v>0.0</v>
      </c>
      <c r="R268" s="3">
        <v>0.0</v>
      </c>
      <c r="S268" s="3">
        <v>0.0</v>
      </c>
      <c r="T268" s="3">
        <v>0.0</v>
      </c>
      <c r="U268" s="3">
        <v>0.0</v>
      </c>
      <c r="V268" s="3">
        <v>1.0</v>
      </c>
      <c r="W268" s="3" t="s">
        <v>653</v>
      </c>
      <c r="X268" s="3" t="s">
        <v>1464</v>
      </c>
      <c r="Y268" s="3" t="s">
        <v>1465</v>
      </c>
      <c r="Z268" s="3" t="s">
        <v>1372</v>
      </c>
      <c r="AA268" s="3" t="s">
        <v>1373</v>
      </c>
      <c r="AB268" s="3" t="s">
        <v>1374</v>
      </c>
      <c r="AC268" s="3" t="s">
        <v>1391</v>
      </c>
      <c r="AD268" s="3" t="s">
        <v>1466</v>
      </c>
      <c r="AE268" s="3" t="s">
        <v>1467</v>
      </c>
      <c r="AF268" s="3">
        <v>0.203</v>
      </c>
      <c r="AG268" s="3">
        <v>2.497</v>
      </c>
      <c r="AH268" s="3">
        <v>0.319</v>
      </c>
      <c r="AI268" s="3" t="s">
        <v>1519</v>
      </c>
      <c r="AJ268" s="3">
        <v>0.028</v>
      </c>
      <c r="AK268" s="3" t="s">
        <v>1894</v>
      </c>
      <c r="AL268" s="3" t="s">
        <v>1519</v>
      </c>
      <c r="AM268" s="3" t="s">
        <v>1469</v>
      </c>
    </row>
    <row r="269" ht="15.75" customHeight="1">
      <c r="A269" s="3">
        <v>1.73028E12</v>
      </c>
      <c r="B269" s="3">
        <v>17.0</v>
      </c>
      <c r="C269" s="3" t="s">
        <v>143</v>
      </c>
      <c r="D269" s="3" t="s">
        <v>1369</v>
      </c>
      <c r="E269" s="3" t="s">
        <v>143</v>
      </c>
      <c r="F269" s="3">
        <v>1.0</v>
      </c>
      <c r="G269" s="3">
        <v>1.0</v>
      </c>
      <c r="H269" s="3">
        <v>1.0</v>
      </c>
      <c r="I269" s="3">
        <v>1.0</v>
      </c>
      <c r="J269" s="3">
        <v>1.0</v>
      </c>
      <c r="K269" s="3">
        <v>1.0</v>
      </c>
      <c r="L269" s="3">
        <v>1.0</v>
      </c>
      <c r="M269" s="3">
        <v>1.0</v>
      </c>
      <c r="N269" s="3">
        <v>1.0</v>
      </c>
      <c r="O269" s="3">
        <v>1.0</v>
      </c>
      <c r="P269" s="3">
        <v>1.0</v>
      </c>
      <c r="Q269" s="3">
        <v>1.0</v>
      </c>
      <c r="R269" s="3">
        <v>1.0</v>
      </c>
      <c r="S269" s="3">
        <v>1.0</v>
      </c>
      <c r="T269" s="3">
        <v>1.0</v>
      </c>
      <c r="U269" s="3">
        <v>1.0</v>
      </c>
      <c r="V269" s="3">
        <v>1.0</v>
      </c>
      <c r="W269" s="3" t="s">
        <v>1121</v>
      </c>
      <c r="X269" s="3" t="s">
        <v>1438</v>
      </c>
      <c r="Y269" s="3" t="s">
        <v>1439</v>
      </c>
      <c r="Z269" s="3" t="s">
        <v>1372</v>
      </c>
      <c r="AA269" s="3" t="s">
        <v>1553</v>
      </c>
      <c r="AB269" s="3" t="s">
        <v>1374</v>
      </c>
      <c r="AC269" s="3" t="s">
        <v>1391</v>
      </c>
      <c r="AD269" s="3" t="s">
        <v>1554</v>
      </c>
      <c r="AE269" s="3" t="s">
        <v>1444</v>
      </c>
      <c r="AF269" s="3">
        <v>0.085</v>
      </c>
      <c r="AG269" s="3">
        <v>0.301</v>
      </c>
      <c r="AH269" s="3">
        <v>0.221</v>
      </c>
      <c r="AI269" s="3">
        <v>237.946</v>
      </c>
      <c r="AJ269" s="3">
        <v>-1.628</v>
      </c>
      <c r="AK269" s="3" t="s">
        <v>1555</v>
      </c>
      <c r="AL269" s="3">
        <v>0.265</v>
      </c>
      <c r="AM269" s="3" t="s">
        <v>1446</v>
      </c>
    </row>
    <row r="270" ht="15.75" customHeight="1">
      <c r="A270" s="3">
        <v>1.7303E12</v>
      </c>
      <c r="B270" s="3">
        <v>15.0</v>
      </c>
      <c r="C270" s="3" t="s">
        <v>138</v>
      </c>
      <c r="D270" s="3" t="s">
        <v>1369</v>
      </c>
      <c r="E270" s="3" t="s">
        <v>138</v>
      </c>
      <c r="F270" s="3">
        <v>1.0</v>
      </c>
      <c r="G270" s="3">
        <v>1.0</v>
      </c>
      <c r="H270" s="3">
        <v>1.0</v>
      </c>
      <c r="I270" s="3">
        <v>1.0</v>
      </c>
      <c r="J270" s="3">
        <v>1.0</v>
      </c>
      <c r="K270" s="3">
        <v>1.0</v>
      </c>
      <c r="L270" s="3">
        <v>1.0</v>
      </c>
      <c r="M270" s="3">
        <v>1.0</v>
      </c>
      <c r="N270" s="3">
        <v>1.0</v>
      </c>
      <c r="O270" s="3">
        <v>1.0</v>
      </c>
      <c r="P270" s="3">
        <v>0.0</v>
      </c>
      <c r="Q270" s="3">
        <v>1.0</v>
      </c>
      <c r="R270" s="3">
        <v>1.0</v>
      </c>
      <c r="S270" s="3">
        <v>0.0</v>
      </c>
      <c r="T270" s="3">
        <v>1.0</v>
      </c>
      <c r="U270" s="3">
        <v>1.0</v>
      </c>
      <c r="V270" s="3">
        <v>1.0</v>
      </c>
      <c r="W270" s="3" t="s">
        <v>236</v>
      </c>
      <c r="X270" s="3" t="s">
        <v>1851</v>
      </c>
      <c r="Y270" s="3" t="s">
        <v>1465</v>
      </c>
      <c r="Z270" s="3" t="s">
        <v>1372</v>
      </c>
      <c r="AA270" s="3" t="s">
        <v>1373</v>
      </c>
      <c r="AB270" s="3" t="s">
        <v>1374</v>
      </c>
      <c r="AC270" s="3" t="s">
        <v>1391</v>
      </c>
      <c r="AD270" s="3" t="s">
        <v>1497</v>
      </c>
      <c r="AE270" s="3" t="s">
        <v>1467</v>
      </c>
      <c r="AF270" s="3">
        <v>0.199</v>
      </c>
      <c r="AG270" s="3">
        <v>2.428</v>
      </c>
      <c r="AH270" s="3" t="s">
        <v>1394</v>
      </c>
      <c r="AI270" s="3" t="s">
        <v>1394</v>
      </c>
      <c r="AJ270" s="3" t="s">
        <v>1394</v>
      </c>
      <c r="AK270" s="3" t="s">
        <v>1536</v>
      </c>
      <c r="AL270" s="3" t="s">
        <v>1394</v>
      </c>
      <c r="AM270" s="3" t="s">
        <v>1469</v>
      </c>
    </row>
    <row r="271" ht="15.75" customHeight="1">
      <c r="A271" s="3">
        <v>1.7303E12</v>
      </c>
      <c r="B271" s="3">
        <v>16.0</v>
      </c>
      <c r="C271" s="3" t="s">
        <v>498</v>
      </c>
      <c r="D271" s="3" t="s">
        <v>1369</v>
      </c>
      <c r="E271" s="3" t="s">
        <v>498</v>
      </c>
      <c r="F271" s="3">
        <v>1.0</v>
      </c>
      <c r="G271" s="3">
        <v>1.0</v>
      </c>
      <c r="H271" s="3">
        <v>1.0</v>
      </c>
      <c r="I271" s="3">
        <v>1.0</v>
      </c>
      <c r="J271" s="3">
        <v>1.0</v>
      </c>
      <c r="K271" s="3">
        <v>1.0</v>
      </c>
      <c r="L271" s="3">
        <v>1.0</v>
      </c>
      <c r="M271" s="3">
        <v>1.0</v>
      </c>
      <c r="N271" s="3">
        <v>1.0</v>
      </c>
      <c r="O271" s="3">
        <v>1.0</v>
      </c>
      <c r="P271" s="3">
        <v>1.0</v>
      </c>
      <c r="Q271" s="3">
        <v>1.0</v>
      </c>
      <c r="R271" s="3">
        <v>1.0</v>
      </c>
      <c r="S271" s="3">
        <v>0.0</v>
      </c>
      <c r="T271" s="3">
        <v>1.0</v>
      </c>
      <c r="U271" s="3">
        <v>1.0</v>
      </c>
      <c r="V271" s="3">
        <v>1.0</v>
      </c>
      <c r="W271" s="3" t="s">
        <v>829</v>
      </c>
      <c r="X271" s="3" t="s">
        <v>1489</v>
      </c>
      <c r="Y271" s="3" t="s">
        <v>1490</v>
      </c>
      <c r="Z271" s="3" t="s">
        <v>1431</v>
      </c>
      <c r="AA271" s="3" t="s">
        <v>1491</v>
      </c>
      <c r="AB271" s="3" t="s">
        <v>1374</v>
      </c>
      <c r="AC271" s="3" t="s">
        <v>1451</v>
      </c>
      <c r="AD271" s="3" t="s">
        <v>1492</v>
      </c>
      <c r="AE271" s="3" t="s">
        <v>1493</v>
      </c>
      <c r="AF271" s="3">
        <v>0.056</v>
      </c>
      <c r="AG271" s="3">
        <v>0.253</v>
      </c>
      <c r="AH271" s="3" t="s">
        <v>1394</v>
      </c>
      <c r="AI271" s="3" t="s">
        <v>1394</v>
      </c>
      <c r="AJ271" s="3">
        <v>8.37</v>
      </c>
      <c r="AK271" s="3" t="s">
        <v>1560</v>
      </c>
      <c r="AL271" s="3" t="s">
        <v>1394</v>
      </c>
      <c r="AM271" s="3" t="s">
        <v>1495</v>
      </c>
    </row>
    <row r="272" ht="15.75" customHeight="1">
      <c r="A272" s="3">
        <v>1.73023E12</v>
      </c>
      <c r="B272" s="3">
        <v>13.0</v>
      </c>
      <c r="C272" s="3" t="s">
        <v>1895</v>
      </c>
      <c r="D272" s="3" t="s">
        <v>1369</v>
      </c>
      <c r="E272" s="3" t="s">
        <v>1895</v>
      </c>
      <c r="F272" s="3">
        <v>1.0</v>
      </c>
      <c r="G272" s="3">
        <v>1.0</v>
      </c>
      <c r="H272" s="3">
        <v>1.0</v>
      </c>
      <c r="I272" s="3">
        <v>1.0</v>
      </c>
      <c r="J272" s="3">
        <v>1.0</v>
      </c>
      <c r="K272" s="3">
        <v>1.0</v>
      </c>
      <c r="L272" s="3">
        <v>1.0</v>
      </c>
      <c r="M272" s="3">
        <v>1.0</v>
      </c>
      <c r="N272" s="3">
        <v>1.0</v>
      </c>
      <c r="O272" s="3">
        <v>1.0</v>
      </c>
      <c r="P272" s="3">
        <v>1.0</v>
      </c>
      <c r="Q272" s="3">
        <v>0.0</v>
      </c>
      <c r="R272" s="3">
        <v>0.0</v>
      </c>
      <c r="S272" s="3">
        <v>0.0</v>
      </c>
      <c r="T272" s="3">
        <v>1.0</v>
      </c>
      <c r="U272" s="3">
        <v>0.0</v>
      </c>
      <c r="V272" s="3">
        <v>1.0</v>
      </c>
      <c r="W272" s="3" t="s">
        <v>186</v>
      </c>
      <c r="X272" s="3" t="s">
        <v>1388</v>
      </c>
      <c r="Y272" s="3" t="s">
        <v>1389</v>
      </c>
      <c r="Z272" s="3" t="s">
        <v>1372</v>
      </c>
      <c r="AA272" s="3" t="s">
        <v>1390</v>
      </c>
      <c r="AB272" s="3" t="s">
        <v>1374</v>
      </c>
      <c r="AC272" s="3" t="s">
        <v>1391</v>
      </c>
      <c r="AD272" s="3" t="s">
        <v>1392</v>
      </c>
      <c r="AE272" s="3" t="s">
        <v>1393</v>
      </c>
      <c r="AF272" s="3">
        <v>0.072</v>
      </c>
      <c r="AG272" s="3">
        <v>1.042</v>
      </c>
      <c r="AH272" s="3">
        <v>0.322</v>
      </c>
      <c r="AI272" s="3">
        <v>289.756</v>
      </c>
      <c r="AJ272" s="3">
        <v>13.469</v>
      </c>
      <c r="AK272" s="3" t="s">
        <v>1685</v>
      </c>
      <c r="AL272" s="3">
        <v>0.1</v>
      </c>
      <c r="AM272" s="3" t="s">
        <v>1686</v>
      </c>
    </row>
    <row r="273" ht="15.75" customHeight="1">
      <c r="A273" s="3">
        <v>1.7303E12</v>
      </c>
      <c r="B273" s="3">
        <v>13.0</v>
      </c>
      <c r="C273" s="3" t="s">
        <v>203</v>
      </c>
      <c r="D273" s="3" t="s">
        <v>1369</v>
      </c>
      <c r="E273" s="3" t="s">
        <v>203</v>
      </c>
      <c r="F273" s="3">
        <v>1.0</v>
      </c>
      <c r="G273" s="3">
        <v>1.0</v>
      </c>
      <c r="H273" s="3">
        <v>1.0</v>
      </c>
      <c r="I273" s="3">
        <v>1.0</v>
      </c>
      <c r="J273" s="3">
        <v>1.0</v>
      </c>
      <c r="K273" s="3">
        <v>1.0</v>
      </c>
      <c r="L273" s="3">
        <v>1.0</v>
      </c>
      <c r="M273" s="3">
        <v>1.0</v>
      </c>
      <c r="N273" s="3">
        <v>1.0</v>
      </c>
      <c r="O273" s="3">
        <v>1.0</v>
      </c>
      <c r="P273" s="3">
        <v>1.0</v>
      </c>
      <c r="Q273" s="3">
        <v>0.0</v>
      </c>
      <c r="R273" s="3">
        <v>0.0</v>
      </c>
      <c r="S273" s="3">
        <v>1.0</v>
      </c>
      <c r="T273" s="3">
        <v>0.0</v>
      </c>
      <c r="U273" s="3">
        <v>0.0</v>
      </c>
      <c r="V273" s="3">
        <v>1.0</v>
      </c>
      <c r="W273" s="3" t="s">
        <v>404</v>
      </c>
      <c r="X273" s="3" t="s">
        <v>1489</v>
      </c>
      <c r="Y273" s="3" t="s">
        <v>1490</v>
      </c>
      <c r="Z273" s="3" t="s">
        <v>1449</v>
      </c>
      <c r="AA273" s="3" t="s">
        <v>1491</v>
      </c>
      <c r="AB273" s="3" t="s">
        <v>1374</v>
      </c>
      <c r="AC273" s="3" t="s">
        <v>1451</v>
      </c>
      <c r="AD273" s="3" t="s">
        <v>1492</v>
      </c>
      <c r="AE273" s="3" t="s">
        <v>1493</v>
      </c>
      <c r="AF273" s="3">
        <v>0.056</v>
      </c>
      <c r="AG273" s="3">
        <v>0.253</v>
      </c>
      <c r="AH273" s="3">
        <v>0.398</v>
      </c>
      <c r="AI273" s="3">
        <v>-13.334</v>
      </c>
      <c r="AJ273" s="3">
        <v>8.381</v>
      </c>
      <c r="AK273" s="3" t="s">
        <v>1896</v>
      </c>
      <c r="AL273" s="3">
        <v>0.135</v>
      </c>
      <c r="AM273" s="3" t="s">
        <v>1495</v>
      </c>
    </row>
    <row r="274" ht="15.75" customHeight="1">
      <c r="A274" s="3">
        <v>1.7304E12</v>
      </c>
      <c r="B274" s="3">
        <v>14.0</v>
      </c>
      <c r="C274" s="3" t="s">
        <v>941</v>
      </c>
      <c r="D274" s="3" t="s">
        <v>1369</v>
      </c>
      <c r="E274" s="3" t="s">
        <v>941</v>
      </c>
      <c r="F274" s="3">
        <v>1.0</v>
      </c>
      <c r="G274" s="3">
        <v>1.0</v>
      </c>
      <c r="H274" s="3">
        <v>1.0</v>
      </c>
      <c r="I274" s="3">
        <v>1.0</v>
      </c>
      <c r="J274" s="3">
        <v>1.0</v>
      </c>
      <c r="K274" s="3">
        <v>1.0</v>
      </c>
      <c r="L274" s="3">
        <v>1.0</v>
      </c>
      <c r="M274" s="3">
        <v>1.0</v>
      </c>
      <c r="N274" s="3">
        <v>1.0</v>
      </c>
      <c r="O274" s="3">
        <v>1.0</v>
      </c>
      <c r="P274" s="3">
        <v>1.0</v>
      </c>
      <c r="Q274" s="3">
        <v>0.0</v>
      </c>
      <c r="R274" s="3">
        <v>0.0</v>
      </c>
      <c r="S274" s="3">
        <v>1.0</v>
      </c>
      <c r="T274" s="3">
        <v>1.0</v>
      </c>
      <c r="U274" s="3">
        <v>0.0</v>
      </c>
      <c r="V274" s="3">
        <v>1.0</v>
      </c>
      <c r="W274" s="3" t="s">
        <v>198</v>
      </c>
      <c r="X274" s="3" t="s">
        <v>1634</v>
      </c>
      <c r="Y274" s="3" t="s">
        <v>1635</v>
      </c>
      <c r="Z274" s="3" t="s">
        <v>1372</v>
      </c>
      <c r="AA274" s="3" t="s">
        <v>1636</v>
      </c>
      <c r="AB274" s="3" t="s">
        <v>1374</v>
      </c>
      <c r="AC274" s="3" t="s">
        <v>1391</v>
      </c>
      <c r="AD274" s="3" t="s">
        <v>1680</v>
      </c>
      <c r="AE274" s="3" t="s">
        <v>1637</v>
      </c>
      <c r="AF274" s="3">
        <v>0.046</v>
      </c>
      <c r="AG274" s="3">
        <v>1.457</v>
      </c>
      <c r="AH274" s="3">
        <v>0.303</v>
      </c>
      <c r="AI274" s="3">
        <v>220.823</v>
      </c>
      <c r="AJ274" s="3">
        <v>36.445</v>
      </c>
      <c r="AK274" s="3" t="s">
        <v>1828</v>
      </c>
      <c r="AL274" s="3">
        <v>0.08</v>
      </c>
      <c r="AM274" s="3" t="s">
        <v>1469</v>
      </c>
    </row>
    <row r="275" ht="15.75" customHeight="1">
      <c r="A275" s="3">
        <v>1.73021E12</v>
      </c>
      <c r="B275" s="3">
        <v>12.0</v>
      </c>
      <c r="C275" s="3" t="s">
        <v>652</v>
      </c>
      <c r="D275" s="3" t="s">
        <v>1369</v>
      </c>
      <c r="E275" s="3" t="s">
        <v>652</v>
      </c>
      <c r="F275" s="3">
        <v>1.0</v>
      </c>
      <c r="G275" s="3">
        <v>1.0</v>
      </c>
      <c r="H275" s="3">
        <v>1.0</v>
      </c>
      <c r="I275" s="3">
        <v>1.0</v>
      </c>
      <c r="J275" s="3">
        <v>1.0</v>
      </c>
      <c r="K275" s="3">
        <v>1.0</v>
      </c>
      <c r="L275" s="3">
        <v>1.0</v>
      </c>
      <c r="M275" s="3">
        <v>1.0</v>
      </c>
      <c r="N275" s="3">
        <v>1.0</v>
      </c>
      <c r="O275" s="3">
        <v>1.0</v>
      </c>
      <c r="P275" s="3">
        <v>1.0</v>
      </c>
      <c r="Q275" s="3">
        <v>0.0</v>
      </c>
      <c r="R275" s="3">
        <v>0.0</v>
      </c>
      <c r="S275" s="3">
        <v>0.0</v>
      </c>
      <c r="T275" s="3">
        <v>1.0</v>
      </c>
      <c r="U275" s="3">
        <v>0.0</v>
      </c>
      <c r="V275" s="3">
        <v>0.0</v>
      </c>
      <c r="W275" s="3" t="s">
        <v>852</v>
      </c>
      <c r="X275" s="3" t="s">
        <v>1590</v>
      </c>
      <c r="Y275" s="3" t="s">
        <v>1591</v>
      </c>
      <c r="Z275" s="3" t="s">
        <v>1431</v>
      </c>
      <c r="AA275" s="3" t="s">
        <v>1593</v>
      </c>
      <c r="AB275" s="3" t="s">
        <v>1374</v>
      </c>
      <c r="AC275" s="3" t="s">
        <v>1374</v>
      </c>
      <c r="AD275" s="3" t="s">
        <v>1625</v>
      </c>
      <c r="AE275" s="3" t="s">
        <v>1595</v>
      </c>
      <c r="AF275" s="3">
        <v>0.188</v>
      </c>
      <c r="AG275" s="3">
        <v>2.244</v>
      </c>
      <c r="AH275" s="3">
        <v>0.393</v>
      </c>
      <c r="AJ275" s="3">
        <v>6.474</v>
      </c>
      <c r="AK275" s="3" t="s">
        <v>1626</v>
      </c>
      <c r="AL275" s="3">
        <v>0.055</v>
      </c>
      <c r="AM275" s="3">
        <v>10.0</v>
      </c>
    </row>
    <row r="276" ht="15.75" customHeight="1">
      <c r="A276" s="3">
        <v>1.73039E12</v>
      </c>
      <c r="B276" s="3">
        <v>17.0</v>
      </c>
      <c r="C276" s="3" t="s">
        <v>660</v>
      </c>
      <c r="D276" s="3" t="s">
        <v>1369</v>
      </c>
      <c r="E276" s="3" t="s">
        <v>660</v>
      </c>
      <c r="F276" s="3">
        <v>1.0</v>
      </c>
      <c r="G276" s="3">
        <v>1.0</v>
      </c>
      <c r="H276" s="3">
        <v>1.0</v>
      </c>
      <c r="I276" s="3">
        <v>1.0</v>
      </c>
      <c r="J276" s="3">
        <v>1.0</v>
      </c>
      <c r="K276" s="3">
        <v>1.0</v>
      </c>
      <c r="L276" s="3">
        <v>1.0</v>
      </c>
      <c r="M276" s="3">
        <v>1.0</v>
      </c>
      <c r="N276" s="3">
        <v>1.0</v>
      </c>
      <c r="O276" s="3">
        <v>1.0</v>
      </c>
      <c r="P276" s="3">
        <v>1.0</v>
      </c>
      <c r="Q276" s="3">
        <v>1.0</v>
      </c>
      <c r="R276" s="3">
        <v>1.0</v>
      </c>
      <c r="S276" s="3">
        <v>1.0</v>
      </c>
      <c r="T276" s="3">
        <v>1.0</v>
      </c>
      <c r="U276" s="3">
        <v>1.0</v>
      </c>
      <c r="V276" s="3">
        <v>1.0</v>
      </c>
      <c r="W276" s="3" t="s">
        <v>1024</v>
      </c>
      <c r="X276" s="3" t="s">
        <v>1413</v>
      </c>
      <c r="Y276" s="3" t="s">
        <v>1414</v>
      </c>
      <c r="Z276" s="3" t="s">
        <v>1372</v>
      </c>
      <c r="AA276" s="3" t="s">
        <v>1415</v>
      </c>
      <c r="AB276" s="3" t="s">
        <v>1374</v>
      </c>
      <c r="AC276" s="3" t="s">
        <v>1632</v>
      </c>
      <c r="AD276" s="3" t="s">
        <v>1416</v>
      </c>
      <c r="AE276" s="3" t="s">
        <v>1417</v>
      </c>
      <c r="AF276" s="3">
        <v>-0.005</v>
      </c>
      <c r="AG276" s="3">
        <v>-0.053</v>
      </c>
      <c r="AH276" s="3">
        <v>0.295</v>
      </c>
      <c r="AI276" s="3">
        <v>143.462</v>
      </c>
      <c r="AJ276" s="3">
        <v>-42.032</v>
      </c>
      <c r="AK276" s="3" t="s">
        <v>1418</v>
      </c>
      <c r="AL276" s="3">
        <v>0.075</v>
      </c>
      <c r="AM276" s="3" t="s">
        <v>1419</v>
      </c>
    </row>
    <row r="277" ht="15.75" customHeight="1">
      <c r="A277" s="3">
        <v>1.73037E12</v>
      </c>
      <c r="B277" s="3">
        <v>16.0</v>
      </c>
      <c r="C277" s="3" t="s">
        <v>663</v>
      </c>
      <c r="D277" s="3" t="s">
        <v>1369</v>
      </c>
      <c r="E277" s="3" t="s">
        <v>663</v>
      </c>
      <c r="F277" s="3">
        <v>1.0</v>
      </c>
      <c r="G277" s="3">
        <v>1.0</v>
      </c>
      <c r="H277" s="3">
        <v>1.0</v>
      </c>
      <c r="I277" s="3">
        <v>1.0</v>
      </c>
      <c r="J277" s="3">
        <v>1.0</v>
      </c>
      <c r="K277" s="3">
        <v>1.0</v>
      </c>
      <c r="L277" s="3">
        <v>1.0</v>
      </c>
      <c r="M277" s="3">
        <v>1.0</v>
      </c>
      <c r="N277" s="3">
        <v>1.0</v>
      </c>
      <c r="O277" s="3">
        <v>1.0</v>
      </c>
      <c r="P277" s="3">
        <v>1.0</v>
      </c>
      <c r="Q277" s="3">
        <v>1.0</v>
      </c>
      <c r="R277" s="3">
        <v>1.0</v>
      </c>
      <c r="S277" s="3">
        <v>0.0</v>
      </c>
      <c r="T277" s="3">
        <v>1.0</v>
      </c>
      <c r="U277" s="3">
        <v>1.0</v>
      </c>
      <c r="V277" s="3">
        <v>1.0</v>
      </c>
      <c r="W277" s="3" t="s">
        <v>1178</v>
      </c>
      <c r="X277" s="3" t="s">
        <v>1590</v>
      </c>
      <c r="Y277" s="3" t="s">
        <v>1591</v>
      </c>
      <c r="Z277" s="3" t="s">
        <v>1423</v>
      </c>
      <c r="AA277" s="3" t="s">
        <v>1593</v>
      </c>
      <c r="AB277" s="3" t="s">
        <v>1374</v>
      </c>
      <c r="AC277" s="3" t="s">
        <v>1374</v>
      </c>
      <c r="AD277" s="3" t="s">
        <v>1625</v>
      </c>
      <c r="AE277" s="3" t="s">
        <v>1595</v>
      </c>
      <c r="AF277" s="3">
        <v>0.188</v>
      </c>
      <c r="AG277" s="3">
        <v>2.242</v>
      </c>
      <c r="AH277" s="3">
        <v>0.407</v>
      </c>
      <c r="AI277" s="3">
        <v>-45.901</v>
      </c>
      <c r="AJ277" s="3">
        <v>0.037</v>
      </c>
      <c r="AK277" s="3" t="s">
        <v>1859</v>
      </c>
      <c r="AL277" s="3">
        <v>0.048</v>
      </c>
      <c r="AM277" s="3" t="s">
        <v>1469</v>
      </c>
    </row>
    <row r="278" ht="15.75" customHeight="1">
      <c r="A278" s="3">
        <v>1.7303E12</v>
      </c>
      <c r="B278" s="3">
        <v>0.0</v>
      </c>
      <c r="C278" s="3" t="s">
        <v>1897</v>
      </c>
      <c r="D278" s="3" t="s">
        <v>1369</v>
      </c>
      <c r="E278" s="3" t="s">
        <v>1897</v>
      </c>
      <c r="F278" s="3">
        <v>0.0</v>
      </c>
      <c r="G278" s="3">
        <v>0.0</v>
      </c>
      <c r="H278" s="3">
        <v>0.0</v>
      </c>
      <c r="I278" s="3">
        <v>0.0</v>
      </c>
      <c r="J278" s="3">
        <v>0.0</v>
      </c>
      <c r="K278" s="3">
        <v>0.0</v>
      </c>
      <c r="L278" s="3">
        <v>0.0</v>
      </c>
      <c r="M278" s="3">
        <v>0.0</v>
      </c>
      <c r="N278" s="3">
        <v>0.0</v>
      </c>
      <c r="O278" s="3">
        <v>0.0</v>
      </c>
      <c r="P278" s="3">
        <v>0.0</v>
      </c>
      <c r="Q278" s="3">
        <v>0.0</v>
      </c>
      <c r="R278" s="3">
        <v>0.0</v>
      </c>
      <c r="S278" s="3">
        <v>0.0</v>
      </c>
      <c r="T278" s="3">
        <v>0.0</v>
      </c>
      <c r="U278" s="3">
        <v>0.0</v>
      </c>
      <c r="V278" s="3">
        <v>0.0</v>
      </c>
      <c r="AB278" s="3" t="s">
        <v>1374</v>
      </c>
    </row>
    <row r="279" ht="15.75" customHeight="1">
      <c r="A279" s="3">
        <v>1.73038E12</v>
      </c>
      <c r="B279" s="3">
        <v>17.0</v>
      </c>
      <c r="C279" s="3" t="s">
        <v>1898</v>
      </c>
      <c r="D279" s="3" t="s">
        <v>1369</v>
      </c>
      <c r="E279" s="3" t="s">
        <v>1898</v>
      </c>
      <c r="F279" s="3">
        <v>1.0</v>
      </c>
      <c r="G279" s="3">
        <v>1.0</v>
      </c>
      <c r="H279" s="3">
        <v>1.0</v>
      </c>
      <c r="I279" s="3">
        <v>1.0</v>
      </c>
      <c r="J279" s="3">
        <v>1.0</v>
      </c>
      <c r="K279" s="3">
        <v>1.0</v>
      </c>
      <c r="L279" s="3">
        <v>1.0</v>
      </c>
      <c r="M279" s="3">
        <v>1.0</v>
      </c>
      <c r="N279" s="3">
        <v>1.0</v>
      </c>
      <c r="O279" s="3">
        <v>1.0</v>
      </c>
      <c r="P279" s="3">
        <v>1.0</v>
      </c>
      <c r="Q279" s="3">
        <v>1.0</v>
      </c>
      <c r="R279" s="3">
        <v>1.0</v>
      </c>
      <c r="S279" s="3">
        <v>1.0</v>
      </c>
      <c r="T279" s="3">
        <v>1.0</v>
      </c>
      <c r="U279" s="3">
        <v>1.0</v>
      </c>
      <c r="V279" s="3">
        <v>1.0</v>
      </c>
      <c r="W279" s="3" t="s">
        <v>1234</v>
      </c>
      <c r="X279" s="3" t="s">
        <v>1476</v>
      </c>
      <c r="Y279" s="3" t="s">
        <v>1477</v>
      </c>
      <c r="Z279" s="3" t="s">
        <v>1372</v>
      </c>
      <c r="AA279" s="3" t="s">
        <v>1415</v>
      </c>
      <c r="AB279" s="3" t="s">
        <v>1374</v>
      </c>
      <c r="AC279" s="3" t="s">
        <v>1374</v>
      </c>
      <c r="AD279" s="3" t="s">
        <v>1500</v>
      </c>
      <c r="AE279" s="3" t="s">
        <v>1479</v>
      </c>
      <c r="AF279" s="3">
        <v>0.033</v>
      </c>
      <c r="AG279" s="3">
        <v>0.657</v>
      </c>
      <c r="AH279" s="3">
        <v>0.282</v>
      </c>
      <c r="AI279" s="3">
        <v>149.502</v>
      </c>
      <c r="AJ279" s="3">
        <v>-11.758</v>
      </c>
      <c r="AK279" s="3" t="s">
        <v>1537</v>
      </c>
      <c r="AL279" s="3">
        <v>0.063</v>
      </c>
      <c r="AM279" s="3" t="s">
        <v>1419</v>
      </c>
    </row>
    <row r="280" ht="15.75" customHeight="1">
      <c r="A280" s="3">
        <v>1.73039E12</v>
      </c>
      <c r="B280" s="3">
        <v>14.0</v>
      </c>
      <c r="C280" s="3" t="s">
        <v>197</v>
      </c>
      <c r="D280" s="3" t="s">
        <v>1369</v>
      </c>
      <c r="E280" s="3" t="s">
        <v>197</v>
      </c>
      <c r="F280" s="3">
        <v>1.0</v>
      </c>
      <c r="G280" s="3">
        <v>1.0</v>
      </c>
      <c r="H280" s="3">
        <v>1.0</v>
      </c>
      <c r="I280" s="3">
        <v>1.0</v>
      </c>
      <c r="J280" s="3">
        <v>1.0</v>
      </c>
      <c r="K280" s="3">
        <v>1.0</v>
      </c>
      <c r="L280" s="3">
        <v>1.0</v>
      </c>
      <c r="M280" s="3">
        <v>1.0</v>
      </c>
      <c r="N280" s="3">
        <v>1.0</v>
      </c>
      <c r="O280" s="3">
        <v>1.0</v>
      </c>
      <c r="P280" s="3">
        <v>1.0</v>
      </c>
      <c r="Q280" s="3">
        <v>0.0</v>
      </c>
      <c r="R280" s="3">
        <v>0.0</v>
      </c>
      <c r="S280" s="3">
        <v>1.0</v>
      </c>
      <c r="T280" s="3">
        <v>1.0</v>
      </c>
      <c r="U280" s="3">
        <v>0.0</v>
      </c>
      <c r="V280" s="3">
        <v>1.0</v>
      </c>
      <c r="W280" s="3" t="s">
        <v>913</v>
      </c>
      <c r="X280" s="3" t="s">
        <v>1405</v>
      </c>
      <c r="Y280" s="3" t="s">
        <v>1406</v>
      </c>
      <c r="Z280" s="3" t="s">
        <v>1372</v>
      </c>
      <c r="AA280" s="3" t="s">
        <v>1407</v>
      </c>
      <c r="AB280" s="3" t="s">
        <v>1374</v>
      </c>
      <c r="AC280" s="3" t="s">
        <v>1400</v>
      </c>
      <c r="AD280" s="3" t="s">
        <v>1506</v>
      </c>
      <c r="AE280" s="3" t="s">
        <v>1409</v>
      </c>
      <c r="AF280" s="3">
        <v>-0.017</v>
      </c>
      <c r="AG280" s="3">
        <v>-0.048</v>
      </c>
      <c r="AH280" s="3">
        <v>0.161</v>
      </c>
      <c r="AI280" s="3">
        <v>-175.028</v>
      </c>
      <c r="AJ280" s="3">
        <v>11.883</v>
      </c>
      <c r="AK280" s="3" t="s">
        <v>1535</v>
      </c>
      <c r="AL280" s="3">
        <v>0.256</v>
      </c>
      <c r="AM280" s="3" t="s">
        <v>1411</v>
      </c>
    </row>
    <row r="281" ht="15.75" customHeight="1">
      <c r="A281" s="3">
        <v>1.73011E12</v>
      </c>
      <c r="B281" s="3">
        <v>16.0</v>
      </c>
      <c r="C281" s="3" t="s">
        <v>108</v>
      </c>
      <c r="D281" s="3" t="s">
        <v>1369</v>
      </c>
      <c r="E281" s="3" t="s">
        <v>108</v>
      </c>
      <c r="F281" s="3">
        <v>1.0</v>
      </c>
      <c r="G281" s="3">
        <v>1.0</v>
      </c>
      <c r="H281" s="3">
        <v>1.0</v>
      </c>
      <c r="I281" s="3">
        <v>1.0</v>
      </c>
      <c r="J281" s="3">
        <v>1.0</v>
      </c>
      <c r="K281" s="3">
        <v>1.0</v>
      </c>
      <c r="L281" s="3">
        <v>1.0</v>
      </c>
      <c r="M281" s="3">
        <v>1.0</v>
      </c>
      <c r="N281" s="3">
        <v>1.0</v>
      </c>
      <c r="O281" s="3">
        <v>1.0</v>
      </c>
      <c r="P281" s="3">
        <v>1.0</v>
      </c>
      <c r="Q281" s="3">
        <v>1.0</v>
      </c>
      <c r="R281" s="3">
        <v>1.0</v>
      </c>
      <c r="S281" s="3">
        <v>0.0</v>
      </c>
      <c r="T281" s="3">
        <v>1.0</v>
      </c>
      <c r="U281" s="3">
        <v>1.0</v>
      </c>
      <c r="V281" s="3">
        <v>1.0</v>
      </c>
      <c r="W281" s="3" t="s">
        <v>1238</v>
      </c>
      <c r="X281" s="3" t="s">
        <v>1605</v>
      </c>
      <c r="Y281" s="3" t="s">
        <v>1654</v>
      </c>
      <c r="Z281" s="3" t="s">
        <v>1423</v>
      </c>
      <c r="AA281" s="3" t="s">
        <v>1382</v>
      </c>
      <c r="AB281" s="3" t="s">
        <v>1391</v>
      </c>
      <c r="AC281" s="3" t="s">
        <v>1374</v>
      </c>
      <c r="AD281" s="3" t="s">
        <v>1655</v>
      </c>
      <c r="AE281" s="3" t="s">
        <v>1656</v>
      </c>
      <c r="AF281" s="3">
        <v>0.066</v>
      </c>
      <c r="AG281" s="3">
        <v>1.468</v>
      </c>
      <c r="AH281" s="3">
        <v>0.31</v>
      </c>
      <c r="AI281" s="3">
        <v>-831.825</v>
      </c>
      <c r="AJ281" s="3">
        <v>5.424</v>
      </c>
      <c r="AK281" s="3" t="s">
        <v>1773</v>
      </c>
      <c r="AL281" s="3">
        <v>0.069</v>
      </c>
      <c r="AM281" s="3" t="s">
        <v>1608</v>
      </c>
    </row>
    <row r="282" ht="15.75" customHeight="1">
      <c r="A282" s="3">
        <v>1.73032E12</v>
      </c>
      <c r="B282" s="3">
        <v>17.0</v>
      </c>
      <c r="C282" s="3" t="s">
        <v>911</v>
      </c>
      <c r="D282" s="3" t="s">
        <v>1369</v>
      </c>
      <c r="E282" s="3" t="s">
        <v>911</v>
      </c>
      <c r="F282" s="3">
        <v>1.0</v>
      </c>
      <c r="G282" s="3">
        <v>1.0</v>
      </c>
      <c r="H282" s="3">
        <v>1.0</v>
      </c>
      <c r="I282" s="3">
        <v>1.0</v>
      </c>
      <c r="J282" s="3">
        <v>1.0</v>
      </c>
      <c r="K282" s="3">
        <v>1.0</v>
      </c>
      <c r="L282" s="3">
        <v>1.0</v>
      </c>
      <c r="M282" s="3">
        <v>1.0</v>
      </c>
      <c r="N282" s="3">
        <v>1.0</v>
      </c>
      <c r="O282" s="3">
        <v>1.0</v>
      </c>
      <c r="P282" s="3">
        <v>1.0</v>
      </c>
      <c r="Q282" s="3">
        <v>1.0</v>
      </c>
      <c r="R282" s="3">
        <v>1.0</v>
      </c>
      <c r="S282" s="3">
        <v>1.0</v>
      </c>
      <c r="T282" s="3">
        <v>1.0</v>
      </c>
      <c r="U282" s="3">
        <v>1.0</v>
      </c>
      <c r="V282" s="3">
        <v>1.0</v>
      </c>
      <c r="W282" s="3" t="s">
        <v>1899</v>
      </c>
      <c r="X282" s="3" t="s">
        <v>1521</v>
      </c>
      <c r="Y282" s="3" t="s">
        <v>1522</v>
      </c>
      <c r="Z282" s="3" t="s">
        <v>1372</v>
      </c>
      <c r="AA282" s="3" t="s">
        <v>1523</v>
      </c>
      <c r="AB282" s="3" t="s">
        <v>1374</v>
      </c>
      <c r="AC282" s="3" t="s">
        <v>1374</v>
      </c>
      <c r="AD282" s="3" t="s">
        <v>1524</v>
      </c>
      <c r="AE282" s="3" t="s">
        <v>1525</v>
      </c>
      <c r="AF282" s="3">
        <v>0.029</v>
      </c>
      <c r="AG282" s="3">
        <v>0.068</v>
      </c>
      <c r="AH282" s="3">
        <v>0.445</v>
      </c>
      <c r="AI282" s="3">
        <v>1082.55</v>
      </c>
      <c r="AJ282" s="3">
        <v>1.969</v>
      </c>
      <c r="AK282" s="3" t="s">
        <v>1812</v>
      </c>
      <c r="AL282" s="3">
        <v>0.061</v>
      </c>
      <c r="AM282" s="3" t="s">
        <v>1527</v>
      </c>
    </row>
    <row r="283" ht="15.75" customHeight="1">
      <c r="A283" s="3">
        <v>1.7304E12</v>
      </c>
      <c r="B283" s="3">
        <v>17.0</v>
      </c>
      <c r="C283" s="3" t="s">
        <v>950</v>
      </c>
      <c r="D283" s="3" t="s">
        <v>1369</v>
      </c>
      <c r="E283" s="3" t="s">
        <v>950</v>
      </c>
      <c r="F283" s="3">
        <v>1.0</v>
      </c>
      <c r="G283" s="3">
        <v>1.0</v>
      </c>
      <c r="H283" s="3">
        <v>1.0</v>
      </c>
      <c r="I283" s="3">
        <v>1.0</v>
      </c>
      <c r="J283" s="3">
        <v>1.0</v>
      </c>
      <c r="K283" s="3">
        <v>1.0</v>
      </c>
      <c r="L283" s="3">
        <v>1.0</v>
      </c>
      <c r="M283" s="3">
        <v>1.0</v>
      </c>
      <c r="N283" s="3">
        <v>1.0</v>
      </c>
      <c r="O283" s="3">
        <v>1.0</v>
      </c>
      <c r="P283" s="3">
        <v>1.0</v>
      </c>
      <c r="Q283" s="3">
        <v>1.0</v>
      </c>
      <c r="R283" s="3">
        <v>1.0</v>
      </c>
      <c r="S283" s="3">
        <v>1.0</v>
      </c>
      <c r="T283" s="3">
        <v>1.0</v>
      </c>
      <c r="U283" s="3">
        <v>1.0</v>
      </c>
      <c r="V283" s="3">
        <v>1.0</v>
      </c>
      <c r="W283" s="3" t="s">
        <v>1315</v>
      </c>
      <c r="X283" s="3" t="s">
        <v>1413</v>
      </c>
      <c r="Y283" s="3" t="s">
        <v>1414</v>
      </c>
      <c r="Z283" s="3" t="s">
        <v>1372</v>
      </c>
      <c r="AA283" s="3" t="s">
        <v>1415</v>
      </c>
      <c r="AB283" s="3" t="s">
        <v>1374</v>
      </c>
      <c r="AC283" s="3" t="s">
        <v>1632</v>
      </c>
      <c r="AD283" s="3" t="s">
        <v>1416</v>
      </c>
      <c r="AE283" s="3" t="s">
        <v>1417</v>
      </c>
      <c r="AF283" s="3">
        <v>-0.005</v>
      </c>
      <c r="AG283" s="3">
        <v>-0.053</v>
      </c>
      <c r="AH283" s="3">
        <v>0.295</v>
      </c>
      <c r="AI283" s="3">
        <v>143.462</v>
      </c>
      <c r="AJ283" s="3">
        <v>-42.033</v>
      </c>
      <c r="AK283" s="3" t="s">
        <v>1418</v>
      </c>
      <c r="AL283" s="3">
        <v>0.075</v>
      </c>
      <c r="AM283" s="3" t="s">
        <v>1419</v>
      </c>
    </row>
    <row r="284" ht="15.75" customHeight="1">
      <c r="A284" s="3">
        <v>1.73036E12</v>
      </c>
      <c r="B284" s="3">
        <v>14.0</v>
      </c>
      <c r="C284" s="3" t="s">
        <v>1900</v>
      </c>
      <c r="D284" s="3" t="s">
        <v>1369</v>
      </c>
      <c r="E284" s="3" t="s">
        <v>1900</v>
      </c>
      <c r="F284" s="3">
        <v>1.0</v>
      </c>
      <c r="G284" s="3">
        <v>1.0</v>
      </c>
      <c r="H284" s="3">
        <v>1.0</v>
      </c>
      <c r="I284" s="3">
        <v>1.0</v>
      </c>
      <c r="J284" s="3">
        <v>1.0</v>
      </c>
      <c r="K284" s="3">
        <v>1.0</v>
      </c>
      <c r="L284" s="3">
        <v>1.0</v>
      </c>
      <c r="M284" s="3">
        <v>1.0</v>
      </c>
      <c r="N284" s="3">
        <v>1.0</v>
      </c>
      <c r="O284" s="3">
        <v>1.0</v>
      </c>
      <c r="P284" s="3">
        <v>1.0</v>
      </c>
      <c r="Q284" s="3">
        <v>1.0</v>
      </c>
      <c r="R284" s="3">
        <v>0.0</v>
      </c>
      <c r="S284" s="3">
        <v>1.0</v>
      </c>
      <c r="T284" s="3">
        <v>0.0</v>
      </c>
      <c r="U284" s="3">
        <v>0.0</v>
      </c>
      <c r="V284" s="3">
        <v>1.0</v>
      </c>
      <c r="W284" s="3" t="s">
        <v>393</v>
      </c>
      <c r="X284" s="3" t="s">
        <v>1578</v>
      </c>
      <c r="Y284" s="3" t="s">
        <v>1579</v>
      </c>
      <c r="Z284" s="3" t="s">
        <v>1372</v>
      </c>
      <c r="AA284" s="3" t="s">
        <v>1382</v>
      </c>
      <c r="AB284" s="3" t="s">
        <v>1374</v>
      </c>
      <c r="AC284" s="3" t="s">
        <v>1580</v>
      </c>
      <c r="AD284" s="3" t="s">
        <v>1581</v>
      </c>
      <c r="AE284" s="3" t="s">
        <v>1582</v>
      </c>
      <c r="AF284" s="3">
        <v>0.05</v>
      </c>
      <c r="AG284" s="3">
        <v>0.271</v>
      </c>
      <c r="AH284" s="3">
        <v>0.38</v>
      </c>
      <c r="AI284" s="3">
        <v>-78.48</v>
      </c>
      <c r="AJ284" s="3">
        <v>18.744</v>
      </c>
      <c r="AK284" s="3" t="s">
        <v>1901</v>
      </c>
      <c r="AL284" s="3">
        <v>0.131</v>
      </c>
      <c r="AM284" s="3" t="s">
        <v>1584</v>
      </c>
    </row>
    <row r="285" ht="15.75" customHeight="1">
      <c r="A285" s="3">
        <v>1.73039E12</v>
      </c>
      <c r="B285" s="3">
        <v>17.0</v>
      </c>
      <c r="C285" s="3" t="s">
        <v>662</v>
      </c>
      <c r="D285" s="3" t="s">
        <v>1369</v>
      </c>
      <c r="E285" s="3" t="s">
        <v>662</v>
      </c>
      <c r="F285" s="3">
        <v>1.0</v>
      </c>
      <c r="G285" s="3">
        <v>1.0</v>
      </c>
      <c r="H285" s="3">
        <v>1.0</v>
      </c>
      <c r="I285" s="3">
        <v>1.0</v>
      </c>
      <c r="J285" s="3">
        <v>1.0</v>
      </c>
      <c r="K285" s="3">
        <v>1.0</v>
      </c>
      <c r="L285" s="3">
        <v>1.0</v>
      </c>
      <c r="M285" s="3">
        <v>1.0</v>
      </c>
      <c r="N285" s="3">
        <v>1.0</v>
      </c>
      <c r="O285" s="3">
        <v>1.0</v>
      </c>
      <c r="P285" s="3">
        <v>1.0</v>
      </c>
      <c r="Q285" s="3">
        <v>1.0</v>
      </c>
      <c r="R285" s="3">
        <v>1.0</v>
      </c>
      <c r="S285" s="3">
        <v>1.0</v>
      </c>
      <c r="T285" s="3">
        <v>1.0</v>
      </c>
      <c r="U285" s="3">
        <v>1.0</v>
      </c>
      <c r="V285" s="3">
        <v>1.0</v>
      </c>
      <c r="W285" s="3" t="s">
        <v>990</v>
      </c>
      <c r="X285" s="3" t="s">
        <v>1521</v>
      </c>
      <c r="Y285" s="3" t="s">
        <v>1522</v>
      </c>
      <c r="Z285" s="3" t="s">
        <v>1372</v>
      </c>
      <c r="AA285" s="3" t="s">
        <v>1523</v>
      </c>
      <c r="AB285" s="3" t="s">
        <v>1594</v>
      </c>
      <c r="AC285" s="3" t="s">
        <v>1374</v>
      </c>
      <c r="AD285" s="3" t="s">
        <v>1524</v>
      </c>
      <c r="AE285" s="3" t="s">
        <v>1525</v>
      </c>
      <c r="AF285" s="3">
        <v>0.028</v>
      </c>
      <c r="AG285" s="3">
        <v>0.067</v>
      </c>
      <c r="AH285" s="3" t="s">
        <v>1394</v>
      </c>
      <c r="AI285" s="3" t="s">
        <v>1394</v>
      </c>
      <c r="AJ285" s="3">
        <v>0.899</v>
      </c>
      <c r="AK285" s="3" t="s">
        <v>1716</v>
      </c>
      <c r="AL285" s="3" t="s">
        <v>1394</v>
      </c>
      <c r="AM285" s="3" t="s">
        <v>1527</v>
      </c>
    </row>
    <row r="286" ht="15.75" customHeight="1">
      <c r="A286" s="3">
        <v>1.73031E12</v>
      </c>
      <c r="B286" s="3">
        <v>17.0</v>
      </c>
      <c r="C286" s="3" t="s">
        <v>305</v>
      </c>
      <c r="D286" s="3" t="s">
        <v>1369</v>
      </c>
      <c r="E286" s="3" t="s">
        <v>305</v>
      </c>
      <c r="F286" s="3">
        <v>1.0</v>
      </c>
      <c r="G286" s="3">
        <v>1.0</v>
      </c>
      <c r="H286" s="3">
        <v>1.0</v>
      </c>
      <c r="I286" s="3">
        <v>1.0</v>
      </c>
      <c r="J286" s="3">
        <v>1.0</v>
      </c>
      <c r="K286" s="3">
        <v>1.0</v>
      </c>
      <c r="L286" s="3">
        <v>1.0</v>
      </c>
      <c r="M286" s="3">
        <v>1.0</v>
      </c>
      <c r="N286" s="3">
        <v>1.0</v>
      </c>
      <c r="O286" s="3">
        <v>1.0</v>
      </c>
      <c r="P286" s="3">
        <v>1.0</v>
      </c>
      <c r="Q286" s="3">
        <v>1.0</v>
      </c>
      <c r="R286" s="3">
        <v>1.0</v>
      </c>
      <c r="S286" s="3">
        <v>1.0</v>
      </c>
      <c r="T286" s="3">
        <v>1.0</v>
      </c>
      <c r="U286" s="3">
        <v>1.0</v>
      </c>
      <c r="V286" s="3">
        <v>1.0</v>
      </c>
      <c r="W286" s="3" t="s">
        <v>1012</v>
      </c>
      <c r="X286" s="3" t="s">
        <v>1447</v>
      </c>
      <c r="Y286" s="3" t="s">
        <v>1448</v>
      </c>
      <c r="Z286" s="3" t="s">
        <v>1449</v>
      </c>
      <c r="AA286" s="3" t="s">
        <v>1450</v>
      </c>
      <c r="AB286" s="3" t="s">
        <v>1374</v>
      </c>
      <c r="AC286" s="3" t="s">
        <v>1451</v>
      </c>
      <c r="AD286" s="3" t="s">
        <v>1452</v>
      </c>
      <c r="AE286" s="3" t="s">
        <v>1453</v>
      </c>
      <c r="AF286" s="3">
        <v>0.033</v>
      </c>
      <c r="AG286" s="3">
        <v>0.217</v>
      </c>
      <c r="AH286" s="3">
        <v>0.375</v>
      </c>
      <c r="AI286" s="3">
        <v>48.674</v>
      </c>
      <c r="AJ286" s="3">
        <v>6.553</v>
      </c>
      <c r="AK286" s="3" t="s">
        <v>1599</v>
      </c>
      <c r="AL286" s="3">
        <v>0.176</v>
      </c>
      <c r="AM286" s="3" t="s">
        <v>1455</v>
      </c>
    </row>
    <row r="287" ht="15.75" customHeight="1">
      <c r="A287" s="3">
        <v>1.73039E12</v>
      </c>
      <c r="B287" s="3">
        <v>14.0</v>
      </c>
      <c r="C287" s="3" t="s">
        <v>392</v>
      </c>
      <c r="D287" s="3" t="s">
        <v>1369</v>
      </c>
      <c r="E287" s="3" t="s">
        <v>392</v>
      </c>
      <c r="F287" s="3">
        <v>1.0</v>
      </c>
      <c r="G287" s="3">
        <v>1.0</v>
      </c>
      <c r="H287" s="3">
        <v>1.0</v>
      </c>
      <c r="I287" s="3">
        <v>0.0</v>
      </c>
      <c r="J287" s="3">
        <v>1.0</v>
      </c>
      <c r="K287" s="3">
        <v>0.0</v>
      </c>
      <c r="L287" s="3">
        <v>1.0</v>
      </c>
      <c r="M287" s="3">
        <v>1.0</v>
      </c>
      <c r="N287" s="3">
        <v>1.0</v>
      </c>
      <c r="O287" s="3">
        <v>1.0</v>
      </c>
      <c r="P287" s="3">
        <v>1.0</v>
      </c>
      <c r="Q287" s="3">
        <v>1.0</v>
      </c>
      <c r="R287" s="3">
        <v>1.0</v>
      </c>
      <c r="S287" s="3">
        <v>1.0</v>
      </c>
      <c r="T287" s="3">
        <v>1.0</v>
      </c>
      <c r="U287" s="3">
        <v>1.0</v>
      </c>
      <c r="V287" s="3">
        <v>0.0</v>
      </c>
      <c r="W287" s="3" t="s">
        <v>656</v>
      </c>
      <c r="X287" s="3" t="s">
        <v>1590</v>
      </c>
      <c r="Y287" s="3" t="s">
        <v>1591</v>
      </c>
      <c r="Z287" s="3" t="s">
        <v>1431</v>
      </c>
      <c r="AA287" s="3" t="s">
        <v>1593</v>
      </c>
      <c r="AB287" s="3" t="s">
        <v>1374</v>
      </c>
      <c r="AC287" s="3" t="s">
        <v>1391</v>
      </c>
      <c r="AD287" s="3" t="s">
        <v>1625</v>
      </c>
      <c r="AE287" s="3" t="s">
        <v>1595</v>
      </c>
      <c r="AF287" s="3">
        <v>0.188</v>
      </c>
      <c r="AG287" s="3">
        <v>2.243</v>
      </c>
      <c r="AH287" s="3">
        <v>0.38</v>
      </c>
      <c r="AI287" s="3">
        <v>-45.901</v>
      </c>
      <c r="AJ287" s="3">
        <v>7.352</v>
      </c>
      <c r="AK287" s="3" t="s">
        <v>1626</v>
      </c>
      <c r="AL287" s="3">
        <v>0.048</v>
      </c>
      <c r="AM287" s="3" t="s">
        <v>1705</v>
      </c>
    </row>
    <row r="288" ht="15.75" customHeight="1">
      <c r="A288" s="3">
        <v>1.73037E12</v>
      </c>
      <c r="B288" s="3">
        <v>17.0</v>
      </c>
      <c r="C288" s="3" t="s">
        <v>853</v>
      </c>
      <c r="D288" s="3" t="s">
        <v>1369</v>
      </c>
      <c r="E288" s="3" t="s">
        <v>853</v>
      </c>
      <c r="F288" s="3">
        <v>1.0</v>
      </c>
      <c r="G288" s="3">
        <v>1.0</v>
      </c>
      <c r="H288" s="3">
        <v>1.0</v>
      </c>
      <c r="I288" s="3">
        <v>1.0</v>
      </c>
      <c r="J288" s="3">
        <v>1.0</v>
      </c>
      <c r="K288" s="3">
        <v>1.0</v>
      </c>
      <c r="L288" s="3">
        <v>1.0</v>
      </c>
      <c r="M288" s="3">
        <v>1.0</v>
      </c>
      <c r="N288" s="3">
        <v>1.0</v>
      </c>
      <c r="O288" s="3">
        <v>1.0</v>
      </c>
      <c r="P288" s="3">
        <v>1.0</v>
      </c>
      <c r="Q288" s="3">
        <v>1.0</v>
      </c>
      <c r="R288" s="3">
        <v>1.0</v>
      </c>
      <c r="S288" s="3">
        <v>1.0</v>
      </c>
      <c r="T288" s="3">
        <v>1.0</v>
      </c>
      <c r="U288" s="3">
        <v>1.0</v>
      </c>
      <c r="V288" s="3">
        <v>1.0</v>
      </c>
      <c r="W288" s="3" t="s">
        <v>1100</v>
      </c>
      <c r="X288" s="3" t="s">
        <v>1470</v>
      </c>
      <c r="Y288" s="3" t="s">
        <v>1660</v>
      </c>
      <c r="Z288" s="3" t="s">
        <v>1372</v>
      </c>
      <c r="AA288" s="3" t="s">
        <v>1382</v>
      </c>
      <c r="AB288" s="3" t="s">
        <v>1374</v>
      </c>
      <c r="AC288" s="3" t="s">
        <v>1400</v>
      </c>
      <c r="AD288" s="3" t="s">
        <v>1472</v>
      </c>
      <c r="AE288" s="3" t="s">
        <v>1473</v>
      </c>
      <c r="AF288" s="3">
        <v>0.151</v>
      </c>
      <c r="AG288" s="3">
        <v>4.104</v>
      </c>
      <c r="AH288" s="3">
        <v>0.274</v>
      </c>
      <c r="AI288" s="3">
        <v>109.041</v>
      </c>
      <c r="AJ288" s="3">
        <v>7.785</v>
      </c>
      <c r="AK288" s="3" t="s">
        <v>1474</v>
      </c>
      <c r="AL288" s="3">
        <v>0.022</v>
      </c>
      <c r="AM288" s="3" t="s">
        <v>1661</v>
      </c>
    </row>
    <row r="289" ht="15.75" customHeight="1">
      <c r="A289" s="3">
        <v>1.73039E12</v>
      </c>
      <c r="B289" s="3">
        <v>16.0</v>
      </c>
      <c r="C289" s="3" t="s">
        <v>362</v>
      </c>
      <c r="D289" s="3" t="s">
        <v>1369</v>
      </c>
      <c r="E289" s="3" t="s">
        <v>362</v>
      </c>
      <c r="F289" s="3">
        <v>1.0</v>
      </c>
      <c r="G289" s="3">
        <v>1.0</v>
      </c>
      <c r="H289" s="3">
        <v>1.0</v>
      </c>
      <c r="I289" s="3">
        <v>1.0</v>
      </c>
      <c r="J289" s="3">
        <v>1.0</v>
      </c>
      <c r="K289" s="3">
        <v>1.0</v>
      </c>
      <c r="L289" s="3">
        <v>1.0</v>
      </c>
      <c r="M289" s="3">
        <v>1.0</v>
      </c>
      <c r="N289" s="3">
        <v>1.0</v>
      </c>
      <c r="O289" s="3">
        <v>0.0</v>
      </c>
      <c r="P289" s="3">
        <v>1.0</v>
      </c>
      <c r="Q289" s="3">
        <v>1.0</v>
      </c>
      <c r="R289" s="3">
        <v>1.0</v>
      </c>
      <c r="S289" s="3">
        <v>1.0</v>
      </c>
      <c r="T289" s="3">
        <v>1.0</v>
      </c>
      <c r="U289" s="3">
        <v>1.0</v>
      </c>
      <c r="V289" s="3">
        <v>1.0</v>
      </c>
      <c r="W289" s="3" t="s">
        <v>1009</v>
      </c>
      <c r="X289" s="3" t="s">
        <v>1405</v>
      </c>
      <c r="Y289" s="3" t="s">
        <v>1406</v>
      </c>
      <c r="Z289" s="3" t="s">
        <v>1372</v>
      </c>
      <c r="AA289" s="3" t="s">
        <v>1407</v>
      </c>
      <c r="AB289" s="3" t="s">
        <v>1374</v>
      </c>
      <c r="AC289" s="3" t="s">
        <v>1400</v>
      </c>
      <c r="AD289" s="3" t="s">
        <v>1506</v>
      </c>
      <c r="AE289" s="3" t="s">
        <v>1409</v>
      </c>
      <c r="AF289" s="3">
        <v>0.02</v>
      </c>
      <c r="AG289" s="3">
        <v>-0.049</v>
      </c>
      <c r="AH289" s="3" t="s">
        <v>1394</v>
      </c>
      <c r="AI289" s="3" t="s">
        <v>1394</v>
      </c>
      <c r="AJ289" s="3">
        <v>12.822</v>
      </c>
      <c r="AK289" s="3" t="s">
        <v>1535</v>
      </c>
      <c r="AL289" s="3" t="s">
        <v>1394</v>
      </c>
      <c r="AM289" s="3" t="s">
        <v>1411</v>
      </c>
    </row>
    <row r="290" ht="15.75" customHeight="1">
      <c r="A290" s="3">
        <v>1.7304E12</v>
      </c>
      <c r="B290" s="3">
        <v>16.0</v>
      </c>
      <c r="C290" s="3" t="s">
        <v>1902</v>
      </c>
      <c r="D290" s="3" t="s">
        <v>1369</v>
      </c>
      <c r="E290" s="3" t="s">
        <v>1902</v>
      </c>
      <c r="F290" s="3">
        <v>1.0</v>
      </c>
      <c r="G290" s="3">
        <v>1.0</v>
      </c>
      <c r="H290" s="3">
        <v>1.0</v>
      </c>
      <c r="I290" s="3">
        <v>1.0</v>
      </c>
      <c r="J290" s="3">
        <v>1.0</v>
      </c>
      <c r="K290" s="3">
        <v>1.0</v>
      </c>
      <c r="L290" s="3">
        <v>1.0</v>
      </c>
      <c r="M290" s="3">
        <v>1.0</v>
      </c>
      <c r="N290" s="3">
        <v>1.0</v>
      </c>
      <c r="O290" s="3">
        <v>1.0</v>
      </c>
      <c r="P290" s="3">
        <v>1.0</v>
      </c>
      <c r="Q290" s="3">
        <v>1.0</v>
      </c>
      <c r="R290" s="3">
        <v>1.0</v>
      </c>
      <c r="S290" s="3">
        <v>0.0</v>
      </c>
      <c r="T290" s="3">
        <v>1.0</v>
      </c>
      <c r="U290" s="3">
        <v>1.0</v>
      </c>
      <c r="V290" s="3">
        <v>1.0</v>
      </c>
      <c r="W290" s="3" t="s">
        <v>1123</v>
      </c>
      <c r="X290" s="3" t="s">
        <v>1413</v>
      </c>
      <c r="Y290" s="3" t="s">
        <v>1414</v>
      </c>
      <c r="Z290" s="3" t="s">
        <v>1372</v>
      </c>
      <c r="AA290" s="3" t="s">
        <v>1415</v>
      </c>
      <c r="AB290" s="3" t="s">
        <v>1374</v>
      </c>
      <c r="AC290" s="3" t="s">
        <v>1632</v>
      </c>
      <c r="AD290" s="3" t="s">
        <v>1860</v>
      </c>
      <c r="AE290" s="3" t="s">
        <v>1417</v>
      </c>
      <c r="AF290" s="3">
        <v>-0.005</v>
      </c>
      <c r="AG290" s="3">
        <v>-0.054</v>
      </c>
      <c r="AH290" s="3" t="s">
        <v>1394</v>
      </c>
      <c r="AI290" s="3" t="s">
        <v>1394</v>
      </c>
      <c r="AJ290" s="3">
        <v>-5.454</v>
      </c>
      <c r="AK290" s="3" t="s">
        <v>1861</v>
      </c>
      <c r="AL290" s="3" t="s">
        <v>1394</v>
      </c>
      <c r="AM290" s="3" t="s">
        <v>1419</v>
      </c>
    </row>
    <row r="291" ht="15.75" customHeight="1">
      <c r="A291" s="3">
        <v>1.7304E12</v>
      </c>
      <c r="B291" s="3">
        <v>14.0</v>
      </c>
      <c r="C291" s="3" t="s">
        <v>908</v>
      </c>
      <c r="D291" s="3" t="s">
        <v>1369</v>
      </c>
      <c r="E291" s="3" t="s">
        <v>908</v>
      </c>
      <c r="F291" s="3">
        <v>1.0</v>
      </c>
      <c r="G291" s="3">
        <v>1.0</v>
      </c>
      <c r="H291" s="3">
        <v>1.0</v>
      </c>
      <c r="I291" s="3">
        <v>1.0</v>
      </c>
      <c r="J291" s="3">
        <v>1.0</v>
      </c>
      <c r="K291" s="3">
        <v>1.0</v>
      </c>
      <c r="L291" s="3">
        <v>1.0</v>
      </c>
      <c r="M291" s="3">
        <v>1.0</v>
      </c>
      <c r="N291" s="3">
        <v>1.0</v>
      </c>
      <c r="O291" s="3">
        <v>1.0</v>
      </c>
      <c r="P291" s="3">
        <v>1.0</v>
      </c>
      <c r="Q291" s="3">
        <v>1.0</v>
      </c>
      <c r="R291" s="3">
        <v>0.0</v>
      </c>
      <c r="S291" s="3">
        <v>0.0</v>
      </c>
      <c r="T291" s="3">
        <v>1.0</v>
      </c>
      <c r="U291" s="3">
        <v>0.0</v>
      </c>
      <c r="V291" s="3">
        <v>1.0</v>
      </c>
      <c r="W291" s="3" t="s">
        <v>152</v>
      </c>
      <c r="X291" s="3" t="s">
        <v>1429</v>
      </c>
      <c r="Y291" s="3" t="s">
        <v>1430</v>
      </c>
      <c r="Z291" s="3" t="s">
        <v>1423</v>
      </c>
      <c r="AA291" s="3" t="s">
        <v>1432</v>
      </c>
      <c r="AB291" s="3" t="s">
        <v>1374</v>
      </c>
      <c r="AC291" s="3" t="s">
        <v>1391</v>
      </c>
      <c r="AD291" s="3" t="s">
        <v>1433</v>
      </c>
      <c r="AE291" s="3" t="s">
        <v>1434</v>
      </c>
      <c r="AF291" s="3">
        <v>0.168</v>
      </c>
      <c r="AG291" s="3">
        <v>1.191</v>
      </c>
      <c r="AH291" s="3">
        <v>0.312</v>
      </c>
      <c r="AI291" s="3">
        <v>112.003</v>
      </c>
      <c r="AJ291" s="3">
        <v>-0.877</v>
      </c>
      <c r="AK291" s="3" t="s">
        <v>1903</v>
      </c>
      <c r="AL291" s="3">
        <v>0.113</v>
      </c>
      <c r="AM291" s="3" t="s">
        <v>1436</v>
      </c>
    </row>
    <row r="292" ht="15.75" customHeight="1">
      <c r="A292" s="3">
        <v>1.73039E12</v>
      </c>
      <c r="B292" s="3">
        <v>15.0</v>
      </c>
      <c r="C292" s="3" t="s">
        <v>955</v>
      </c>
      <c r="D292" s="3" t="s">
        <v>1369</v>
      </c>
      <c r="E292" s="3" t="s">
        <v>955</v>
      </c>
      <c r="F292" s="3">
        <v>1.0</v>
      </c>
      <c r="G292" s="3">
        <v>1.0</v>
      </c>
      <c r="H292" s="3">
        <v>1.0</v>
      </c>
      <c r="I292" s="3">
        <v>1.0</v>
      </c>
      <c r="J292" s="3">
        <v>1.0</v>
      </c>
      <c r="K292" s="3">
        <v>1.0</v>
      </c>
      <c r="L292" s="3">
        <v>1.0</v>
      </c>
      <c r="M292" s="3">
        <v>1.0</v>
      </c>
      <c r="N292" s="3">
        <v>1.0</v>
      </c>
      <c r="O292" s="3">
        <v>1.0</v>
      </c>
      <c r="P292" s="3">
        <v>1.0</v>
      </c>
      <c r="Q292" s="3">
        <v>0.0</v>
      </c>
      <c r="R292" s="3">
        <v>1.0</v>
      </c>
      <c r="S292" s="3">
        <v>0.0</v>
      </c>
      <c r="T292" s="3">
        <v>1.0</v>
      </c>
      <c r="U292" s="3">
        <v>1.0</v>
      </c>
      <c r="V292" s="3">
        <v>1.0</v>
      </c>
      <c r="W292" s="3" t="s">
        <v>606</v>
      </c>
      <c r="X292" s="3" t="s">
        <v>1605</v>
      </c>
      <c r="Y292" s="3" t="s">
        <v>1772</v>
      </c>
      <c r="Z292" s="3" t="s">
        <v>1423</v>
      </c>
      <c r="AA292" s="3" t="s">
        <v>1382</v>
      </c>
      <c r="AB292" s="3" t="s">
        <v>1391</v>
      </c>
      <c r="AC292" s="3" t="s">
        <v>1374</v>
      </c>
      <c r="AD292" s="3" t="s">
        <v>1655</v>
      </c>
      <c r="AE292" s="3" t="s">
        <v>1656</v>
      </c>
      <c r="AF292" s="3">
        <v>0.065</v>
      </c>
      <c r="AG292" s="3">
        <v>1.452</v>
      </c>
      <c r="AI292" s="3">
        <v>-833.268</v>
      </c>
      <c r="AJ292" s="3">
        <v>1.995</v>
      </c>
      <c r="AK292" s="3" t="s">
        <v>1904</v>
      </c>
      <c r="AL292" s="3">
        <v>0.061</v>
      </c>
      <c r="AM292" s="3" t="s">
        <v>1608</v>
      </c>
    </row>
    <row r="293" ht="15.75" customHeight="1">
      <c r="A293" s="3">
        <v>1.73036E12</v>
      </c>
      <c r="B293" s="3">
        <v>15.0</v>
      </c>
      <c r="C293" s="3" t="s">
        <v>605</v>
      </c>
      <c r="D293" s="3" t="s">
        <v>1369</v>
      </c>
      <c r="E293" s="3" t="s">
        <v>605</v>
      </c>
      <c r="F293" s="3">
        <v>1.0</v>
      </c>
      <c r="G293" s="3">
        <v>1.0</v>
      </c>
      <c r="H293" s="3">
        <v>1.0</v>
      </c>
      <c r="I293" s="3">
        <v>1.0</v>
      </c>
      <c r="J293" s="3">
        <v>1.0</v>
      </c>
      <c r="K293" s="3">
        <v>1.0</v>
      </c>
      <c r="L293" s="3">
        <v>1.0</v>
      </c>
      <c r="M293" s="3">
        <v>1.0</v>
      </c>
      <c r="N293" s="3">
        <v>1.0</v>
      </c>
      <c r="O293" s="3">
        <v>1.0</v>
      </c>
      <c r="P293" s="3">
        <v>1.0</v>
      </c>
      <c r="Q293" s="3">
        <v>1.0</v>
      </c>
      <c r="R293" s="3">
        <v>1.0</v>
      </c>
      <c r="S293" s="3">
        <v>1.0</v>
      </c>
      <c r="T293" s="3">
        <v>0.0</v>
      </c>
      <c r="U293" s="3">
        <v>0.0</v>
      </c>
      <c r="V293" s="3">
        <v>1.0</v>
      </c>
      <c r="W293" s="3" t="s">
        <v>223</v>
      </c>
      <c r="X293" s="3" t="s">
        <v>1600</v>
      </c>
      <c r="Y293" s="3" t="s">
        <v>1601</v>
      </c>
      <c r="Z293" s="3" t="s">
        <v>1372</v>
      </c>
      <c r="AA293" s="3" t="s">
        <v>1407</v>
      </c>
      <c r="AB293" s="3" t="s">
        <v>1374</v>
      </c>
      <c r="AC293" s="3" t="s">
        <v>1400</v>
      </c>
      <c r="AD293" s="3" t="s">
        <v>1408</v>
      </c>
      <c r="AE293" s="3" t="s">
        <v>1602</v>
      </c>
      <c r="AF293" s="3">
        <v>0.032</v>
      </c>
      <c r="AG293" s="3">
        <v>0.094</v>
      </c>
      <c r="AH293" s="3">
        <v>0.173</v>
      </c>
      <c r="AI293" s="3">
        <v>10.675</v>
      </c>
      <c r="AJ293" s="3">
        <v>-0.492</v>
      </c>
      <c r="AK293" s="3" t="s">
        <v>1905</v>
      </c>
      <c r="AL293" s="3">
        <v>0.0</v>
      </c>
      <c r="AM293" s="3" t="s">
        <v>1411</v>
      </c>
    </row>
    <row r="294" ht="15.75" customHeight="1">
      <c r="A294" s="3">
        <v>1.7304E12</v>
      </c>
      <c r="B294" s="3">
        <v>11.0</v>
      </c>
      <c r="C294" s="3" t="s">
        <v>147</v>
      </c>
      <c r="D294" s="3" t="s">
        <v>1369</v>
      </c>
      <c r="E294" s="3" t="s">
        <v>147</v>
      </c>
      <c r="F294" s="3">
        <v>1.0</v>
      </c>
      <c r="G294" s="3">
        <v>1.0</v>
      </c>
      <c r="H294" s="3">
        <v>1.0</v>
      </c>
      <c r="I294" s="3">
        <v>0.0</v>
      </c>
      <c r="J294" s="3">
        <v>0.0</v>
      </c>
      <c r="K294" s="3">
        <v>1.0</v>
      </c>
      <c r="L294" s="3">
        <v>1.0</v>
      </c>
      <c r="M294" s="3">
        <v>1.0</v>
      </c>
      <c r="N294" s="3">
        <v>1.0</v>
      </c>
      <c r="O294" s="3">
        <v>1.0</v>
      </c>
      <c r="P294" s="3">
        <v>1.0</v>
      </c>
      <c r="Q294" s="3">
        <v>0.0</v>
      </c>
      <c r="R294" s="3">
        <v>0.0</v>
      </c>
      <c r="S294" s="3">
        <v>1.0</v>
      </c>
      <c r="T294" s="3">
        <v>1.0</v>
      </c>
      <c r="U294" s="3">
        <v>0.0</v>
      </c>
      <c r="V294" s="3">
        <v>0.0</v>
      </c>
      <c r="W294" s="3" t="s">
        <v>674</v>
      </c>
      <c r="X294" s="3" t="s">
        <v>1529</v>
      </c>
      <c r="Y294" s="3" t="s">
        <v>1530</v>
      </c>
      <c r="Z294" s="3" t="s">
        <v>1906</v>
      </c>
      <c r="AB294" s="3" t="s">
        <v>1374</v>
      </c>
      <c r="AC294" s="3" t="s">
        <v>1391</v>
      </c>
      <c r="AD294" s="3" t="s">
        <v>1532</v>
      </c>
      <c r="AE294" s="3" t="s">
        <v>1533</v>
      </c>
      <c r="AF294" s="3">
        <v>0.084</v>
      </c>
      <c r="AG294" s="3">
        <v>1.813</v>
      </c>
      <c r="AH294" s="3">
        <v>0.355</v>
      </c>
      <c r="AI294" s="3">
        <v>-854.548</v>
      </c>
      <c r="AJ294" s="3">
        <v>-16.603</v>
      </c>
      <c r="AK294" s="3" t="s">
        <v>1907</v>
      </c>
      <c r="AL294" s="3">
        <v>-0.268</v>
      </c>
      <c r="AM294" s="3" t="s">
        <v>1908</v>
      </c>
    </row>
    <row r="295" ht="15.75" customHeight="1">
      <c r="A295" s="3">
        <v>1.72971E12</v>
      </c>
      <c r="B295" s="3">
        <v>15.0</v>
      </c>
      <c r="C295" s="3" t="s">
        <v>781</v>
      </c>
      <c r="D295" s="3" t="s">
        <v>1369</v>
      </c>
      <c r="E295" s="3" t="s">
        <v>781</v>
      </c>
      <c r="F295" s="3">
        <v>1.0</v>
      </c>
      <c r="G295" s="3">
        <v>1.0</v>
      </c>
      <c r="H295" s="3">
        <v>1.0</v>
      </c>
      <c r="I295" s="3">
        <v>1.0</v>
      </c>
      <c r="J295" s="3">
        <v>0.0</v>
      </c>
      <c r="K295" s="3">
        <v>1.0</v>
      </c>
      <c r="L295" s="3">
        <v>1.0</v>
      </c>
      <c r="M295" s="3">
        <v>1.0</v>
      </c>
      <c r="N295" s="3">
        <v>1.0</v>
      </c>
      <c r="O295" s="3">
        <v>1.0</v>
      </c>
      <c r="P295" s="3">
        <v>1.0</v>
      </c>
      <c r="Q295" s="3">
        <v>1.0</v>
      </c>
      <c r="R295" s="3">
        <v>1.0</v>
      </c>
      <c r="S295" s="3">
        <v>0.0</v>
      </c>
      <c r="T295" s="3">
        <v>1.0</v>
      </c>
      <c r="U295" s="3">
        <v>1.0</v>
      </c>
      <c r="V295" s="3">
        <v>1.0</v>
      </c>
      <c r="W295" s="3" t="s">
        <v>327</v>
      </c>
      <c r="X295" s="3" t="s">
        <v>1476</v>
      </c>
      <c r="Y295" s="3" t="s">
        <v>1477</v>
      </c>
      <c r="Z295" s="3" t="s">
        <v>1644</v>
      </c>
      <c r="AA295" s="3" t="s">
        <v>1415</v>
      </c>
      <c r="AB295" s="3" t="s">
        <v>1727</v>
      </c>
      <c r="AC295" s="3" t="s">
        <v>1391</v>
      </c>
      <c r="AD295" s="3" t="s">
        <v>1500</v>
      </c>
      <c r="AE295" s="3" t="s">
        <v>1479</v>
      </c>
      <c r="AF295" s="3">
        <v>0.033</v>
      </c>
      <c r="AG295" s="3">
        <v>0.655</v>
      </c>
      <c r="AH295" s="3">
        <v>0.28</v>
      </c>
      <c r="AI295" s="3" t="s">
        <v>1394</v>
      </c>
      <c r="AJ295" s="3" t="s">
        <v>1394</v>
      </c>
      <c r="AK295" s="3" t="s">
        <v>1909</v>
      </c>
      <c r="AL295" s="3" t="s">
        <v>1394</v>
      </c>
      <c r="AM295" s="3" t="s">
        <v>1419</v>
      </c>
    </row>
    <row r="296" ht="15.75" customHeight="1">
      <c r="A296" s="3">
        <v>1.72994E12</v>
      </c>
      <c r="B296" s="3">
        <v>13.0</v>
      </c>
      <c r="C296" s="3" t="s">
        <v>403</v>
      </c>
      <c r="D296" s="3" t="s">
        <v>1369</v>
      </c>
      <c r="E296" s="3" t="s">
        <v>403</v>
      </c>
      <c r="F296" s="3">
        <v>1.0</v>
      </c>
      <c r="G296" s="3">
        <v>1.0</v>
      </c>
      <c r="H296" s="3">
        <v>1.0</v>
      </c>
      <c r="I296" s="3">
        <v>1.0</v>
      </c>
      <c r="J296" s="3">
        <v>1.0</v>
      </c>
      <c r="K296" s="3">
        <v>1.0</v>
      </c>
      <c r="L296" s="3">
        <v>1.0</v>
      </c>
      <c r="M296" s="3">
        <v>1.0</v>
      </c>
      <c r="N296" s="3">
        <v>1.0</v>
      </c>
      <c r="O296" s="3">
        <v>1.0</v>
      </c>
      <c r="P296" s="3">
        <v>1.0</v>
      </c>
      <c r="Q296" s="3">
        <v>0.0</v>
      </c>
      <c r="R296" s="3">
        <v>0.0</v>
      </c>
      <c r="S296" s="3">
        <v>0.0</v>
      </c>
      <c r="T296" s="3">
        <v>1.0</v>
      </c>
      <c r="U296" s="3">
        <v>0.0</v>
      </c>
      <c r="V296" s="3">
        <v>1.0</v>
      </c>
      <c r="W296" s="3" t="s">
        <v>446</v>
      </c>
      <c r="X296" s="3" t="s">
        <v>1429</v>
      </c>
      <c r="Y296" s="3" t="s">
        <v>1430</v>
      </c>
      <c r="Z296" s="3" t="s">
        <v>1423</v>
      </c>
      <c r="AA296" s="3" t="s">
        <v>1432</v>
      </c>
      <c r="AB296" s="3" t="s">
        <v>1374</v>
      </c>
      <c r="AC296" s="3" t="s">
        <v>1391</v>
      </c>
      <c r="AD296" s="3" t="s">
        <v>1433</v>
      </c>
      <c r="AE296" s="3" t="s">
        <v>1434</v>
      </c>
      <c r="AF296" s="3">
        <v>0.168</v>
      </c>
      <c r="AG296" s="3">
        <v>1.192</v>
      </c>
      <c r="AH296" s="3">
        <v>0.325</v>
      </c>
      <c r="AI296" s="3">
        <v>121.338</v>
      </c>
      <c r="AJ296" s="3">
        <v>-0.812</v>
      </c>
      <c r="AK296" s="3" t="s">
        <v>1481</v>
      </c>
      <c r="AL296" s="3">
        <v>0.118</v>
      </c>
      <c r="AM296" s="3" t="s">
        <v>1436</v>
      </c>
    </row>
    <row r="297" ht="15.75" customHeight="1">
      <c r="A297" s="3">
        <v>1.73031E12</v>
      </c>
      <c r="B297" s="3">
        <v>14.0</v>
      </c>
      <c r="C297" s="3" t="s">
        <v>182</v>
      </c>
      <c r="D297" s="3" t="s">
        <v>1369</v>
      </c>
      <c r="E297" s="3" t="s">
        <v>182</v>
      </c>
      <c r="F297" s="3">
        <v>1.0</v>
      </c>
      <c r="G297" s="3">
        <v>1.0</v>
      </c>
      <c r="H297" s="3">
        <v>1.0</v>
      </c>
      <c r="I297" s="3">
        <v>1.0</v>
      </c>
      <c r="J297" s="3">
        <v>1.0</v>
      </c>
      <c r="K297" s="3">
        <v>1.0</v>
      </c>
      <c r="L297" s="3">
        <v>1.0</v>
      </c>
      <c r="M297" s="3">
        <v>1.0</v>
      </c>
      <c r="N297" s="3">
        <v>1.0</v>
      </c>
      <c r="O297" s="3">
        <v>1.0</v>
      </c>
      <c r="P297" s="3">
        <v>1.0</v>
      </c>
      <c r="Q297" s="3">
        <v>0.0</v>
      </c>
      <c r="R297" s="3">
        <v>0.0</v>
      </c>
      <c r="S297" s="3">
        <v>1.0</v>
      </c>
      <c r="T297" s="3">
        <v>1.0</v>
      </c>
      <c r="U297" s="3">
        <v>0.0</v>
      </c>
      <c r="V297" s="3">
        <v>1.0</v>
      </c>
      <c r="W297" s="3" t="s">
        <v>879</v>
      </c>
      <c r="X297" s="3" t="s">
        <v>1542</v>
      </c>
      <c r="Y297" s="3" t="s">
        <v>1543</v>
      </c>
      <c r="Z297" s="3" t="s">
        <v>1423</v>
      </c>
      <c r="AA297" s="3" t="s">
        <v>1544</v>
      </c>
      <c r="AB297" s="3" t="s">
        <v>1374</v>
      </c>
      <c r="AC297" s="3" t="s">
        <v>1451</v>
      </c>
      <c r="AD297" s="3" t="s">
        <v>1545</v>
      </c>
      <c r="AE297" s="3" t="s">
        <v>1546</v>
      </c>
      <c r="AF297" s="3">
        <v>0.035</v>
      </c>
      <c r="AG297" s="3">
        <v>0.067</v>
      </c>
      <c r="AH297" s="3">
        <v>0.251</v>
      </c>
      <c r="AI297" s="3">
        <v>52.65</v>
      </c>
      <c r="AJ297" s="3">
        <v>-9.971</v>
      </c>
      <c r="AK297" s="3" t="s">
        <v>1604</v>
      </c>
      <c r="AL297" s="3">
        <v>0.048</v>
      </c>
      <c r="AM297" s="3" t="s">
        <v>1548</v>
      </c>
    </row>
    <row r="298" ht="15.75" customHeight="1">
      <c r="A298" s="3">
        <v>1.73031E12</v>
      </c>
      <c r="B298" s="3">
        <v>17.0</v>
      </c>
      <c r="C298" s="3" t="s">
        <v>707</v>
      </c>
      <c r="D298" s="3" t="s">
        <v>1369</v>
      </c>
      <c r="E298" s="3" t="s">
        <v>707</v>
      </c>
      <c r="F298" s="3">
        <v>1.0</v>
      </c>
      <c r="G298" s="3">
        <v>1.0</v>
      </c>
      <c r="H298" s="3">
        <v>1.0</v>
      </c>
      <c r="I298" s="3">
        <v>1.0</v>
      </c>
      <c r="J298" s="3">
        <v>1.0</v>
      </c>
      <c r="K298" s="3">
        <v>1.0</v>
      </c>
      <c r="L298" s="3">
        <v>1.0</v>
      </c>
      <c r="M298" s="3">
        <v>1.0</v>
      </c>
      <c r="N298" s="3">
        <v>1.0</v>
      </c>
      <c r="O298" s="3">
        <v>1.0</v>
      </c>
      <c r="P298" s="3">
        <v>1.0</v>
      </c>
      <c r="Q298" s="3">
        <v>1.0</v>
      </c>
      <c r="R298" s="3">
        <v>1.0</v>
      </c>
      <c r="S298" s="3">
        <v>1.0</v>
      </c>
      <c r="T298" s="3">
        <v>1.0</v>
      </c>
      <c r="U298" s="3">
        <v>1.0</v>
      </c>
      <c r="V298" s="3">
        <v>1.0</v>
      </c>
      <c r="W298" s="3" t="s">
        <v>1301</v>
      </c>
      <c r="X298" s="3" t="s">
        <v>1370</v>
      </c>
      <c r="Y298" s="3" t="s">
        <v>1371</v>
      </c>
      <c r="Z298" s="3" t="s">
        <v>1372</v>
      </c>
      <c r="AA298" s="3" t="s">
        <v>1373</v>
      </c>
      <c r="AB298" s="3" t="s">
        <v>1374</v>
      </c>
      <c r="AC298" s="3" t="s">
        <v>1374</v>
      </c>
      <c r="AD298" s="3" t="s">
        <v>1375</v>
      </c>
      <c r="AE298" s="3" t="s">
        <v>1376</v>
      </c>
      <c r="AF298" s="3">
        <v>0.55</v>
      </c>
      <c r="AG298" s="3">
        <v>2.782</v>
      </c>
      <c r="AH298" s="3" t="s">
        <v>1394</v>
      </c>
      <c r="AI298" s="3" t="s">
        <v>1394</v>
      </c>
      <c r="AJ298" s="3">
        <v>7.533</v>
      </c>
      <c r="AK298" s="3" t="s">
        <v>1377</v>
      </c>
      <c r="AL298" s="3" t="s">
        <v>1394</v>
      </c>
      <c r="AM298" s="3" t="s">
        <v>1509</v>
      </c>
    </row>
    <row r="299" ht="15.75" customHeight="1">
      <c r="A299" s="3">
        <v>1.73037E12</v>
      </c>
      <c r="B299" s="3">
        <v>17.0</v>
      </c>
      <c r="C299" s="3" t="s">
        <v>759</v>
      </c>
      <c r="D299" s="3" t="s">
        <v>1369</v>
      </c>
      <c r="E299" s="3" t="s">
        <v>759</v>
      </c>
      <c r="F299" s="3">
        <v>1.0</v>
      </c>
      <c r="G299" s="3">
        <v>1.0</v>
      </c>
      <c r="H299" s="3">
        <v>1.0</v>
      </c>
      <c r="I299" s="3">
        <v>1.0</v>
      </c>
      <c r="J299" s="3">
        <v>1.0</v>
      </c>
      <c r="K299" s="3">
        <v>1.0</v>
      </c>
      <c r="L299" s="3">
        <v>1.0</v>
      </c>
      <c r="M299" s="3">
        <v>1.0</v>
      </c>
      <c r="N299" s="3">
        <v>1.0</v>
      </c>
      <c r="O299" s="3">
        <v>1.0</v>
      </c>
      <c r="P299" s="3">
        <v>1.0</v>
      </c>
      <c r="Q299" s="3">
        <v>1.0</v>
      </c>
      <c r="R299" s="3">
        <v>1.0</v>
      </c>
      <c r="S299" s="3">
        <v>1.0</v>
      </c>
      <c r="T299" s="3">
        <v>1.0</v>
      </c>
      <c r="U299" s="3">
        <v>1.0</v>
      </c>
      <c r="V299" s="3">
        <v>1.0</v>
      </c>
      <c r="W299" s="3" t="s">
        <v>1244</v>
      </c>
      <c r="X299" s="3" t="s">
        <v>1470</v>
      </c>
      <c r="Y299" s="3" t="s">
        <v>1660</v>
      </c>
      <c r="Z299" s="3" t="s">
        <v>1372</v>
      </c>
      <c r="AA299" s="3" t="s">
        <v>1382</v>
      </c>
      <c r="AB299" s="3" t="s">
        <v>1374</v>
      </c>
      <c r="AC299" s="3" t="s">
        <v>1400</v>
      </c>
      <c r="AD299" s="3" t="s">
        <v>1472</v>
      </c>
      <c r="AE299" s="3" t="s">
        <v>1473</v>
      </c>
      <c r="AF299" s="3">
        <v>0.151</v>
      </c>
      <c r="AG299" s="3">
        <v>4.102</v>
      </c>
      <c r="AH299" s="3">
        <v>0.274</v>
      </c>
      <c r="AI299" s="3">
        <v>108.801</v>
      </c>
      <c r="AJ299" s="3">
        <v>7.974</v>
      </c>
      <c r="AK299" s="3" t="s">
        <v>1474</v>
      </c>
      <c r="AL299" s="3">
        <v>0.02</v>
      </c>
      <c r="AM299" s="3" t="s">
        <v>1661</v>
      </c>
    </row>
    <row r="300" ht="15.75" customHeight="1">
      <c r="A300" s="3">
        <v>1.73033E12</v>
      </c>
      <c r="B300" s="3">
        <v>11.0</v>
      </c>
      <c r="C300" s="3" t="s">
        <v>809</v>
      </c>
      <c r="D300" s="3" t="s">
        <v>1369</v>
      </c>
      <c r="E300" s="3" t="s">
        <v>809</v>
      </c>
      <c r="F300" s="3">
        <v>1.0</v>
      </c>
      <c r="G300" s="3">
        <v>1.0</v>
      </c>
      <c r="H300" s="3">
        <v>1.0</v>
      </c>
      <c r="I300" s="3">
        <v>0.0</v>
      </c>
      <c r="J300" s="3">
        <v>0.0</v>
      </c>
      <c r="K300" s="3">
        <v>1.0</v>
      </c>
      <c r="L300" s="3">
        <v>1.0</v>
      </c>
      <c r="M300" s="3">
        <v>1.0</v>
      </c>
      <c r="N300" s="3">
        <v>1.0</v>
      </c>
      <c r="O300" s="3">
        <v>1.0</v>
      </c>
      <c r="P300" s="3">
        <v>1.0</v>
      </c>
      <c r="Q300" s="3">
        <v>0.0</v>
      </c>
      <c r="R300" s="3">
        <v>0.0</v>
      </c>
      <c r="S300" s="3">
        <v>1.0</v>
      </c>
      <c r="T300" s="3">
        <v>0.0</v>
      </c>
      <c r="U300" s="3">
        <v>0.0</v>
      </c>
      <c r="V300" s="3">
        <v>1.0</v>
      </c>
      <c r="W300" s="3" t="s">
        <v>386</v>
      </c>
      <c r="X300" s="3" t="s">
        <v>1521</v>
      </c>
      <c r="Y300" s="3" t="s">
        <v>1522</v>
      </c>
      <c r="AA300" s="3" t="s">
        <v>1910</v>
      </c>
      <c r="AB300" s="3" t="s">
        <v>1374</v>
      </c>
      <c r="AC300" s="3" t="s">
        <v>1391</v>
      </c>
      <c r="AD300" s="3" t="s">
        <v>1911</v>
      </c>
      <c r="AE300" s="3" t="s">
        <v>1525</v>
      </c>
      <c r="AF300" s="3">
        <v>0.028</v>
      </c>
      <c r="AG300" s="3">
        <v>0.067</v>
      </c>
      <c r="AH300" s="3">
        <v>0.39</v>
      </c>
      <c r="AJ300" s="3">
        <v>1.256</v>
      </c>
      <c r="AK300" s="3" t="s">
        <v>1912</v>
      </c>
      <c r="AL300" s="3">
        <v>1.0</v>
      </c>
      <c r="AM300" s="3" t="s">
        <v>1527</v>
      </c>
    </row>
    <row r="301" ht="15.75" customHeight="1">
      <c r="A301" s="3">
        <v>1.73019E12</v>
      </c>
      <c r="B301" s="3">
        <v>16.0</v>
      </c>
      <c r="C301" s="3" t="s">
        <v>216</v>
      </c>
      <c r="D301" s="3" t="s">
        <v>1369</v>
      </c>
      <c r="E301" s="3" t="s">
        <v>216</v>
      </c>
      <c r="F301" s="3">
        <v>1.0</v>
      </c>
      <c r="G301" s="3">
        <v>1.0</v>
      </c>
      <c r="H301" s="3">
        <v>1.0</v>
      </c>
      <c r="I301" s="3">
        <v>1.0</v>
      </c>
      <c r="J301" s="3">
        <v>1.0</v>
      </c>
      <c r="K301" s="3">
        <v>1.0</v>
      </c>
      <c r="L301" s="3">
        <v>1.0</v>
      </c>
      <c r="M301" s="3">
        <v>1.0</v>
      </c>
      <c r="N301" s="3">
        <v>1.0</v>
      </c>
      <c r="O301" s="3">
        <v>1.0</v>
      </c>
      <c r="P301" s="3">
        <v>1.0</v>
      </c>
      <c r="Q301" s="3">
        <v>1.0</v>
      </c>
      <c r="R301" s="3">
        <v>1.0</v>
      </c>
      <c r="S301" s="3">
        <v>0.0</v>
      </c>
      <c r="T301" s="3">
        <v>1.0</v>
      </c>
      <c r="U301" s="3">
        <v>1.0</v>
      </c>
      <c r="V301" s="3">
        <v>1.0</v>
      </c>
      <c r="W301" s="3" t="s">
        <v>1252</v>
      </c>
      <c r="X301" s="3" t="s">
        <v>1578</v>
      </c>
      <c r="Y301" s="3" t="s">
        <v>1579</v>
      </c>
      <c r="Z301" s="3" t="s">
        <v>1449</v>
      </c>
      <c r="AA301" s="3" t="s">
        <v>1382</v>
      </c>
      <c r="AB301" s="3" t="s">
        <v>1374</v>
      </c>
      <c r="AC301" s="3" t="s">
        <v>1580</v>
      </c>
      <c r="AD301" s="3" t="s">
        <v>1581</v>
      </c>
      <c r="AE301" s="3" t="s">
        <v>1582</v>
      </c>
      <c r="AF301" s="3">
        <v>0.051</v>
      </c>
      <c r="AG301" s="3">
        <v>0.281</v>
      </c>
      <c r="AH301" s="3">
        <v>0.427</v>
      </c>
      <c r="AI301" s="3">
        <v>-79.125</v>
      </c>
      <c r="AJ301" s="3">
        <v>18.643</v>
      </c>
      <c r="AK301" s="3" t="s">
        <v>1583</v>
      </c>
      <c r="AL301" s="3">
        <v>0.133</v>
      </c>
      <c r="AM301" s="3" t="s">
        <v>1584</v>
      </c>
    </row>
    <row r="302" ht="15.75" customHeight="1">
      <c r="A302" s="3">
        <v>1.73027E12</v>
      </c>
      <c r="B302" s="3">
        <v>17.0</v>
      </c>
      <c r="C302" s="3" t="s">
        <v>343</v>
      </c>
      <c r="D302" s="3" t="s">
        <v>1369</v>
      </c>
      <c r="E302" s="3" t="s">
        <v>343</v>
      </c>
      <c r="F302" s="3">
        <v>1.0</v>
      </c>
      <c r="G302" s="3">
        <v>1.0</v>
      </c>
      <c r="H302" s="3">
        <v>1.0</v>
      </c>
      <c r="I302" s="3">
        <v>1.0</v>
      </c>
      <c r="J302" s="3">
        <v>1.0</v>
      </c>
      <c r="K302" s="3">
        <v>1.0</v>
      </c>
      <c r="L302" s="3">
        <v>1.0</v>
      </c>
      <c r="M302" s="3">
        <v>1.0</v>
      </c>
      <c r="N302" s="3">
        <v>1.0</v>
      </c>
      <c r="O302" s="3">
        <v>1.0</v>
      </c>
      <c r="P302" s="3">
        <v>1.0</v>
      </c>
      <c r="Q302" s="3">
        <v>1.0</v>
      </c>
      <c r="R302" s="3">
        <v>1.0</v>
      </c>
      <c r="S302" s="3">
        <v>1.0</v>
      </c>
      <c r="T302" s="3">
        <v>1.0</v>
      </c>
      <c r="U302" s="3">
        <v>1.0</v>
      </c>
      <c r="V302" s="3">
        <v>1.0</v>
      </c>
      <c r="W302" s="3" t="s">
        <v>1269</v>
      </c>
      <c r="X302" s="3" t="s">
        <v>1405</v>
      </c>
      <c r="Y302" s="3" t="s">
        <v>1406</v>
      </c>
      <c r="Z302" s="3" t="s">
        <v>1372</v>
      </c>
      <c r="AA302" s="3" t="s">
        <v>1407</v>
      </c>
      <c r="AB302" s="3" t="s">
        <v>1374</v>
      </c>
      <c r="AC302" s="3" t="s">
        <v>1400</v>
      </c>
      <c r="AD302" s="3" t="s">
        <v>1506</v>
      </c>
      <c r="AE302" s="3" t="s">
        <v>1409</v>
      </c>
      <c r="AF302" s="3">
        <v>-0.017</v>
      </c>
      <c r="AG302" s="3">
        <v>-0.05</v>
      </c>
      <c r="AH302" s="3">
        <v>0.162</v>
      </c>
      <c r="AI302" s="3">
        <v>-173.813</v>
      </c>
      <c r="AJ302" s="3">
        <v>11.023</v>
      </c>
      <c r="AK302" s="3" t="s">
        <v>1535</v>
      </c>
      <c r="AL302" s="3">
        <v>0.256</v>
      </c>
      <c r="AM302" s="3" t="s">
        <v>1411</v>
      </c>
    </row>
    <row r="303" ht="15.75" customHeight="1">
      <c r="A303" s="3">
        <v>1.7304E12</v>
      </c>
      <c r="B303" s="3">
        <v>0.0</v>
      </c>
      <c r="C303" s="3" t="s">
        <v>1913</v>
      </c>
      <c r="D303" s="3" t="s">
        <v>1369</v>
      </c>
      <c r="E303" s="3" t="s">
        <v>1913</v>
      </c>
      <c r="F303" s="3">
        <v>0.0</v>
      </c>
      <c r="G303" s="3">
        <v>0.0</v>
      </c>
      <c r="H303" s="3">
        <v>0.0</v>
      </c>
      <c r="I303" s="3">
        <v>0.0</v>
      </c>
      <c r="J303" s="3">
        <v>0.0</v>
      </c>
      <c r="K303" s="3">
        <v>0.0</v>
      </c>
      <c r="L303" s="3">
        <v>0.0</v>
      </c>
      <c r="M303" s="3">
        <v>0.0</v>
      </c>
      <c r="N303" s="3">
        <v>0.0</v>
      </c>
      <c r="O303" s="3">
        <v>0.0</v>
      </c>
      <c r="P303" s="3">
        <v>0.0</v>
      </c>
      <c r="Q303" s="3">
        <v>0.0</v>
      </c>
      <c r="R303" s="3">
        <v>0.0</v>
      </c>
      <c r="S303" s="3">
        <v>0.0</v>
      </c>
      <c r="T303" s="3">
        <v>0.0</v>
      </c>
      <c r="U303" s="3">
        <v>0.0</v>
      </c>
      <c r="V303" s="3">
        <v>0.0</v>
      </c>
      <c r="W303" s="3" t="s">
        <v>1914</v>
      </c>
      <c r="X303" s="3" t="s">
        <v>1634</v>
      </c>
      <c r="Y303" s="3" t="s">
        <v>1635</v>
      </c>
      <c r="Z303" s="3" t="s">
        <v>1372</v>
      </c>
      <c r="AA303" s="3" t="s">
        <v>1636</v>
      </c>
      <c r="AB303" s="3" t="s">
        <v>1374</v>
      </c>
      <c r="AC303" s="3" t="s">
        <v>1391</v>
      </c>
    </row>
    <row r="304" ht="15.75" customHeight="1">
      <c r="A304" s="3">
        <v>1.7304E12</v>
      </c>
      <c r="B304" s="3">
        <v>14.0</v>
      </c>
      <c r="C304" s="3" t="s">
        <v>1915</v>
      </c>
      <c r="D304" s="3" t="s">
        <v>1369</v>
      </c>
      <c r="E304" s="3" t="s">
        <v>1915</v>
      </c>
      <c r="F304" s="3">
        <v>1.0</v>
      </c>
      <c r="G304" s="3">
        <v>1.0</v>
      </c>
      <c r="H304" s="3">
        <v>1.0</v>
      </c>
      <c r="I304" s="3">
        <v>1.0</v>
      </c>
      <c r="J304" s="3">
        <v>0.0</v>
      </c>
      <c r="K304" s="3">
        <v>1.0</v>
      </c>
      <c r="L304" s="3">
        <v>1.0</v>
      </c>
      <c r="M304" s="3">
        <v>1.0</v>
      </c>
      <c r="N304" s="3">
        <v>1.0</v>
      </c>
      <c r="O304" s="3">
        <v>1.0</v>
      </c>
      <c r="P304" s="3">
        <v>1.0</v>
      </c>
      <c r="Q304" s="3">
        <v>1.0</v>
      </c>
      <c r="R304" s="3">
        <v>0.0</v>
      </c>
      <c r="S304" s="3">
        <v>1.0</v>
      </c>
      <c r="T304" s="3">
        <v>1.0</v>
      </c>
      <c r="U304" s="3">
        <v>0.0</v>
      </c>
      <c r="V304" s="3">
        <v>1.0</v>
      </c>
      <c r="W304" s="3" t="s">
        <v>679</v>
      </c>
      <c r="X304" s="3" t="s">
        <v>1398</v>
      </c>
      <c r="Y304" s="3" t="s">
        <v>1399</v>
      </c>
      <c r="Z304" s="3" t="s">
        <v>1372</v>
      </c>
      <c r="AA304" s="3" t="s">
        <v>1785</v>
      </c>
      <c r="AB304" s="3" t="s">
        <v>1374</v>
      </c>
      <c r="AC304" s="3" t="s">
        <v>1400</v>
      </c>
      <c r="AD304" s="3" t="s">
        <v>1401</v>
      </c>
      <c r="AE304" s="3" t="s">
        <v>1402</v>
      </c>
      <c r="AF304" s="3">
        <v>0.006</v>
      </c>
      <c r="AG304" s="3">
        <v>0.072</v>
      </c>
      <c r="AH304" s="3">
        <v>0.185</v>
      </c>
      <c r="AI304" s="3" t="s">
        <v>1394</v>
      </c>
      <c r="AJ304" s="3">
        <v>8.4</v>
      </c>
      <c r="AK304" s="3" t="s">
        <v>1916</v>
      </c>
      <c r="AL304" s="3" t="s">
        <v>1394</v>
      </c>
      <c r="AM304" s="3" t="s">
        <v>1404</v>
      </c>
    </row>
    <row r="305" ht="15.75" customHeight="1">
      <c r="A305" s="3">
        <v>1.73038E12</v>
      </c>
      <c r="B305" s="3">
        <v>11.0</v>
      </c>
      <c r="C305" s="3" t="s">
        <v>385</v>
      </c>
      <c r="D305" s="3" t="s">
        <v>1369</v>
      </c>
      <c r="E305" s="3" t="s">
        <v>385</v>
      </c>
      <c r="F305" s="3">
        <v>1.0</v>
      </c>
      <c r="G305" s="3">
        <v>1.0</v>
      </c>
      <c r="H305" s="3">
        <v>1.0</v>
      </c>
      <c r="I305" s="3">
        <v>0.0</v>
      </c>
      <c r="J305" s="3">
        <v>1.0</v>
      </c>
      <c r="K305" s="3">
        <v>1.0</v>
      </c>
      <c r="L305" s="3">
        <v>1.0</v>
      </c>
      <c r="M305" s="3">
        <v>1.0</v>
      </c>
      <c r="N305" s="3">
        <v>1.0</v>
      </c>
      <c r="O305" s="3">
        <v>0.0</v>
      </c>
      <c r="P305" s="3">
        <v>1.0</v>
      </c>
      <c r="Q305" s="3">
        <v>0.0</v>
      </c>
      <c r="R305" s="3">
        <v>0.0</v>
      </c>
      <c r="S305" s="3">
        <v>0.0</v>
      </c>
      <c r="T305" s="3">
        <v>1.0</v>
      </c>
      <c r="U305" s="3">
        <v>0.0</v>
      </c>
      <c r="V305" s="3">
        <v>1.0</v>
      </c>
      <c r="W305" s="3" t="s">
        <v>202</v>
      </c>
      <c r="X305" s="3" t="s">
        <v>1421</v>
      </c>
      <c r="Y305" s="3" t="s">
        <v>1422</v>
      </c>
      <c r="Z305" s="3" t="s">
        <v>1708</v>
      </c>
      <c r="AA305" s="3" t="s">
        <v>1424</v>
      </c>
      <c r="AB305" s="3" t="s">
        <v>1374</v>
      </c>
      <c r="AC305" s="3" t="s">
        <v>1391</v>
      </c>
      <c r="AD305" s="3" t="s">
        <v>1425</v>
      </c>
      <c r="AE305" s="3" t="s">
        <v>1426</v>
      </c>
      <c r="AF305" s="3">
        <v>0.0540388676014384</v>
      </c>
      <c r="AG305" s="3">
        <v>0.221</v>
      </c>
      <c r="AH305" s="3">
        <v>0.344</v>
      </c>
      <c r="AI305" s="3">
        <v>-27.5835317460317</v>
      </c>
      <c r="AJ305" s="3">
        <v>0.121770820049243</v>
      </c>
      <c r="AK305" s="3" t="s">
        <v>1427</v>
      </c>
      <c r="AL305" s="3">
        <v>0.184523809523809</v>
      </c>
      <c r="AM305" s="3" t="s">
        <v>1428</v>
      </c>
    </row>
    <row r="306" ht="15.75" customHeight="1">
      <c r="A306" s="3">
        <v>1.73027E12</v>
      </c>
      <c r="B306" s="3">
        <v>17.0</v>
      </c>
      <c r="C306" s="3" t="s">
        <v>94</v>
      </c>
      <c r="D306" s="3" t="s">
        <v>1369</v>
      </c>
      <c r="E306" s="3" t="s">
        <v>94</v>
      </c>
      <c r="F306" s="3">
        <v>1.0</v>
      </c>
      <c r="G306" s="3">
        <v>1.0</v>
      </c>
      <c r="H306" s="3">
        <v>1.0</v>
      </c>
      <c r="I306" s="3">
        <v>1.0</v>
      </c>
      <c r="J306" s="3">
        <v>1.0</v>
      </c>
      <c r="K306" s="3">
        <v>1.0</v>
      </c>
      <c r="L306" s="3">
        <v>1.0</v>
      </c>
      <c r="M306" s="3">
        <v>1.0</v>
      </c>
      <c r="N306" s="3">
        <v>1.0</v>
      </c>
      <c r="O306" s="3">
        <v>1.0</v>
      </c>
      <c r="P306" s="3">
        <v>1.0</v>
      </c>
      <c r="Q306" s="3">
        <v>1.0</v>
      </c>
      <c r="R306" s="3">
        <v>1.0</v>
      </c>
      <c r="S306" s="3">
        <v>1.0</v>
      </c>
      <c r="T306" s="3">
        <v>1.0</v>
      </c>
      <c r="U306" s="3">
        <v>1.0</v>
      </c>
      <c r="V306" s="3">
        <v>1.0</v>
      </c>
      <c r="W306" s="3" t="s">
        <v>1032</v>
      </c>
      <c r="X306" s="3" t="s">
        <v>1388</v>
      </c>
      <c r="Y306" s="3" t="s">
        <v>1389</v>
      </c>
      <c r="Z306" s="3" t="s">
        <v>1372</v>
      </c>
      <c r="AA306" s="3" t="s">
        <v>1390</v>
      </c>
      <c r="AB306" s="3" t="s">
        <v>1374</v>
      </c>
      <c r="AC306" s="3" t="s">
        <v>1391</v>
      </c>
      <c r="AD306" s="3" t="s">
        <v>1392</v>
      </c>
      <c r="AE306" s="3" t="s">
        <v>1393</v>
      </c>
      <c r="AF306" s="3">
        <v>0.071</v>
      </c>
      <c r="AG306" s="3">
        <v>1.03</v>
      </c>
      <c r="AH306" s="3">
        <v>0.332</v>
      </c>
      <c r="AI306" s="3">
        <v>297.494</v>
      </c>
      <c r="AJ306" s="3">
        <v>13.274</v>
      </c>
      <c r="AK306" s="3" t="s">
        <v>1917</v>
      </c>
      <c r="AL306" s="3">
        <v>0.089</v>
      </c>
      <c r="AM306" s="3" t="s">
        <v>1396</v>
      </c>
    </row>
    <row r="307" ht="15.75" customHeight="1">
      <c r="A307" s="3">
        <v>1.73027E12</v>
      </c>
      <c r="B307" s="3">
        <v>13.0</v>
      </c>
      <c r="C307" s="3" t="s">
        <v>847</v>
      </c>
      <c r="D307" s="3" t="s">
        <v>1369</v>
      </c>
      <c r="E307" s="3" t="s">
        <v>847</v>
      </c>
      <c r="F307" s="3">
        <v>1.0</v>
      </c>
      <c r="G307" s="3">
        <v>1.0</v>
      </c>
      <c r="H307" s="3">
        <v>1.0</v>
      </c>
      <c r="I307" s="3">
        <v>1.0</v>
      </c>
      <c r="J307" s="3">
        <v>1.0</v>
      </c>
      <c r="K307" s="3">
        <v>1.0</v>
      </c>
      <c r="L307" s="3">
        <v>1.0</v>
      </c>
      <c r="M307" s="3">
        <v>1.0</v>
      </c>
      <c r="N307" s="3">
        <v>1.0</v>
      </c>
      <c r="O307" s="3">
        <v>1.0</v>
      </c>
      <c r="P307" s="3">
        <v>1.0</v>
      </c>
      <c r="Q307" s="3">
        <v>0.0</v>
      </c>
      <c r="R307" s="3">
        <v>0.0</v>
      </c>
      <c r="S307" s="3">
        <v>0.0</v>
      </c>
      <c r="T307" s="3">
        <v>1.0</v>
      </c>
      <c r="U307" s="3">
        <v>0.0</v>
      </c>
      <c r="V307" s="3">
        <v>1.0</v>
      </c>
      <c r="W307" s="3" t="s">
        <v>790</v>
      </c>
      <c r="X307" s="3" t="s">
        <v>1370</v>
      </c>
      <c r="Y307" s="3" t="s">
        <v>1371</v>
      </c>
      <c r="Z307" s="3" t="s">
        <v>1372</v>
      </c>
      <c r="AA307" s="3" t="s">
        <v>1373</v>
      </c>
      <c r="AB307" s="3" t="s">
        <v>1374</v>
      </c>
      <c r="AC307" s="3" t="s">
        <v>1374</v>
      </c>
      <c r="AD307" s="3" t="s">
        <v>1375</v>
      </c>
      <c r="AE307" s="3" t="s">
        <v>1376</v>
      </c>
      <c r="AF307" s="3">
        <v>0.55</v>
      </c>
      <c r="AG307" s="3">
        <v>2.782</v>
      </c>
      <c r="AH307" s="3">
        <v>0.315</v>
      </c>
      <c r="AI307" s="3">
        <v>48.671</v>
      </c>
      <c r="AJ307" s="3">
        <v>7.528</v>
      </c>
      <c r="AK307" s="3" t="s">
        <v>1377</v>
      </c>
      <c r="AL307" s="3">
        <v>0.11</v>
      </c>
      <c r="AM307" s="3" t="s">
        <v>1509</v>
      </c>
    </row>
    <row r="308" ht="15.75" customHeight="1">
      <c r="A308" s="3">
        <v>1.73036E12</v>
      </c>
      <c r="B308" s="3">
        <v>16.0</v>
      </c>
      <c r="C308" s="3" t="s">
        <v>110</v>
      </c>
      <c r="D308" s="3" t="s">
        <v>1369</v>
      </c>
      <c r="E308" s="3" t="s">
        <v>110</v>
      </c>
      <c r="F308" s="3">
        <v>1.0</v>
      </c>
      <c r="G308" s="3">
        <v>1.0</v>
      </c>
      <c r="H308" s="3">
        <v>1.0</v>
      </c>
      <c r="I308" s="3">
        <v>1.0</v>
      </c>
      <c r="J308" s="3">
        <v>1.0</v>
      </c>
      <c r="K308" s="3">
        <v>1.0</v>
      </c>
      <c r="L308" s="3">
        <v>1.0</v>
      </c>
      <c r="M308" s="3">
        <v>1.0</v>
      </c>
      <c r="N308" s="3">
        <v>1.0</v>
      </c>
      <c r="O308" s="3">
        <v>1.0</v>
      </c>
      <c r="P308" s="3">
        <v>1.0</v>
      </c>
      <c r="Q308" s="3">
        <v>1.0</v>
      </c>
      <c r="R308" s="3">
        <v>1.0</v>
      </c>
      <c r="S308" s="3">
        <v>0.0</v>
      </c>
      <c r="T308" s="3">
        <v>1.0</v>
      </c>
      <c r="U308" s="3">
        <v>1.0</v>
      </c>
      <c r="V308" s="3">
        <v>1.0</v>
      </c>
      <c r="W308" s="3" t="s">
        <v>1059</v>
      </c>
      <c r="X308" s="3" t="s">
        <v>1388</v>
      </c>
      <c r="Y308" s="3" t="s">
        <v>1389</v>
      </c>
      <c r="Z308" s="3" t="s">
        <v>1372</v>
      </c>
      <c r="AA308" s="3" t="s">
        <v>1390</v>
      </c>
      <c r="AB308" s="3" t="s">
        <v>1374</v>
      </c>
      <c r="AC308" s="3" t="s">
        <v>1391</v>
      </c>
      <c r="AD308" s="3" t="s">
        <v>1392</v>
      </c>
      <c r="AE308" s="3" t="s">
        <v>1393</v>
      </c>
      <c r="AF308" s="3">
        <v>0.071</v>
      </c>
      <c r="AG308" s="3">
        <v>1.031</v>
      </c>
      <c r="AH308" s="3">
        <v>0.323</v>
      </c>
      <c r="AI308" s="3">
        <v>294.697</v>
      </c>
      <c r="AJ308" s="3">
        <v>1.716</v>
      </c>
      <c r="AK308" s="3" t="s">
        <v>1685</v>
      </c>
      <c r="AL308" s="3">
        <v>0.098</v>
      </c>
      <c r="AM308" s="3" t="s">
        <v>1396</v>
      </c>
    </row>
    <row r="309" ht="15.75" customHeight="1">
      <c r="A309" s="3">
        <v>1.73039E12</v>
      </c>
      <c r="B309" s="3">
        <v>17.0</v>
      </c>
      <c r="C309" s="3" t="s">
        <v>157</v>
      </c>
      <c r="D309" s="3" t="s">
        <v>1369</v>
      </c>
      <c r="E309" s="3" t="s">
        <v>157</v>
      </c>
      <c r="F309" s="3">
        <v>1.0</v>
      </c>
      <c r="G309" s="3">
        <v>1.0</v>
      </c>
      <c r="H309" s="3">
        <v>1.0</v>
      </c>
      <c r="I309" s="3">
        <v>1.0</v>
      </c>
      <c r="J309" s="3">
        <v>1.0</v>
      </c>
      <c r="K309" s="3">
        <v>1.0</v>
      </c>
      <c r="L309" s="3">
        <v>1.0</v>
      </c>
      <c r="M309" s="3">
        <v>1.0</v>
      </c>
      <c r="N309" s="3">
        <v>1.0</v>
      </c>
      <c r="O309" s="3">
        <v>1.0</v>
      </c>
      <c r="P309" s="3">
        <v>1.0</v>
      </c>
      <c r="Q309" s="3">
        <v>1.0</v>
      </c>
      <c r="R309" s="3">
        <v>1.0</v>
      </c>
      <c r="S309" s="3">
        <v>1.0</v>
      </c>
      <c r="T309" s="3">
        <v>1.0</v>
      </c>
      <c r="U309" s="3">
        <v>1.0</v>
      </c>
      <c r="V309" s="3">
        <v>1.0</v>
      </c>
      <c r="W309" s="3" t="s">
        <v>1003</v>
      </c>
      <c r="X309" s="3" t="s">
        <v>1563</v>
      </c>
      <c r="Y309" s="3" t="s">
        <v>1564</v>
      </c>
      <c r="Z309" s="3" t="s">
        <v>1372</v>
      </c>
      <c r="AA309" s="3" t="s">
        <v>1649</v>
      </c>
      <c r="AB309" s="3" t="s">
        <v>1374</v>
      </c>
      <c r="AC309" s="3" t="s">
        <v>1650</v>
      </c>
      <c r="AD309" s="3" t="s">
        <v>1566</v>
      </c>
      <c r="AE309" s="3" t="s">
        <v>1567</v>
      </c>
      <c r="AF309" s="3">
        <v>0.344</v>
      </c>
      <c r="AG309" s="3">
        <v>0.672</v>
      </c>
      <c r="AH309" s="3">
        <v>0.312</v>
      </c>
      <c r="AI309" s="3">
        <v>46.94</v>
      </c>
      <c r="AJ309" s="3">
        <v>2.465</v>
      </c>
      <c r="AK309" s="3" t="s">
        <v>1651</v>
      </c>
      <c r="AL309" s="3">
        <v>0.051</v>
      </c>
      <c r="AM309" s="3" t="s">
        <v>1569</v>
      </c>
    </row>
    <row r="310" ht="15.75" customHeight="1">
      <c r="A310" s="3">
        <v>1.73033E12</v>
      </c>
      <c r="B310" s="3">
        <v>13.0</v>
      </c>
      <c r="C310" s="3" t="s">
        <v>956</v>
      </c>
      <c r="D310" s="3" t="s">
        <v>1369</v>
      </c>
      <c r="E310" s="3" t="s">
        <v>956</v>
      </c>
      <c r="F310" s="3">
        <v>1.0</v>
      </c>
      <c r="G310" s="3">
        <v>1.0</v>
      </c>
      <c r="H310" s="3">
        <v>1.0</v>
      </c>
      <c r="I310" s="3">
        <v>1.0</v>
      </c>
      <c r="J310" s="3">
        <v>1.0</v>
      </c>
      <c r="K310" s="3">
        <v>1.0</v>
      </c>
      <c r="L310" s="3">
        <v>1.0</v>
      </c>
      <c r="M310" s="3">
        <v>1.0</v>
      </c>
      <c r="N310" s="3">
        <v>1.0</v>
      </c>
      <c r="O310" s="3">
        <v>1.0</v>
      </c>
      <c r="P310" s="3">
        <v>1.0</v>
      </c>
      <c r="Q310" s="3">
        <v>0.0</v>
      </c>
      <c r="R310" s="3">
        <v>0.0</v>
      </c>
      <c r="S310" s="3">
        <v>0.0</v>
      </c>
      <c r="T310" s="3">
        <v>1.0</v>
      </c>
      <c r="U310" s="3">
        <v>0.0</v>
      </c>
      <c r="V310" s="3">
        <v>1.0</v>
      </c>
      <c r="W310" s="3" t="s">
        <v>286</v>
      </c>
      <c r="X310" s="3" t="s">
        <v>1483</v>
      </c>
      <c r="Y310" s="3" t="s">
        <v>1484</v>
      </c>
      <c r="Z310" s="3" t="s">
        <v>1372</v>
      </c>
      <c r="AA310" s="3" t="s">
        <v>1373</v>
      </c>
      <c r="AB310" s="3" t="s">
        <v>1374</v>
      </c>
      <c r="AC310" s="3" t="s">
        <v>1374</v>
      </c>
      <c r="AD310" s="3" t="s">
        <v>1485</v>
      </c>
      <c r="AE310" s="3" t="s">
        <v>1486</v>
      </c>
      <c r="AF310" s="3">
        <v>0.019</v>
      </c>
      <c r="AG310" s="3">
        <v>0.322</v>
      </c>
      <c r="AH310" s="3">
        <v>0.402</v>
      </c>
      <c r="AI310" s="3">
        <v>46.975</v>
      </c>
      <c r="AJ310" s="3">
        <v>4.25</v>
      </c>
      <c r="AK310" s="3" t="s">
        <v>1688</v>
      </c>
      <c r="AL310" s="3">
        <v>-0.004</v>
      </c>
      <c r="AM310" s="3" t="s">
        <v>1573</v>
      </c>
    </row>
    <row r="311" ht="15.75" customHeight="1">
      <c r="A311" s="3">
        <v>1.7304E12</v>
      </c>
      <c r="B311" s="3">
        <v>16.0</v>
      </c>
      <c r="C311" s="3" t="s">
        <v>1918</v>
      </c>
      <c r="D311" s="3" t="s">
        <v>1369</v>
      </c>
      <c r="E311" s="3" t="s">
        <v>1918</v>
      </c>
      <c r="F311" s="3">
        <v>1.0</v>
      </c>
      <c r="G311" s="3">
        <v>1.0</v>
      </c>
      <c r="H311" s="3">
        <v>1.0</v>
      </c>
      <c r="I311" s="3">
        <v>1.0</v>
      </c>
      <c r="J311" s="3">
        <v>1.0</v>
      </c>
      <c r="K311" s="3">
        <v>1.0</v>
      </c>
      <c r="L311" s="3">
        <v>1.0</v>
      </c>
      <c r="M311" s="3">
        <v>1.0</v>
      </c>
      <c r="N311" s="3">
        <v>1.0</v>
      </c>
      <c r="O311" s="3">
        <v>1.0</v>
      </c>
      <c r="P311" s="3">
        <v>1.0</v>
      </c>
      <c r="Q311" s="3">
        <v>1.0</v>
      </c>
      <c r="R311" s="3">
        <v>1.0</v>
      </c>
      <c r="S311" s="3">
        <v>1.0</v>
      </c>
      <c r="T311" s="3">
        <v>1.0</v>
      </c>
      <c r="U311" s="3">
        <v>1.0</v>
      </c>
      <c r="V311" s="3">
        <v>0.0</v>
      </c>
      <c r="W311" s="3" t="s">
        <v>1010</v>
      </c>
      <c r="X311" s="3" t="s">
        <v>1529</v>
      </c>
      <c r="Y311" s="3" t="s">
        <v>1530</v>
      </c>
      <c r="Z311" s="3" t="s">
        <v>1372</v>
      </c>
      <c r="AA311" s="3" t="s">
        <v>1531</v>
      </c>
      <c r="AB311" s="3" t="s">
        <v>1374</v>
      </c>
      <c r="AC311" s="3" t="s">
        <v>1391</v>
      </c>
      <c r="AD311" s="3" t="s">
        <v>1532</v>
      </c>
      <c r="AE311" s="3" t="s">
        <v>1533</v>
      </c>
      <c r="AF311" s="3">
        <v>0.084</v>
      </c>
      <c r="AG311" s="3">
        <v>1.817</v>
      </c>
      <c r="AH311" s="3">
        <v>0.359</v>
      </c>
      <c r="AI311" s="3">
        <v>-856.897</v>
      </c>
      <c r="AJ311" s="3">
        <v>-16.974</v>
      </c>
      <c r="AK311" s="3" t="s">
        <v>1630</v>
      </c>
      <c r="AL311" s="3">
        <v>-0.047</v>
      </c>
      <c r="AM311" s="3" t="s">
        <v>1919</v>
      </c>
    </row>
    <row r="312" ht="15.75" customHeight="1">
      <c r="A312" s="3">
        <v>1.73026E12</v>
      </c>
      <c r="B312" s="3">
        <v>17.0</v>
      </c>
      <c r="C312" s="3" t="s">
        <v>675</v>
      </c>
      <c r="D312" s="3" t="s">
        <v>1369</v>
      </c>
      <c r="E312" s="3" t="s">
        <v>675</v>
      </c>
      <c r="F312" s="3">
        <v>1.0</v>
      </c>
      <c r="G312" s="3">
        <v>1.0</v>
      </c>
      <c r="H312" s="3">
        <v>1.0</v>
      </c>
      <c r="I312" s="3">
        <v>1.0</v>
      </c>
      <c r="J312" s="3">
        <v>1.0</v>
      </c>
      <c r="K312" s="3">
        <v>1.0</v>
      </c>
      <c r="L312" s="3">
        <v>1.0</v>
      </c>
      <c r="M312" s="3">
        <v>1.0</v>
      </c>
      <c r="N312" s="3">
        <v>1.0</v>
      </c>
      <c r="O312" s="3">
        <v>1.0</v>
      </c>
      <c r="P312" s="3">
        <v>1.0</v>
      </c>
      <c r="Q312" s="3">
        <v>1.0</v>
      </c>
      <c r="R312" s="3">
        <v>1.0</v>
      </c>
      <c r="S312" s="3">
        <v>1.0</v>
      </c>
      <c r="T312" s="3">
        <v>1.0</v>
      </c>
      <c r="U312" s="3">
        <v>1.0</v>
      </c>
      <c r="V312" s="3">
        <v>1.0</v>
      </c>
      <c r="W312" s="3" t="s">
        <v>1031</v>
      </c>
      <c r="X312" s="3" t="s">
        <v>1438</v>
      </c>
      <c r="Y312" s="3" t="s">
        <v>1439</v>
      </c>
      <c r="Z312" s="3" t="s">
        <v>1449</v>
      </c>
      <c r="AA312" s="3" t="s">
        <v>1553</v>
      </c>
      <c r="AB312" s="3" t="s">
        <v>1374</v>
      </c>
      <c r="AC312" s="3" t="s">
        <v>1391</v>
      </c>
      <c r="AD312" s="3" t="s">
        <v>1554</v>
      </c>
      <c r="AE312" s="3" t="s">
        <v>1444</v>
      </c>
      <c r="AF312" s="3">
        <v>0.085</v>
      </c>
      <c r="AG312" s="3">
        <v>0.302</v>
      </c>
      <c r="AH312" s="3">
        <v>0.221</v>
      </c>
      <c r="AI312" s="3">
        <v>238.345</v>
      </c>
      <c r="AJ312" s="3">
        <v>-1.701</v>
      </c>
      <c r="AK312" s="3" t="s">
        <v>1555</v>
      </c>
      <c r="AL312" s="3">
        <v>0.26</v>
      </c>
      <c r="AM312" s="3" t="s">
        <v>1446</v>
      </c>
    </row>
    <row r="313" ht="15.75" customHeight="1">
      <c r="A313" s="3">
        <v>1.73039E12</v>
      </c>
      <c r="B313" s="3">
        <v>17.0</v>
      </c>
      <c r="C313" s="3" t="s">
        <v>565</v>
      </c>
      <c r="D313" s="3" t="s">
        <v>1369</v>
      </c>
      <c r="E313" s="3" t="s">
        <v>565</v>
      </c>
      <c r="F313" s="3">
        <v>1.0</v>
      </c>
      <c r="G313" s="3">
        <v>1.0</v>
      </c>
      <c r="H313" s="3">
        <v>1.0</v>
      </c>
      <c r="I313" s="3">
        <v>1.0</v>
      </c>
      <c r="J313" s="3">
        <v>1.0</v>
      </c>
      <c r="K313" s="3">
        <v>1.0</v>
      </c>
      <c r="L313" s="3">
        <v>1.0</v>
      </c>
      <c r="M313" s="3">
        <v>1.0</v>
      </c>
      <c r="N313" s="3">
        <v>1.0</v>
      </c>
      <c r="O313" s="3">
        <v>1.0</v>
      </c>
      <c r="P313" s="3">
        <v>1.0</v>
      </c>
      <c r="Q313" s="3">
        <v>1.0</v>
      </c>
      <c r="R313" s="3">
        <v>1.0</v>
      </c>
      <c r="S313" s="3">
        <v>1.0</v>
      </c>
      <c r="T313" s="3">
        <v>1.0</v>
      </c>
      <c r="U313" s="3">
        <v>1.0</v>
      </c>
      <c r="V313" s="3">
        <v>1.0</v>
      </c>
      <c r="W313" s="3" t="s">
        <v>1241</v>
      </c>
      <c r="X313" s="3" t="s">
        <v>1605</v>
      </c>
      <c r="Y313" s="3" t="s">
        <v>1654</v>
      </c>
      <c r="Z313" s="3" t="s">
        <v>1423</v>
      </c>
      <c r="AA313" s="3" t="s">
        <v>1382</v>
      </c>
      <c r="AB313" s="3" t="s">
        <v>1391</v>
      </c>
      <c r="AC313" s="3" t="s">
        <v>1374</v>
      </c>
      <c r="AD313" s="3" t="s">
        <v>1655</v>
      </c>
      <c r="AE313" s="3" t="s">
        <v>1656</v>
      </c>
      <c r="AF313" s="3">
        <v>0.066</v>
      </c>
      <c r="AG313" s="3">
        <v>1.473</v>
      </c>
      <c r="AH313" s="3">
        <v>0.332</v>
      </c>
      <c r="AI313" s="3">
        <v>-834.073</v>
      </c>
      <c r="AJ313" s="3">
        <v>40.505</v>
      </c>
      <c r="AK313" s="3" t="s">
        <v>1672</v>
      </c>
      <c r="AL313" s="3">
        <v>0.066</v>
      </c>
      <c r="AM313" s="3" t="s">
        <v>1608</v>
      </c>
    </row>
    <row r="314" ht="15.75" customHeight="1">
      <c r="A314" s="3">
        <v>1.73037E12</v>
      </c>
      <c r="B314" s="3">
        <v>10.0</v>
      </c>
      <c r="C314" s="3" t="s">
        <v>323</v>
      </c>
      <c r="D314" s="3" t="s">
        <v>1369</v>
      </c>
      <c r="E314" s="3" t="s">
        <v>323</v>
      </c>
      <c r="F314" s="3">
        <v>1.0</v>
      </c>
      <c r="G314" s="3">
        <v>1.0</v>
      </c>
      <c r="H314" s="3">
        <v>1.0</v>
      </c>
      <c r="I314" s="3">
        <v>1.0</v>
      </c>
      <c r="J314" s="3">
        <v>1.0</v>
      </c>
      <c r="K314" s="3">
        <v>1.0</v>
      </c>
      <c r="L314" s="3">
        <v>1.0</v>
      </c>
      <c r="M314" s="3">
        <v>0.0</v>
      </c>
      <c r="N314" s="3">
        <v>1.0</v>
      </c>
      <c r="O314" s="3">
        <v>1.0</v>
      </c>
      <c r="P314" s="3">
        <v>1.0</v>
      </c>
      <c r="Q314" s="3">
        <v>0.0</v>
      </c>
      <c r="R314" s="3">
        <v>0.0</v>
      </c>
      <c r="S314" s="3">
        <v>0.0</v>
      </c>
      <c r="T314" s="3">
        <v>0.0</v>
      </c>
      <c r="U314" s="3">
        <v>0.0</v>
      </c>
      <c r="V314" s="3">
        <v>0.0</v>
      </c>
      <c r="W314" s="3" t="s">
        <v>179</v>
      </c>
      <c r="X314" s="3" t="s">
        <v>1521</v>
      </c>
      <c r="Y314" s="3" t="s">
        <v>1522</v>
      </c>
      <c r="Z314" s="3" t="s">
        <v>1449</v>
      </c>
      <c r="AA314" s="3" t="s">
        <v>1523</v>
      </c>
      <c r="AB314" s="3" t="s">
        <v>1374</v>
      </c>
      <c r="AC314" s="3" t="s">
        <v>1391</v>
      </c>
      <c r="AE314" s="3" t="s">
        <v>1525</v>
      </c>
      <c r="AF314" s="3">
        <v>0.028</v>
      </c>
      <c r="AG314" s="3">
        <v>0.067</v>
      </c>
      <c r="AH314" s="3">
        <v>0.398</v>
      </c>
      <c r="AI314" s="3">
        <v>1246.793</v>
      </c>
    </row>
    <row r="315" ht="15.75" customHeight="1">
      <c r="A315" s="3">
        <v>1.73039E12</v>
      </c>
      <c r="B315" s="3">
        <v>17.0</v>
      </c>
      <c r="C315" s="3" t="s">
        <v>720</v>
      </c>
      <c r="D315" s="3" t="s">
        <v>1369</v>
      </c>
      <c r="E315" s="3" t="s">
        <v>720</v>
      </c>
      <c r="F315" s="3">
        <v>1.0</v>
      </c>
      <c r="G315" s="3">
        <v>1.0</v>
      </c>
      <c r="H315" s="3">
        <v>1.0</v>
      </c>
      <c r="I315" s="3">
        <v>1.0</v>
      </c>
      <c r="J315" s="3">
        <v>1.0</v>
      </c>
      <c r="K315" s="3">
        <v>1.0</v>
      </c>
      <c r="L315" s="3">
        <v>1.0</v>
      </c>
      <c r="M315" s="3">
        <v>1.0</v>
      </c>
      <c r="N315" s="3">
        <v>1.0</v>
      </c>
      <c r="O315" s="3">
        <v>1.0</v>
      </c>
      <c r="P315" s="3">
        <v>1.0</v>
      </c>
      <c r="Q315" s="3">
        <v>1.0</v>
      </c>
      <c r="R315" s="3">
        <v>1.0</v>
      </c>
      <c r="S315" s="3">
        <v>1.0</v>
      </c>
      <c r="T315" s="3">
        <v>1.0</v>
      </c>
      <c r="U315" s="3">
        <v>1.0</v>
      </c>
      <c r="V315" s="3">
        <v>1.0</v>
      </c>
      <c r="W315" s="3" t="s">
        <v>841</v>
      </c>
      <c r="X315" s="3" t="s">
        <v>1398</v>
      </c>
      <c r="Y315" s="3" t="s">
        <v>1399</v>
      </c>
      <c r="Z315" s="3" t="s">
        <v>1372</v>
      </c>
      <c r="AA315" s="3" t="s">
        <v>1373</v>
      </c>
      <c r="AB315" s="3" t="s">
        <v>1374</v>
      </c>
      <c r="AC315" s="3" t="s">
        <v>1400</v>
      </c>
      <c r="AD315" s="3" t="s">
        <v>1401</v>
      </c>
      <c r="AE315" s="3" t="s">
        <v>1402</v>
      </c>
      <c r="AF315" s="3">
        <v>0.006</v>
      </c>
      <c r="AG315" s="3">
        <v>0.069</v>
      </c>
      <c r="AH315" s="3" t="s">
        <v>1394</v>
      </c>
      <c r="AI315" s="3" t="s">
        <v>1394</v>
      </c>
      <c r="AJ315" s="3">
        <v>8.59</v>
      </c>
      <c r="AK315" s="3" t="s">
        <v>1802</v>
      </c>
      <c r="AL315" s="3" t="s">
        <v>1394</v>
      </c>
      <c r="AM315" s="3" t="s">
        <v>1404</v>
      </c>
    </row>
    <row r="316" ht="15.75" customHeight="1">
      <c r="A316" s="3">
        <v>1.7304E12</v>
      </c>
      <c r="B316" s="3">
        <v>16.0</v>
      </c>
      <c r="C316" s="3" t="s">
        <v>358</v>
      </c>
      <c r="D316" s="3" t="s">
        <v>1369</v>
      </c>
      <c r="E316" s="3" t="s">
        <v>358</v>
      </c>
      <c r="F316" s="3">
        <v>1.0</v>
      </c>
      <c r="G316" s="3">
        <v>1.0</v>
      </c>
      <c r="H316" s="3">
        <v>1.0</v>
      </c>
      <c r="I316" s="3">
        <v>1.0</v>
      </c>
      <c r="J316" s="3">
        <v>1.0</v>
      </c>
      <c r="K316" s="3">
        <v>1.0</v>
      </c>
      <c r="L316" s="3">
        <v>1.0</v>
      </c>
      <c r="M316" s="3">
        <v>1.0</v>
      </c>
      <c r="N316" s="3">
        <v>1.0</v>
      </c>
      <c r="O316" s="3">
        <v>1.0</v>
      </c>
      <c r="P316" s="3">
        <v>1.0</v>
      </c>
      <c r="Q316" s="3">
        <v>1.0</v>
      </c>
      <c r="R316" s="3">
        <v>1.0</v>
      </c>
      <c r="S316" s="3">
        <v>1.0</v>
      </c>
      <c r="T316" s="3">
        <v>1.0</v>
      </c>
      <c r="U316" s="3">
        <v>1.0</v>
      </c>
      <c r="V316" s="3">
        <v>0.0</v>
      </c>
      <c r="W316" s="3" t="s">
        <v>1007</v>
      </c>
      <c r="X316" s="3" t="s">
        <v>1470</v>
      </c>
      <c r="Y316" s="3" t="s">
        <v>1660</v>
      </c>
      <c r="Z316" s="3" t="s">
        <v>1372</v>
      </c>
      <c r="AA316" s="3" t="s">
        <v>1382</v>
      </c>
      <c r="AB316" s="3" t="s">
        <v>1374</v>
      </c>
      <c r="AC316" s="3" t="s">
        <v>1400</v>
      </c>
      <c r="AD316" s="3" t="s">
        <v>1472</v>
      </c>
      <c r="AE316" s="3" t="s">
        <v>1473</v>
      </c>
      <c r="AF316" s="3">
        <v>0.151</v>
      </c>
      <c r="AG316" s="3">
        <v>4.103</v>
      </c>
      <c r="AH316" s="3">
        <v>0.274</v>
      </c>
      <c r="AI316" s="3">
        <v>109.015</v>
      </c>
      <c r="AJ316" s="3">
        <v>7.795</v>
      </c>
      <c r="AK316" s="3" t="s">
        <v>1474</v>
      </c>
      <c r="AL316" s="3">
        <v>0.022</v>
      </c>
      <c r="AM316" s="3" t="s">
        <v>1461</v>
      </c>
    </row>
    <row r="317" ht="15.75" customHeight="1">
      <c r="A317" s="3">
        <v>1.73038E12</v>
      </c>
      <c r="B317" s="3">
        <v>16.0</v>
      </c>
      <c r="C317" s="3" t="s">
        <v>90</v>
      </c>
      <c r="D317" s="3" t="s">
        <v>1369</v>
      </c>
      <c r="E317" s="3" t="s">
        <v>90</v>
      </c>
      <c r="F317" s="3">
        <v>1.0</v>
      </c>
      <c r="G317" s="3">
        <v>1.0</v>
      </c>
      <c r="H317" s="3">
        <v>1.0</v>
      </c>
      <c r="I317" s="3">
        <v>0.0</v>
      </c>
      <c r="J317" s="3">
        <v>1.0</v>
      </c>
      <c r="K317" s="3">
        <v>1.0</v>
      </c>
      <c r="L317" s="3">
        <v>1.0</v>
      </c>
      <c r="M317" s="3">
        <v>1.0</v>
      </c>
      <c r="N317" s="3">
        <v>1.0</v>
      </c>
      <c r="O317" s="3">
        <v>1.0</v>
      </c>
      <c r="P317" s="3">
        <v>1.0</v>
      </c>
      <c r="Q317" s="3">
        <v>1.0</v>
      </c>
      <c r="R317" s="3">
        <v>1.0</v>
      </c>
      <c r="S317" s="3">
        <v>1.0</v>
      </c>
      <c r="T317" s="3">
        <v>1.0</v>
      </c>
      <c r="U317" s="3">
        <v>1.0</v>
      </c>
      <c r="V317" s="3">
        <v>1.0</v>
      </c>
      <c r="W317" s="3" t="s">
        <v>1122</v>
      </c>
      <c r="X317" s="3" t="s">
        <v>1413</v>
      </c>
      <c r="Y317" s="3" t="s">
        <v>1414</v>
      </c>
      <c r="Z317" s="3" t="s">
        <v>1449</v>
      </c>
      <c r="AA317" s="3" t="s">
        <v>1415</v>
      </c>
      <c r="AB317" s="3" t="s">
        <v>1374</v>
      </c>
      <c r="AC317" s="3" t="s">
        <v>1632</v>
      </c>
      <c r="AD317" s="3" t="s">
        <v>1416</v>
      </c>
      <c r="AE317" s="3" t="s">
        <v>1417</v>
      </c>
      <c r="AF317" s="3">
        <v>-0.005</v>
      </c>
      <c r="AG317" s="3">
        <v>-0.056</v>
      </c>
      <c r="AH317" s="3" t="s">
        <v>1394</v>
      </c>
      <c r="AI317" s="3" t="s">
        <v>1394</v>
      </c>
      <c r="AJ317" s="3">
        <v>-42.332</v>
      </c>
      <c r="AK317" s="3" t="s">
        <v>1598</v>
      </c>
      <c r="AL317" s="3" t="s">
        <v>1394</v>
      </c>
      <c r="AM317" s="3" t="s">
        <v>1419</v>
      </c>
    </row>
    <row r="318" ht="15.75" customHeight="1">
      <c r="A318" s="3">
        <v>1.7304E12</v>
      </c>
      <c r="B318" s="3">
        <v>14.0</v>
      </c>
      <c r="C318" s="3" t="s">
        <v>818</v>
      </c>
      <c r="D318" s="3" t="s">
        <v>1369</v>
      </c>
      <c r="E318" s="3" t="s">
        <v>818</v>
      </c>
      <c r="F318" s="3">
        <v>1.0</v>
      </c>
      <c r="G318" s="3">
        <v>1.0</v>
      </c>
      <c r="H318" s="3">
        <v>1.0</v>
      </c>
      <c r="I318" s="3">
        <v>1.0</v>
      </c>
      <c r="J318" s="3">
        <v>1.0</v>
      </c>
      <c r="K318" s="3">
        <v>1.0</v>
      </c>
      <c r="L318" s="3">
        <v>1.0</v>
      </c>
      <c r="M318" s="3">
        <v>1.0</v>
      </c>
      <c r="N318" s="3">
        <v>1.0</v>
      </c>
      <c r="O318" s="3">
        <v>1.0</v>
      </c>
      <c r="P318" s="3">
        <v>1.0</v>
      </c>
      <c r="Q318" s="3">
        <v>0.0</v>
      </c>
      <c r="R318" s="3">
        <v>0.0</v>
      </c>
      <c r="S318" s="3">
        <v>1.0</v>
      </c>
      <c r="T318" s="3">
        <v>1.0</v>
      </c>
      <c r="U318" s="3">
        <v>0.0</v>
      </c>
      <c r="V318" s="3">
        <v>1.0</v>
      </c>
      <c r="W318" s="3" t="s">
        <v>140</v>
      </c>
      <c r="X318" s="3" t="s">
        <v>1605</v>
      </c>
      <c r="Y318" s="3" t="s">
        <v>1654</v>
      </c>
      <c r="Z318" s="3" t="s">
        <v>1423</v>
      </c>
      <c r="AA318" s="3" t="s">
        <v>1382</v>
      </c>
      <c r="AB318" s="3" t="s">
        <v>1391</v>
      </c>
      <c r="AC318" s="3" t="s">
        <v>1374</v>
      </c>
      <c r="AD318" s="3" t="s">
        <v>1655</v>
      </c>
      <c r="AE318" s="3" t="s">
        <v>1656</v>
      </c>
      <c r="AF318" s="3">
        <v>0.066</v>
      </c>
      <c r="AG318" s="3">
        <v>1.473</v>
      </c>
      <c r="AH318" s="3">
        <v>0.333</v>
      </c>
      <c r="AI318" s="3">
        <v>-834.073</v>
      </c>
      <c r="AJ318" s="3">
        <v>40.558</v>
      </c>
      <c r="AK318" s="3" t="s">
        <v>1672</v>
      </c>
      <c r="AL318" s="3">
        <v>0.066</v>
      </c>
      <c r="AM318" s="3" t="s">
        <v>1608</v>
      </c>
    </row>
    <row r="319" ht="15.75" customHeight="1">
      <c r="A319" s="3">
        <v>1.73039E12</v>
      </c>
      <c r="B319" s="3">
        <v>15.0</v>
      </c>
      <c r="C319" s="3" t="s">
        <v>326</v>
      </c>
      <c r="D319" s="3" t="s">
        <v>1369</v>
      </c>
      <c r="E319" s="3" t="s">
        <v>326</v>
      </c>
      <c r="F319" s="3">
        <v>1.0</v>
      </c>
      <c r="G319" s="3">
        <v>1.0</v>
      </c>
      <c r="H319" s="3">
        <v>1.0</v>
      </c>
      <c r="I319" s="3">
        <v>1.0</v>
      </c>
      <c r="J319" s="3">
        <v>1.0</v>
      </c>
      <c r="K319" s="3">
        <v>1.0</v>
      </c>
      <c r="L319" s="3">
        <v>1.0</v>
      </c>
      <c r="M319" s="3">
        <v>1.0</v>
      </c>
      <c r="N319" s="3">
        <v>1.0</v>
      </c>
      <c r="O319" s="3">
        <v>1.0</v>
      </c>
      <c r="P319" s="3">
        <v>1.0</v>
      </c>
      <c r="Q319" s="3">
        <v>1.0</v>
      </c>
      <c r="R319" s="3">
        <v>1.0</v>
      </c>
      <c r="S319" s="3">
        <v>0.0</v>
      </c>
      <c r="T319" s="3">
        <v>0.0</v>
      </c>
      <c r="U319" s="3">
        <v>1.0</v>
      </c>
      <c r="V319" s="3">
        <v>1.0</v>
      </c>
      <c r="W319" s="3" t="s">
        <v>296</v>
      </c>
      <c r="X319" s="3" t="s">
        <v>1600</v>
      </c>
      <c r="Y319" s="3" t="s">
        <v>1601</v>
      </c>
      <c r="Z319" s="3" t="s">
        <v>1372</v>
      </c>
      <c r="AA319" s="3" t="s">
        <v>1407</v>
      </c>
      <c r="AB319" s="3" t="s">
        <v>1374</v>
      </c>
      <c r="AC319" s="3" t="s">
        <v>1400</v>
      </c>
      <c r="AD319" s="3" t="s">
        <v>1408</v>
      </c>
      <c r="AE319" s="3" t="s">
        <v>1602</v>
      </c>
      <c r="AF319" s="3">
        <v>0.035</v>
      </c>
      <c r="AG319" s="3">
        <v>0.101</v>
      </c>
      <c r="AH319" s="3">
        <v>0.161</v>
      </c>
      <c r="AI319" s="3">
        <v>9.139</v>
      </c>
      <c r="AJ319" s="3">
        <v>-0.0986</v>
      </c>
      <c r="AK319" s="3" t="s">
        <v>1920</v>
      </c>
      <c r="AL319" s="3">
        <v>0.218</v>
      </c>
      <c r="AM319" s="3" t="s">
        <v>1411</v>
      </c>
    </row>
    <row r="320" ht="15.75" customHeight="1">
      <c r="A320" s="3">
        <v>1.73031E12</v>
      </c>
      <c r="B320" s="3">
        <v>17.0</v>
      </c>
      <c r="C320" s="3" t="s">
        <v>830</v>
      </c>
      <c r="D320" s="3" t="s">
        <v>1369</v>
      </c>
      <c r="E320" s="3" t="s">
        <v>830</v>
      </c>
      <c r="F320" s="3">
        <v>1.0</v>
      </c>
      <c r="G320" s="3">
        <v>1.0</v>
      </c>
      <c r="H320" s="3">
        <v>1.0</v>
      </c>
      <c r="I320" s="3">
        <v>1.0</v>
      </c>
      <c r="J320" s="3">
        <v>1.0</v>
      </c>
      <c r="K320" s="3">
        <v>1.0</v>
      </c>
      <c r="L320" s="3">
        <v>1.0</v>
      </c>
      <c r="M320" s="3">
        <v>1.0</v>
      </c>
      <c r="N320" s="3">
        <v>1.0</v>
      </c>
      <c r="O320" s="3">
        <v>1.0</v>
      </c>
      <c r="P320" s="3">
        <v>1.0</v>
      </c>
      <c r="Q320" s="3">
        <v>1.0</v>
      </c>
      <c r="R320" s="3">
        <v>1.0</v>
      </c>
      <c r="S320" s="3">
        <v>1.0</v>
      </c>
      <c r="T320" s="3">
        <v>1.0</v>
      </c>
      <c r="U320" s="3">
        <v>1.0</v>
      </c>
      <c r="V320" s="3">
        <v>1.0</v>
      </c>
      <c r="W320" s="3" t="s">
        <v>1255</v>
      </c>
      <c r="X320" s="3" t="s">
        <v>1483</v>
      </c>
      <c r="Y320" s="3" t="s">
        <v>1484</v>
      </c>
      <c r="Z320" s="3" t="s">
        <v>1449</v>
      </c>
      <c r="AA320" s="3" t="s">
        <v>1373</v>
      </c>
      <c r="AB320" s="3" t="s">
        <v>1374</v>
      </c>
      <c r="AC320" s="3" t="s">
        <v>1391</v>
      </c>
      <c r="AD320" s="3" t="s">
        <v>1485</v>
      </c>
      <c r="AE320" s="3" t="s">
        <v>1486</v>
      </c>
      <c r="AF320" s="3">
        <v>0.015</v>
      </c>
      <c r="AG320" s="3">
        <v>0.254</v>
      </c>
      <c r="AH320" s="3">
        <v>0.403</v>
      </c>
      <c r="AI320" s="3">
        <v>48.685</v>
      </c>
      <c r="AJ320" s="3">
        <v>28.701</v>
      </c>
      <c r="AK320" s="3" t="s">
        <v>1487</v>
      </c>
      <c r="AL320" s="3">
        <v>-0.008</v>
      </c>
      <c r="AM320" s="3" t="s">
        <v>1573</v>
      </c>
    </row>
    <row r="321" ht="15.75" customHeight="1">
      <c r="A321" s="3">
        <v>1.73039E12</v>
      </c>
      <c r="B321" s="3">
        <v>14.0</v>
      </c>
      <c r="C321" s="3" t="s">
        <v>943</v>
      </c>
      <c r="D321" s="3" t="s">
        <v>1369</v>
      </c>
      <c r="E321" s="3" t="s">
        <v>943</v>
      </c>
      <c r="F321" s="3">
        <v>1.0</v>
      </c>
      <c r="G321" s="3">
        <v>1.0</v>
      </c>
      <c r="H321" s="3">
        <v>1.0</v>
      </c>
      <c r="I321" s="3">
        <v>1.0</v>
      </c>
      <c r="J321" s="3">
        <v>1.0</v>
      </c>
      <c r="K321" s="3">
        <v>1.0</v>
      </c>
      <c r="L321" s="3">
        <v>1.0</v>
      </c>
      <c r="M321" s="3">
        <v>1.0</v>
      </c>
      <c r="N321" s="3">
        <v>1.0</v>
      </c>
      <c r="O321" s="3">
        <v>1.0</v>
      </c>
      <c r="P321" s="3">
        <v>1.0</v>
      </c>
      <c r="Q321" s="3">
        <v>0.0</v>
      </c>
      <c r="R321" s="3">
        <v>0.0</v>
      </c>
      <c r="S321" s="3">
        <v>1.0</v>
      </c>
      <c r="T321" s="3">
        <v>1.0</v>
      </c>
      <c r="U321" s="3">
        <v>0.0</v>
      </c>
      <c r="V321" s="3">
        <v>1.0</v>
      </c>
      <c r="W321" s="3" t="s">
        <v>205</v>
      </c>
      <c r="X321" s="3" t="s">
        <v>1405</v>
      </c>
      <c r="Y321" s="3" t="s">
        <v>1406</v>
      </c>
      <c r="Z321" s="3" t="s">
        <v>1372</v>
      </c>
      <c r="AA321" s="3" t="s">
        <v>1407</v>
      </c>
      <c r="AB321" s="3" t="s">
        <v>1374</v>
      </c>
      <c r="AC321" s="3" t="s">
        <v>1400</v>
      </c>
      <c r="AD321" s="3" t="s">
        <v>1506</v>
      </c>
      <c r="AE321" s="3" t="s">
        <v>1409</v>
      </c>
      <c r="AF321" s="3">
        <v>-0.017</v>
      </c>
      <c r="AG321" s="3">
        <v>-0.048</v>
      </c>
      <c r="AH321" s="3">
        <v>0.16</v>
      </c>
      <c r="AI321" s="3">
        <v>-175.031</v>
      </c>
      <c r="AJ321" s="3">
        <v>11.886</v>
      </c>
      <c r="AK321" s="3" t="s">
        <v>1535</v>
      </c>
      <c r="AL321" s="3">
        <v>0.254</v>
      </c>
      <c r="AM321" s="3" t="s">
        <v>1411</v>
      </c>
    </row>
    <row r="322" ht="15.75" customHeight="1">
      <c r="A322" s="3">
        <v>1.73027E12</v>
      </c>
      <c r="B322" s="3">
        <v>17.0</v>
      </c>
      <c r="C322" s="3" t="s">
        <v>380</v>
      </c>
      <c r="D322" s="3" t="s">
        <v>1369</v>
      </c>
      <c r="E322" s="3" t="s">
        <v>380</v>
      </c>
      <c r="F322" s="3">
        <v>1.0</v>
      </c>
      <c r="G322" s="3">
        <v>1.0</v>
      </c>
      <c r="H322" s="3">
        <v>1.0</v>
      </c>
      <c r="I322" s="3">
        <v>1.0</v>
      </c>
      <c r="J322" s="3">
        <v>1.0</v>
      </c>
      <c r="K322" s="3">
        <v>1.0</v>
      </c>
      <c r="L322" s="3">
        <v>1.0</v>
      </c>
      <c r="M322" s="3">
        <v>1.0</v>
      </c>
      <c r="N322" s="3">
        <v>1.0</v>
      </c>
      <c r="O322" s="3">
        <v>1.0</v>
      </c>
      <c r="P322" s="3">
        <v>1.0</v>
      </c>
      <c r="Q322" s="3">
        <v>1.0</v>
      </c>
      <c r="R322" s="3">
        <v>1.0</v>
      </c>
      <c r="S322" s="3">
        <v>1.0</v>
      </c>
      <c r="T322" s="3">
        <v>1.0</v>
      </c>
      <c r="U322" s="3">
        <v>1.0</v>
      </c>
      <c r="V322" s="3">
        <v>1.0</v>
      </c>
      <c r="W322" s="3" t="s">
        <v>1296</v>
      </c>
      <c r="X322" s="3" t="s">
        <v>1379</v>
      </c>
      <c r="Y322" s="3" t="s">
        <v>1380</v>
      </c>
      <c r="Z322" s="3" t="s">
        <v>1372</v>
      </c>
      <c r="AA322" s="3" t="s">
        <v>1382</v>
      </c>
      <c r="AB322" s="3" t="s">
        <v>1374</v>
      </c>
      <c r="AC322" s="3" t="s">
        <v>1400</v>
      </c>
      <c r="AD322" s="3" t="s">
        <v>1425</v>
      </c>
      <c r="AE322" s="3" t="s">
        <v>1385</v>
      </c>
      <c r="AF322" s="3">
        <v>0.192</v>
      </c>
      <c r="AG322" s="3">
        <v>2.356</v>
      </c>
      <c r="AH322" s="3" t="s">
        <v>1394</v>
      </c>
      <c r="AI322" s="3" t="s">
        <v>1394</v>
      </c>
      <c r="AJ322" s="3">
        <v>-0.126</v>
      </c>
      <c r="AK322" s="3" t="s">
        <v>1857</v>
      </c>
      <c r="AL322" s="3" t="s">
        <v>1394</v>
      </c>
      <c r="AM322" s="3" t="s">
        <v>1411</v>
      </c>
    </row>
    <row r="323" ht="15.75" customHeight="1">
      <c r="A323" s="3">
        <v>1.7304E12</v>
      </c>
      <c r="B323" s="3">
        <v>13.0</v>
      </c>
      <c r="C323" s="3" t="s">
        <v>612</v>
      </c>
      <c r="D323" s="3" t="s">
        <v>1369</v>
      </c>
      <c r="E323" s="3" t="s">
        <v>612</v>
      </c>
      <c r="F323" s="3">
        <v>1.0</v>
      </c>
      <c r="G323" s="3">
        <v>1.0</v>
      </c>
      <c r="H323" s="3">
        <v>1.0</v>
      </c>
      <c r="I323" s="3">
        <v>0.0</v>
      </c>
      <c r="J323" s="3">
        <v>1.0</v>
      </c>
      <c r="K323" s="3">
        <v>1.0</v>
      </c>
      <c r="L323" s="3">
        <v>1.0</v>
      </c>
      <c r="M323" s="3">
        <v>1.0</v>
      </c>
      <c r="N323" s="3">
        <v>1.0</v>
      </c>
      <c r="O323" s="3">
        <v>1.0</v>
      </c>
      <c r="P323" s="3">
        <v>1.0</v>
      </c>
      <c r="Q323" s="3">
        <v>0.0</v>
      </c>
      <c r="R323" s="3">
        <v>0.0</v>
      </c>
      <c r="S323" s="3">
        <v>1.0</v>
      </c>
      <c r="T323" s="3">
        <v>1.0</v>
      </c>
      <c r="U323" s="3">
        <v>0.0</v>
      </c>
      <c r="V323" s="3">
        <v>1.0</v>
      </c>
      <c r="W323" s="3" t="s">
        <v>444</v>
      </c>
      <c r="X323" s="3" t="s">
        <v>1429</v>
      </c>
      <c r="Y323" s="3" t="s">
        <v>1430</v>
      </c>
      <c r="Z323" s="3" t="s">
        <v>1431</v>
      </c>
      <c r="AA323" s="3" t="s">
        <v>1432</v>
      </c>
      <c r="AB323" s="3" t="s">
        <v>1374</v>
      </c>
      <c r="AC323" s="3" t="s">
        <v>1391</v>
      </c>
      <c r="AD323" s="3" t="s">
        <v>1433</v>
      </c>
      <c r="AE323" s="3" t="s">
        <v>1434</v>
      </c>
      <c r="AF323" s="3">
        <v>0.168</v>
      </c>
      <c r="AG323" s="3">
        <v>1.191</v>
      </c>
      <c r="AH323" s="3">
        <v>0.334</v>
      </c>
      <c r="AI323" s="3">
        <v>112.003</v>
      </c>
      <c r="AJ323" s="3">
        <v>-5.3</v>
      </c>
      <c r="AK323" s="3" t="s">
        <v>1435</v>
      </c>
      <c r="AL323" s="3">
        <v>0.113</v>
      </c>
      <c r="AM323" s="3" t="s">
        <v>1436</v>
      </c>
    </row>
    <row r="324" ht="15.75" customHeight="1">
      <c r="A324" s="3">
        <v>1.7303E12</v>
      </c>
      <c r="B324" s="3">
        <v>13.0</v>
      </c>
      <c r="C324" s="3" t="s">
        <v>443</v>
      </c>
      <c r="D324" s="3" t="s">
        <v>1369</v>
      </c>
      <c r="E324" s="3" t="s">
        <v>443</v>
      </c>
      <c r="F324" s="3">
        <v>1.0</v>
      </c>
      <c r="G324" s="3">
        <v>1.0</v>
      </c>
      <c r="H324" s="3">
        <v>1.0</v>
      </c>
      <c r="I324" s="3">
        <v>1.0</v>
      </c>
      <c r="J324" s="3">
        <v>1.0</v>
      </c>
      <c r="K324" s="3">
        <v>1.0</v>
      </c>
      <c r="L324" s="3">
        <v>1.0</v>
      </c>
      <c r="M324" s="3">
        <v>1.0</v>
      </c>
      <c r="N324" s="3">
        <v>1.0</v>
      </c>
      <c r="O324" s="3">
        <v>1.0</v>
      </c>
      <c r="P324" s="3">
        <v>1.0</v>
      </c>
      <c r="Q324" s="3">
        <v>0.0</v>
      </c>
      <c r="R324" s="3">
        <v>0.0</v>
      </c>
      <c r="S324" s="3">
        <v>0.0</v>
      </c>
      <c r="T324" s="3">
        <v>1.0</v>
      </c>
      <c r="U324" s="3">
        <v>0.0</v>
      </c>
      <c r="V324" s="3">
        <v>1.0</v>
      </c>
      <c r="W324" s="3" t="s">
        <v>113</v>
      </c>
      <c r="X324" s="3" t="s">
        <v>1489</v>
      </c>
      <c r="Y324" s="3" t="s">
        <v>1490</v>
      </c>
      <c r="Z324" s="3" t="s">
        <v>1431</v>
      </c>
      <c r="AA324" s="3" t="s">
        <v>1491</v>
      </c>
      <c r="AB324" s="3" t="s">
        <v>1374</v>
      </c>
      <c r="AC324" s="3" t="s">
        <v>1451</v>
      </c>
      <c r="AD324" s="3" t="s">
        <v>1492</v>
      </c>
      <c r="AE324" s="3" t="s">
        <v>1493</v>
      </c>
      <c r="AF324" s="3">
        <v>0.056</v>
      </c>
      <c r="AG324" s="3">
        <v>0.253</v>
      </c>
      <c r="AH324" s="3">
        <v>0.123</v>
      </c>
      <c r="AI324" s="3">
        <v>-13.264</v>
      </c>
      <c r="AJ324" s="3">
        <v>1.393</v>
      </c>
      <c r="AK324" s="3" t="s">
        <v>1494</v>
      </c>
      <c r="AL324" s="3">
        <v>-0.234</v>
      </c>
      <c r="AM324" s="3" t="s">
        <v>1495</v>
      </c>
    </row>
    <row r="325" ht="15.75" customHeight="1">
      <c r="A325" s="3">
        <v>1.7304E12</v>
      </c>
      <c r="B325" s="3">
        <v>17.0</v>
      </c>
      <c r="C325" s="3" t="s">
        <v>271</v>
      </c>
      <c r="D325" s="3" t="s">
        <v>1369</v>
      </c>
      <c r="E325" s="3" t="s">
        <v>271</v>
      </c>
      <c r="F325" s="3">
        <v>1.0</v>
      </c>
      <c r="G325" s="3">
        <v>1.0</v>
      </c>
      <c r="H325" s="3">
        <v>1.0</v>
      </c>
      <c r="I325" s="3">
        <v>1.0</v>
      </c>
      <c r="J325" s="3">
        <v>1.0</v>
      </c>
      <c r="K325" s="3">
        <v>1.0</v>
      </c>
      <c r="L325" s="3">
        <v>1.0</v>
      </c>
      <c r="M325" s="3">
        <v>1.0</v>
      </c>
      <c r="N325" s="3">
        <v>1.0</v>
      </c>
      <c r="O325" s="3">
        <v>1.0</v>
      </c>
      <c r="P325" s="3">
        <v>1.0</v>
      </c>
      <c r="Q325" s="3">
        <v>1.0</v>
      </c>
      <c r="R325" s="3">
        <v>1.0</v>
      </c>
      <c r="S325" s="3">
        <v>1.0</v>
      </c>
      <c r="T325" s="3">
        <v>1.0</v>
      </c>
      <c r="U325" s="3">
        <v>1.0</v>
      </c>
      <c r="V325" s="3">
        <v>1.0</v>
      </c>
      <c r="W325" s="3" t="s">
        <v>1130</v>
      </c>
      <c r="X325" s="3" t="s">
        <v>1388</v>
      </c>
      <c r="Y325" s="3" t="s">
        <v>1389</v>
      </c>
      <c r="Z325" s="3" t="s">
        <v>1372</v>
      </c>
      <c r="AA325" s="3" t="s">
        <v>1390</v>
      </c>
      <c r="AB325" s="3" t="s">
        <v>1374</v>
      </c>
      <c r="AC325" s="3" t="s">
        <v>1391</v>
      </c>
      <c r="AD325" s="3" t="s">
        <v>1392</v>
      </c>
      <c r="AE325" s="3" t="s">
        <v>1393</v>
      </c>
      <c r="AF325" s="3">
        <v>0.071</v>
      </c>
      <c r="AG325" s="3">
        <v>1.031</v>
      </c>
      <c r="AH325" s="3" t="s">
        <v>1394</v>
      </c>
      <c r="AI325" s="3" t="s">
        <v>1394</v>
      </c>
      <c r="AJ325" s="3">
        <v>13.733</v>
      </c>
      <c r="AK325" s="3" t="s">
        <v>1685</v>
      </c>
      <c r="AL325" s="3" t="s">
        <v>1394</v>
      </c>
      <c r="AM325" s="3" t="s">
        <v>1396</v>
      </c>
    </row>
    <row r="326" ht="15.75" customHeight="1">
      <c r="A326" s="3">
        <v>1.7304E12</v>
      </c>
      <c r="B326" s="3">
        <v>17.0</v>
      </c>
      <c r="C326" s="3" t="s">
        <v>738</v>
      </c>
      <c r="D326" s="3" t="s">
        <v>1369</v>
      </c>
      <c r="E326" s="3" t="s">
        <v>738</v>
      </c>
      <c r="F326" s="3">
        <v>1.0</v>
      </c>
      <c r="G326" s="3">
        <v>1.0</v>
      </c>
      <c r="H326" s="3">
        <v>1.0</v>
      </c>
      <c r="I326" s="3">
        <v>1.0</v>
      </c>
      <c r="J326" s="3">
        <v>1.0</v>
      </c>
      <c r="K326" s="3">
        <v>1.0</v>
      </c>
      <c r="L326" s="3">
        <v>1.0</v>
      </c>
      <c r="M326" s="3">
        <v>1.0</v>
      </c>
      <c r="N326" s="3">
        <v>1.0</v>
      </c>
      <c r="O326" s="3">
        <v>1.0</v>
      </c>
      <c r="P326" s="3">
        <v>1.0</v>
      </c>
      <c r="Q326" s="3">
        <v>1.0</v>
      </c>
      <c r="R326" s="3">
        <v>1.0</v>
      </c>
      <c r="S326" s="3">
        <v>1.0</v>
      </c>
      <c r="T326" s="3">
        <v>1.0</v>
      </c>
      <c r="U326" s="3">
        <v>1.0</v>
      </c>
      <c r="V326" s="3">
        <v>1.0</v>
      </c>
      <c r="W326" s="3" t="s">
        <v>1085</v>
      </c>
      <c r="X326" s="3" t="s">
        <v>1605</v>
      </c>
      <c r="Y326" s="3" t="s">
        <v>1654</v>
      </c>
      <c r="Z326" s="3" t="s">
        <v>1423</v>
      </c>
      <c r="AA326" s="3" t="s">
        <v>1382</v>
      </c>
      <c r="AB326" s="3" t="s">
        <v>1391</v>
      </c>
      <c r="AC326" s="3" t="s">
        <v>1374</v>
      </c>
      <c r="AD326" s="3" t="s">
        <v>1655</v>
      </c>
      <c r="AE326" s="3" t="s">
        <v>1656</v>
      </c>
      <c r="AF326" s="3">
        <v>0.065</v>
      </c>
      <c r="AG326" s="3">
        <v>1.477</v>
      </c>
      <c r="AH326" s="3">
        <v>0.312</v>
      </c>
      <c r="AI326" s="3">
        <v>-844.119</v>
      </c>
      <c r="AJ326" s="3">
        <v>40.894</v>
      </c>
      <c r="AK326" s="3" t="s">
        <v>1657</v>
      </c>
      <c r="AL326" s="3">
        <v>0.068</v>
      </c>
      <c r="AM326" s="3" t="s">
        <v>1608</v>
      </c>
    </row>
    <row r="327" ht="15.75" customHeight="1">
      <c r="A327" s="3">
        <v>1.73031E12</v>
      </c>
      <c r="B327" s="3">
        <v>17.0</v>
      </c>
      <c r="C327" s="3" t="s">
        <v>1921</v>
      </c>
      <c r="D327" s="3" t="s">
        <v>1369</v>
      </c>
      <c r="E327" s="3" t="s">
        <v>1921</v>
      </c>
      <c r="F327" s="3">
        <v>1.0</v>
      </c>
      <c r="G327" s="3">
        <v>1.0</v>
      </c>
      <c r="H327" s="3">
        <v>1.0</v>
      </c>
      <c r="I327" s="3">
        <v>1.0</v>
      </c>
      <c r="J327" s="3">
        <v>1.0</v>
      </c>
      <c r="K327" s="3">
        <v>1.0</v>
      </c>
      <c r="L327" s="3">
        <v>1.0</v>
      </c>
      <c r="M327" s="3">
        <v>1.0</v>
      </c>
      <c r="N327" s="3">
        <v>1.0</v>
      </c>
      <c r="O327" s="3">
        <v>1.0</v>
      </c>
      <c r="P327" s="3">
        <v>1.0</v>
      </c>
      <c r="Q327" s="3">
        <v>1.0</v>
      </c>
      <c r="R327" s="3">
        <v>1.0</v>
      </c>
      <c r="S327" s="3">
        <v>1.0</v>
      </c>
      <c r="T327" s="3">
        <v>1.0</v>
      </c>
      <c r="U327" s="3">
        <v>1.0</v>
      </c>
      <c r="V327" s="3">
        <v>1.0</v>
      </c>
      <c r="W327" s="3" t="s">
        <v>1261</v>
      </c>
      <c r="X327" s="3" t="s">
        <v>1398</v>
      </c>
      <c r="Y327" s="3" t="s">
        <v>1399</v>
      </c>
      <c r="Z327" s="3" t="s">
        <v>1372</v>
      </c>
      <c r="AA327" s="3" t="s">
        <v>1373</v>
      </c>
      <c r="AB327" s="3" t="s">
        <v>1374</v>
      </c>
      <c r="AC327" s="3" t="s">
        <v>1400</v>
      </c>
      <c r="AD327" s="3" t="s">
        <v>1401</v>
      </c>
      <c r="AE327" s="3" t="s">
        <v>1402</v>
      </c>
      <c r="AF327" s="3">
        <v>0.007</v>
      </c>
      <c r="AG327" s="3">
        <v>0.073</v>
      </c>
      <c r="AH327" s="3" t="s">
        <v>1394</v>
      </c>
      <c r="AI327" s="3" t="s">
        <v>1394</v>
      </c>
      <c r="AJ327" s="3">
        <v>8.365</v>
      </c>
      <c r="AK327" s="3" t="s">
        <v>1663</v>
      </c>
      <c r="AL327" s="3" t="s">
        <v>1394</v>
      </c>
      <c r="AM327" s="3" t="s">
        <v>1404</v>
      </c>
    </row>
    <row r="328" ht="15.75" customHeight="1">
      <c r="A328" s="3">
        <v>1.73036E12</v>
      </c>
      <c r="B328" s="3">
        <v>17.0</v>
      </c>
      <c r="C328" s="3" t="s">
        <v>141</v>
      </c>
      <c r="D328" s="3" t="s">
        <v>1369</v>
      </c>
      <c r="E328" s="3" t="s">
        <v>141</v>
      </c>
      <c r="F328" s="3">
        <v>1.0</v>
      </c>
      <c r="G328" s="3">
        <v>1.0</v>
      </c>
      <c r="H328" s="3">
        <v>1.0</v>
      </c>
      <c r="I328" s="3">
        <v>1.0</v>
      </c>
      <c r="J328" s="3">
        <v>1.0</v>
      </c>
      <c r="K328" s="3">
        <v>1.0</v>
      </c>
      <c r="L328" s="3">
        <v>1.0</v>
      </c>
      <c r="M328" s="3">
        <v>1.0</v>
      </c>
      <c r="N328" s="3">
        <v>1.0</v>
      </c>
      <c r="O328" s="3">
        <v>1.0</v>
      </c>
      <c r="P328" s="3">
        <v>1.0</v>
      </c>
      <c r="Q328" s="3">
        <v>1.0</v>
      </c>
      <c r="R328" s="3">
        <v>1.0</v>
      </c>
      <c r="S328" s="3">
        <v>1.0</v>
      </c>
      <c r="T328" s="3">
        <v>1.0</v>
      </c>
      <c r="U328" s="3">
        <v>1.0</v>
      </c>
      <c r="V328" s="3">
        <v>1.0</v>
      </c>
      <c r="W328" s="3" t="s">
        <v>1922</v>
      </c>
      <c r="X328" s="3" t="s">
        <v>1578</v>
      </c>
      <c r="Y328" s="3" t="s">
        <v>1579</v>
      </c>
      <c r="Z328" s="3" t="s">
        <v>1372</v>
      </c>
      <c r="AA328" s="3" t="s">
        <v>1382</v>
      </c>
      <c r="AB328" s="3" t="s">
        <v>1374</v>
      </c>
      <c r="AC328" s="3" t="s">
        <v>1580</v>
      </c>
      <c r="AD328" s="3" t="s">
        <v>1581</v>
      </c>
      <c r="AE328" s="3" t="s">
        <v>1582</v>
      </c>
      <c r="AF328" s="3">
        <v>0.051</v>
      </c>
      <c r="AG328" s="3">
        <v>0.282</v>
      </c>
      <c r="AH328" s="3">
        <v>0.38</v>
      </c>
      <c r="AI328" s="3">
        <v>-81.269</v>
      </c>
      <c r="AJ328" s="3">
        <v>18.668</v>
      </c>
      <c r="AK328" s="3" t="s">
        <v>1589</v>
      </c>
      <c r="AL328" s="3">
        <v>0.138</v>
      </c>
      <c r="AM328" s="3" t="s">
        <v>1584</v>
      </c>
    </row>
    <row r="329" ht="15.75" customHeight="1">
      <c r="A329" s="3">
        <v>1.73039E12</v>
      </c>
      <c r="B329" s="3">
        <v>0.0</v>
      </c>
      <c r="C329" s="3" t="s">
        <v>1923</v>
      </c>
      <c r="D329" s="3" t="s">
        <v>1369</v>
      </c>
      <c r="E329" s="3" t="s">
        <v>1923</v>
      </c>
      <c r="F329" s="3">
        <v>0.0</v>
      </c>
      <c r="G329" s="3">
        <v>0.0</v>
      </c>
      <c r="H329" s="3">
        <v>0.0</v>
      </c>
      <c r="I329" s="3">
        <v>0.0</v>
      </c>
      <c r="J329" s="3">
        <v>0.0</v>
      </c>
      <c r="K329" s="3">
        <v>0.0</v>
      </c>
      <c r="L329" s="3">
        <v>0.0</v>
      </c>
      <c r="M329" s="3">
        <v>0.0</v>
      </c>
      <c r="N329" s="3">
        <v>0.0</v>
      </c>
      <c r="O329" s="3">
        <v>0.0</v>
      </c>
      <c r="P329" s="3">
        <v>0.0</v>
      </c>
      <c r="Q329" s="3">
        <v>0.0</v>
      </c>
      <c r="R329" s="3">
        <v>0.0</v>
      </c>
      <c r="S329" s="3">
        <v>0.0</v>
      </c>
      <c r="T329" s="3">
        <v>0.0</v>
      </c>
      <c r="U329" s="3">
        <v>0.0</v>
      </c>
      <c r="V329" s="3">
        <v>0.0</v>
      </c>
      <c r="W329" s="3" t="s">
        <v>1924</v>
      </c>
      <c r="X329" s="3" t="s">
        <v>1925</v>
      </c>
      <c r="Y329" s="3" t="s">
        <v>1926</v>
      </c>
      <c r="Z329" s="3" t="s">
        <v>1927</v>
      </c>
      <c r="AA329" s="3" t="s">
        <v>1458</v>
      </c>
      <c r="AB329" s="3" t="s">
        <v>1374</v>
      </c>
      <c r="AC329" s="3" t="s">
        <v>1374</v>
      </c>
      <c r="AD329" s="3" t="s">
        <v>1392</v>
      </c>
      <c r="AE329" s="3" t="s">
        <v>1928</v>
      </c>
      <c r="AF329" s="3">
        <v>0.075</v>
      </c>
      <c r="AG329" s="3">
        <v>0.601</v>
      </c>
      <c r="AH329" s="3">
        <v>0.287</v>
      </c>
      <c r="AI329" s="3">
        <v>109.77</v>
      </c>
      <c r="AJ329" s="3">
        <v>3.094</v>
      </c>
      <c r="AK329" s="3" t="s">
        <v>1929</v>
      </c>
      <c r="AL329" s="3">
        <v>0.076</v>
      </c>
      <c r="AM329" s="3" t="s">
        <v>1461</v>
      </c>
    </row>
    <row r="330" ht="15.75" customHeight="1">
      <c r="A330" s="3">
        <v>1.73038E12</v>
      </c>
      <c r="B330" s="3">
        <v>1.0</v>
      </c>
      <c r="C330" s="3" t="s">
        <v>504</v>
      </c>
      <c r="D330" s="3" t="s">
        <v>1369</v>
      </c>
      <c r="E330" s="3" t="s">
        <v>504</v>
      </c>
      <c r="F330" s="3">
        <v>1.0</v>
      </c>
      <c r="G330" s="3">
        <v>0.0</v>
      </c>
      <c r="H330" s="3">
        <v>0.0</v>
      </c>
      <c r="I330" s="3">
        <v>0.0</v>
      </c>
      <c r="J330" s="3">
        <v>0.0</v>
      </c>
      <c r="K330" s="3">
        <v>0.0</v>
      </c>
      <c r="L330" s="3">
        <v>0.0</v>
      </c>
      <c r="M330" s="3">
        <v>0.0</v>
      </c>
      <c r="N330" s="3">
        <v>0.0</v>
      </c>
      <c r="O330" s="3">
        <v>0.0</v>
      </c>
      <c r="P330" s="3">
        <v>0.0</v>
      </c>
      <c r="Q330" s="3">
        <v>0.0</v>
      </c>
      <c r="R330" s="3">
        <v>0.0</v>
      </c>
      <c r="S330" s="3">
        <v>0.0</v>
      </c>
      <c r="T330" s="3">
        <v>0.0</v>
      </c>
      <c r="U330" s="3">
        <v>0.0</v>
      </c>
      <c r="V330" s="3">
        <v>0.0</v>
      </c>
      <c r="W330" s="3" t="s">
        <v>856</v>
      </c>
      <c r="AB330" s="3" t="s">
        <v>1845</v>
      </c>
      <c r="AC330" s="3" t="s">
        <v>1845</v>
      </c>
      <c r="AD330" s="3" t="s">
        <v>1845</v>
      </c>
      <c r="AH330" s="3">
        <v>0.311</v>
      </c>
    </row>
    <row r="331" ht="15.75" customHeight="1">
      <c r="A331" s="3">
        <v>1.73037E12</v>
      </c>
      <c r="B331" s="3">
        <v>12.0</v>
      </c>
      <c r="C331" s="3" t="s">
        <v>915</v>
      </c>
      <c r="D331" s="3" t="s">
        <v>1369</v>
      </c>
      <c r="E331" s="3" t="s">
        <v>915</v>
      </c>
      <c r="F331" s="3">
        <v>1.0</v>
      </c>
      <c r="G331" s="3">
        <v>1.0</v>
      </c>
      <c r="H331" s="3">
        <v>1.0</v>
      </c>
      <c r="I331" s="3">
        <v>1.0</v>
      </c>
      <c r="J331" s="3">
        <v>1.0</v>
      </c>
      <c r="K331" s="3">
        <v>1.0</v>
      </c>
      <c r="L331" s="3">
        <v>1.0</v>
      </c>
      <c r="M331" s="3">
        <v>1.0</v>
      </c>
      <c r="N331" s="3">
        <v>1.0</v>
      </c>
      <c r="O331" s="3">
        <v>1.0</v>
      </c>
      <c r="P331" s="3">
        <v>1.0</v>
      </c>
      <c r="Q331" s="3">
        <v>0.0</v>
      </c>
      <c r="R331" s="3">
        <v>0.0</v>
      </c>
      <c r="S331" s="3">
        <v>1.0</v>
      </c>
      <c r="T331" s="3">
        <v>0.0</v>
      </c>
      <c r="U331" s="3">
        <v>0.0</v>
      </c>
      <c r="V331" s="3">
        <v>0.0</v>
      </c>
      <c r="W331" s="3" t="s">
        <v>918</v>
      </c>
      <c r="X331" s="3" t="s">
        <v>1590</v>
      </c>
      <c r="Y331" s="3" t="s">
        <v>1591</v>
      </c>
      <c r="Z331" s="3" t="s">
        <v>1431</v>
      </c>
      <c r="AA331" s="3" t="s">
        <v>1593</v>
      </c>
      <c r="AB331" s="3" t="s">
        <v>1374</v>
      </c>
      <c r="AC331" s="3" t="s">
        <v>1374</v>
      </c>
      <c r="AD331" s="3" t="s">
        <v>1625</v>
      </c>
      <c r="AE331" s="3" t="s">
        <v>1595</v>
      </c>
      <c r="AF331" s="3">
        <v>0.188</v>
      </c>
      <c r="AG331" s="3">
        <v>2.243</v>
      </c>
      <c r="AI331" s="3">
        <v>0.681</v>
      </c>
      <c r="AJ331" s="3">
        <v>7.353</v>
      </c>
      <c r="AM331" s="3" t="s">
        <v>1705</v>
      </c>
    </row>
    <row r="332" ht="15.75" customHeight="1">
      <c r="A332" s="3">
        <v>1.73022E12</v>
      </c>
      <c r="B332" s="3">
        <v>16.0</v>
      </c>
      <c r="C332" s="3" t="s">
        <v>226</v>
      </c>
      <c r="D332" s="3" t="s">
        <v>1369</v>
      </c>
      <c r="E332" s="3" t="s">
        <v>226</v>
      </c>
      <c r="F332" s="3">
        <v>1.0</v>
      </c>
      <c r="G332" s="3">
        <v>1.0</v>
      </c>
      <c r="H332" s="3">
        <v>1.0</v>
      </c>
      <c r="I332" s="3">
        <v>1.0</v>
      </c>
      <c r="J332" s="3">
        <v>1.0</v>
      </c>
      <c r="K332" s="3">
        <v>1.0</v>
      </c>
      <c r="L332" s="3">
        <v>1.0</v>
      </c>
      <c r="M332" s="3">
        <v>1.0</v>
      </c>
      <c r="N332" s="3">
        <v>1.0</v>
      </c>
      <c r="O332" s="3">
        <v>1.0</v>
      </c>
      <c r="P332" s="3">
        <v>1.0</v>
      </c>
      <c r="Q332" s="3">
        <v>1.0</v>
      </c>
      <c r="R332" s="3">
        <v>1.0</v>
      </c>
      <c r="S332" s="3">
        <v>0.0</v>
      </c>
      <c r="T332" s="3">
        <v>1.0</v>
      </c>
      <c r="U332" s="3">
        <v>1.0</v>
      </c>
      <c r="V332" s="3">
        <v>1.0</v>
      </c>
      <c r="W332" s="3" t="s">
        <v>1001</v>
      </c>
      <c r="X332" s="3" t="s">
        <v>1388</v>
      </c>
      <c r="Y332" s="3" t="s">
        <v>1389</v>
      </c>
      <c r="Z332" s="3" t="s">
        <v>1372</v>
      </c>
      <c r="AA332" s="3" t="s">
        <v>1390</v>
      </c>
      <c r="AB332" s="3" t="s">
        <v>1374</v>
      </c>
      <c r="AC332" s="3" t="s">
        <v>1391</v>
      </c>
      <c r="AD332" s="3" t="s">
        <v>1392</v>
      </c>
      <c r="AE332" s="3" t="s">
        <v>1393</v>
      </c>
      <c r="AF332" s="3">
        <v>0.071</v>
      </c>
      <c r="AG332" s="3">
        <v>1.031</v>
      </c>
      <c r="AH332" s="3" t="s">
        <v>1394</v>
      </c>
      <c r="AI332" s="3" t="s">
        <v>1394</v>
      </c>
      <c r="AJ332" s="3">
        <v>13.692</v>
      </c>
      <c r="AK332" s="3" t="s">
        <v>1685</v>
      </c>
      <c r="AL332" s="3" t="s">
        <v>1394</v>
      </c>
      <c r="AM332" s="3" t="s">
        <v>1396</v>
      </c>
    </row>
    <row r="333" ht="15.75" customHeight="1">
      <c r="A333" s="3">
        <v>1.73035E12</v>
      </c>
      <c r="B333" s="3">
        <v>13.0</v>
      </c>
      <c r="C333" s="3" t="s">
        <v>112</v>
      </c>
      <c r="D333" s="3" t="s">
        <v>1369</v>
      </c>
      <c r="E333" s="3" t="s">
        <v>112</v>
      </c>
      <c r="F333" s="3">
        <v>1.0</v>
      </c>
      <c r="G333" s="3">
        <v>1.0</v>
      </c>
      <c r="H333" s="3">
        <v>1.0</v>
      </c>
      <c r="I333" s="3">
        <v>1.0</v>
      </c>
      <c r="J333" s="3">
        <v>1.0</v>
      </c>
      <c r="K333" s="3">
        <v>1.0</v>
      </c>
      <c r="L333" s="3">
        <v>1.0</v>
      </c>
      <c r="M333" s="3">
        <v>1.0</v>
      </c>
      <c r="N333" s="3">
        <v>1.0</v>
      </c>
      <c r="O333" s="3">
        <v>1.0</v>
      </c>
      <c r="P333" s="3">
        <v>1.0</v>
      </c>
      <c r="Q333" s="3">
        <v>0.0</v>
      </c>
      <c r="R333" s="3">
        <v>0.0</v>
      </c>
      <c r="S333" s="3">
        <v>1.0</v>
      </c>
      <c r="T333" s="3">
        <v>1.0</v>
      </c>
      <c r="U333" s="3">
        <v>0.0</v>
      </c>
      <c r="V333" s="3">
        <v>0.0</v>
      </c>
      <c r="W333" s="3" t="s">
        <v>129</v>
      </c>
      <c r="X333" s="3" t="s">
        <v>1529</v>
      </c>
      <c r="Y333" s="3" t="s">
        <v>1530</v>
      </c>
      <c r="Z333" s="3" t="s">
        <v>1372</v>
      </c>
      <c r="AA333" s="3" t="s">
        <v>1531</v>
      </c>
      <c r="AB333" s="3" t="s">
        <v>1374</v>
      </c>
      <c r="AC333" s="3" t="s">
        <v>1391</v>
      </c>
      <c r="AD333" s="3" t="s">
        <v>1532</v>
      </c>
      <c r="AE333" s="3" t="s">
        <v>1533</v>
      </c>
      <c r="AF333" s="3">
        <v>0.084</v>
      </c>
      <c r="AG333" s="3">
        <v>1.813</v>
      </c>
      <c r="AH333" s="3">
        <v>-0.359</v>
      </c>
      <c r="AI333" s="3">
        <v>-641.831</v>
      </c>
      <c r="AJ333" s="3">
        <v>-16.579</v>
      </c>
      <c r="AK333" s="3" t="s">
        <v>1630</v>
      </c>
      <c r="AL333" s="3">
        <v>-0.045</v>
      </c>
      <c r="AM333" s="3" t="s">
        <v>1919</v>
      </c>
    </row>
    <row r="334" ht="15.75" customHeight="1">
      <c r="A334" s="3">
        <v>1.7304E12</v>
      </c>
      <c r="B334" s="3">
        <v>13.0</v>
      </c>
      <c r="C334" s="3" t="s">
        <v>128</v>
      </c>
      <c r="D334" s="3" t="s">
        <v>1369</v>
      </c>
      <c r="E334" s="3" t="s">
        <v>128</v>
      </c>
      <c r="F334" s="3">
        <v>1.0</v>
      </c>
      <c r="G334" s="3">
        <v>1.0</v>
      </c>
      <c r="H334" s="3">
        <v>1.0</v>
      </c>
      <c r="I334" s="3">
        <v>1.0</v>
      </c>
      <c r="J334" s="3">
        <v>0.0</v>
      </c>
      <c r="K334" s="3">
        <v>1.0</v>
      </c>
      <c r="L334" s="3">
        <v>1.0</v>
      </c>
      <c r="M334" s="3">
        <v>1.0</v>
      </c>
      <c r="N334" s="3">
        <v>1.0</v>
      </c>
      <c r="O334" s="3">
        <v>1.0</v>
      </c>
      <c r="P334" s="3">
        <v>1.0</v>
      </c>
      <c r="Q334" s="3">
        <v>0.0</v>
      </c>
      <c r="R334" s="3">
        <v>0.0</v>
      </c>
      <c r="S334" s="3">
        <v>1.0</v>
      </c>
      <c r="T334" s="3">
        <v>1.0</v>
      </c>
      <c r="U334" s="3">
        <v>0.0</v>
      </c>
      <c r="V334" s="3">
        <v>1.0</v>
      </c>
      <c r="W334" s="3" t="s">
        <v>817</v>
      </c>
      <c r="X334" s="3" t="s">
        <v>1563</v>
      </c>
      <c r="Y334" s="3" t="s">
        <v>1564</v>
      </c>
      <c r="Z334" s="3" t="s">
        <v>1372</v>
      </c>
      <c r="AA334" s="3" t="s">
        <v>1649</v>
      </c>
      <c r="AB334" s="3" t="s">
        <v>1374</v>
      </c>
      <c r="AC334" s="3" t="s">
        <v>1400</v>
      </c>
      <c r="AD334" s="3" t="s">
        <v>1566</v>
      </c>
      <c r="AE334" s="3" t="s">
        <v>1567</v>
      </c>
      <c r="AF334" s="3">
        <v>0.345</v>
      </c>
      <c r="AG334" s="3">
        <v>0.674</v>
      </c>
      <c r="AH334" s="3">
        <v>0.26</v>
      </c>
      <c r="AI334" s="3">
        <v>45.914</v>
      </c>
      <c r="AJ334" s="3">
        <v>2.403</v>
      </c>
      <c r="AK334" s="3" t="s">
        <v>1568</v>
      </c>
      <c r="AL334" s="3">
        <v>0.066</v>
      </c>
      <c r="AM334" s="3" t="s">
        <v>1569</v>
      </c>
    </row>
    <row r="335" ht="15.75" customHeight="1">
      <c r="A335" s="3">
        <v>1.73031E12</v>
      </c>
      <c r="B335" s="3">
        <v>16.0</v>
      </c>
      <c r="C335" s="3" t="s">
        <v>507</v>
      </c>
      <c r="D335" s="3" t="s">
        <v>1369</v>
      </c>
      <c r="E335" s="3" t="s">
        <v>507</v>
      </c>
      <c r="F335" s="3">
        <v>1.0</v>
      </c>
      <c r="G335" s="3">
        <v>1.0</v>
      </c>
      <c r="H335" s="3">
        <v>1.0</v>
      </c>
      <c r="I335" s="3">
        <v>1.0</v>
      </c>
      <c r="J335" s="3">
        <v>1.0</v>
      </c>
      <c r="K335" s="3">
        <v>1.0</v>
      </c>
      <c r="L335" s="3">
        <v>1.0</v>
      </c>
      <c r="M335" s="3">
        <v>1.0</v>
      </c>
      <c r="N335" s="3">
        <v>1.0</v>
      </c>
      <c r="O335" s="3">
        <v>1.0</v>
      </c>
      <c r="P335" s="3">
        <v>1.0</v>
      </c>
      <c r="Q335" s="3">
        <v>1.0</v>
      </c>
      <c r="R335" s="3">
        <v>1.0</v>
      </c>
      <c r="S335" s="3">
        <v>0.0</v>
      </c>
      <c r="T335" s="3">
        <v>1.0</v>
      </c>
      <c r="U335" s="3">
        <v>1.0</v>
      </c>
      <c r="V335" s="3">
        <v>1.0</v>
      </c>
      <c r="W335" s="3" t="s">
        <v>1064</v>
      </c>
      <c r="X335" s="3" t="s">
        <v>1413</v>
      </c>
      <c r="Y335" s="3" t="s">
        <v>1414</v>
      </c>
      <c r="Z335" s="3" t="s">
        <v>1372</v>
      </c>
      <c r="AA335" s="3" t="s">
        <v>1415</v>
      </c>
      <c r="AB335" s="3" t="s">
        <v>1374</v>
      </c>
      <c r="AC335" s="3" t="s">
        <v>1632</v>
      </c>
      <c r="AD335" s="3" t="s">
        <v>1416</v>
      </c>
      <c r="AE335" s="3" t="s">
        <v>1417</v>
      </c>
      <c r="AF335" s="3">
        <v>-0.005</v>
      </c>
      <c r="AG335" s="3">
        <v>-0.054</v>
      </c>
      <c r="AH335" s="3" t="s">
        <v>1394</v>
      </c>
      <c r="AI335" s="3" t="s">
        <v>1394</v>
      </c>
      <c r="AJ335" s="3">
        <v>-0.055</v>
      </c>
      <c r="AK335" s="3" t="s">
        <v>1633</v>
      </c>
      <c r="AL335" s="3" t="s">
        <v>1394</v>
      </c>
      <c r="AM335" s="3" t="s">
        <v>1419</v>
      </c>
    </row>
    <row r="336" ht="15.75" customHeight="1">
      <c r="A336" s="3">
        <v>1.73038E12</v>
      </c>
      <c r="B336" s="3">
        <v>15.0</v>
      </c>
      <c r="C336" s="3" t="s">
        <v>295</v>
      </c>
      <c r="D336" s="3" t="s">
        <v>1369</v>
      </c>
      <c r="E336" s="3" t="s">
        <v>295</v>
      </c>
      <c r="F336" s="3">
        <v>1.0</v>
      </c>
      <c r="G336" s="3">
        <v>1.0</v>
      </c>
      <c r="H336" s="3">
        <v>1.0</v>
      </c>
      <c r="I336" s="3">
        <v>1.0</v>
      </c>
      <c r="J336" s="3">
        <v>1.0</v>
      </c>
      <c r="K336" s="3">
        <v>1.0</v>
      </c>
      <c r="L336" s="3">
        <v>1.0</v>
      </c>
      <c r="M336" s="3">
        <v>0.0</v>
      </c>
      <c r="N336" s="3">
        <v>1.0</v>
      </c>
      <c r="O336" s="3">
        <v>1.0</v>
      </c>
      <c r="P336" s="3">
        <v>1.0</v>
      </c>
      <c r="Q336" s="3">
        <v>1.0</v>
      </c>
      <c r="R336" s="3">
        <v>1.0</v>
      </c>
      <c r="S336" s="3">
        <v>0.0</v>
      </c>
      <c r="T336" s="3">
        <v>1.0</v>
      </c>
      <c r="U336" s="3">
        <v>1.0</v>
      </c>
      <c r="V336" s="3">
        <v>1.0</v>
      </c>
      <c r="W336" s="3" t="s">
        <v>288</v>
      </c>
      <c r="X336" s="3" t="s">
        <v>1405</v>
      </c>
      <c r="Y336" s="3" t="s">
        <v>1406</v>
      </c>
      <c r="Z336" s="3" t="s">
        <v>1372</v>
      </c>
      <c r="AA336" s="3" t="s">
        <v>1407</v>
      </c>
      <c r="AB336" s="3" t="s">
        <v>1374</v>
      </c>
      <c r="AC336" s="3" t="s">
        <v>1400</v>
      </c>
      <c r="AD336" s="3">
        <v>102.0</v>
      </c>
      <c r="AE336" s="3" t="s">
        <v>1409</v>
      </c>
      <c r="AF336" s="3">
        <v>-0.017</v>
      </c>
      <c r="AG336" s="3">
        <v>-0.049</v>
      </c>
      <c r="AH336" s="3">
        <v>0.16</v>
      </c>
      <c r="AI336" s="3">
        <v>-175.012</v>
      </c>
      <c r="AK336" s="3" t="s">
        <v>1535</v>
      </c>
      <c r="AL336" s="3">
        <v>0.255</v>
      </c>
      <c r="AM336" s="3" t="s">
        <v>1411</v>
      </c>
    </row>
    <row r="337" ht="15.75" customHeight="1">
      <c r="A337" s="3">
        <v>1.73027E12</v>
      </c>
      <c r="B337" s="3">
        <v>13.0</v>
      </c>
      <c r="C337" s="3" t="s">
        <v>1930</v>
      </c>
      <c r="D337" s="3" t="s">
        <v>1369</v>
      </c>
      <c r="E337" s="3" t="s">
        <v>1930</v>
      </c>
      <c r="F337" s="3">
        <v>1.0</v>
      </c>
      <c r="G337" s="3">
        <v>1.0</v>
      </c>
      <c r="H337" s="3">
        <v>1.0</v>
      </c>
      <c r="I337" s="3">
        <v>1.0</v>
      </c>
      <c r="J337" s="3">
        <v>1.0</v>
      </c>
      <c r="K337" s="3">
        <v>1.0</v>
      </c>
      <c r="L337" s="3">
        <v>1.0</v>
      </c>
      <c r="M337" s="3">
        <v>1.0</v>
      </c>
      <c r="N337" s="3">
        <v>1.0</v>
      </c>
      <c r="O337" s="3">
        <v>1.0</v>
      </c>
      <c r="P337" s="3">
        <v>1.0</v>
      </c>
      <c r="Q337" s="3">
        <v>0.0</v>
      </c>
      <c r="R337" s="3">
        <v>0.0</v>
      </c>
      <c r="S337" s="3">
        <v>0.0</v>
      </c>
      <c r="T337" s="3">
        <v>1.0</v>
      </c>
      <c r="U337" s="3">
        <v>0.0</v>
      </c>
      <c r="V337" s="3">
        <v>1.0</v>
      </c>
      <c r="W337" s="3" t="s">
        <v>733</v>
      </c>
      <c r="X337" s="3" t="s">
        <v>1470</v>
      </c>
      <c r="Y337" s="3" t="s">
        <v>1660</v>
      </c>
      <c r="Z337" s="3" t="s">
        <v>1372</v>
      </c>
      <c r="AA337" s="3" t="s">
        <v>1382</v>
      </c>
      <c r="AB337" s="3" t="s">
        <v>1374</v>
      </c>
      <c r="AC337" s="3" t="s">
        <v>1400</v>
      </c>
      <c r="AD337" s="3" t="s">
        <v>1472</v>
      </c>
      <c r="AE337" s="3" t="s">
        <v>1473</v>
      </c>
      <c r="AF337" s="3">
        <v>0.151</v>
      </c>
      <c r="AG337" s="3">
        <v>4.104</v>
      </c>
      <c r="AH337" s="3">
        <v>0.021</v>
      </c>
      <c r="AI337" s="3">
        <v>0.021</v>
      </c>
      <c r="AJ337" s="3">
        <v>-17.472</v>
      </c>
      <c r="AK337" s="3" t="s">
        <v>1474</v>
      </c>
      <c r="AL337" s="3">
        <v>0.039</v>
      </c>
      <c r="AM337" s="3" t="s">
        <v>1661</v>
      </c>
    </row>
    <row r="338" ht="15.75" customHeight="1">
      <c r="A338" s="3">
        <v>1.73039E12</v>
      </c>
      <c r="B338" s="3">
        <v>17.0</v>
      </c>
      <c r="C338" s="3" t="s">
        <v>149</v>
      </c>
      <c r="D338" s="3" t="s">
        <v>1369</v>
      </c>
      <c r="E338" s="3" t="s">
        <v>149</v>
      </c>
      <c r="F338" s="3">
        <v>1.0</v>
      </c>
      <c r="G338" s="3">
        <v>1.0</v>
      </c>
      <c r="H338" s="3">
        <v>1.0</v>
      </c>
      <c r="I338" s="3">
        <v>1.0</v>
      </c>
      <c r="J338" s="3">
        <v>1.0</v>
      </c>
      <c r="K338" s="3">
        <v>1.0</v>
      </c>
      <c r="L338" s="3">
        <v>1.0</v>
      </c>
      <c r="M338" s="3">
        <v>1.0</v>
      </c>
      <c r="N338" s="3">
        <v>1.0</v>
      </c>
      <c r="O338" s="3">
        <v>1.0</v>
      </c>
      <c r="P338" s="3">
        <v>1.0</v>
      </c>
      <c r="Q338" s="3">
        <v>1.0</v>
      </c>
      <c r="R338" s="3">
        <v>1.0</v>
      </c>
      <c r="S338" s="3">
        <v>1.0</v>
      </c>
      <c r="T338" s="3">
        <v>1.0</v>
      </c>
      <c r="U338" s="3">
        <v>1.0</v>
      </c>
      <c r="V338" s="3">
        <v>1.0</v>
      </c>
      <c r="W338" s="3" t="s">
        <v>1023</v>
      </c>
      <c r="X338" s="3" t="s">
        <v>1388</v>
      </c>
      <c r="Y338" s="3" t="s">
        <v>1389</v>
      </c>
      <c r="Z338" s="3" t="s">
        <v>1372</v>
      </c>
      <c r="AA338" s="3" t="s">
        <v>1390</v>
      </c>
      <c r="AB338" s="3" t="s">
        <v>1374</v>
      </c>
      <c r="AC338" s="3" t="s">
        <v>1391</v>
      </c>
      <c r="AD338" s="3" t="s">
        <v>1392</v>
      </c>
      <c r="AE338" s="3" t="s">
        <v>1393</v>
      </c>
      <c r="AF338" s="3">
        <v>0.072</v>
      </c>
      <c r="AG338" s="3">
        <v>1.042</v>
      </c>
      <c r="AH338" s="3">
        <v>0.322</v>
      </c>
      <c r="AI338" s="3">
        <v>289.869</v>
      </c>
      <c r="AJ338" s="3">
        <v>13.493</v>
      </c>
      <c r="AK338" s="3" t="s">
        <v>1685</v>
      </c>
      <c r="AL338" s="3">
        <v>0.1</v>
      </c>
      <c r="AM338" s="3" t="s">
        <v>1686</v>
      </c>
    </row>
    <row r="339" ht="15.75" customHeight="1">
      <c r="A339" s="3">
        <v>1.73029E12</v>
      </c>
      <c r="B339" s="3">
        <v>14.0</v>
      </c>
      <c r="C339" s="3" t="s">
        <v>1931</v>
      </c>
      <c r="D339" s="3" t="s">
        <v>1369</v>
      </c>
      <c r="E339" s="3" t="s">
        <v>1931</v>
      </c>
      <c r="F339" s="3">
        <v>1.0</v>
      </c>
      <c r="G339" s="3">
        <v>1.0</v>
      </c>
      <c r="H339" s="3">
        <v>1.0</v>
      </c>
      <c r="I339" s="3">
        <v>1.0</v>
      </c>
      <c r="J339" s="3">
        <v>1.0</v>
      </c>
      <c r="K339" s="3">
        <v>1.0</v>
      </c>
      <c r="L339" s="3">
        <v>1.0</v>
      </c>
      <c r="M339" s="3">
        <v>1.0</v>
      </c>
      <c r="N339" s="3">
        <v>1.0</v>
      </c>
      <c r="O339" s="3">
        <v>1.0</v>
      </c>
      <c r="P339" s="3">
        <v>1.0</v>
      </c>
      <c r="Q339" s="3">
        <v>0.0</v>
      </c>
      <c r="R339" s="3">
        <v>0.0</v>
      </c>
      <c r="S339" s="3">
        <v>1.0</v>
      </c>
      <c r="T339" s="3">
        <v>1.0</v>
      </c>
      <c r="U339" s="3">
        <v>0.0</v>
      </c>
      <c r="V339" s="3">
        <v>1.0</v>
      </c>
      <c r="W339" s="3" t="s">
        <v>338</v>
      </c>
      <c r="X339" s="3" t="s">
        <v>1405</v>
      </c>
      <c r="Y339" s="3" t="s">
        <v>1406</v>
      </c>
      <c r="Z339" s="3" t="s">
        <v>1372</v>
      </c>
      <c r="AA339" s="3" t="s">
        <v>1407</v>
      </c>
      <c r="AB339" s="3" t="s">
        <v>1374</v>
      </c>
      <c r="AC339" s="3" t="s">
        <v>1400</v>
      </c>
      <c r="AD339" s="3" t="s">
        <v>1506</v>
      </c>
      <c r="AE339" s="3" t="s">
        <v>1409</v>
      </c>
      <c r="AF339" s="3">
        <v>-0.017</v>
      </c>
      <c r="AG339" s="3">
        <v>-0.05</v>
      </c>
      <c r="AH339" s="3">
        <v>0.161</v>
      </c>
      <c r="AI339" s="3" t="s">
        <v>1519</v>
      </c>
      <c r="AJ339" s="3">
        <v>12.804</v>
      </c>
      <c r="AK339" s="3" t="s">
        <v>1535</v>
      </c>
      <c r="AL339" s="3">
        <v>0.633</v>
      </c>
      <c r="AM339" s="3" t="s">
        <v>1411</v>
      </c>
    </row>
    <row r="340" ht="15.75" customHeight="1">
      <c r="A340" s="3">
        <v>1.73039E12</v>
      </c>
      <c r="B340" s="3">
        <v>17.0</v>
      </c>
      <c r="C340" s="3" t="s">
        <v>314</v>
      </c>
      <c r="D340" s="3" t="s">
        <v>1369</v>
      </c>
      <c r="E340" s="3" t="s">
        <v>314</v>
      </c>
      <c r="F340" s="3">
        <v>1.0</v>
      </c>
      <c r="G340" s="3">
        <v>1.0</v>
      </c>
      <c r="H340" s="3">
        <v>1.0</v>
      </c>
      <c r="I340" s="3">
        <v>1.0</v>
      </c>
      <c r="J340" s="3">
        <v>1.0</v>
      </c>
      <c r="K340" s="3">
        <v>1.0</v>
      </c>
      <c r="L340" s="3">
        <v>1.0</v>
      </c>
      <c r="M340" s="3">
        <v>1.0</v>
      </c>
      <c r="N340" s="3">
        <v>1.0</v>
      </c>
      <c r="O340" s="3">
        <v>1.0</v>
      </c>
      <c r="P340" s="3">
        <v>1.0</v>
      </c>
      <c r="Q340" s="3">
        <v>1.0</v>
      </c>
      <c r="R340" s="3">
        <v>1.0</v>
      </c>
      <c r="S340" s="3">
        <v>1.0</v>
      </c>
      <c r="T340" s="3">
        <v>1.0</v>
      </c>
      <c r="U340" s="3">
        <v>1.0</v>
      </c>
      <c r="V340" s="3">
        <v>1.0</v>
      </c>
      <c r="W340" s="3" t="s">
        <v>1027</v>
      </c>
      <c r="X340" s="3" t="s">
        <v>1398</v>
      </c>
      <c r="Y340" s="3" t="s">
        <v>1399</v>
      </c>
      <c r="Z340" s="3" t="s">
        <v>1372</v>
      </c>
      <c r="AA340" s="3" t="s">
        <v>1373</v>
      </c>
      <c r="AB340" s="3" t="s">
        <v>1374</v>
      </c>
      <c r="AC340" s="3" t="s">
        <v>1400</v>
      </c>
      <c r="AD340" s="3" t="s">
        <v>1401</v>
      </c>
      <c r="AE340" s="3" t="s">
        <v>1402</v>
      </c>
      <c r="AF340" s="3">
        <v>0.006</v>
      </c>
      <c r="AG340" s="3">
        <v>0.072</v>
      </c>
      <c r="AH340" s="3">
        <v>0.172</v>
      </c>
      <c r="AI340" s="3">
        <v>33.422</v>
      </c>
      <c r="AJ340" s="3">
        <v>8.4</v>
      </c>
      <c r="AK340" s="3" t="s">
        <v>1663</v>
      </c>
      <c r="AL340" s="3">
        <v>0.259</v>
      </c>
      <c r="AM340" s="3" t="s">
        <v>1404</v>
      </c>
    </row>
    <row r="341" ht="15.75" customHeight="1">
      <c r="A341" s="3">
        <v>1.73038E12</v>
      </c>
      <c r="B341" s="3">
        <v>17.0</v>
      </c>
      <c r="C341" s="3" t="s">
        <v>1932</v>
      </c>
      <c r="D341" s="3" t="s">
        <v>1369</v>
      </c>
      <c r="E341" s="3" t="s">
        <v>1932</v>
      </c>
      <c r="F341" s="3">
        <v>1.0</v>
      </c>
      <c r="G341" s="3">
        <v>1.0</v>
      </c>
      <c r="H341" s="3">
        <v>1.0</v>
      </c>
      <c r="I341" s="3">
        <v>1.0</v>
      </c>
      <c r="J341" s="3">
        <v>1.0</v>
      </c>
      <c r="K341" s="3">
        <v>1.0</v>
      </c>
      <c r="L341" s="3">
        <v>1.0</v>
      </c>
      <c r="M341" s="3">
        <v>1.0</v>
      </c>
      <c r="N341" s="3">
        <v>1.0</v>
      </c>
      <c r="O341" s="3">
        <v>1.0</v>
      </c>
      <c r="P341" s="3">
        <v>1.0</v>
      </c>
      <c r="Q341" s="3">
        <v>1.0</v>
      </c>
      <c r="R341" s="3">
        <v>1.0</v>
      </c>
      <c r="S341" s="3">
        <v>1.0</v>
      </c>
      <c r="T341" s="3">
        <v>1.0</v>
      </c>
      <c r="U341" s="3">
        <v>1.0</v>
      </c>
      <c r="V341" s="3">
        <v>1.0</v>
      </c>
      <c r="W341" s="3" t="s">
        <v>1104</v>
      </c>
      <c r="X341" s="3" t="s">
        <v>1600</v>
      </c>
      <c r="Y341" s="3" t="s">
        <v>1601</v>
      </c>
      <c r="Z341" s="3" t="s">
        <v>1372</v>
      </c>
      <c r="AA341" s="3" t="s">
        <v>1407</v>
      </c>
      <c r="AB341" s="3" t="s">
        <v>1374</v>
      </c>
      <c r="AC341" s="3" t="s">
        <v>1400</v>
      </c>
      <c r="AD341" s="3" t="s">
        <v>1408</v>
      </c>
      <c r="AE341" s="3" t="s">
        <v>1602</v>
      </c>
      <c r="AF341" s="3">
        <v>0.034</v>
      </c>
      <c r="AG341" s="3">
        <v>0.1</v>
      </c>
      <c r="AH341" s="3">
        <v>0.16</v>
      </c>
      <c r="AI341" s="3">
        <v>8.175</v>
      </c>
      <c r="AJ341" s="3">
        <v>-0.391</v>
      </c>
      <c r="AK341" s="3" t="s">
        <v>1603</v>
      </c>
      <c r="AL341" s="3">
        <v>0.222</v>
      </c>
      <c r="AM341" s="3" t="s">
        <v>1411</v>
      </c>
    </row>
    <row r="342" ht="15.75" customHeight="1">
      <c r="A342" s="3">
        <v>1.73031E12</v>
      </c>
      <c r="B342" s="3">
        <v>14.0</v>
      </c>
      <c r="C342" s="3" t="s">
        <v>384</v>
      </c>
      <c r="D342" s="3" t="s">
        <v>1369</v>
      </c>
      <c r="E342" s="3" t="s">
        <v>384</v>
      </c>
      <c r="F342" s="3">
        <v>1.0</v>
      </c>
      <c r="G342" s="3">
        <v>1.0</v>
      </c>
      <c r="H342" s="3">
        <v>1.0</v>
      </c>
      <c r="I342" s="3">
        <v>1.0</v>
      </c>
      <c r="J342" s="3">
        <v>1.0</v>
      </c>
      <c r="K342" s="3">
        <v>1.0</v>
      </c>
      <c r="L342" s="3">
        <v>1.0</v>
      </c>
      <c r="M342" s="3">
        <v>1.0</v>
      </c>
      <c r="N342" s="3">
        <v>1.0</v>
      </c>
      <c r="O342" s="3">
        <v>1.0</v>
      </c>
      <c r="P342" s="3">
        <v>1.0</v>
      </c>
      <c r="Q342" s="3">
        <v>0.0</v>
      </c>
      <c r="R342" s="3">
        <v>0.0</v>
      </c>
      <c r="S342" s="3">
        <v>1.0</v>
      </c>
      <c r="T342" s="3">
        <v>1.0</v>
      </c>
      <c r="U342" s="3">
        <v>0.0</v>
      </c>
      <c r="V342" s="3">
        <v>1.0</v>
      </c>
      <c r="W342" s="3" t="s">
        <v>715</v>
      </c>
      <c r="X342" s="3" t="s">
        <v>1421</v>
      </c>
      <c r="Y342" s="3" t="s">
        <v>1422</v>
      </c>
      <c r="Z342" s="3" t="s">
        <v>1423</v>
      </c>
      <c r="AA342" s="3" t="s">
        <v>1424</v>
      </c>
      <c r="AB342" s="3" t="s">
        <v>1374</v>
      </c>
      <c r="AC342" s="3" t="s">
        <v>1391</v>
      </c>
      <c r="AD342" s="3" t="s">
        <v>1425</v>
      </c>
      <c r="AE342" s="3" t="s">
        <v>1426</v>
      </c>
      <c r="AF342" s="3">
        <v>0.051</v>
      </c>
      <c r="AG342" s="3">
        <v>0.21</v>
      </c>
      <c r="AH342" s="3">
        <v>0.342</v>
      </c>
      <c r="AI342" s="3">
        <v>-29.371</v>
      </c>
      <c r="AJ342" s="3">
        <v>0.524</v>
      </c>
      <c r="AK342" s="3" t="s">
        <v>1866</v>
      </c>
      <c r="AL342" s="3">
        <v>0.189</v>
      </c>
      <c r="AM342" s="3" t="s">
        <v>1428</v>
      </c>
    </row>
    <row r="343" ht="15.75" customHeight="1">
      <c r="A343" s="3">
        <v>1.73028E12</v>
      </c>
      <c r="B343" s="3">
        <v>13.0</v>
      </c>
      <c r="C343" s="3" t="s">
        <v>623</v>
      </c>
      <c r="D343" s="3" t="s">
        <v>1369</v>
      </c>
      <c r="E343" s="3" t="s">
        <v>623</v>
      </c>
      <c r="F343" s="3">
        <v>1.0</v>
      </c>
      <c r="G343" s="3">
        <v>1.0</v>
      </c>
      <c r="H343" s="3">
        <v>1.0</v>
      </c>
      <c r="I343" s="3">
        <v>1.0</v>
      </c>
      <c r="J343" s="3">
        <v>1.0</v>
      </c>
      <c r="K343" s="3">
        <v>1.0</v>
      </c>
      <c r="L343" s="3">
        <v>1.0</v>
      </c>
      <c r="M343" s="3">
        <v>1.0</v>
      </c>
      <c r="N343" s="3">
        <v>1.0</v>
      </c>
      <c r="O343" s="3">
        <v>1.0</v>
      </c>
      <c r="P343" s="3">
        <v>1.0</v>
      </c>
      <c r="Q343" s="3">
        <v>0.0</v>
      </c>
      <c r="R343" s="3">
        <v>0.0</v>
      </c>
      <c r="S343" s="3">
        <v>0.0</v>
      </c>
      <c r="T343" s="3">
        <v>1.0</v>
      </c>
      <c r="U343" s="3">
        <v>0.0</v>
      </c>
      <c r="V343" s="3">
        <v>1.0</v>
      </c>
      <c r="W343" s="3" t="s">
        <v>689</v>
      </c>
      <c r="X343" s="3" t="s">
        <v>1429</v>
      </c>
      <c r="Y343" s="3" t="s">
        <v>1430</v>
      </c>
      <c r="Z343" s="3" t="s">
        <v>1423</v>
      </c>
      <c r="AA343" s="3" t="s">
        <v>1432</v>
      </c>
      <c r="AB343" s="3" t="s">
        <v>1374</v>
      </c>
      <c r="AC343" s="3" t="s">
        <v>1391</v>
      </c>
      <c r="AD343" s="3" t="s">
        <v>1433</v>
      </c>
      <c r="AE343" s="3" t="s">
        <v>1434</v>
      </c>
      <c r="AF343" s="3">
        <v>0.168</v>
      </c>
      <c r="AG343" s="3">
        <v>1.189</v>
      </c>
      <c r="AH343" s="3">
        <v>0.326</v>
      </c>
      <c r="AI343" s="3">
        <v>0.0</v>
      </c>
      <c r="AJ343" s="3">
        <v>-0.821</v>
      </c>
      <c r="AK343" s="3" t="s">
        <v>1481</v>
      </c>
      <c r="AL343" s="3">
        <v>0.118</v>
      </c>
      <c r="AM343" s="3" t="s">
        <v>1436</v>
      </c>
    </row>
    <row r="344" ht="15.75" customHeight="1">
      <c r="A344" s="3">
        <v>1.73039E12</v>
      </c>
      <c r="B344" s="3">
        <v>0.0</v>
      </c>
      <c r="C344" s="3" t="s">
        <v>1933</v>
      </c>
      <c r="D344" s="3" t="s">
        <v>1369</v>
      </c>
      <c r="E344" s="3" t="s">
        <v>1933</v>
      </c>
      <c r="F344" s="3">
        <v>0.0</v>
      </c>
      <c r="G344" s="3">
        <v>0.0</v>
      </c>
      <c r="H344" s="3">
        <v>0.0</v>
      </c>
      <c r="I344" s="3">
        <v>0.0</v>
      </c>
      <c r="J344" s="3">
        <v>0.0</v>
      </c>
      <c r="K344" s="3">
        <v>0.0</v>
      </c>
      <c r="L344" s="3">
        <v>0.0</v>
      </c>
      <c r="M344" s="3">
        <v>0.0</v>
      </c>
      <c r="N344" s="3">
        <v>0.0</v>
      </c>
      <c r="O344" s="3">
        <v>0.0</v>
      </c>
      <c r="P344" s="3">
        <v>0.0</v>
      </c>
      <c r="Q344" s="3">
        <v>0.0</v>
      </c>
      <c r="R344" s="3">
        <v>0.0</v>
      </c>
      <c r="S344" s="3">
        <v>0.0</v>
      </c>
      <c r="T344" s="3">
        <v>0.0</v>
      </c>
      <c r="U344" s="3">
        <v>0.0</v>
      </c>
      <c r="V344" s="3">
        <v>0.0</v>
      </c>
    </row>
    <row r="345" ht="15.75" customHeight="1">
      <c r="A345" s="3">
        <v>1.73039E12</v>
      </c>
      <c r="B345" s="3">
        <v>15.0</v>
      </c>
      <c r="C345" s="3" t="s">
        <v>287</v>
      </c>
      <c r="D345" s="3" t="s">
        <v>1369</v>
      </c>
      <c r="E345" s="3" t="s">
        <v>287</v>
      </c>
      <c r="F345" s="3">
        <v>1.0</v>
      </c>
      <c r="G345" s="3">
        <v>1.0</v>
      </c>
      <c r="H345" s="3">
        <v>1.0</v>
      </c>
      <c r="I345" s="3">
        <v>1.0</v>
      </c>
      <c r="J345" s="3">
        <v>1.0</v>
      </c>
      <c r="K345" s="3">
        <v>1.0</v>
      </c>
      <c r="L345" s="3">
        <v>1.0</v>
      </c>
      <c r="M345" s="3">
        <v>1.0</v>
      </c>
      <c r="N345" s="3">
        <v>1.0</v>
      </c>
      <c r="O345" s="3">
        <v>1.0</v>
      </c>
      <c r="P345" s="3">
        <v>1.0</v>
      </c>
      <c r="Q345" s="3">
        <v>0.0</v>
      </c>
      <c r="R345" s="3">
        <v>0.0</v>
      </c>
      <c r="S345" s="3">
        <v>1.0</v>
      </c>
      <c r="T345" s="3">
        <v>1.0</v>
      </c>
      <c r="U345" s="3">
        <v>1.0</v>
      </c>
      <c r="V345" s="3">
        <v>1.0</v>
      </c>
      <c r="W345" s="3" t="s">
        <v>931</v>
      </c>
      <c r="X345" s="3" t="s">
        <v>1379</v>
      </c>
      <c r="Y345" s="3" t="s">
        <v>1380</v>
      </c>
      <c r="Z345" s="3" t="s">
        <v>1372</v>
      </c>
      <c r="AA345" s="3" t="s">
        <v>1814</v>
      </c>
      <c r="AB345" s="3" t="s">
        <v>1374</v>
      </c>
      <c r="AC345" s="3" t="s">
        <v>1400</v>
      </c>
      <c r="AD345" s="3" t="s">
        <v>1425</v>
      </c>
      <c r="AE345" s="3" t="s">
        <v>1385</v>
      </c>
      <c r="AF345" s="3">
        <v>0.191</v>
      </c>
      <c r="AG345" s="3">
        <v>2.347</v>
      </c>
      <c r="AH345" s="3">
        <v>0.157</v>
      </c>
      <c r="AI345" s="3">
        <v>63.701</v>
      </c>
      <c r="AJ345" s="3">
        <v>0.212</v>
      </c>
      <c r="AK345" s="3" t="s">
        <v>1503</v>
      </c>
      <c r="AL345" s="3" t="s">
        <v>1394</v>
      </c>
      <c r="AM345" s="3" t="s">
        <v>1387</v>
      </c>
    </row>
    <row r="346" ht="15.75" customHeight="1">
      <c r="A346" s="3">
        <v>1.7303E12</v>
      </c>
      <c r="B346" s="3">
        <v>17.0</v>
      </c>
      <c r="C346" s="3" t="s">
        <v>455</v>
      </c>
      <c r="D346" s="3" t="s">
        <v>1369</v>
      </c>
      <c r="E346" s="3" t="s">
        <v>455</v>
      </c>
      <c r="F346" s="3">
        <v>1.0</v>
      </c>
      <c r="G346" s="3">
        <v>1.0</v>
      </c>
      <c r="H346" s="3">
        <v>1.0</v>
      </c>
      <c r="I346" s="3">
        <v>1.0</v>
      </c>
      <c r="J346" s="3">
        <v>1.0</v>
      </c>
      <c r="K346" s="3">
        <v>1.0</v>
      </c>
      <c r="L346" s="3">
        <v>1.0</v>
      </c>
      <c r="M346" s="3">
        <v>1.0</v>
      </c>
      <c r="N346" s="3">
        <v>1.0</v>
      </c>
      <c r="O346" s="3">
        <v>1.0</v>
      </c>
      <c r="P346" s="3">
        <v>1.0</v>
      </c>
      <c r="Q346" s="3">
        <v>1.0</v>
      </c>
      <c r="R346" s="3">
        <v>1.0</v>
      </c>
      <c r="S346" s="3">
        <v>1.0</v>
      </c>
      <c r="T346" s="3">
        <v>1.0</v>
      </c>
      <c r="U346" s="3">
        <v>1.0</v>
      </c>
      <c r="V346" s="3">
        <v>1.0</v>
      </c>
      <c r="W346" s="3" t="s">
        <v>1153</v>
      </c>
      <c r="X346" s="3" t="s">
        <v>1578</v>
      </c>
      <c r="Y346" s="3" t="s">
        <v>1579</v>
      </c>
      <c r="Z346" s="3" t="s">
        <v>1372</v>
      </c>
      <c r="AA346" s="3" t="s">
        <v>1382</v>
      </c>
      <c r="AB346" s="3" t="s">
        <v>1374</v>
      </c>
      <c r="AC346" s="3" t="s">
        <v>1580</v>
      </c>
      <c r="AD346" s="3" t="s">
        <v>1581</v>
      </c>
      <c r="AE346" s="3" t="s">
        <v>1582</v>
      </c>
      <c r="AF346" s="3">
        <v>0.051</v>
      </c>
      <c r="AG346" s="3">
        <v>0.279</v>
      </c>
      <c r="AH346" s="3">
        <v>0.426</v>
      </c>
      <c r="AI346" s="3">
        <v>-79.442</v>
      </c>
      <c r="AJ346" s="3">
        <v>19.037</v>
      </c>
      <c r="AK346" s="3" t="s">
        <v>1583</v>
      </c>
      <c r="AL346" s="3">
        <v>0.128</v>
      </c>
      <c r="AM346" s="3" t="s">
        <v>1584</v>
      </c>
    </row>
    <row r="347" ht="15.75" customHeight="1">
      <c r="A347" s="3">
        <v>1.73038E12</v>
      </c>
      <c r="B347" s="3">
        <v>15.0</v>
      </c>
      <c r="C347" s="3" t="s">
        <v>557</v>
      </c>
      <c r="D347" s="3" t="s">
        <v>1369</v>
      </c>
      <c r="E347" s="3" t="s">
        <v>557</v>
      </c>
      <c r="F347" s="3">
        <v>1.0</v>
      </c>
      <c r="G347" s="3">
        <v>1.0</v>
      </c>
      <c r="H347" s="3">
        <v>1.0</v>
      </c>
      <c r="I347" s="3">
        <v>1.0</v>
      </c>
      <c r="J347" s="3">
        <v>1.0</v>
      </c>
      <c r="K347" s="3">
        <v>1.0</v>
      </c>
      <c r="L347" s="3">
        <v>1.0</v>
      </c>
      <c r="M347" s="3">
        <v>1.0</v>
      </c>
      <c r="N347" s="3">
        <v>1.0</v>
      </c>
      <c r="O347" s="3">
        <v>1.0</v>
      </c>
      <c r="P347" s="3">
        <v>1.0</v>
      </c>
      <c r="Q347" s="3">
        <v>1.0</v>
      </c>
      <c r="R347" s="3">
        <v>1.0</v>
      </c>
      <c r="S347" s="3">
        <v>0.0</v>
      </c>
      <c r="T347" s="3">
        <v>0.0</v>
      </c>
      <c r="U347" s="3">
        <v>1.0</v>
      </c>
      <c r="V347" s="3">
        <v>1.0</v>
      </c>
      <c r="W347" s="3" t="s">
        <v>510</v>
      </c>
      <c r="X347" s="3" t="s">
        <v>1483</v>
      </c>
      <c r="Y347" s="3" t="s">
        <v>1484</v>
      </c>
      <c r="Z347" s="3" t="s">
        <v>1372</v>
      </c>
      <c r="AA347" s="3" t="s">
        <v>1373</v>
      </c>
      <c r="AB347" s="3" t="s">
        <v>1374</v>
      </c>
      <c r="AC347" s="3" t="s">
        <v>1374</v>
      </c>
      <c r="AD347" s="3" t="s">
        <v>1485</v>
      </c>
      <c r="AE347" s="3" t="s">
        <v>1486</v>
      </c>
      <c r="AF347" s="3">
        <v>0.017</v>
      </c>
      <c r="AG347" s="3">
        <v>0.29</v>
      </c>
      <c r="AH347" s="3" t="s">
        <v>1394</v>
      </c>
      <c r="AI347" s="3" t="s">
        <v>1394</v>
      </c>
      <c r="AK347" s="3" t="s">
        <v>1934</v>
      </c>
      <c r="AL347" s="3" t="s">
        <v>1394</v>
      </c>
      <c r="AM347" s="3" t="s">
        <v>1573</v>
      </c>
    </row>
    <row r="348" ht="15.75" customHeight="1">
      <c r="A348" s="3">
        <v>1.73039E12</v>
      </c>
      <c r="B348" s="3">
        <v>13.0</v>
      </c>
      <c r="C348" s="3" t="s">
        <v>810</v>
      </c>
      <c r="D348" s="3" t="s">
        <v>1369</v>
      </c>
      <c r="E348" s="3" t="s">
        <v>810</v>
      </c>
      <c r="F348" s="3">
        <v>1.0</v>
      </c>
      <c r="G348" s="3">
        <v>1.0</v>
      </c>
      <c r="H348" s="3">
        <v>1.0</v>
      </c>
      <c r="I348" s="3">
        <v>1.0</v>
      </c>
      <c r="J348" s="3">
        <v>1.0</v>
      </c>
      <c r="K348" s="3">
        <v>1.0</v>
      </c>
      <c r="L348" s="3">
        <v>1.0</v>
      </c>
      <c r="M348" s="3">
        <v>1.0</v>
      </c>
      <c r="N348" s="3">
        <v>1.0</v>
      </c>
      <c r="O348" s="3">
        <v>1.0</v>
      </c>
      <c r="P348" s="3">
        <v>1.0</v>
      </c>
      <c r="Q348" s="3">
        <v>0.0</v>
      </c>
      <c r="R348" s="3">
        <v>0.0</v>
      </c>
      <c r="S348" s="3">
        <v>0.0</v>
      </c>
      <c r="T348" s="3">
        <v>1.0</v>
      </c>
      <c r="U348" s="3">
        <v>0.0</v>
      </c>
      <c r="V348" s="3">
        <v>1.0</v>
      </c>
      <c r="W348" s="3" t="s">
        <v>1935</v>
      </c>
      <c r="X348" s="3" t="s">
        <v>1476</v>
      </c>
      <c r="Y348" s="3" t="s">
        <v>1477</v>
      </c>
      <c r="Z348" s="3" t="s">
        <v>1372</v>
      </c>
      <c r="AA348" s="3" t="s">
        <v>1415</v>
      </c>
      <c r="AB348" s="3" t="s">
        <v>1374</v>
      </c>
      <c r="AC348" s="3" t="s">
        <v>1374</v>
      </c>
      <c r="AD348" s="3" t="s">
        <v>1500</v>
      </c>
      <c r="AE348" s="3" t="s">
        <v>1479</v>
      </c>
      <c r="AF348" s="3">
        <v>0.033</v>
      </c>
      <c r="AG348" s="3">
        <v>0.657</v>
      </c>
      <c r="AH348" s="3">
        <v>0.28</v>
      </c>
      <c r="AI348" s="3">
        <v>149.502</v>
      </c>
      <c r="AJ348" s="3">
        <v>-3.07</v>
      </c>
      <c r="AK348" s="3" t="s">
        <v>1909</v>
      </c>
      <c r="AL348" s="3">
        <v>0.063</v>
      </c>
      <c r="AM348" s="3" t="s">
        <v>1419</v>
      </c>
    </row>
    <row r="349" ht="15.75" customHeight="1">
      <c r="A349" s="3">
        <v>1.7304E12</v>
      </c>
      <c r="B349" s="3">
        <v>16.0</v>
      </c>
      <c r="C349" s="3" t="s">
        <v>485</v>
      </c>
      <c r="D349" s="3" t="s">
        <v>1369</v>
      </c>
      <c r="E349" s="3" t="s">
        <v>485</v>
      </c>
      <c r="F349" s="3">
        <v>1.0</v>
      </c>
      <c r="G349" s="3">
        <v>1.0</v>
      </c>
      <c r="H349" s="3">
        <v>1.0</v>
      </c>
      <c r="I349" s="3">
        <v>1.0</v>
      </c>
      <c r="J349" s="3">
        <v>1.0</v>
      </c>
      <c r="K349" s="3">
        <v>1.0</v>
      </c>
      <c r="L349" s="3">
        <v>1.0</v>
      </c>
      <c r="M349" s="3">
        <v>1.0</v>
      </c>
      <c r="N349" s="3">
        <v>1.0</v>
      </c>
      <c r="O349" s="3">
        <v>1.0</v>
      </c>
      <c r="P349" s="3">
        <v>1.0</v>
      </c>
      <c r="Q349" s="3">
        <v>0.0</v>
      </c>
      <c r="R349" s="3">
        <v>1.0</v>
      </c>
      <c r="S349" s="3">
        <v>1.0</v>
      </c>
      <c r="T349" s="3">
        <v>1.0</v>
      </c>
      <c r="U349" s="3">
        <v>1.0</v>
      </c>
      <c r="V349" s="3">
        <v>1.0</v>
      </c>
      <c r="W349" s="3" t="s">
        <v>1182</v>
      </c>
      <c r="X349" s="3" t="s">
        <v>1379</v>
      </c>
      <c r="Y349" s="3" t="s">
        <v>1380</v>
      </c>
      <c r="Z349" s="3" t="s">
        <v>1372</v>
      </c>
      <c r="AA349" s="3" t="s">
        <v>1382</v>
      </c>
      <c r="AB349" s="3" t="s">
        <v>1374</v>
      </c>
      <c r="AC349" s="3" t="s">
        <v>1400</v>
      </c>
      <c r="AD349" s="3" t="s">
        <v>1425</v>
      </c>
      <c r="AE349" s="3" t="s">
        <v>1385</v>
      </c>
      <c r="AF349" s="3">
        <v>0.192</v>
      </c>
      <c r="AG349" s="3">
        <v>2.356</v>
      </c>
      <c r="AH349" s="3">
        <v>0.196</v>
      </c>
      <c r="AI349" s="3">
        <v>62.025</v>
      </c>
      <c r="AJ349" s="3">
        <v>-0.038</v>
      </c>
      <c r="AK349" s="3" t="s">
        <v>1857</v>
      </c>
      <c r="AL349" s="3">
        <v>0.196</v>
      </c>
      <c r="AM349" s="3" t="s">
        <v>1411</v>
      </c>
    </row>
    <row r="350" ht="15.75" customHeight="1">
      <c r="A350" s="3">
        <v>1.7304E12</v>
      </c>
      <c r="B350" s="3">
        <v>17.0</v>
      </c>
      <c r="C350" s="3" t="s">
        <v>244</v>
      </c>
      <c r="D350" s="3" t="s">
        <v>1369</v>
      </c>
      <c r="E350" s="3" t="s">
        <v>244</v>
      </c>
      <c r="F350" s="3">
        <v>1.0</v>
      </c>
      <c r="G350" s="3">
        <v>1.0</v>
      </c>
      <c r="H350" s="3">
        <v>1.0</v>
      </c>
      <c r="I350" s="3">
        <v>1.0</v>
      </c>
      <c r="J350" s="3">
        <v>1.0</v>
      </c>
      <c r="K350" s="3">
        <v>1.0</v>
      </c>
      <c r="L350" s="3">
        <v>1.0</v>
      </c>
      <c r="M350" s="3">
        <v>1.0</v>
      </c>
      <c r="N350" s="3">
        <v>1.0</v>
      </c>
      <c r="O350" s="3">
        <v>1.0</v>
      </c>
      <c r="P350" s="3">
        <v>1.0</v>
      </c>
      <c r="Q350" s="3">
        <v>1.0</v>
      </c>
      <c r="R350" s="3">
        <v>1.0</v>
      </c>
      <c r="S350" s="3">
        <v>1.0</v>
      </c>
      <c r="T350" s="3">
        <v>1.0</v>
      </c>
      <c r="U350" s="3">
        <v>1.0</v>
      </c>
      <c r="V350" s="3">
        <v>1.0</v>
      </c>
      <c r="W350" s="3" t="s">
        <v>1161</v>
      </c>
      <c r="X350" s="3" t="s">
        <v>1578</v>
      </c>
      <c r="Y350" s="3" t="s">
        <v>1579</v>
      </c>
      <c r="Z350" s="3" t="s">
        <v>1449</v>
      </c>
      <c r="AA350" s="3" t="s">
        <v>1382</v>
      </c>
      <c r="AB350" s="3" t="s">
        <v>1374</v>
      </c>
      <c r="AC350" s="3" t="s">
        <v>1580</v>
      </c>
      <c r="AD350" s="3" t="s">
        <v>1581</v>
      </c>
      <c r="AE350" s="3" t="s">
        <v>1582</v>
      </c>
      <c r="AF350" s="3">
        <v>0.051</v>
      </c>
      <c r="AG350" s="3">
        <v>0.281</v>
      </c>
      <c r="AH350" s="3">
        <v>0.427</v>
      </c>
      <c r="AI350" s="3">
        <v>-79.144</v>
      </c>
      <c r="AJ350" s="3">
        <v>18.642</v>
      </c>
      <c r="AK350" s="3" t="s">
        <v>1583</v>
      </c>
      <c r="AL350" s="3">
        <v>0.133</v>
      </c>
      <c r="AM350" s="3" t="s">
        <v>1584</v>
      </c>
    </row>
    <row r="351" ht="15.75" customHeight="1">
      <c r="A351" s="3">
        <v>1.7304E12</v>
      </c>
      <c r="B351" s="3">
        <v>10.0</v>
      </c>
      <c r="C351" s="3" t="s">
        <v>311</v>
      </c>
      <c r="D351" s="3" t="s">
        <v>1369</v>
      </c>
      <c r="E351" s="3" t="s">
        <v>311</v>
      </c>
      <c r="F351" s="3">
        <v>1.0</v>
      </c>
      <c r="G351" s="3">
        <v>1.0</v>
      </c>
      <c r="H351" s="3">
        <v>1.0</v>
      </c>
      <c r="I351" s="3">
        <v>1.0</v>
      </c>
      <c r="J351" s="3">
        <v>1.0</v>
      </c>
      <c r="K351" s="3">
        <v>1.0</v>
      </c>
      <c r="L351" s="3">
        <v>1.0</v>
      </c>
      <c r="M351" s="3">
        <v>1.0</v>
      </c>
      <c r="N351" s="3">
        <v>1.0</v>
      </c>
      <c r="O351" s="3">
        <v>1.0</v>
      </c>
      <c r="P351" s="3">
        <v>0.0</v>
      </c>
      <c r="Q351" s="3">
        <v>0.0</v>
      </c>
      <c r="R351" s="3">
        <v>0.0</v>
      </c>
      <c r="S351" s="3">
        <v>0.0</v>
      </c>
      <c r="T351" s="3">
        <v>0.0</v>
      </c>
      <c r="U351" s="3">
        <v>0.0</v>
      </c>
      <c r="V351" s="3">
        <v>0.0</v>
      </c>
      <c r="W351" s="3" t="s">
        <v>631</v>
      </c>
      <c r="X351" s="3" t="s">
        <v>1421</v>
      </c>
      <c r="Y351" s="3" t="s">
        <v>1422</v>
      </c>
      <c r="Z351" s="3" t="s">
        <v>1423</v>
      </c>
      <c r="AA351" s="3" t="s">
        <v>1424</v>
      </c>
      <c r="AB351" s="3" t="s">
        <v>1374</v>
      </c>
      <c r="AC351" s="3" t="s">
        <v>1391</v>
      </c>
      <c r="AD351" s="3" t="s">
        <v>1425</v>
      </c>
      <c r="AE351" s="3" t="s">
        <v>1426</v>
      </c>
      <c r="AF351" s="3">
        <v>0.051</v>
      </c>
    </row>
    <row r="352" ht="15.75" customHeight="1">
      <c r="A352" s="3">
        <v>1.73039E12</v>
      </c>
      <c r="B352" s="3">
        <v>17.0</v>
      </c>
      <c r="C352" s="3" t="s">
        <v>563</v>
      </c>
      <c r="D352" s="3" t="s">
        <v>1369</v>
      </c>
      <c r="E352" s="3" t="s">
        <v>563</v>
      </c>
      <c r="F352" s="3">
        <v>1.0</v>
      </c>
      <c r="G352" s="3">
        <v>1.0</v>
      </c>
      <c r="H352" s="3">
        <v>1.0</v>
      </c>
      <c r="I352" s="3">
        <v>1.0</v>
      </c>
      <c r="J352" s="3">
        <v>1.0</v>
      </c>
      <c r="K352" s="3">
        <v>1.0</v>
      </c>
      <c r="L352" s="3">
        <v>1.0</v>
      </c>
      <c r="M352" s="3">
        <v>1.0</v>
      </c>
      <c r="N352" s="3">
        <v>1.0</v>
      </c>
      <c r="O352" s="3">
        <v>1.0</v>
      </c>
      <c r="P352" s="3">
        <v>1.0</v>
      </c>
      <c r="Q352" s="3">
        <v>1.0</v>
      </c>
      <c r="R352" s="3">
        <v>1.0</v>
      </c>
      <c r="S352" s="3">
        <v>1.0</v>
      </c>
      <c r="T352" s="3">
        <v>1.0</v>
      </c>
      <c r="U352" s="3">
        <v>1.0</v>
      </c>
      <c r="V352" s="3">
        <v>1.0</v>
      </c>
      <c r="W352" s="3" t="s">
        <v>1072</v>
      </c>
      <c r="X352" s="3" t="s">
        <v>1438</v>
      </c>
      <c r="Y352" s="3" t="s">
        <v>1439</v>
      </c>
      <c r="Z352" s="3" t="s">
        <v>1372</v>
      </c>
      <c r="AA352" s="3" t="s">
        <v>1553</v>
      </c>
      <c r="AB352" s="3" t="s">
        <v>1374</v>
      </c>
      <c r="AC352" s="3" t="s">
        <v>1391</v>
      </c>
      <c r="AD352" s="3" t="s">
        <v>1554</v>
      </c>
      <c r="AE352" s="3" t="s">
        <v>1444</v>
      </c>
      <c r="AF352" s="3">
        <v>0.082</v>
      </c>
      <c r="AG352" s="3">
        <v>0.291</v>
      </c>
      <c r="AH352" s="3">
        <v>0.221</v>
      </c>
      <c r="AI352" s="3">
        <v>243.038</v>
      </c>
      <c r="AJ352" s="3">
        <v>-1.615</v>
      </c>
      <c r="AK352" s="3" t="s">
        <v>1555</v>
      </c>
      <c r="AL352" s="3">
        <v>0.253</v>
      </c>
      <c r="AM352" s="3" t="s">
        <v>1446</v>
      </c>
    </row>
    <row r="353" ht="15.75" customHeight="1">
      <c r="A353" s="3">
        <v>1.72962E12</v>
      </c>
      <c r="B353" s="3">
        <v>17.0</v>
      </c>
      <c r="C353" s="3" t="s">
        <v>487</v>
      </c>
      <c r="D353" s="3" t="s">
        <v>1369</v>
      </c>
      <c r="E353" s="3" t="s">
        <v>487</v>
      </c>
      <c r="F353" s="3">
        <v>1.0</v>
      </c>
      <c r="G353" s="3">
        <v>1.0</v>
      </c>
      <c r="H353" s="3">
        <v>1.0</v>
      </c>
      <c r="I353" s="3">
        <v>1.0</v>
      </c>
      <c r="J353" s="3">
        <v>1.0</v>
      </c>
      <c r="K353" s="3">
        <v>1.0</v>
      </c>
      <c r="L353" s="3">
        <v>1.0</v>
      </c>
      <c r="M353" s="3">
        <v>1.0</v>
      </c>
      <c r="N353" s="3">
        <v>1.0</v>
      </c>
      <c r="O353" s="3">
        <v>1.0</v>
      </c>
      <c r="P353" s="3">
        <v>1.0</v>
      </c>
      <c r="Q353" s="3">
        <v>1.0</v>
      </c>
      <c r="R353" s="3">
        <v>1.0</v>
      </c>
      <c r="S353" s="3">
        <v>1.0</v>
      </c>
      <c r="T353" s="3">
        <v>1.0</v>
      </c>
      <c r="U353" s="3">
        <v>1.0</v>
      </c>
      <c r="V353" s="3">
        <v>1.0</v>
      </c>
      <c r="W353" s="3" t="s">
        <v>1101</v>
      </c>
      <c r="X353" s="3" t="s">
        <v>1489</v>
      </c>
      <c r="Y353" s="3" t="s">
        <v>1490</v>
      </c>
      <c r="Z353" s="3" t="s">
        <v>1423</v>
      </c>
      <c r="AA353" s="3" t="s">
        <v>1491</v>
      </c>
      <c r="AB353" s="3" t="s">
        <v>1374</v>
      </c>
      <c r="AC353" s="3" t="s">
        <v>1451</v>
      </c>
      <c r="AD353" s="3" t="s">
        <v>1492</v>
      </c>
      <c r="AE353" s="3" t="s">
        <v>1493</v>
      </c>
      <c r="AF353" s="3">
        <v>0.055</v>
      </c>
      <c r="AG353" s="3">
        <v>0.25</v>
      </c>
      <c r="AH353" s="3">
        <v>0.372</v>
      </c>
      <c r="AI353" s="3">
        <v>-12.861</v>
      </c>
      <c r="AJ353" s="3">
        <v>8.172</v>
      </c>
      <c r="AK353" s="3" t="s">
        <v>1561</v>
      </c>
      <c r="AL353" s="3">
        <v>0.129</v>
      </c>
      <c r="AM353" s="3" t="s">
        <v>1495</v>
      </c>
    </row>
    <row r="354" ht="15.75" customHeight="1">
      <c r="A354" s="3">
        <v>1.7304E12</v>
      </c>
      <c r="B354" s="3">
        <v>2.0</v>
      </c>
      <c r="C354" s="3" t="s">
        <v>1936</v>
      </c>
      <c r="D354" s="3" t="s">
        <v>1369</v>
      </c>
      <c r="E354" s="3" t="s">
        <v>1936</v>
      </c>
      <c r="F354" s="3">
        <v>1.0</v>
      </c>
      <c r="G354" s="3">
        <v>0.0</v>
      </c>
      <c r="H354" s="3">
        <v>0.0</v>
      </c>
      <c r="I354" s="3">
        <v>0.0</v>
      </c>
      <c r="J354" s="3">
        <v>0.0</v>
      </c>
      <c r="K354" s="3">
        <v>0.0</v>
      </c>
      <c r="L354" s="3">
        <v>0.0</v>
      </c>
      <c r="M354" s="3">
        <v>0.0</v>
      </c>
      <c r="N354" s="3">
        <v>0.0</v>
      </c>
      <c r="O354" s="3">
        <v>0.0</v>
      </c>
      <c r="P354" s="3">
        <v>0.0</v>
      </c>
      <c r="Q354" s="3">
        <v>0.0</v>
      </c>
      <c r="R354" s="3">
        <v>0.0</v>
      </c>
      <c r="S354" s="3">
        <v>0.0</v>
      </c>
      <c r="T354" s="3">
        <v>0.0</v>
      </c>
      <c r="U354" s="3">
        <v>0.0</v>
      </c>
      <c r="V354" s="3">
        <v>1.0</v>
      </c>
      <c r="W354" s="3" t="s">
        <v>53</v>
      </c>
    </row>
    <row r="355" ht="15.75" customHeight="1">
      <c r="A355" s="3">
        <v>1.73031E12</v>
      </c>
      <c r="B355" s="3">
        <v>17.0</v>
      </c>
      <c r="C355" s="3" t="s">
        <v>680</v>
      </c>
      <c r="D355" s="3" t="s">
        <v>1369</v>
      </c>
      <c r="E355" s="3" t="s">
        <v>680</v>
      </c>
      <c r="F355" s="3">
        <v>1.0</v>
      </c>
      <c r="G355" s="3">
        <v>1.0</v>
      </c>
      <c r="H355" s="3">
        <v>1.0</v>
      </c>
      <c r="I355" s="3">
        <v>1.0</v>
      </c>
      <c r="J355" s="3">
        <v>1.0</v>
      </c>
      <c r="K355" s="3">
        <v>1.0</v>
      </c>
      <c r="L355" s="3">
        <v>1.0</v>
      </c>
      <c r="M355" s="3">
        <v>1.0</v>
      </c>
      <c r="N355" s="3">
        <v>1.0</v>
      </c>
      <c r="O355" s="3">
        <v>1.0</v>
      </c>
      <c r="P355" s="3">
        <v>1.0</v>
      </c>
      <c r="Q355" s="3">
        <v>1.0</v>
      </c>
      <c r="R355" s="3">
        <v>1.0</v>
      </c>
      <c r="S355" s="3">
        <v>1.0</v>
      </c>
      <c r="T355" s="3">
        <v>1.0</v>
      </c>
      <c r="U355" s="3">
        <v>1.0</v>
      </c>
      <c r="V355" s="3">
        <v>1.0</v>
      </c>
      <c r="W355" s="3" t="s">
        <v>1173</v>
      </c>
      <c r="X355" s="3" t="s">
        <v>1447</v>
      </c>
      <c r="Y355" s="3" t="s">
        <v>1448</v>
      </c>
      <c r="Z355" s="3" t="s">
        <v>1372</v>
      </c>
      <c r="AA355" s="3" t="s">
        <v>1450</v>
      </c>
      <c r="AB355" s="3" t="s">
        <v>1374</v>
      </c>
      <c r="AC355" s="3" t="s">
        <v>1451</v>
      </c>
      <c r="AD355" s="3" t="s">
        <v>1452</v>
      </c>
      <c r="AE355" s="3" t="s">
        <v>1453</v>
      </c>
      <c r="AF355" s="3">
        <v>0.033</v>
      </c>
      <c r="AG355" s="3">
        <v>0.217</v>
      </c>
      <c r="AH355" s="3">
        <v>0.375</v>
      </c>
      <c r="AI355" s="3">
        <v>48.595</v>
      </c>
      <c r="AJ355" s="3">
        <v>6.569</v>
      </c>
      <c r="AK355" s="3" t="s">
        <v>1599</v>
      </c>
      <c r="AL355" s="3">
        <v>0.176</v>
      </c>
      <c r="AM355" s="3" t="s">
        <v>1455</v>
      </c>
    </row>
    <row r="356" ht="15.75" customHeight="1">
      <c r="A356" s="3">
        <v>1.7303E12</v>
      </c>
      <c r="B356" s="3">
        <v>14.0</v>
      </c>
      <c r="C356" s="3" t="s">
        <v>904</v>
      </c>
      <c r="D356" s="3" t="s">
        <v>1369</v>
      </c>
      <c r="E356" s="3" t="s">
        <v>904</v>
      </c>
      <c r="F356" s="3">
        <v>1.0</v>
      </c>
      <c r="G356" s="3">
        <v>1.0</v>
      </c>
      <c r="H356" s="3">
        <v>1.0</v>
      </c>
      <c r="I356" s="3">
        <v>1.0</v>
      </c>
      <c r="J356" s="3">
        <v>1.0</v>
      </c>
      <c r="K356" s="3">
        <v>1.0</v>
      </c>
      <c r="L356" s="3">
        <v>1.0</v>
      </c>
      <c r="M356" s="3">
        <v>1.0</v>
      </c>
      <c r="N356" s="3">
        <v>1.0</v>
      </c>
      <c r="O356" s="3">
        <v>1.0</v>
      </c>
      <c r="P356" s="3">
        <v>0.0</v>
      </c>
      <c r="Q356" s="3">
        <v>1.0</v>
      </c>
      <c r="R356" s="3">
        <v>0.0</v>
      </c>
      <c r="S356" s="3">
        <v>1.0</v>
      </c>
      <c r="T356" s="3">
        <v>1.0</v>
      </c>
      <c r="U356" s="3">
        <v>0.0</v>
      </c>
      <c r="V356" s="3">
        <v>1.0</v>
      </c>
      <c r="W356" s="3" t="s">
        <v>1937</v>
      </c>
      <c r="X356" s="3" t="s">
        <v>1405</v>
      </c>
      <c r="Y356" s="3" t="s">
        <v>1406</v>
      </c>
      <c r="Z356" s="3" t="s">
        <v>1372</v>
      </c>
      <c r="AA356" s="3" t="s">
        <v>1407</v>
      </c>
      <c r="AB356" s="3" t="s">
        <v>1374</v>
      </c>
      <c r="AC356" s="3" t="s">
        <v>1400</v>
      </c>
      <c r="AD356" s="3" t="s">
        <v>1506</v>
      </c>
      <c r="AE356" s="3" t="s">
        <v>1409</v>
      </c>
      <c r="AF356" s="3">
        <v>-0.017</v>
      </c>
      <c r="AG356" s="3">
        <v>-0.05</v>
      </c>
      <c r="AH356" s="3">
        <v>0.161</v>
      </c>
      <c r="AI356" s="3">
        <v>0.0</v>
      </c>
      <c r="AJ356" s="3">
        <v>12.803</v>
      </c>
      <c r="AK356" s="3" t="s">
        <v>1535</v>
      </c>
      <c r="AL356" s="3" t="s">
        <v>1519</v>
      </c>
      <c r="AM356" s="3" t="s">
        <v>1411</v>
      </c>
    </row>
    <row r="357" ht="15.75" customHeight="1">
      <c r="A357" s="3">
        <v>1.7304E12</v>
      </c>
      <c r="B357" s="3">
        <v>0.0</v>
      </c>
      <c r="C357" s="3" t="s">
        <v>1938</v>
      </c>
      <c r="D357" s="3" t="s">
        <v>1369</v>
      </c>
      <c r="E357" s="3" t="s">
        <v>1938</v>
      </c>
      <c r="F357" s="3">
        <v>0.0</v>
      </c>
      <c r="G357" s="3">
        <v>0.0</v>
      </c>
      <c r="H357" s="3">
        <v>0.0</v>
      </c>
      <c r="I357" s="3">
        <v>0.0</v>
      </c>
      <c r="J357" s="3">
        <v>0.0</v>
      </c>
      <c r="K357" s="3">
        <v>0.0</v>
      </c>
      <c r="L357" s="3">
        <v>0.0</v>
      </c>
      <c r="M357" s="3">
        <v>0.0</v>
      </c>
      <c r="N357" s="3">
        <v>0.0</v>
      </c>
      <c r="O357" s="3">
        <v>0.0</v>
      </c>
      <c r="P357" s="3">
        <v>0.0</v>
      </c>
      <c r="Q357" s="3">
        <v>0.0</v>
      </c>
      <c r="R357" s="3">
        <v>0.0</v>
      </c>
      <c r="S357" s="3">
        <v>0.0</v>
      </c>
      <c r="T357" s="3">
        <v>0.0</v>
      </c>
      <c r="U357" s="3">
        <v>0.0</v>
      </c>
      <c r="V357" s="3">
        <v>0.0</v>
      </c>
      <c r="W357" s="3" t="s">
        <v>1939</v>
      </c>
      <c r="Z357" s="3" t="s">
        <v>1807</v>
      </c>
      <c r="AB357" s="3" t="s">
        <v>1374</v>
      </c>
      <c r="AC357" s="3" t="s">
        <v>1374</v>
      </c>
      <c r="AD357" s="3" t="s">
        <v>1401</v>
      </c>
      <c r="AE357" s="3" t="s">
        <v>1940</v>
      </c>
      <c r="AH357" s="3">
        <v>0.316</v>
      </c>
      <c r="AK357" s="3" t="s">
        <v>1941</v>
      </c>
    </row>
    <row r="358" ht="15.75" customHeight="1">
      <c r="A358" s="3">
        <v>1.73031E12</v>
      </c>
      <c r="B358" s="3">
        <v>17.0</v>
      </c>
      <c r="C358" s="3" t="s">
        <v>273</v>
      </c>
      <c r="D358" s="3" t="s">
        <v>1369</v>
      </c>
      <c r="E358" s="3" t="s">
        <v>273</v>
      </c>
      <c r="F358" s="3">
        <v>1.0</v>
      </c>
      <c r="G358" s="3">
        <v>1.0</v>
      </c>
      <c r="H358" s="3">
        <v>1.0</v>
      </c>
      <c r="I358" s="3">
        <v>1.0</v>
      </c>
      <c r="J358" s="3">
        <v>1.0</v>
      </c>
      <c r="K358" s="3">
        <v>1.0</v>
      </c>
      <c r="L358" s="3">
        <v>1.0</v>
      </c>
      <c r="M358" s="3">
        <v>1.0</v>
      </c>
      <c r="N358" s="3">
        <v>1.0</v>
      </c>
      <c r="O358" s="3">
        <v>1.0</v>
      </c>
      <c r="P358" s="3">
        <v>1.0</v>
      </c>
      <c r="Q358" s="3">
        <v>1.0</v>
      </c>
      <c r="R358" s="3">
        <v>1.0</v>
      </c>
      <c r="S358" s="3">
        <v>1.0</v>
      </c>
      <c r="T358" s="3">
        <v>1.0</v>
      </c>
      <c r="U358" s="3">
        <v>1.0</v>
      </c>
      <c r="V358" s="3">
        <v>1.0</v>
      </c>
      <c r="W358" s="3" t="s">
        <v>1077</v>
      </c>
      <c r="X358" s="3" t="s">
        <v>1447</v>
      </c>
      <c r="Y358" s="3" t="s">
        <v>1448</v>
      </c>
      <c r="Z358" s="3" t="s">
        <v>1372</v>
      </c>
      <c r="AA358" s="3" t="s">
        <v>1450</v>
      </c>
      <c r="AB358" s="3" t="s">
        <v>1374</v>
      </c>
      <c r="AC358" s="3" t="s">
        <v>1451</v>
      </c>
      <c r="AD358" s="3" t="s">
        <v>1452</v>
      </c>
      <c r="AE358" s="3" t="s">
        <v>1453</v>
      </c>
      <c r="AF358" s="3">
        <v>0.035</v>
      </c>
      <c r="AG358" s="3">
        <v>0.228</v>
      </c>
      <c r="AH358" s="3">
        <v>0.375</v>
      </c>
      <c r="AI358" s="3">
        <v>48.389</v>
      </c>
      <c r="AJ358" s="3">
        <v>6.692</v>
      </c>
      <c r="AK358" s="3" t="s">
        <v>1599</v>
      </c>
      <c r="AL358" s="3">
        <v>0.169</v>
      </c>
      <c r="AM358" s="3" t="s">
        <v>1455</v>
      </c>
    </row>
    <row r="359" ht="15.75" customHeight="1">
      <c r="A359" s="3">
        <v>1.73029E12</v>
      </c>
      <c r="B359" s="3">
        <v>15.0</v>
      </c>
      <c r="C359" s="3" t="s">
        <v>509</v>
      </c>
      <c r="D359" s="3" t="s">
        <v>1369</v>
      </c>
      <c r="E359" s="3" t="s">
        <v>509</v>
      </c>
      <c r="F359" s="3">
        <v>1.0</v>
      </c>
      <c r="G359" s="3">
        <v>1.0</v>
      </c>
      <c r="H359" s="3">
        <v>1.0</v>
      </c>
      <c r="I359" s="3">
        <v>1.0</v>
      </c>
      <c r="J359" s="3">
        <v>1.0</v>
      </c>
      <c r="K359" s="3">
        <v>1.0</v>
      </c>
      <c r="L359" s="3">
        <v>1.0</v>
      </c>
      <c r="M359" s="3">
        <v>1.0</v>
      </c>
      <c r="N359" s="3">
        <v>1.0</v>
      </c>
      <c r="O359" s="3">
        <v>1.0</v>
      </c>
      <c r="P359" s="3">
        <v>0.0</v>
      </c>
      <c r="Q359" s="3">
        <v>1.0</v>
      </c>
      <c r="R359" s="3">
        <v>1.0</v>
      </c>
      <c r="S359" s="3">
        <v>0.0</v>
      </c>
      <c r="T359" s="3">
        <v>1.0</v>
      </c>
      <c r="U359" s="3">
        <v>1.0</v>
      </c>
      <c r="V359" s="3">
        <v>1.0</v>
      </c>
      <c r="W359" s="3" t="s">
        <v>225</v>
      </c>
      <c r="X359" s="3" t="s">
        <v>1489</v>
      </c>
      <c r="Y359" s="3" t="s">
        <v>1490</v>
      </c>
      <c r="Z359" s="3" t="s">
        <v>1431</v>
      </c>
      <c r="AA359" s="3" t="s">
        <v>1491</v>
      </c>
      <c r="AB359" s="3" t="s">
        <v>1374</v>
      </c>
      <c r="AC359" s="3" t="s">
        <v>1451</v>
      </c>
      <c r="AD359" s="3" t="s">
        <v>1492</v>
      </c>
      <c r="AE359" s="3" t="s">
        <v>1493</v>
      </c>
      <c r="AF359" s="3">
        <v>0.055</v>
      </c>
      <c r="AG359" s="3" t="s">
        <v>1394</v>
      </c>
      <c r="AH359" s="3" t="s">
        <v>1394</v>
      </c>
      <c r="AI359" s="3" t="s">
        <v>1394</v>
      </c>
      <c r="AJ359" s="3" t="s">
        <v>1394</v>
      </c>
      <c r="AK359" s="3" t="s">
        <v>1494</v>
      </c>
      <c r="AL359" s="3" t="s">
        <v>1394</v>
      </c>
      <c r="AM359" s="3" t="s">
        <v>1495</v>
      </c>
    </row>
    <row r="360" ht="15.75" customHeight="1">
      <c r="A360" s="3">
        <v>1.73037E12</v>
      </c>
      <c r="B360" s="3">
        <v>17.0</v>
      </c>
      <c r="C360" s="3" t="s">
        <v>942</v>
      </c>
      <c r="D360" s="3" t="s">
        <v>1369</v>
      </c>
      <c r="E360" s="3" t="s">
        <v>942</v>
      </c>
      <c r="F360" s="3">
        <v>1.0</v>
      </c>
      <c r="G360" s="3">
        <v>1.0</v>
      </c>
      <c r="H360" s="3">
        <v>1.0</v>
      </c>
      <c r="I360" s="3">
        <v>1.0</v>
      </c>
      <c r="J360" s="3">
        <v>1.0</v>
      </c>
      <c r="K360" s="3">
        <v>1.0</v>
      </c>
      <c r="L360" s="3">
        <v>1.0</v>
      </c>
      <c r="M360" s="3">
        <v>1.0</v>
      </c>
      <c r="N360" s="3">
        <v>1.0</v>
      </c>
      <c r="O360" s="3">
        <v>1.0</v>
      </c>
      <c r="P360" s="3">
        <v>1.0</v>
      </c>
      <c r="Q360" s="3">
        <v>1.0</v>
      </c>
      <c r="R360" s="3">
        <v>1.0</v>
      </c>
      <c r="S360" s="3">
        <v>1.0</v>
      </c>
      <c r="T360" s="3">
        <v>1.0</v>
      </c>
      <c r="U360" s="3">
        <v>1.0</v>
      </c>
      <c r="V360" s="3">
        <v>1.0</v>
      </c>
      <c r="W360" s="3" t="s">
        <v>1086</v>
      </c>
      <c r="X360" s="3" t="s">
        <v>1379</v>
      </c>
      <c r="Y360" s="3" t="s">
        <v>1380</v>
      </c>
      <c r="Z360" s="3" t="s">
        <v>1372</v>
      </c>
      <c r="AA360" s="3" t="s">
        <v>1382</v>
      </c>
      <c r="AB360" s="3" t="s">
        <v>1374</v>
      </c>
      <c r="AC360" s="3" t="s">
        <v>1400</v>
      </c>
      <c r="AD360" s="3" t="s">
        <v>1425</v>
      </c>
      <c r="AE360" s="3" t="s">
        <v>1385</v>
      </c>
      <c r="AF360" s="3">
        <v>0.191</v>
      </c>
      <c r="AG360" s="3">
        <v>2.348</v>
      </c>
      <c r="AH360" s="3">
        <v>0.197</v>
      </c>
      <c r="AI360" s="3">
        <v>63.713</v>
      </c>
      <c r="AJ360" s="3">
        <v>0.302</v>
      </c>
      <c r="AK360" s="3" t="s">
        <v>1942</v>
      </c>
      <c r="AL360" s="3">
        <v>0.198</v>
      </c>
      <c r="AM360" s="3" t="s">
        <v>1387</v>
      </c>
    </row>
    <row r="361" ht="15.75" customHeight="1">
      <c r="A361" s="3">
        <v>1.73035E12</v>
      </c>
      <c r="B361" s="3">
        <v>17.0</v>
      </c>
      <c r="C361" s="3" t="s">
        <v>740</v>
      </c>
      <c r="D361" s="3" t="s">
        <v>1369</v>
      </c>
      <c r="E361" s="3" t="s">
        <v>740</v>
      </c>
      <c r="F361" s="3">
        <v>1.0</v>
      </c>
      <c r="G361" s="3">
        <v>1.0</v>
      </c>
      <c r="H361" s="3">
        <v>1.0</v>
      </c>
      <c r="I361" s="3">
        <v>1.0</v>
      </c>
      <c r="J361" s="3">
        <v>1.0</v>
      </c>
      <c r="K361" s="3">
        <v>1.0</v>
      </c>
      <c r="L361" s="3">
        <v>1.0</v>
      </c>
      <c r="M361" s="3">
        <v>1.0</v>
      </c>
      <c r="N361" s="3">
        <v>1.0</v>
      </c>
      <c r="O361" s="3">
        <v>1.0</v>
      </c>
      <c r="P361" s="3">
        <v>1.0</v>
      </c>
      <c r="Q361" s="3">
        <v>1.0</v>
      </c>
      <c r="R361" s="3">
        <v>1.0</v>
      </c>
      <c r="S361" s="3">
        <v>1.0</v>
      </c>
      <c r="T361" s="3">
        <v>1.0</v>
      </c>
      <c r="U361" s="3">
        <v>1.0</v>
      </c>
      <c r="V361" s="3">
        <v>1.0</v>
      </c>
      <c r="W361" s="3" t="s">
        <v>1079</v>
      </c>
      <c r="X361" s="3" t="s">
        <v>1370</v>
      </c>
      <c r="Y361" s="3" t="s">
        <v>1371</v>
      </c>
      <c r="Z361" s="3" t="s">
        <v>1943</v>
      </c>
      <c r="AA361" s="3" t="s">
        <v>1734</v>
      </c>
      <c r="AB361" s="3" t="s">
        <v>1374</v>
      </c>
      <c r="AC361" s="3" t="s">
        <v>1734</v>
      </c>
      <c r="AD361" s="3" t="s">
        <v>1944</v>
      </c>
      <c r="AE361" s="3" t="s">
        <v>1945</v>
      </c>
      <c r="AF361" s="3">
        <v>0.563</v>
      </c>
      <c r="AG361" s="3">
        <v>2.869</v>
      </c>
      <c r="AH361" s="3">
        <v>0.305</v>
      </c>
      <c r="AI361" s="3">
        <v>45.257</v>
      </c>
      <c r="AJ361" s="3">
        <v>7.047</v>
      </c>
      <c r="AK361" s="3" t="s">
        <v>1377</v>
      </c>
      <c r="AL361" s="3">
        <v>0.0</v>
      </c>
      <c r="AM361" s="3" t="s">
        <v>1509</v>
      </c>
    </row>
    <row r="362" ht="15.75" customHeight="1">
      <c r="A362" s="3">
        <v>1.7304E12</v>
      </c>
      <c r="B362" s="3">
        <v>14.0</v>
      </c>
      <c r="C362" s="3" t="s">
        <v>1946</v>
      </c>
      <c r="D362" s="3" t="s">
        <v>1369</v>
      </c>
      <c r="E362" s="3" t="s">
        <v>1946</v>
      </c>
      <c r="F362" s="3">
        <v>1.0</v>
      </c>
      <c r="G362" s="3">
        <v>1.0</v>
      </c>
      <c r="H362" s="3">
        <v>1.0</v>
      </c>
      <c r="I362" s="3">
        <v>1.0</v>
      </c>
      <c r="J362" s="3">
        <v>1.0</v>
      </c>
      <c r="K362" s="3">
        <v>1.0</v>
      </c>
      <c r="L362" s="3">
        <v>1.0</v>
      </c>
      <c r="M362" s="3">
        <v>1.0</v>
      </c>
      <c r="N362" s="3">
        <v>1.0</v>
      </c>
      <c r="O362" s="3">
        <v>1.0</v>
      </c>
      <c r="P362" s="3">
        <v>1.0</v>
      </c>
      <c r="Q362" s="3">
        <v>1.0</v>
      </c>
      <c r="R362" s="3">
        <v>0.0</v>
      </c>
      <c r="S362" s="3">
        <v>1.0</v>
      </c>
      <c r="T362" s="3">
        <v>0.0</v>
      </c>
      <c r="U362" s="3">
        <v>0.0</v>
      </c>
      <c r="V362" s="3">
        <v>1.0</v>
      </c>
      <c r="W362" s="3" t="s">
        <v>1239</v>
      </c>
      <c r="X362" s="3" t="s">
        <v>1600</v>
      </c>
      <c r="Y362" s="3" t="s">
        <v>1601</v>
      </c>
      <c r="Z362" s="3" t="s">
        <v>1372</v>
      </c>
      <c r="AA362" s="3" t="s">
        <v>1407</v>
      </c>
      <c r="AB362" s="3" t="s">
        <v>1374</v>
      </c>
      <c r="AC362" s="3" t="s">
        <v>1400</v>
      </c>
      <c r="AD362" s="3" t="s">
        <v>1408</v>
      </c>
      <c r="AE362" s="3" t="s">
        <v>1602</v>
      </c>
      <c r="AF362" s="3">
        <v>0.035</v>
      </c>
      <c r="AG362" s="3">
        <v>0.103</v>
      </c>
      <c r="AH362" s="3">
        <v>0.16</v>
      </c>
      <c r="AI362" s="3">
        <v>7.321</v>
      </c>
      <c r="AJ362" s="3">
        <v>-0.351</v>
      </c>
      <c r="AK362" s="3" t="s">
        <v>1947</v>
      </c>
      <c r="AL362" s="3">
        <v>0.231</v>
      </c>
      <c r="AM362" s="3" t="s">
        <v>1411</v>
      </c>
    </row>
    <row r="363" ht="15.75" customHeight="1">
      <c r="A363" s="3">
        <v>1.73038E12</v>
      </c>
      <c r="B363" s="3">
        <v>17.0</v>
      </c>
      <c r="C363" s="3" t="s">
        <v>671</v>
      </c>
      <c r="D363" s="3" t="s">
        <v>1369</v>
      </c>
      <c r="E363" s="3" t="s">
        <v>671</v>
      </c>
      <c r="F363" s="3">
        <v>1.0</v>
      </c>
      <c r="G363" s="3">
        <v>1.0</v>
      </c>
      <c r="H363" s="3">
        <v>1.0</v>
      </c>
      <c r="I363" s="3">
        <v>1.0</v>
      </c>
      <c r="J363" s="3">
        <v>1.0</v>
      </c>
      <c r="K363" s="3">
        <v>1.0</v>
      </c>
      <c r="L363" s="3">
        <v>1.0</v>
      </c>
      <c r="M363" s="3">
        <v>1.0</v>
      </c>
      <c r="N363" s="3">
        <v>1.0</v>
      </c>
      <c r="O363" s="3">
        <v>1.0</v>
      </c>
      <c r="P363" s="3">
        <v>1.0</v>
      </c>
      <c r="Q363" s="3">
        <v>1.0</v>
      </c>
      <c r="R363" s="3">
        <v>1.0</v>
      </c>
      <c r="S363" s="3">
        <v>1.0</v>
      </c>
      <c r="T363" s="3">
        <v>1.0</v>
      </c>
      <c r="U363" s="3">
        <v>1.0</v>
      </c>
      <c r="V363" s="3">
        <v>1.0</v>
      </c>
      <c r="W363" s="3" t="s">
        <v>1262</v>
      </c>
      <c r="X363" s="3" t="s">
        <v>1370</v>
      </c>
      <c r="Y363" s="3" t="s">
        <v>1371</v>
      </c>
      <c r="Z363" s="3" t="s">
        <v>1372</v>
      </c>
      <c r="AA363" s="3" t="s">
        <v>1373</v>
      </c>
      <c r="AB363" s="3" t="s">
        <v>1374</v>
      </c>
      <c r="AC363" s="3" t="s">
        <v>1451</v>
      </c>
      <c r="AD363" s="3" t="s">
        <v>1375</v>
      </c>
      <c r="AE363" s="3" t="s">
        <v>1376</v>
      </c>
      <c r="AF363" s="3">
        <v>0.555</v>
      </c>
      <c r="AG363" s="3">
        <v>2.825</v>
      </c>
      <c r="AH363" s="3" t="s">
        <v>1394</v>
      </c>
      <c r="AI363" s="3">
        <v>47.318</v>
      </c>
      <c r="AJ363" s="3">
        <v>7.233</v>
      </c>
      <c r="AK363" s="3" t="s">
        <v>1647</v>
      </c>
      <c r="AL363" s="3">
        <v>0.11</v>
      </c>
      <c r="AM363" s="3" t="s">
        <v>1509</v>
      </c>
    </row>
    <row r="364" ht="15.75" customHeight="1">
      <c r="A364" s="3">
        <v>1.73035E12</v>
      </c>
      <c r="B364" s="3">
        <v>17.0</v>
      </c>
      <c r="C364" s="3" t="s">
        <v>569</v>
      </c>
      <c r="D364" s="3" t="s">
        <v>1369</v>
      </c>
      <c r="E364" s="3" t="s">
        <v>569</v>
      </c>
      <c r="F364" s="3">
        <v>1.0</v>
      </c>
      <c r="G364" s="3">
        <v>1.0</v>
      </c>
      <c r="H364" s="3">
        <v>1.0</v>
      </c>
      <c r="I364" s="3">
        <v>1.0</v>
      </c>
      <c r="J364" s="3">
        <v>1.0</v>
      </c>
      <c r="K364" s="3">
        <v>1.0</v>
      </c>
      <c r="L364" s="3">
        <v>1.0</v>
      </c>
      <c r="M364" s="3">
        <v>1.0</v>
      </c>
      <c r="N364" s="3">
        <v>1.0</v>
      </c>
      <c r="O364" s="3">
        <v>1.0</v>
      </c>
      <c r="P364" s="3">
        <v>1.0</v>
      </c>
      <c r="Q364" s="3">
        <v>1.0</v>
      </c>
      <c r="R364" s="3">
        <v>1.0</v>
      </c>
      <c r="S364" s="3">
        <v>1.0</v>
      </c>
      <c r="T364" s="3">
        <v>1.0</v>
      </c>
      <c r="U364" s="3">
        <v>1.0</v>
      </c>
      <c r="V364" s="3">
        <v>1.0</v>
      </c>
      <c r="W364" s="3" t="s">
        <v>1004</v>
      </c>
      <c r="X364" s="3" t="s">
        <v>1421</v>
      </c>
      <c r="Y364" s="3" t="s">
        <v>1422</v>
      </c>
      <c r="Z364" s="3" t="s">
        <v>1423</v>
      </c>
      <c r="AA364" s="3" t="s">
        <v>1424</v>
      </c>
      <c r="AB364" s="3" t="s">
        <v>1374</v>
      </c>
      <c r="AC364" s="3" t="s">
        <v>1391</v>
      </c>
      <c r="AD364" s="3" t="s">
        <v>1425</v>
      </c>
      <c r="AE364" s="3" t="s">
        <v>1426</v>
      </c>
      <c r="AF364" s="3">
        <v>0.051</v>
      </c>
      <c r="AG364" s="3">
        <v>0.209</v>
      </c>
      <c r="AH364" s="3">
        <v>0.345</v>
      </c>
      <c r="AI364" s="3">
        <v>-29.407</v>
      </c>
      <c r="AJ364" s="3">
        <v>0.523</v>
      </c>
      <c r="AK364" s="3" t="s">
        <v>1427</v>
      </c>
      <c r="AL364" s="3">
        <v>0.189</v>
      </c>
      <c r="AM364" s="3" t="s">
        <v>1428</v>
      </c>
    </row>
    <row r="365" ht="15.75" customHeight="1">
      <c r="A365" s="3">
        <v>1.73013E12</v>
      </c>
      <c r="B365" s="3">
        <v>13.0</v>
      </c>
      <c r="C365" s="3" t="s">
        <v>1948</v>
      </c>
      <c r="D365" s="3" t="s">
        <v>1369</v>
      </c>
      <c r="E365" s="3" t="s">
        <v>1948</v>
      </c>
      <c r="F365" s="3">
        <v>1.0</v>
      </c>
      <c r="G365" s="3">
        <v>1.0</v>
      </c>
      <c r="H365" s="3">
        <v>1.0</v>
      </c>
      <c r="I365" s="3">
        <v>1.0</v>
      </c>
      <c r="J365" s="3">
        <v>1.0</v>
      </c>
      <c r="K365" s="3">
        <v>1.0</v>
      </c>
      <c r="L365" s="3">
        <v>1.0</v>
      </c>
      <c r="M365" s="3">
        <v>1.0</v>
      </c>
      <c r="N365" s="3">
        <v>1.0</v>
      </c>
      <c r="O365" s="3">
        <v>1.0</v>
      </c>
      <c r="P365" s="3">
        <v>1.0</v>
      </c>
      <c r="Q365" s="3">
        <v>0.0</v>
      </c>
      <c r="R365" s="3">
        <v>0.0</v>
      </c>
      <c r="S365" s="3">
        <v>0.0</v>
      </c>
      <c r="T365" s="3">
        <v>1.0</v>
      </c>
      <c r="U365" s="3">
        <v>0.0</v>
      </c>
      <c r="V365" s="3">
        <v>1.0</v>
      </c>
      <c r="W365" s="3" t="s">
        <v>434</v>
      </c>
      <c r="X365" s="3" t="s">
        <v>1379</v>
      </c>
      <c r="Y365" s="3" t="s">
        <v>1380</v>
      </c>
      <c r="Z365" s="3" t="s">
        <v>1372</v>
      </c>
      <c r="AA365" s="3" t="s">
        <v>1382</v>
      </c>
      <c r="AB365" s="3" t="s">
        <v>1374</v>
      </c>
      <c r="AC365" s="3" t="s">
        <v>1400</v>
      </c>
      <c r="AD365" s="3" t="s">
        <v>1425</v>
      </c>
      <c r="AE365" s="3" t="s">
        <v>1385</v>
      </c>
      <c r="AF365" s="3">
        <v>0.191</v>
      </c>
      <c r="AG365" s="3">
        <v>2.343</v>
      </c>
      <c r="AH365" s="3">
        <v>0.2</v>
      </c>
      <c r="AI365" s="3">
        <v>64.31</v>
      </c>
      <c r="AJ365" s="3">
        <v>0.298</v>
      </c>
      <c r="AK365" s="3" t="s">
        <v>1949</v>
      </c>
      <c r="AL365" s="3">
        <v>0.191</v>
      </c>
      <c r="AM365" s="3" t="s">
        <v>1387</v>
      </c>
    </row>
    <row r="366" ht="15.75" customHeight="1">
      <c r="A366" s="3">
        <v>1.73038E12</v>
      </c>
      <c r="B366" s="3">
        <v>16.0</v>
      </c>
      <c r="C366" s="3" t="s">
        <v>901</v>
      </c>
      <c r="D366" s="3" t="s">
        <v>1369</v>
      </c>
      <c r="E366" s="3" t="s">
        <v>901</v>
      </c>
      <c r="F366" s="3">
        <v>1.0</v>
      </c>
      <c r="G366" s="3">
        <v>1.0</v>
      </c>
      <c r="H366" s="3">
        <v>1.0</v>
      </c>
      <c r="I366" s="3">
        <v>1.0</v>
      </c>
      <c r="J366" s="3">
        <v>1.0</v>
      </c>
      <c r="K366" s="3">
        <v>1.0</v>
      </c>
      <c r="L366" s="3">
        <v>1.0</v>
      </c>
      <c r="M366" s="3">
        <v>1.0</v>
      </c>
      <c r="N366" s="3">
        <v>1.0</v>
      </c>
      <c r="O366" s="3">
        <v>1.0</v>
      </c>
      <c r="P366" s="3">
        <v>1.0</v>
      </c>
      <c r="Q366" s="3">
        <v>1.0</v>
      </c>
      <c r="R366" s="3">
        <v>1.0</v>
      </c>
      <c r="S366" s="3">
        <v>0.0</v>
      </c>
      <c r="T366" s="3">
        <v>1.0</v>
      </c>
      <c r="U366" s="3">
        <v>1.0</v>
      </c>
      <c r="V366" s="3">
        <v>1.0</v>
      </c>
      <c r="W366" s="3" t="s">
        <v>1172</v>
      </c>
      <c r="X366" s="3" t="s">
        <v>1405</v>
      </c>
      <c r="Y366" s="3" t="s">
        <v>1406</v>
      </c>
      <c r="Z366" s="3" t="s">
        <v>1372</v>
      </c>
      <c r="AA366" s="3" t="s">
        <v>1407</v>
      </c>
      <c r="AB366" s="3" t="s">
        <v>1374</v>
      </c>
      <c r="AC366" s="3" t="s">
        <v>1400</v>
      </c>
      <c r="AD366" s="3" t="s">
        <v>1506</v>
      </c>
      <c r="AE366" s="3" t="s">
        <v>1409</v>
      </c>
      <c r="AF366" s="3">
        <v>-0.017</v>
      </c>
      <c r="AG366" s="3">
        <v>-0.048</v>
      </c>
      <c r="AH366" s="3">
        <v>0.16</v>
      </c>
      <c r="AI366" s="3">
        <v>-175.035</v>
      </c>
      <c r="AJ366" s="3">
        <v>1.544</v>
      </c>
      <c r="AK366" s="3" t="s">
        <v>1535</v>
      </c>
      <c r="AL366" s="3">
        <v>0.255</v>
      </c>
      <c r="AM366" s="3" t="s">
        <v>1411</v>
      </c>
    </row>
    <row r="367" ht="15.75" customHeight="1">
      <c r="A367" s="3">
        <v>1.7304E12</v>
      </c>
      <c r="B367" s="3">
        <v>14.0</v>
      </c>
      <c r="C367" s="3" t="s">
        <v>1950</v>
      </c>
      <c r="D367" s="3" t="s">
        <v>1369</v>
      </c>
      <c r="E367" s="3" t="s">
        <v>1950</v>
      </c>
      <c r="F367" s="3">
        <v>1.0</v>
      </c>
      <c r="G367" s="3">
        <v>1.0</v>
      </c>
      <c r="H367" s="3">
        <v>1.0</v>
      </c>
      <c r="I367" s="3">
        <v>1.0</v>
      </c>
      <c r="J367" s="3">
        <v>1.0</v>
      </c>
      <c r="K367" s="3">
        <v>1.0</v>
      </c>
      <c r="L367" s="3">
        <v>1.0</v>
      </c>
      <c r="M367" s="3">
        <v>1.0</v>
      </c>
      <c r="N367" s="3">
        <v>1.0</v>
      </c>
      <c r="O367" s="3">
        <v>1.0</v>
      </c>
      <c r="P367" s="3">
        <v>1.0</v>
      </c>
      <c r="Q367" s="3">
        <v>0.0</v>
      </c>
      <c r="R367" s="3">
        <v>0.0</v>
      </c>
      <c r="S367" s="3">
        <v>1.0</v>
      </c>
      <c r="T367" s="3">
        <v>1.0</v>
      </c>
      <c r="U367" s="3">
        <v>0.0</v>
      </c>
      <c r="V367" s="3">
        <v>1.0</v>
      </c>
      <c r="W367" s="3" t="s">
        <v>785</v>
      </c>
      <c r="X367" s="3" t="s">
        <v>1456</v>
      </c>
      <c r="Y367" s="3" t="s">
        <v>1457</v>
      </c>
      <c r="Z367" s="3" t="s">
        <v>1431</v>
      </c>
      <c r="AA367" s="3" t="s">
        <v>1458</v>
      </c>
      <c r="AB367" s="3" t="s">
        <v>1374</v>
      </c>
      <c r="AC367" s="3" t="s">
        <v>1374</v>
      </c>
      <c r="AD367" s="3" t="s">
        <v>1392</v>
      </c>
      <c r="AE367" s="3" t="s">
        <v>1459</v>
      </c>
      <c r="AF367" s="3">
        <v>0.076</v>
      </c>
      <c r="AG367" s="3">
        <v>0.61</v>
      </c>
      <c r="AH367" s="3">
        <v>0.287</v>
      </c>
      <c r="AI367" s="3">
        <v>108.874</v>
      </c>
      <c r="AJ367" s="3">
        <v>3.193</v>
      </c>
      <c r="AK367" s="3" t="s">
        <v>1463</v>
      </c>
      <c r="AL367" s="3">
        <v>0.08</v>
      </c>
      <c r="AM367" s="3" t="s">
        <v>1461</v>
      </c>
    </row>
    <row r="368" ht="15.75" customHeight="1">
      <c r="A368" s="3">
        <v>1.7304E12</v>
      </c>
      <c r="B368" s="3">
        <v>14.0</v>
      </c>
      <c r="C368" s="3" t="s">
        <v>1951</v>
      </c>
      <c r="D368" s="3" t="s">
        <v>1369</v>
      </c>
      <c r="E368" s="3" t="s">
        <v>1951</v>
      </c>
      <c r="F368" s="3">
        <v>1.0</v>
      </c>
      <c r="G368" s="3">
        <v>1.0</v>
      </c>
      <c r="H368" s="3">
        <v>1.0</v>
      </c>
      <c r="I368" s="3">
        <v>1.0</v>
      </c>
      <c r="J368" s="3">
        <v>1.0</v>
      </c>
      <c r="K368" s="3">
        <v>1.0</v>
      </c>
      <c r="L368" s="3">
        <v>1.0</v>
      </c>
      <c r="M368" s="3">
        <v>1.0</v>
      </c>
      <c r="N368" s="3">
        <v>1.0</v>
      </c>
      <c r="O368" s="3">
        <v>1.0</v>
      </c>
      <c r="P368" s="3">
        <v>1.0</v>
      </c>
      <c r="Q368" s="3">
        <v>0.0</v>
      </c>
      <c r="R368" s="3">
        <v>0.0</v>
      </c>
      <c r="S368" s="3">
        <v>1.0</v>
      </c>
      <c r="T368" s="3">
        <v>1.0</v>
      </c>
      <c r="U368" s="3">
        <v>0.0</v>
      </c>
      <c r="V368" s="3">
        <v>1.0</v>
      </c>
      <c r="W368" s="3" t="s">
        <v>345</v>
      </c>
      <c r="X368" s="3" t="s">
        <v>1542</v>
      </c>
      <c r="Y368" s="3" t="s">
        <v>1543</v>
      </c>
      <c r="Z368" s="3" t="s">
        <v>1423</v>
      </c>
      <c r="AA368" s="3" t="s">
        <v>1544</v>
      </c>
      <c r="AB368" s="3" t="s">
        <v>1374</v>
      </c>
      <c r="AC368" s="3" t="s">
        <v>1451</v>
      </c>
      <c r="AD368" s="3" t="s">
        <v>1545</v>
      </c>
      <c r="AE368" s="3" t="s">
        <v>1546</v>
      </c>
      <c r="AF368" s="3">
        <v>0.035</v>
      </c>
      <c r="AG368" s="3">
        <v>0.068</v>
      </c>
      <c r="AH368" s="3">
        <v>0.261</v>
      </c>
      <c r="AI368" s="3">
        <v>54.188</v>
      </c>
      <c r="AJ368" s="3">
        <v>-10.885</v>
      </c>
      <c r="AK368" s="3" t="s">
        <v>1547</v>
      </c>
      <c r="AL368" s="3">
        <v>0.044</v>
      </c>
      <c r="AM368" s="3" t="s">
        <v>1548</v>
      </c>
    </row>
    <row r="369" ht="15.75" customHeight="1">
      <c r="A369" s="3">
        <v>1.7304E12</v>
      </c>
      <c r="B369" s="3">
        <v>13.0</v>
      </c>
      <c r="C369" s="3" t="s">
        <v>433</v>
      </c>
      <c r="D369" s="3" t="s">
        <v>1369</v>
      </c>
      <c r="E369" s="3" t="s">
        <v>433</v>
      </c>
      <c r="F369" s="3">
        <v>1.0</v>
      </c>
      <c r="G369" s="3">
        <v>1.0</v>
      </c>
      <c r="H369" s="3">
        <v>1.0</v>
      </c>
      <c r="I369" s="3">
        <v>1.0</v>
      </c>
      <c r="J369" s="3">
        <v>1.0</v>
      </c>
      <c r="K369" s="3">
        <v>1.0</v>
      </c>
      <c r="L369" s="3">
        <v>1.0</v>
      </c>
      <c r="M369" s="3">
        <v>1.0</v>
      </c>
      <c r="N369" s="3">
        <v>1.0</v>
      </c>
      <c r="O369" s="3">
        <v>1.0</v>
      </c>
      <c r="P369" s="3">
        <v>1.0</v>
      </c>
      <c r="Q369" s="3">
        <v>0.0</v>
      </c>
      <c r="R369" s="3">
        <v>0.0</v>
      </c>
      <c r="S369" s="3">
        <v>0.0</v>
      </c>
      <c r="T369" s="3">
        <v>1.0</v>
      </c>
      <c r="U369" s="3">
        <v>0.0</v>
      </c>
      <c r="V369" s="3">
        <v>1.0</v>
      </c>
      <c r="W369" s="3" t="s">
        <v>523</v>
      </c>
      <c r="X369" s="3" t="s">
        <v>1370</v>
      </c>
      <c r="Y369" s="3" t="s">
        <v>1371</v>
      </c>
      <c r="Z369" s="3" t="s">
        <v>1372</v>
      </c>
      <c r="AA369" s="3" t="s">
        <v>1373</v>
      </c>
      <c r="AB369" s="3" t="s">
        <v>1374</v>
      </c>
      <c r="AC369" s="3" t="s">
        <v>1374</v>
      </c>
      <c r="AD369" s="3" t="s">
        <v>1375</v>
      </c>
      <c r="AE369" s="3" t="s">
        <v>1376</v>
      </c>
      <c r="AF369" s="3">
        <v>0.555</v>
      </c>
      <c r="AG369" s="3">
        <v>2.825</v>
      </c>
      <c r="AH369" s="3">
        <v>0.318</v>
      </c>
      <c r="AI369" s="3">
        <v>47.347</v>
      </c>
      <c r="AJ369" s="3">
        <v>7.215</v>
      </c>
      <c r="AK369" s="3" t="s">
        <v>1377</v>
      </c>
      <c r="AL369" s="3">
        <v>0.108</v>
      </c>
      <c r="AM369" s="3" t="s">
        <v>1509</v>
      </c>
    </row>
    <row r="370" ht="15.75" customHeight="1">
      <c r="A370" s="3">
        <v>1.73028E12</v>
      </c>
      <c r="B370" s="3">
        <v>13.0</v>
      </c>
      <c r="C370" s="3" t="s">
        <v>522</v>
      </c>
      <c r="D370" s="3" t="s">
        <v>1369</v>
      </c>
      <c r="E370" s="3" t="s">
        <v>522</v>
      </c>
      <c r="F370" s="3">
        <v>1.0</v>
      </c>
      <c r="G370" s="3">
        <v>1.0</v>
      </c>
      <c r="H370" s="3">
        <v>1.0</v>
      </c>
      <c r="I370" s="3">
        <v>1.0</v>
      </c>
      <c r="J370" s="3">
        <v>1.0</v>
      </c>
      <c r="K370" s="3">
        <v>1.0</v>
      </c>
      <c r="L370" s="3">
        <v>1.0</v>
      </c>
      <c r="M370" s="3">
        <v>1.0</v>
      </c>
      <c r="N370" s="3">
        <v>1.0</v>
      </c>
      <c r="O370" s="3">
        <v>1.0</v>
      </c>
      <c r="P370" s="3">
        <v>1.0</v>
      </c>
      <c r="Q370" s="3">
        <v>0.0</v>
      </c>
      <c r="R370" s="3">
        <v>0.0</v>
      </c>
      <c r="S370" s="3">
        <v>0.0</v>
      </c>
      <c r="T370" s="3">
        <v>1.0</v>
      </c>
      <c r="U370" s="3">
        <v>0.0</v>
      </c>
      <c r="V370" s="3">
        <v>1.0</v>
      </c>
      <c r="W370" s="3" t="s">
        <v>545</v>
      </c>
      <c r="X370" s="3" t="s">
        <v>1405</v>
      </c>
      <c r="Y370" s="3" t="s">
        <v>1406</v>
      </c>
      <c r="Z370" s="3" t="s">
        <v>1372</v>
      </c>
      <c r="AA370" s="3" t="s">
        <v>1407</v>
      </c>
      <c r="AB370" s="3" t="s">
        <v>1374</v>
      </c>
      <c r="AC370" s="3" t="s">
        <v>1400</v>
      </c>
      <c r="AD370" s="3" t="s">
        <v>1506</v>
      </c>
      <c r="AE370" s="3" t="s">
        <v>1409</v>
      </c>
      <c r="AF370" s="3">
        <v>-0.017</v>
      </c>
      <c r="AG370" s="3">
        <v>-0.05</v>
      </c>
      <c r="AH370" s="3">
        <v>0.16</v>
      </c>
      <c r="AI370" s="3">
        <v>-177.952</v>
      </c>
      <c r="AJ370" s="3">
        <v>1.669</v>
      </c>
      <c r="AK370" s="3" t="s">
        <v>1952</v>
      </c>
      <c r="AL370" s="3">
        <v>0.259</v>
      </c>
      <c r="AM370" s="3" t="s">
        <v>1411</v>
      </c>
    </row>
    <row r="371" ht="15.75" customHeight="1">
      <c r="A371" s="3">
        <v>1.7304E12</v>
      </c>
      <c r="B371" s="3">
        <v>0.0</v>
      </c>
      <c r="C371" s="3" t="s">
        <v>1953</v>
      </c>
      <c r="D371" s="3" t="s">
        <v>1369</v>
      </c>
      <c r="E371" s="3" t="s">
        <v>1953</v>
      </c>
      <c r="F371" s="3">
        <v>0.0</v>
      </c>
      <c r="G371" s="3">
        <v>0.0</v>
      </c>
      <c r="H371" s="3">
        <v>0.0</v>
      </c>
      <c r="I371" s="3">
        <v>0.0</v>
      </c>
      <c r="J371" s="3">
        <v>0.0</v>
      </c>
      <c r="K371" s="3">
        <v>0.0</v>
      </c>
      <c r="L371" s="3">
        <v>0.0</v>
      </c>
      <c r="M371" s="3">
        <v>0.0</v>
      </c>
      <c r="N371" s="3">
        <v>0.0</v>
      </c>
      <c r="O371" s="3">
        <v>0.0</v>
      </c>
      <c r="P371" s="3">
        <v>0.0</v>
      </c>
      <c r="Q371" s="3">
        <v>0.0</v>
      </c>
      <c r="R371" s="3">
        <v>0.0</v>
      </c>
      <c r="S371" s="3">
        <v>0.0</v>
      </c>
      <c r="T371" s="3">
        <v>0.0</v>
      </c>
      <c r="U371" s="3">
        <v>0.0</v>
      </c>
      <c r="V371" s="3">
        <v>0.0</v>
      </c>
      <c r="W371" s="3" t="s">
        <v>1954</v>
      </c>
      <c r="X371" s="3" t="s">
        <v>1429</v>
      </c>
      <c r="Y371" s="3" t="s">
        <v>1430</v>
      </c>
      <c r="Z371" s="3" t="s">
        <v>1423</v>
      </c>
      <c r="AA371" s="3" t="s">
        <v>1432</v>
      </c>
      <c r="AB371" s="3" t="s">
        <v>1374</v>
      </c>
      <c r="AC371" s="3" t="s">
        <v>1391</v>
      </c>
      <c r="AD371" s="3" t="s">
        <v>1433</v>
      </c>
      <c r="AE371" s="3" t="s">
        <v>1434</v>
      </c>
      <c r="AF371" s="3">
        <v>0.168</v>
      </c>
      <c r="AG371" s="3">
        <v>1.191</v>
      </c>
      <c r="AH371" s="3">
        <v>0.334</v>
      </c>
      <c r="AI371" s="3">
        <v>85.228</v>
      </c>
      <c r="AJ371" s="3">
        <v>-0.46388</v>
      </c>
      <c r="AM371" s="3" t="s">
        <v>1436</v>
      </c>
    </row>
    <row r="372" ht="15.75" customHeight="1">
      <c r="A372" s="3">
        <v>1.7304E12</v>
      </c>
      <c r="B372" s="3">
        <v>17.0</v>
      </c>
      <c r="C372" s="3" t="s">
        <v>889</v>
      </c>
      <c r="D372" s="3" t="s">
        <v>1369</v>
      </c>
      <c r="E372" s="3" t="s">
        <v>889</v>
      </c>
      <c r="F372" s="3">
        <v>1.0</v>
      </c>
      <c r="G372" s="3">
        <v>1.0</v>
      </c>
      <c r="H372" s="3">
        <v>1.0</v>
      </c>
      <c r="I372" s="3">
        <v>1.0</v>
      </c>
      <c r="J372" s="3">
        <v>1.0</v>
      </c>
      <c r="K372" s="3">
        <v>1.0</v>
      </c>
      <c r="L372" s="3">
        <v>1.0</v>
      </c>
      <c r="M372" s="3">
        <v>1.0</v>
      </c>
      <c r="N372" s="3">
        <v>1.0</v>
      </c>
      <c r="O372" s="3">
        <v>1.0</v>
      </c>
      <c r="P372" s="3">
        <v>1.0</v>
      </c>
      <c r="Q372" s="3">
        <v>1.0</v>
      </c>
      <c r="R372" s="3">
        <v>1.0</v>
      </c>
      <c r="S372" s="3">
        <v>1.0</v>
      </c>
      <c r="T372" s="3">
        <v>1.0</v>
      </c>
      <c r="U372" s="3">
        <v>1.0</v>
      </c>
      <c r="V372" s="3">
        <v>1.0</v>
      </c>
      <c r="W372" s="3" t="s">
        <v>1207</v>
      </c>
      <c r="X372" s="3" t="s">
        <v>1590</v>
      </c>
      <c r="Y372" s="3" t="s">
        <v>1591</v>
      </c>
      <c r="Z372" s="3" t="s">
        <v>1431</v>
      </c>
      <c r="AA372" s="3" t="s">
        <v>1593</v>
      </c>
      <c r="AB372" s="3" t="s">
        <v>1374</v>
      </c>
      <c r="AC372" s="3" t="s">
        <v>1374</v>
      </c>
      <c r="AD372" s="3" t="s">
        <v>1625</v>
      </c>
      <c r="AE372" s="3" t="s">
        <v>1595</v>
      </c>
      <c r="AF372" s="3">
        <v>0.188</v>
      </c>
      <c r="AG372" s="3">
        <v>2.242</v>
      </c>
      <c r="AH372" s="3">
        <v>0.38</v>
      </c>
      <c r="AI372" s="3">
        <v>-45.901</v>
      </c>
      <c r="AJ372" s="3">
        <v>7.352</v>
      </c>
      <c r="AK372" s="3" t="s">
        <v>1626</v>
      </c>
      <c r="AL372" s="3">
        <v>0.048</v>
      </c>
      <c r="AM372" s="3" t="s">
        <v>1469</v>
      </c>
    </row>
    <row r="373" ht="15.75" customHeight="1">
      <c r="A373" s="3">
        <v>1.73028E12</v>
      </c>
      <c r="B373" s="3">
        <v>17.0</v>
      </c>
      <c r="C373" s="3" t="s">
        <v>361</v>
      </c>
      <c r="D373" s="3" t="s">
        <v>1369</v>
      </c>
      <c r="E373" s="3" t="s">
        <v>361</v>
      </c>
      <c r="F373" s="3">
        <v>1.0</v>
      </c>
      <c r="G373" s="3">
        <v>1.0</v>
      </c>
      <c r="H373" s="3">
        <v>1.0</v>
      </c>
      <c r="I373" s="3">
        <v>1.0</v>
      </c>
      <c r="J373" s="3">
        <v>1.0</v>
      </c>
      <c r="K373" s="3">
        <v>1.0</v>
      </c>
      <c r="L373" s="3">
        <v>1.0</v>
      </c>
      <c r="M373" s="3">
        <v>1.0</v>
      </c>
      <c r="N373" s="3">
        <v>1.0</v>
      </c>
      <c r="O373" s="3">
        <v>1.0</v>
      </c>
      <c r="P373" s="3">
        <v>1.0</v>
      </c>
      <c r="Q373" s="3">
        <v>1.0</v>
      </c>
      <c r="R373" s="3">
        <v>1.0</v>
      </c>
      <c r="S373" s="3">
        <v>1.0</v>
      </c>
      <c r="T373" s="3">
        <v>1.0</v>
      </c>
      <c r="U373" s="3">
        <v>1.0</v>
      </c>
      <c r="V373" s="3">
        <v>1.0</v>
      </c>
      <c r="W373" s="3" t="s">
        <v>1266</v>
      </c>
      <c r="X373" s="3" t="s">
        <v>1605</v>
      </c>
      <c r="Y373" s="3" t="s">
        <v>1654</v>
      </c>
      <c r="Z373" s="3" t="s">
        <v>1955</v>
      </c>
      <c r="AA373" s="3" t="s">
        <v>1382</v>
      </c>
      <c r="AB373" s="3" t="s">
        <v>1391</v>
      </c>
      <c r="AC373" s="3" t="s">
        <v>1374</v>
      </c>
      <c r="AD373" s="3" t="s">
        <v>1655</v>
      </c>
      <c r="AE373" s="3" t="s">
        <v>1656</v>
      </c>
      <c r="AF373" s="3">
        <v>0.067</v>
      </c>
      <c r="AG373" s="3">
        <v>1.466</v>
      </c>
      <c r="AH373" s="3">
        <v>0.309</v>
      </c>
      <c r="AI373" s="3">
        <v>-821.209</v>
      </c>
      <c r="AJ373" s="3">
        <v>32.866</v>
      </c>
      <c r="AK373" s="3" t="s">
        <v>1776</v>
      </c>
      <c r="AL373" s="3">
        <v>0.078</v>
      </c>
      <c r="AM373" s="3" t="s">
        <v>1608</v>
      </c>
    </row>
    <row r="374" ht="15.75" customHeight="1">
      <c r="A374" s="3">
        <v>1.73031E12</v>
      </c>
      <c r="B374" s="3">
        <v>17.0</v>
      </c>
      <c r="C374" s="3" t="s">
        <v>212</v>
      </c>
      <c r="D374" s="3" t="s">
        <v>1369</v>
      </c>
      <c r="E374" s="3" t="s">
        <v>212</v>
      </c>
      <c r="F374" s="3">
        <v>1.0</v>
      </c>
      <c r="G374" s="3">
        <v>1.0</v>
      </c>
      <c r="H374" s="3">
        <v>1.0</v>
      </c>
      <c r="I374" s="3">
        <v>1.0</v>
      </c>
      <c r="J374" s="3">
        <v>1.0</v>
      </c>
      <c r="K374" s="3">
        <v>1.0</v>
      </c>
      <c r="L374" s="3">
        <v>1.0</v>
      </c>
      <c r="M374" s="3">
        <v>1.0</v>
      </c>
      <c r="N374" s="3">
        <v>1.0</v>
      </c>
      <c r="O374" s="3">
        <v>1.0</v>
      </c>
      <c r="P374" s="3">
        <v>1.0</v>
      </c>
      <c r="Q374" s="3">
        <v>1.0</v>
      </c>
      <c r="R374" s="3">
        <v>1.0</v>
      </c>
      <c r="S374" s="3">
        <v>1.0</v>
      </c>
      <c r="T374" s="3">
        <v>1.0</v>
      </c>
      <c r="U374" s="3">
        <v>1.0</v>
      </c>
      <c r="V374" s="3">
        <v>1.0</v>
      </c>
      <c r="W374" s="3" t="s">
        <v>1055</v>
      </c>
      <c r="X374" s="3" t="s">
        <v>1370</v>
      </c>
      <c r="Y374" s="3" t="s">
        <v>1371</v>
      </c>
      <c r="Z374" s="3" t="s">
        <v>1372</v>
      </c>
      <c r="AA374" s="3" t="s">
        <v>1373</v>
      </c>
      <c r="AB374" s="3" t="s">
        <v>1374</v>
      </c>
      <c r="AC374" s="3" t="s">
        <v>1374</v>
      </c>
      <c r="AD374" s="3" t="s">
        <v>1375</v>
      </c>
      <c r="AE374" s="3" t="s">
        <v>1376</v>
      </c>
      <c r="AF374" s="3">
        <v>0.55</v>
      </c>
      <c r="AG374" s="3">
        <v>2.781</v>
      </c>
      <c r="AH374" s="3" t="s">
        <v>1394</v>
      </c>
      <c r="AI374" s="3" t="s">
        <v>1394</v>
      </c>
      <c r="AJ374" s="3">
        <v>7.523</v>
      </c>
      <c r="AK374" s="3" t="s">
        <v>1377</v>
      </c>
      <c r="AL374" s="3" t="s">
        <v>1394</v>
      </c>
      <c r="AM374" s="3" t="s">
        <v>1509</v>
      </c>
    </row>
    <row r="375" ht="15.75" customHeight="1">
      <c r="A375" s="3">
        <v>1.73039E12</v>
      </c>
      <c r="B375" s="3">
        <v>0.0</v>
      </c>
      <c r="C375" s="3" t="s">
        <v>1956</v>
      </c>
      <c r="D375" s="3" t="s">
        <v>1369</v>
      </c>
      <c r="E375" s="3" t="s">
        <v>1956</v>
      </c>
      <c r="F375" s="3">
        <v>0.0</v>
      </c>
      <c r="G375" s="3">
        <v>0.0</v>
      </c>
      <c r="H375" s="3">
        <v>0.0</v>
      </c>
      <c r="I375" s="3">
        <v>0.0</v>
      </c>
      <c r="J375" s="3">
        <v>0.0</v>
      </c>
      <c r="K375" s="3">
        <v>0.0</v>
      </c>
      <c r="L375" s="3">
        <v>0.0</v>
      </c>
      <c r="M375" s="3">
        <v>0.0</v>
      </c>
      <c r="N375" s="3">
        <v>0.0</v>
      </c>
      <c r="O375" s="3">
        <v>0.0</v>
      </c>
      <c r="P375" s="3">
        <v>0.0</v>
      </c>
      <c r="Q375" s="3">
        <v>0.0</v>
      </c>
      <c r="R375" s="3">
        <v>0.0</v>
      </c>
      <c r="S375" s="3">
        <v>0.0</v>
      </c>
      <c r="T375" s="3">
        <v>0.0</v>
      </c>
      <c r="U375" s="3">
        <v>0.0</v>
      </c>
      <c r="V375" s="3">
        <v>0.0</v>
      </c>
      <c r="W375" s="3" t="s">
        <v>1957</v>
      </c>
    </row>
    <row r="376" ht="15.75" customHeight="1">
      <c r="A376" s="3">
        <v>1.72966E12</v>
      </c>
      <c r="B376" s="3">
        <v>17.0</v>
      </c>
      <c r="C376" s="3" t="s">
        <v>866</v>
      </c>
      <c r="D376" s="3" t="s">
        <v>1369</v>
      </c>
      <c r="E376" s="3" t="s">
        <v>866</v>
      </c>
      <c r="F376" s="3">
        <v>1.0</v>
      </c>
      <c r="G376" s="3">
        <v>1.0</v>
      </c>
      <c r="H376" s="3">
        <v>1.0</v>
      </c>
      <c r="I376" s="3">
        <v>1.0</v>
      </c>
      <c r="J376" s="3">
        <v>1.0</v>
      </c>
      <c r="K376" s="3">
        <v>1.0</v>
      </c>
      <c r="L376" s="3">
        <v>1.0</v>
      </c>
      <c r="M376" s="3">
        <v>1.0</v>
      </c>
      <c r="N376" s="3">
        <v>1.0</v>
      </c>
      <c r="O376" s="3">
        <v>1.0</v>
      </c>
      <c r="P376" s="3">
        <v>1.0</v>
      </c>
      <c r="Q376" s="3">
        <v>1.0</v>
      </c>
      <c r="R376" s="3">
        <v>1.0</v>
      </c>
      <c r="S376" s="3">
        <v>1.0</v>
      </c>
      <c r="T376" s="3">
        <v>1.0</v>
      </c>
      <c r="U376" s="3">
        <v>1.0</v>
      </c>
      <c r="V376" s="3">
        <v>1.0</v>
      </c>
      <c r="W376" s="3" t="s">
        <v>1057</v>
      </c>
      <c r="X376" s="3" t="s">
        <v>1521</v>
      </c>
      <c r="Y376" s="3" t="s">
        <v>1522</v>
      </c>
      <c r="Z376" s="3" t="s">
        <v>1372</v>
      </c>
      <c r="AA376" s="3" t="s">
        <v>1523</v>
      </c>
      <c r="AB376" s="3" t="s">
        <v>1374</v>
      </c>
      <c r="AC376" s="3" t="s">
        <v>1374</v>
      </c>
      <c r="AD376" s="3" t="s">
        <v>1958</v>
      </c>
      <c r="AE376" s="3" t="s">
        <v>1959</v>
      </c>
      <c r="AF376" s="3">
        <v>0.149</v>
      </c>
      <c r="AG376" s="3">
        <v>3.247</v>
      </c>
      <c r="AH376" s="3">
        <v>0.442</v>
      </c>
      <c r="AI376" s="3">
        <v>1064.155</v>
      </c>
      <c r="AJ376" s="3">
        <v>3.521</v>
      </c>
      <c r="AK376" s="3" t="s">
        <v>1960</v>
      </c>
      <c r="AL376" s="3">
        <v>0.075</v>
      </c>
      <c r="AM376" s="3" t="s">
        <v>1961</v>
      </c>
    </row>
    <row r="377" ht="15.75" customHeight="1">
      <c r="A377" s="3">
        <v>1.7304E12</v>
      </c>
      <c r="B377" s="3">
        <v>16.0</v>
      </c>
      <c r="C377" s="3" t="s">
        <v>873</v>
      </c>
      <c r="D377" s="3" t="s">
        <v>1369</v>
      </c>
      <c r="E377" s="3" t="s">
        <v>873</v>
      </c>
      <c r="F377" s="3">
        <v>1.0</v>
      </c>
      <c r="G377" s="3">
        <v>1.0</v>
      </c>
      <c r="H377" s="3">
        <v>1.0</v>
      </c>
      <c r="I377" s="3">
        <v>1.0</v>
      </c>
      <c r="J377" s="3">
        <v>1.0</v>
      </c>
      <c r="K377" s="3">
        <v>1.0</v>
      </c>
      <c r="L377" s="3">
        <v>1.0</v>
      </c>
      <c r="M377" s="3">
        <v>1.0</v>
      </c>
      <c r="N377" s="3">
        <v>1.0</v>
      </c>
      <c r="O377" s="3">
        <v>1.0</v>
      </c>
      <c r="P377" s="3">
        <v>1.0</v>
      </c>
      <c r="Q377" s="3">
        <v>1.0</v>
      </c>
      <c r="R377" s="3">
        <v>0.0</v>
      </c>
      <c r="S377" s="3">
        <v>1.0</v>
      </c>
      <c r="T377" s="3">
        <v>1.0</v>
      </c>
      <c r="U377" s="3">
        <v>1.0</v>
      </c>
      <c r="V377" s="3">
        <v>1.0</v>
      </c>
      <c r="W377" s="3" t="s">
        <v>1138</v>
      </c>
      <c r="X377" s="3" t="s">
        <v>1413</v>
      </c>
      <c r="Y377" s="3" t="s">
        <v>1414</v>
      </c>
      <c r="Z377" s="3" t="s">
        <v>1449</v>
      </c>
      <c r="AA377" s="3" t="s">
        <v>1415</v>
      </c>
      <c r="AB377" s="3" t="s">
        <v>1374</v>
      </c>
      <c r="AC377" s="3" t="s">
        <v>1391</v>
      </c>
      <c r="AD377" s="3" t="s">
        <v>1416</v>
      </c>
      <c r="AE377" s="3" t="s">
        <v>1417</v>
      </c>
      <c r="AF377" s="3">
        <v>-0.005</v>
      </c>
      <c r="AG377" s="3">
        <v>-0.053</v>
      </c>
      <c r="AH377" s="3">
        <v>0.46</v>
      </c>
      <c r="AI377" s="3" t="s">
        <v>1394</v>
      </c>
      <c r="AJ377" s="3">
        <v>-42.033</v>
      </c>
      <c r="AK377" s="3" t="s">
        <v>1962</v>
      </c>
      <c r="AL377" s="3">
        <v>0.075</v>
      </c>
      <c r="AM377" s="3" t="s">
        <v>1419</v>
      </c>
    </row>
    <row r="378" ht="15.75" customHeight="1">
      <c r="A378" s="3">
        <v>1.7304E12</v>
      </c>
      <c r="B378" s="3">
        <v>5.0</v>
      </c>
      <c r="C378" s="3" t="s">
        <v>735</v>
      </c>
      <c r="D378" s="3" t="s">
        <v>1369</v>
      </c>
      <c r="E378" s="3" t="s">
        <v>735</v>
      </c>
      <c r="F378" s="3">
        <v>1.0</v>
      </c>
      <c r="G378" s="3">
        <v>1.0</v>
      </c>
      <c r="H378" s="3">
        <v>1.0</v>
      </c>
      <c r="I378" s="3">
        <v>0.0</v>
      </c>
      <c r="J378" s="3">
        <v>0.0</v>
      </c>
      <c r="K378" s="3">
        <v>1.0</v>
      </c>
      <c r="L378" s="3">
        <v>0.0</v>
      </c>
      <c r="M378" s="3">
        <v>0.0</v>
      </c>
      <c r="N378" s="3">
        <v>0.0</v>
      </c>
      <c r="O378" s="3">
        <v>0.0</v>
      </c>
      <c r="P378" s="3">
        <v>0.0</v>
      </c>
      <c r="Q378" s="3">
        <v>1.0</v>
      </c>
      <c r="R378" s="3">
        <v>0.0</v>
      </c>
      <c r="S378" s="3">
        <v>0.0</v>
      </c>
      <c r="T378" s="3">
        <v>0.0</v>
      </c>
      <c r="U378" s="3">
        <v>0.0</v>
      </c>
      <c r="V378" s="3">
        <v>0.0</v>
      </c>
      <c r="W378" s="3" t="s">
        <v>1963</v>
      </c>
      <c r="X378" s="3" t="s">
        <v>1542</v>
      </c>
      <c r="Y378" s="3" t="s">
        <v>1543</v>
      </c>
      <c r="Z378" s="3" t="s">
        <v>1964</v>
      </c>
      <c r="AA378" s="3" t="s">
        <v>1965</v>
      </c>
      <c r="AB378" s="3" t="s">
        <v>1374</v>
      </c>
      <c r="AC378" s="3" t="s">
        <v>1451</v>
      </c>
      <c r="AH378" s="3" t="s">
        <v>1394</v>
      </c>
    </row>
    <row r="379" ht="15.75" customHeight="1">
      <c r="A379" s="3">
        <v>1.73038E12</v>
      </c>
      <c r="B379" s="3">
        <v>16.0</v>
      </c>
      <c r="C379" s="3" t="s">
        <v>1966</v>
      </c>
      <c r="D379" s="3" t="s">
        <v>1369</v>
      </c>
      <c r="E379" s="3" t="s">
        <v>1966</v>
      </c>
      <c r="F379" s="3">
        <v>1.0</v>
      </c>
      <c r="G379" s="3">
        <v>1.0</v>
      </c>
      <c r="H379" s="3">
        <v>1.0</v>
      </c>
      <c r="I379" s="3">
        <v>1.0</v>
      </c>
      <c r="J379" s="3">
        <v>0.0</v>
      </c>
      <c r="K379" s="3">
        <v>1.0</v>
      </c>
      <c r="L379" s="3">
        <v>1.0</v>
      </c>
      <c r="M379" s="3">
        <v>1.0</v>
      </c>
      <c r="N379" s="3">
        <v>1.0</v>
      </c>
      <c r="O379" s="3">
        <v>1.0</v>
      </c>
      <c r="P379" s="3">
        <v>1.0</v>
      </c>
      <c r="Q379" s="3">
        <v>1.0</v>
      </c>
      <c r="R379" s="3">
        <v>1.0</v>
      </c>
      <c r="S379" s="3">
        <v>1.0</v>
      </c>
      <c r="T379" s="3">
        <v>1.0</v>
      </c>
      <c r="U379" s="3">
        <v>1.0</v>
      </c>
      <c r="V379" s="3">
        <v>1.0</v>
      </c>
      <c r="W379" s="3" t="s">
        <v>1307</v>
      </c>
      <c r="X379" s="3" t="s">
        <v>1370</v>
      </c>
      <c r="Y379" s="3" t="s">
        <v>1371</v>
      </c>
      <c r="Z379" s="3" t="s">
        <v>1372</v>
      </c>
      <c r="AA379" s="3" t="s">
        <v>1967</v>
      </c>
      <c r="AB379" s="3" t="s">
        <v>1374</v>
      </c>
      <c r="AC379" s="3" t="s">
        <v>1374</v>
      </c>
      <c r="AD379" s="3" t="s">
        <v>1375</v>
      </c>
      <c r="AE379" s="3" t="s">
        <v>1376</v>
      </c>
      <c r="AF379" s="3">
        <v>0.555</v>
      </c>
      <c r="AG379" s="3">
        <v>2.825</v>
      </c>
      <c r="AH379" s="3">
        <v>0.318</v>
      </c>
      <c r="AI379" s="3">
        <v>47.295</v>
      </c>
      <c r="AJ379" s="3">
        <v>7.239</v>
      </c>
      <c r="AK379" s="3" t="s">
        <v>1377</v>
      </c>
      <c r="AL379" s="3">
        <v>0.11</v>
      </c>
      <c r="AM379" s="3" t="s">
        <v>1509</v>
      </c>
    </row>
    <row r="380" ht="15.75" customHeight="1">
      <c r="A380" s="3">
        <v>1.73037E12</v>
      </c>
      <c r="B380" s="3">
        <v>12.0</v>
      </c>
      <c r="C380" s="3" t="s">
        <v>917</v>
      </c>
      <c r="D380" s="3" t="s">
        <v>1369</v>
      </c>
      <c r="E380" s="3" t="s">
        <v>917</v>
      </c>
      <c r="F380" s="3">
        <v>1.0</v>
      </c>
      <c r="G380" s="3">
        <v>1.0</v>
      </c>
      <c r="H380" s="3">
        <v>1.0</v>
      </c>
      <c r="I380" s="3">
        <v>1.0</v>
      </c>
      <c r="J380" s="3">
        <v>1.0</v>
      </c>
      <c r="K380" s="3">
        <v>1.0</v>
      </c>
      <c r="L380" s="3">
        <v>1.0</v>
      </c>
      <c r="M380" s="3">
        <v>1.0</v>
      </c>
      <c r="N380" s="3">
        <v>1.0</v>
      </c>
      <c r="O380" s="3">
        <v>1.0</v>
      </c>
      <c r="P380" s="3">
        <v>1.0</v>
      </c>
      <c r="Q380" s="3">
        <v>0.0</v>
      </c>
      <c r="R380" s="3">
        <v>0.0</v>
      </c>
      <c r="S380" s="3">
        <v>1.0</v>
      </c>
      <c r="T380" s="3">
        <v>0.0</v>
      </c>
      <c r="U380" s="3">
        <v>0.0</v>
      </c>
      <c r="V380" s="3">
        <v>0.0</v>
      </c>
      <c r="W380" s="3" t="s">
        <v>302</v>
      </c>
      <c r="X380" s="3" t="s">
        <v>1529</v>
      </c>
      <c r="Y380" s="3" t="s">
        <v>1530</v>
      </c>
      <c r="Z380" s="3" t="s">
        <v>1449</v>
      </c>
      <c r="AA380" s="3" t="s">
        <v>1531</v>
      </c>
      <c r="AB380" s="3" t="s">
        <v>1374</v>
      </c>
      <c r="AC380" s="3" t="s">
        <v>1391</v>
      </c>
      <c r="AD380" s="3" t="s">
        <v>1532</v>
      </c>
      <c r="AE380" s="3" t="s">
        <v>1533</v>
      </c>
      <c r="AF380" s="3">
        <v>0.084</v>
      </c>
      <c r="AG380" s="3">
        <v>1.809</v>
      </c>
      <c r="AI380" s="3">
        <v>0.0</v>
      </c>
      <c r="AJ380" s="3">
        <v>-16.967</v>
      </c>
    </row>
    <row r="381" ht="15.75" customHeight="1">
      <c r="A381" s="3">
        <v>1.73034E12</v>
      </c>
      <c r="B381" s="3">
        <v>17.0</v>
      </c>
      <c r="C381" s="3" t="s">
        <v>670</v>
      </c>
      <c r="D381" s="3" t="s">
        <v>1369</v>
      </c>
      <c r="E381" s="3" t="s">
        <v>670</v>
      </c>
      <c r="F381" s="3">
        <v>1.0</v>
      </c>
      <c r="G381" s="3">
        <v>1.0</v>
      </c>
      <c r="H381" s="3">
        <v>1.0</v>
      </c>
      <c r="I381" s="3">
        <v>1.0</v>
      </c>
      <c r="J381" s="3">
        <v>1.0</v>
      </c>
      <c r="K381" s="3">
        <v>1.0</v>
      </c>
      <c r="L381" s="3">
        <v>1.0</v>
      </c>
      <c r="M381" s="3">
        <v>1.0</v>
      </c>
      <c r="N381" s="3">
        <v>1.0</v>
      </c>
      <c r="O381" s="3">
        <v>1.0</v>
      </c>
      <c r="P381" s="3">
        <v>1.0</v>
      </c>
      <c r="Q381" s="3">
        <v>1.0</v>
      </c>
      <c r="R381" s="3">
        <v>1.0</v>
      </c>
      <c r="S381" s="3">
        <v>1.0</v>
      </c>
      <c r="T381" s="3">
        <v>1.0</v>
      </c>
      <c r="U381" s="3">
        <v>1.0</v>
      </c>
      <c r="V381" s="3">
        <v>1.0</v>
      </c>
      <c r="W381" s="3" t="s">
        <v>644</v>
      </c>
      <c r="X381" s="3" t="s">
        <v>1470</v>
      </c>
      <c r="Y381" s="3" t="s">
        <v>1471</v>
      </c>
      <c r="Z381" s="3" t="s">
        <v>1372</v>
      </c>
      <c r="AA381" s="3" t="s">
        <v>1382</v>
      </c>
      <c r="AB381" s="3" t="s">
        <v>1374</v>
      </c>
      <c r="AC381" s="3" t="s">
        <v>1400</v>
      </c>
      <c r="AD381" s="3" t="s">
        <v>1472</v>
      </c>
      <c r="AE381" s="3" t="s">
        <v>1473</v>
      </c>
      <c r="AF381" s="3">
        <v>0.15</v>
      </c>
      <c r="AG381" s="3">
        <v>4.076</v>
      </c>
      <c r="AH381" s="3">
        <v>0.327</v>
      </c>
      <c r="AI381" s="3">
        <v>109.435</v>
      </c>
      <c r="AJ381" s="3">
        <v>10.792</v>
      </c>
      <c r="AK381" s="3" t="s">
        <v>1968</v>
      </c>
      <c r="AL381" s="3">
        <v>0.023</v>
      </c>
      <c r="AM381" s="3" t="s">
        <v>1475</v>
      </c>
    </row>
    <row r="382" ht="15.75" customHeight="1">
      <c r="A382" s="3">
        <v>1.73027E12</v>
      </c>
      <c r="B382" s="3">
        <v>17.0</v>
      </c>
      <c r="C382" s="3" t="s">
        <v>1969</v>
      </c>
      <c r="D382" s="3" t="s">
        <v>1369</v>
      </c>
      <c r="E382" s="3" t="s">
        <v>1969</v>
      </c>
      <c r="F382" s="3">
        <v>1.0</v>
      </c>
      <c r="G382" s="3">
        <v>1.0</v>
      </c>
      <c r="H382" s="3">
        <v>1.0</v>
      </c>
      <c r="I382" s="3">
        <v>1.0</v>
      </c>
      <c r="J382" s="3">
        <v>1.0</v>
      </c>
      <c r="K382" s="3">
        <v>1.0</v>
      </c>
      <c r="L382" s="3">
        <v>1.0</v>
      </c>
      <c r="M382" s="3">
        <v>1.0</v>
      </c>
      <c r="N382" s="3">
        <v>1.0</v>
      </c>
      <c r="O382" s="3">
        <v>1.0</v>
      </c>
      <c r="P382" s="3">
        <v>1.0</v>
      </c>
      <c r="Q382" s="3">
        <v>1.0</v>
      </c>
      <c r="R382" s="3">
        <v>1.0</v>
      </c>
      <c r="S382" s="3">
        <v>1.0</v>
      </c>
      <c r="T382" s="3">
        <v>1.0</v>
      </c>
      <c r="U382" s="3">
        <v>1.0</v>
      </c>
      <c r="V382" s="3">
        <v>1.0</v>
      </c>
      <c r="W382" s="3" t="s">
        <v>1099</v>
      </c>
      <c r="X382" s="3" t="s">
        <v>1563</v>
      </c>
      <c r="Y382" s="3" t="s">
        <v>1564</v>
      </c>
      <c r="Z382" s="3" t="s">
        <v>1449</v>
      </c>
      <c r="AA382" s="3" t="s">
        <v>1649</v>
      </c>
      <c r="AB382" s="3" t="s">
        <v>1374</v>
      </c>
      <c r="AC382" s="3" t="s">
        <v>1650</v>
      </c>
      <c r="AD382" s="3" t="s">
        <v>1566</v>
      </c>
      <c r="AE382" s="3" t="s">
        <v>1567</v>
      </c>
      <c r="AF382" s="3">
        <v>0.344</v>
      </c>
      <c r="AG382" s="3">
        <v>0.672</v>
      </c>
      <c r="AH382" s="3">
        <v>0.266</v>
      </c>
      <c r="AI382" s="3">
        <v>46.909</v>
      </c>
      <c r="AJ382" s="3">
        <v>2.466</v>
      </c>
      <c r="AK382" s="3" t="s">
        <v>1970</v>
      </c>
      <c r="AL382" s="3">
        <v>0.051</v>
      </c>
      <c r="AM382" s="3" t="s">
        <v>1569</v>
      </c>
    </row>
    <row r="383" ht="15.75" customHeight="1">
      <c r="A383" s="3">
        <v>1.73039E12</v>
      </c>
      <c r="B383" s="3">
        <v>16.0</v>
      </c>
      <c r="C383" s="3" t="s">
        <v>405</v>
      </c>
      <c r="D383" s="3" t="s">
        <v>1369</v>
      </c>
      <c r="E383" s="3" t="s">
        <v>405</v>
      </c>
      <c r="F383" s="3">
        <v>1.0</v>
      </c>
      <c r="G383" s="3">
        <v>1.0</v>
      </c>
      <c r="H383" s="3">
        <v>1.0</v>
      </c>
      <c r="I383" s="3">
        <v>1.0</v>
      </c>
      <c r="J383" s="3">
        <v>1.0</v>
      </c>
      <c r="K383" s="3">
        <v>1.0</v>
      </c>
      <c r="L383" s="3">
        <v>1.0</v>
      </c>
      <c r="M383" s="3">
        <v>1.0</v>
      </c>
      <c r="N383" s="3">
        <v>1.0</v>
      </c>
      <c r="O383" s="3">
        <v>1.0</v>
      </c>
      <c r="P383" s="3">
        <v>1.0</v>
      </c>
      <c r="Q383" s="3">
        <v>1.0</v>
      </c>
      <c r="R383" s="3">
        <v>1.0</v>
      </c>
      <c r="S383" s="3">
        <v>1.0</v>
      </c>
      <c r="T383" s="3">
        <v>0.0</v>
      </c>
      <c r="U383" s="3">
        <v>1.0</v>
      </c>
      <c r="V383" s="3">
        <v>1.0</v>
      </c>
      <c r="W383" s="3" t="s">
        <v>1112</v>
      </c>
      <c r="X383" s="3" t="s">
        <v>1464</v>
      </c>
      <c r="Y383" s="3" t="s">
        <v>1465</v>
      </c>
      <c r="Z383" s="3" t="s">
        <v>1372</v>
      </c>
      <c r="AA383" s="3" t="s">
        <v>1373</v>
      </c>
      <c r="AB383" s="3" t="s">
        <v>1374</v>
      </c>
      <c r="AC383" s="3" t="s">
        <v>1391</v>
      </c>
      <c r="AD383" s="3" t="s">
        <v>1497</v>
      </c>
      <c r="AE383" s="3" t="s">
        <v>1467</v>
      </c>
      <c r="AF383" s="3">
        <v>0.199</v>
      </c>
      <c r="AG383" s="3">
        <v>2.429</v>
      </c>
      <c r="AH383" s="3">
        <v>0.311</v>
      </c>
      <c r="AI383" s="3">
        <v>12.838</v>
      </c>
      <c r="AJ383" s="3">
        <v>-3.754</v>
      </c>
      <c r="AK383" s="3" t="s">
        <v>1971</v>
      </c>
      <c r="AL383" s="3">
        <v>0.081</v>
      </c>
      <c r="AM383" s="3" t="s">
        <v>1469</v>
      </c>
    </row>
    <row r="384" ht="15.75" customHeight="1">
      <c r="A384" s="3">
        <v>1.73039E12</v>
      </c>
      <c r="B384" s="3">
        <v>17.0</v>
      </c>
      <c r="C384" s="3" t="s">
        <v>792</v>
      </c>
      <c r="D384" s="3" t="s">
        <v>1369</v>
      </c>
      <c r="E384" s="3" t="s">
        <v>792</v>
      </c>
      <c r="F384" s="3">
        <v>1.0</v>
      </c>
      <c r="G384" s="3">
        <v>1.0</v>
      </c>
      <c r="H384" s="3">
        <v>1.0</v>
      </c>
      <c r="I384" s="3">
        <v>1.0</v>
      </c>
      <c r="J384" s="3">
        <v>1.0</v>
      </c>
      <c r="K384" s="3">
        <v>1.0</v>
      </c>
      <c r="L384" s="3">
        <v>1.0</v>
      </c>
      <c r="M384" s="3">
        <v>1.0</v>
      </c>
      <c r="N384" s="3">
        <v>1.0</v>
      </c>
      <c r="O384" s="3">
        <v>1.0</v>
      </c>
      <c r="P384" s="3">
        <v>1.0</v>
      </c>
      <c r="Q384" s="3">
        <v>1.0</v>
      </c>
      <c r="R384" s="3">
        <v>1.0</v>
      </c>
      <c r="S384" s="3">
        <v>1.0</v>
      </c>
      <c r="T384" s="3">
        <v>1.0</v>
      </c>
      <c r="U384" s="3">
        <v>1.0</v>
      </c>
      <c r="V384" s="3">
        <v>1.0</v>
      </c>
      <c r="W384" s="3" t="s">
        <v>1287</v>
      </c>
      <c r="X384" s="3" t="s">
        <v>1542</v>
      </c>
      <c r="Y384" s="3" t="s">
        <v>1543</v>
      </c>
      <c r="Z384" s="3" t="s">
        <v>1423</v>
      </c>
      <c r="AA384" s="3" t="s">
        <v>1544</v>
      </c>
      <c r="AB384" s="3" t="s">
        <v>1374</v>
      </c>
      <c r="AC384" s="3" t="s">
        <v>1451</v>
      </c>
      <c r="AD384" s="3" t="s">
        <v>1545</v>
      </c>
      <c r="AE384" s="3" t="s">
        <v>1546</v>
      </c>
      <c r="AF384" s="3">
        <v>0.035</v>
      </c>
      <c r="AG384" s="3">
        <v>0.068</v>
      </c>
      <c r="AH384" s="3" t="s">
        <v>1394</v>
      </c>
      <c r="AI384" s="3" t="s">
        <v>1394</v>
      </c>
      <c r="AJ384" s="3">
        <v>-10.304</v>
      </c>
      <c r="AK384" s="3" t="s">
        <v>1604</v>
      </c>
      <c r="AL384" s="3" t="s">
        <v>1394</v>
      </c>
      <c r="AM384" s="3" t="s">
        <v>1548</v>
      </c>
    </row>
    <row r="385" ht="15.75" customHeight="1">
      <c r="A385" s="3">
        <v>1.7304E12</v>
      </c>
      <c r="B385" s="3">
        <v>14.0</v>
      </c>
      <c r="C385" s="3" t="s">
        <v>344</v>
      </c>
      <c r="D385" s="3" t="s">
        <v>1369</v>
      </c>
      <c r="E385" s="3" t="s">
        <v>344</v>
      </c>
      <c r="F385" s="3">
        <v>1.0</v>
      </c>
      <c r="G385" s="3">
        <v>1.0</v>
      </c>
      <c r="H385" s="3">
        <v>1.0</v>
      </c>
      <c r="I385" s="3">
        <v>1.0</v>
      </c>
      <c r="J385" s="3">
        <v>1.0</v>
      </c>
      <c r="K385" s="3">
        <v>1.0</v>
      </c>
      <c r="L385" s="3">
        <v>1.0</v>
      </c>
      <c r="M385" s="3">
        <v>1.0</v>
      </c>
      <c r="N385" s="3">
        <v>1.0</v>
      </c>
      <c r="O385" s="3">
        <v>1.0</v>
      </c>
      <c r="P385" s="3">
        <v>1.0</v>
      </c>
      <c r="Q385" s="3">
        <v>0.0</v>
      </c>
      <c r="R385" s="3">
        <v>0.0</v>
      </c>
      <c r="S385" s="3">
        <v>1.0</v>
      </c>
      <c r="T385" s="3">
        <v>1.0</v>
      </c>
      <c r="U385" s="3">
        <v>0.0</v>
      </c>
      <c r="V385" s="3">
        <v>1.0</v>
      </c>
      <c r="W385" s="3" t="s">
        <v>340</v>
      </c>
      <c r="X385" s="3" t="s">
        <v>1634</v>
      </c>
      <c r="Y385" s="3" t="s">
        <v>1635</v>
      </c>
      <c r="Z385" s="3" t="s">
        <v>1449</v>
      </c>
      <c r="AA385" s="3" t="s">
        <v>1636</v>
      </c>
      <c r="AB385" s="3" t="s">
        <v>1374</v>
      </c>
      <c r="AC385" s="3" t="s">
        <v>1391</v>
      </c>
      <c r="AD385" s="3" t="s">
        <v>1680</v>
      </c>
      <c r="AE385" s="3" t="s">
        <v>1637</v>
      </c>
      <c r="AF385" s="3">
        <v>0.046</v>
      </c>
      <c r="AG385" s="3">
        <v>1.457</v>
      </c>
      <c r="AH385" s="3">
        <v>0.303</v>
      </c>
      <c r="AI385" s="3">
        <v>341.705</v>
      </c>
      <c r="AJ385" s="3">
        <v>36.447</v>
      </c>
      <c r="AK385" s="3" t="s">
        <v>1828</v>
      </c>
      <c r="AL385" s="3">
        <v>0.201</v>
      </c>
      <c r="AM385" s="3" t="s">
        <v>1469</v>
      </c>
    </row>
    <row r="386" ht="15.75" customHeight="1">
      <c r="A386" s="3">
        <v>1.7304E12</v>
      </c>
      <c r="B386" s="3">
        <v>13.0</v>
      </c>
      <c r="C386" s="3" t="s">
        <v>921</v>
      </c>
      <c r="D386" s="3" t="s">
        <v>1369</v>
      </c>
      <c r="E386" s="3" t="s">
        <v>921</v>
      </c>
      <c r="F386" s="3">
        <v>1.0</v>
      </c>
      <c r="G386" s="3">
        <v>1.0</v>
      </c>
      <c r="H386" s="3">
        <v>1.0</v>
      </c>
      <c r="I386" s="3">
        <v>1.0</v>
      </c>
      <c r="J386" s="3">
        <v>1.0</v>
      </c>
      <c r="K386" s="3">
        <v>1.0</v>
      </c>
      <c r="L386" s="3">
        <v>1.0</v>
      </c>
      <c r="M386" s="3">
        <v>1.0</v>
      </c>
      <c r="N386" s="3">
        <v>1.0</v>
      </c>
      <c r="O386" s="3">
        <v>1.0</v>
      </c>
      <c r="P386" s="3">
        <v>1.0</v>
      </c>
      <c r="Q386" s="3">
        <v>0.0</v>
      </c>
      <c r="R386" s="3">
        <v>0.0</v>
      </c>
      <c r="S386" s="3">
        <v>0.0</v>
      </c>
      <c r="T386" s="3">
        <v>1.0</v>
      </c>
      <c r="U386" s="3">
        <v>0.0</v>
      </c>
      <c r="V386" s="3">
        <v>1.0</v>
      </c>
      <c r="W386" s="3" t="s">
        <v>175</v>
      </c>
      <c r="X386" s="3" t="s">
        <v>1438</v>
      </c>
      <c r="Y386" s="3" t="s">
        <v>1439</v>
      </c>
      <c r="Z386" s="3" t="s">
        <v>1372</v>
      </c>
      <c r="AA386" s="3" t="s">
        <v>1553</v>
      </c>
      <c r="AB386" s="3" t="s">
        <v>1374</v>
      </c>
      <c r="AC386" s="3" t="s">
        <v>1391</v>
      </c>
      <c r="AD386" s="3" t="s">
        <v>1554</v>
      </c>
      <c r="AE386" s="3" t="s">
        <v>1444</v>
      </c>
      <c r="AF386" s="3">
        <v>0.082</v>
      </c>
      <c r="AG386" s="3">
        <v>0.291</v>
      </c>
      <c r="AH386" s="3">
        <v>0.221</v>
      </c>
      <c r="AI386" s="3">
        <v>243.051</v>
      </c>
      <c r="AJ386" s="3" t="s">
        <v>1394</v>
      </c>
      <c r="AK386" s="3" t="s">
        <v>1555</v>
      </c>
      <c r="AL386" s="3">
        <v>0.253</v>
      </c>
      <c r="AM386" s="3" t="s">
        <v>1446</v>
      </c>
    </row>
    <row r="387" ht="15.75" customHeight="1">
      <c r="A387" s="3">
        <v>1.73038E12</v>
      </c>
      <c r="B387" s="3">
        <v>13.0</v>
      </c>
      <c r="C387" s="3" t="s">
        <v>174</v>
      </c>
      <c r="D387" s="3" t="s">
        <v>1369</v>
      </c>
      <c r="E387" s="3" t="s">
        <v>174</v>
      </c>
      <c r="F387" s="3">
        <v>1.0</v>
      </c>
      <c r="G387" s="3">
        <v>1.0</v>
      </c>
      <c r="H387" s="3">
        <v>1.0</v>
      </c>
      <c r="I387" s="3">
        <v>1.0</v>
      </c>
      <c r="J387" s="3">
        <v>1.0</v>
      </c>
      <c r="K387" s="3">
        <v>1.0</v>
      </c>
      <c r="L387" s="3">
        <v>1.0</v>
      </c>
      <c r="M387" s="3">
        <v>1.0</v>
      </c>
      <c r="N387" s="3">
        <v>1.0</v>
      </c>
      <c r="O387" s="3">
        <v>1.0</v>
      </c>
      <c r="P387" s="3">
        <v>1.0</v>
      </c>
      <c r="Q387" s="3">
        <v>0.0</v>
      </c>
      <c r="R387" s="3">
        <v>0.0</v>
      </c>
      <c r="S387" s="3">
        <v>1.0</v>
      </c>
      <c r="T387" s="3">
        <v>1.0</v>
      </c>
      <c r="U387" s="3">
        <v>0.0</v>
      </c>
      <c r="V387" s="3">
        <v>0.0</v>
      </c>
      <c r="W387" s="3" t="s">
        <v>357</v>
      </c>
      <c r="X387" s="3" t="s">
        <v>1590</v>
      </c>
      <c r="Y387" s="3" t="s">
        <v>1591</v>
      </c>
      <c r="Z387" s="3" t="s">
        <v>1423</v>
      </c>
      <c r="AA387" s="3" t="s">
        <v>1593</v>
      </c>
      <c r="AB387" s="3" t="s">
        <v>1374</v>
      </c>
      <c r="AC387" s="3" t="s">
        <v>1374</v>
      </c>
      <c r="AD387" s="3" t="s">
        <v>1625</v>
      </c>
      <c r="AE387" s="3" t="s">
        <v>1595</v>
      </c>
      <c r="AF387" s="3">
        <v>0.188</v>
      </c>
      <c r="AG387" s="3">
        <v>2.242</v>
      </c>
      <c r="AH387" s="3">
        <v>0.377</v>
      </c>
      <c r="AI387" s="3">
        <v>45.901</v>
      </c>
      <c r="AJ387" s="3">
        <v>7.352</v>
      </c>
      <c r="AK387" s="3" t="s">
        <v>1674</v>
      </c>
      <c r="AL387" s="3">
        <v>-0.048</v>
      </c>
      <c r="AM387" s="3" t="s">
        <v>1972</v>
      </c>
    </row>
    <row r="388" ht="15.75" customHeight="1">
      <c r="A388" s="3">
        <v>1.7304E12</v>
      </c>
      <c r="B388" s="3">
        <v>6.0</v>
      </c>
      <c r="C388" s="3" t="s">
        <v>1973</v>
      </c>
      <c r="D388" s="3" t="s">
        <v>1369</v>
      </c>
      <c r="E388" s="3" t="s">
        <v>1973</v>
      </c>
      <c r="F388" s="3">
        <v>1.0</v>
      </c>
      <c r="G388" s="3">
        <v>1.0</v>
      </c>
      <c r="H388" s="3">
        <v>1.0</v>
      </c>
      <c r="I388" s="3">
        <v>0.0</v>
      </c>
      <c r="J388" s="3">
        <v>0.0</v>
      </c>
      <c r="K388" s="3">
        <v>1.0</v>
      </c>
      <c r="L388" s="3">
        <v>0.0</v>
      </c>
      <c r="M388" s="3">
        <v>0.0</v>
      </c>
      <c r="N388" s="3">
        <v>1.0</v>
      </c>
      <c r="O388" s="3">
        <v>1.0</v>
      </c>
      <c r="P388" s="3">
        <v>0.0</v>
      </c>
      <c r="Q388" s="3">
        <v>0.0</v>
      </c>
      <c r="R388" s="3">
        <v>0.0</v>
      </c>
      <c r="S388" s="3">
        <v>0.0</v>
      </c>
      <c r="T388" s="3">
        <v>0.0</v>
      </c>
      <c r="U388" s="3">
        <v>0.0</v>
      </c>
      <c r="V388" s="3">
        <v>0.0</v>
      </c>
      <c r="W388" s="3" t="s">
        <v>240</v>
      </c>
      <c r="X388" s="3" t="s">
        <v>1379</v>
      </c>
      <c r="Y388" s="3" t="s">
        <v>1380</v>
      </c>
      <c r="AA388" s="3" t="s">
        <v>1974</v>
      </c>
      <c r="AB388" s="3" t="s">
        <v>1374</v>
      </c>
      <c r="AE388" s="3" t="s">
        <v>1385</v>
      </c>
      <c r="AF388" s="3">
        <v>0.192</v>
      </c>
      <c r="AG388" s="3">
        <v>0.015</v>
      </c>
      <c r="AH388" s="3">
        <v>0.196</v>
      </c>
    </row>
    <row r="389" ht="15.75" customHeight="1">
      <c r="A389" s="3">
        <v>1.73039E12</v>
      </c>
      <c r="B389" s="3">
        <v>17.0</v>
      </c>
      <c r="C389" s="3" t="s">
        <v>299</v>
      </c>
      <c r="D389" s="3" t="s">
        <v>1369</v>
      </c>
      <c r="E389" s="3" t="s">
        <v>299</v>
      </c>
      <c r="F389" s="3">
        <v>1.0</v>
      </c>
      <c r="G389" s="3">
        <v>1.0</v>
      </c>
      <c r="H389" s="3">
        <v>1.0</v>
      </c>
      <c r="I389" s="3">
        <v>1.0</v>
      </c>
      <c r="J389" s="3">
        <v>1.0</v>
      </c>
      <c r="K389" s="3">
        <v>1.0</v>
      </c>
      <c r="L389" s="3">
        <v>1.0</v>
      </c>
      <c r="M389" s="3">
        <v>1.0</v>
      </c>
      <c r="N389" s="3">
        <v>1.0</v>
      </c>
      <c r="O389" s="3">
        <v>1.0</v>
      </c>
      <c r="P389" s="3">
        <v>1.0</v>
      </c>
      <c r="Q389" s="3">
        <v>1.0</v>
      </c>
      <c r="R389" s="3">
        <v>1.0</v>
      </c>
      <c r="S389" s="3">
        <v>1.0</v>
      </c>
      <c r="T389" s="3">
        <v>1.0</v>
      </c>
      <c r="U389" s="3">
        <v>1.0</v>
      </c>
      <c r="V389" s="3">
        <v>1.0</v>
      </c>
      <c r="W389" s="3" t="s">
        <v>1283</v>
      </c>
      <c r="X389" s="3" t="s">
        <v>1578</v>
      </c>
      <c r="Y389" s="3" t="s">
        <v>1579</v>
      </c>
      <c r="Z389" s="3" t="s">
        <v>1372</v>
      </c>
      <c r="AA389" s="3" t="s">
        <v>1382</v>
      </c>
      <c r="AB389" s="3" t="s">
        <v>1374</v>
      </c>
      <c r="AC389" s="3" t="s">
        <v>1580</v>
      </c>
      <c r="AD389" s="3" t="s">
        <v>1581</v>
      </c>
      <c r="AE389" s="3" t="s">
        <v>1582</v>
      </c>
      <c r="AF389" s="3">
        <v>0.051</v>
      </c>
      <c r="AG389" s="3">
        <v>0.282</v>
      </c>
      <c r="AH389" s="3" t="s">
        <v>1394</v>
      </c>
      <c r="AI389" s="3" t="s">
        <v>1394</v>
      </c>
      <c r="AJ389" s="3">
        <v>18.668</v>
      </c>
      <c r="AK389" s="3" t="s">
        <v>1589</v>
      </c>
      <c r="AL389" s="3" t="s">
        <v>1394</v>
      </c>
      <c r="AM389" s="3" t="s">
        <v>1584</v>
      </c>
    </row>
    <row r="390" ht="15.75" customHeight="1">
      <c r="A390" s="3">
        <v>1.73036E12</v>
      </c>
      <c r="B390" s="3">
        <v>17.0</v>
      </c>
      <c r="C390" s="3" t="s">
        <v>567</v>
      </c>
      <c r="D390" s="3" t="s">
        <v>1369</v>
      </c>
      <c r="E390" s="3" t="s">
        <v>567</v>
      </c>
      <c r="F390" s="3">
        <v>1.0</v>
      </c>
      <c r="G390" s="3">
        <v>1.0</v>
      </c>
      <c r="H390" s="3">
        <v>1.0</v>
      </c>
      <c r="I390" s="3">
        <v>1.0</v>
      </c>
      <c r="J390" s="3">
        <v>1.0</v>
      </c>
      <c r="K390" s="3">
        <v>1.0</v>
      </c>
      <c r="L390" s="3">
        <v>1.0</v>
      </c>
      <c r="M390" s="3">
        <v>1.0</v>
      </c>
      <c r="N390" s="3">
        <v>1.0</v>
      </c>
      <c r="O390" s="3">
        <v>1.0</v>
      </c>
      <c r="P390" s="3">
        <v>1.0</v>
      </c>
      <c r="Q390" s="3">
        <v>1.0</v>
      </c>
      <c r="R390" s="3">
        <v>1.0</v>
      </c>
      <c r="S390" s="3">
        <v>1.0</v>
      </c>
      <c r="T390" s="3">
        <v>1.0</v>
      </c>
      <c r="U390" s="3">
        <v>1.0</v>
      </c>
      <c r="V390" s="3">
        <v>1.0</v>
      </c>
      <c r="W390" s="3" t="s">
        <v>1097</v>
      </c>
      <c r="X390" s="3" t="s">
        <v>1476</v>
      </c>
      <c r="Y390" s="3" t="s">
        <v>1477</v>
      </c>
      <c r="Z390" s="3" t="s">
        <v>1372</v>
      </c>
      <c r="AA390" s="3" t="s">
        <v>1415</v>
      </c>
      <c r="AB390" s="3" t="s">
        <v>1374</v>
      </c>
      <c r="AC390" s="3" t="s">
        <v>1374</v>
      </c>
      <c r="AD390" s="3" t="s">
        <v>1500</v>
      </c>
      <c r="AE390" s="3" t="s">
        <v>1479</v>
      </c>
      <c r="AF390" s="3">
        <v>0.033</v>
      </c>
      <c r="AG390" s="3">
        <v>0.655</v>
      </c>
      <c r="AH390" s="3">
        <v>0.28</v>
      </c>
      <c r="AI390" s="3">
        <v>149.609</v>
      </c>
      <c r="AJ390" s="3">
        <v>-11.846</v>
      </c>
      <c r="AK390" s="3" t="s">
        <v>1909</v>
      </c>
      <c r="AL390" s="3">
        <v>0.063</v>
      </c>
      <c r="AM390" s="3" t="s">
        <v>1419</v>
      </c>
    </row>
    <row r="391" ht="15.75" customHeight="1">
      <c r="A391" s="3">
        <v>1.7304E12</v>
      </c>
      <c r="B391" s="3">
        <v>2.0</v>
      </c>
      <c r="C391" s="3" t="s">
        <v>1975</v>
      </c>
      <c r="D391" s="3" t="s">
        <v>1369</v>
      </c>
      <c r="E391" s="3" t="s">
        <v>1975</v>
      </c>
      <c r="F391" s="3">
        <v>1.0</v>
      </c>
      <c r="G391" s="3">
        <v>1.0</v>
      </c>
      <c r="H391" s="3">
        <v>0.0</v>
      </c>
      <c r="I391" s="3">
        <v>0.0</v>
      </c>
      <c r="J391" s="3">
        <v>0.0</v>
      </c>
      <c r="K391" s="3">
        <v>0.0</v>
      </c>
      <c r="L391" s="3">
        <v>0.0</v>
      </c>
      <c r="M391" s="3">
        <v>0.0</v>
      </c>
      <c r="N391" s="3">
        <v>0.0</v>
      </c>
      <c r="O391" s="3">
        <v>0.0</v>
      </c>
      <c r="P391" s="3">
        <v>0.0</v>
      </c>
      <c r="Q391" s="3">
        <v>0.0</v>
      </c>
      <c r="R391" s="3">
        <v>0.0</v>
      </c>
      <c r="S391" s="3">
        <v>0.0</v>
      </c>
      <c r="T391" s="3">
        <v>0.0</v>
      </c>
      <c r="U391" s="3">
        <v>0.0</v>
      </c>
      <c r="V391" s="3">
        <v>0.0</v>
      </c>
      <c r="W391" s="3" t="s">
        <v>928</v>
      </c>
      <c r="X391" s="3" t="s">
        <v>1438</v>
      </c>
      <c r="Y391" s="3" t="s">
        <v>1976</v>
      </c>
      <c r="Z391" s="3" t="s">
        <v>1977</v>
      </c>
      <c r="AA391" s="3" t="s">
        <v>1664</v>
      </c>
      <c r="AB391" s="3" t="s">
        <v>1400</v>
      </c>
      <c r="AC391" s="3" t="s">
        <v>1876</v>
      </c>
      <c r="AD391" s="3" t="s">
        <v>1391</v>
      </c>
      <c r="AE391" s="3" t="s">
        <v>1978</v>
      </c>
    </row>
    <row r="392" ht="15.75" customHeight="1">
      <c r="A392" s="3">
        <v>1.7304E12</v>
      </c>
      <c r="B392" s="3">
        <v>12.0</v>
      </c>
      <c r="C392" s="3" t="s">
        <v>301</v>
      </c>
      <c r="D392" s="3" t="s">
        <v>1369</v>
      </c>
      <c r="E392" s="3" t="s">
        <v>301</v>
      </c>
      <c r="F392" s="3">
        <v>1.0</v>
      </c>
      <c r="G392" s="3">
        <v>1.0</v>
      </c>
      <c r="H392" s="3">
        <v>0.0</v>
      </c>
      <c r="I392" s="3">
        <v>1.0</v>
      </c>
      <c r="J392" s="3">
        <v>1.0</v>
      </c>
      <c r="K392" s="3">
        <v>1.0</v>
      </c>
      <c r="L392" s="3">
        <v>0.0</v>
      </c>
      <c r="M392" s="3">
        <v>1.0</v>
      </c>
      <c r="N392" s="3">
        <v>1.0</v>
      </c>
      <c r="O392" s="3">
        <v>0.0</v>
      </c>
      <c r="P392" s="3">
        <v>0.0</v>
      </c>
      <c r="Q392" s="3">
        <v>1.0</v>
      </c>
      <c r="R392" s="3">
        <v>1.0</v>
      </c>
      <c r="S392" s="3">
        <v>0.0</v>
      </c>
      <c r="T392" s="3">
        <v>1.0</v>
      </c>
      <c r="U392" s="3">
        <v>1.0</v>
      </c>
      <c r="V392" s="3">
        <v>1.0</v>
      </c>
      <c r="W392" s="3" t="s">
        <v>535</v>
      </c>
      <c r="X392" s="3" t="s">
        <v>1483</v>
      </c>
      <c r="Y392" s="3" t="s">
        <v>1979</v>
      </c>
      <c r="Z392" s="3" t="s">
        <v>1372</v>
      </c>
      <c r="AA392" s="3" t="s">
        <v>1373</v>
      </c>
      <c r="AB392" s="3" t="s">
        <v>1374</v>
      </c>
      <c r="AC392" s="3" t="s">
        <v>1980</v>
      </c>
      <c r="AD392" s="3" t="s">
        <v>1485</v>
      </c>
      <c r="AE392" s="3" t="s">
        <v>1486</v>
      </c>
      <c r="AF392" s="3">
        <v>0.009</v>
      </c>
      <c r="AG392" s="3">
        <v>0.164</v>
      </c>
      <c r="AH392" s="3">
        <v>0.401</v>
      </c>
      <c r="AI392" s="3">
        <v>46.136</v>
      </c>
      <c r="AJ392" s="3">
        <v>23.902</v>
      </c>
      <c r="AK392" s="3" t="s">
        <v>1688</v>
      </c>
      <c r="AL392" s="3">
        <v>-0.001</v>
      </c>
      <c r="AM392" s="3" t="s">
        <v>1573</v>
      </c>
    </row>
    <row r="393" ht="15.75" customHeight="1">
      <c r="A393" s="3">
        <v>1.73036E12</v>
      </c>
      <c r="B393" s="3">
        <v>15.0</v>
      </c>
      <c r="C393" s="3" t="s">
        <v>224</v>
      </c>
      <c r="D393" s="3" t="s">
        <v>1369</v>
      </c>
      <c r="E393" s="3" t="s">
        <v>224</v>
      </c>
      <c r="F393" s="3">
        <v>1.0</v>
      </c>
      <c r="G393" s="3">
        <v>1.0</v>
      </c>
      <c r="H393" s="3">
        <v>1.0</v>
      </c>
      <c r="I393" s="3">
        <v>1.0</v>
      </c>
      <c r="J393" s="3">
        <v>1.0</v>
      </c>
      <c r="K393" s="3">
        <v>1.0</v>
      </c>
      <c r="L393" s="3">
        <v>0.0</v>
      </c>
      <c r="M393" s="3">
        <v>1.0</v>
      </c>
      <c r="N393" s="3">
        <v>1.0</v>
      </c>
      <c r="O393" s="3">
        <v>1.0</v>
      </c>
      <c r="P393" s="3">
        <v>1.0</v>
      </c>
      <c r="Q393" s="3">
        <v>0.0</v>
      </c>
      <c r="R393" s="3">
        <v>1.0</v>
      </c>
      <c r="S393" s="3">
        <v>1.0</v>
      </c>
      <c r="T393" s="3">
        <v>1.0</v>
      </c>
      <c r="U393" s="3">
        <v>1.0</v>
      </c>
      <c r="V393" s="3">
        <v>1.0</v>
      </c>
      <c r="W393" s="3" t="s">
        <v>573</v>
      </c>
      <c r="X393" s="3" t="s">
        <v>1605</v>
      </c>
      <c r="Y393" s="3" t="s">
        <v>1772</v>
      </c>
      <c r="Z393" s="3" t="s">
        <v>1423</v>
      </c>
      <c r="AA393" s="3" t="s">
        <v>1382</v>
      </c>
      <c r="AB393" s="3" t="s">
        <v>1391</v>
      </c>
      <c r="AC393" s="3" t="s">
        <v>1451</v>
      </c>
      <c r="AD393" s="3" t="s">
        <v>1655</v>
      </c>
      <c r="AE393" s="3" t="s">
        <v>1656</v>
      </c>
      <c r="AF393" s="3">
        <v>0.065</v>
      </c>
      <c r="AG393" s="3">
        <v>1.451</v>
      </c>
      <c r="AH393" s="3">
        <v>-0.31</v>
      </c>
      <c r="AI393" s="3">
        <v>-831.932</v>
      </c>
      <c r="AJ393" s="3">
        <v>40.34</v>
      </c>
      <c r="AK393" s="3" t="s">
        <v>1607</v>
      </c>
      <c r="AL393" s="3">
        <v>0.061</v>
      </c>
      <c r="AM393" s="3" t="s">
        <v>1608</v>
      </c>
    </row>
    <row r="394" ht="15.75" customHeight="1">
      <c r="A394" s="3">
        <v>1.73038E12</v>
      </c>
      <c r="B394" s="3">
        <v>16.0</v>
      </c>
      <c r="C394" s="3" t="s">
        <v>860</v>
      </c>
      <c r="D394" s="3" t="s">
        <v>1369</v>
      </c>
      <c r="E394" s="3" t="s">
        <v>860</v>
      </c>
      <c r="F394" s="3">
        <v>1.0</v>
      </c>
      <c r="G394" s="3">
        <v>1.0</v>
      </c>
      <c r="H394" s="3">
        <v>1.0</v>
      </c>
      <c r="I394" s="3">
        <v>1.0</v>
      </c>
      <c r="J394" s="3">
        <v>1.0</v>
      </c>
      <c r="K394" s="3">
        <v>1.0</v>
      </c>
      <c r="L394" s="3">
        <v>1.0</v>
      </c>
      <c r="M394" s="3">
        <v>1.0</v>
      </c>
      <c r="N394" s="3">
        <v>1.0</v>
      </c>
      <c r="O394" s="3">
        <v>1.0</v>
      </c>
      <c r="P394" s="3">
        <v>1.0</v>
      </c>
      <c r="Q394" s="3">
        <v>1.0</v>
      </c>
      <c r="R394" s="3">
        <v>1.0</v>
      </c>
      <c r="S394" s="3">
        <v>0.0</v>
      </c>
      <c r="T394" s="3">
        <v>1.0</v>
      </c>
      <c r="U394" s="3">
        <v>1.0</v>
      </c>
      <c r="V394" s="3">
        <v>1.0</v>
      </c>
      <c r="W394" s="3" t="s">
        <v>1141</v>
      </c>
      <c r="X394" s="3" t="s">
        <v>1398</v>
      </c>
      <c r="Y394" s="3" t="s">
        <v>1399</v>
      </c>
      <c r="Z394" s="3" t="s">
        <v>1372</v>
      </c>
      <c r="AA394" s="3" t="s">
        <v>1373</v>
      </c>
      <c r="AB394" s="3" t="s">
        <v>1374</v>
      </c>
      <c r="AC394" s="3" t="s">
        <v>1400</v>
      </c>
      <c r="AD394" s="3" t="s">
        <v>1401</v>
      </c>
      <c r="AE394" s="3" t="s">
        <v>1402</v>
      </c>
      <c r="AF394" s="3">
        <v>0.006</v>
      </c>
      <c r="AG394" s="3">
        <v>0.069</v>
      </c>
      <c r="AH394" s="3" t="s">
        <v>1394</v>
      </c>
      <c r="AI394" s="3" t="s">
        <v>1394</v>
      </c>
      <c r="AJ394" s="3" t="s">
        <v>1394</v>
      </c>
      <c r="AK394" s="3" t="s">
        <v>1841</v>
      </c>
      <c r="AL394" s="3" t="s">
        <v>1394</v>
      </c>
      <c r="AM394" s="3" t="s">
        <v>1404</v>
      </c>
    </row>
    <row r="395" ht="15.75" customHeight="1">
      <c r="A395" s="3">
        <v>1.7302E12</v>
      </c>
      <c r="B395" s="3">
        <v>16.0</v>
      </c>
      <c r="C395" s="3" t="s">
        <v>515</v>
      </c>
      <c r="D395" s="3" t="s">
        <v>1369</v>
      </c>
      <c r="E395" s="3" t="s">
        <v>515</v>
      </c>
      <c r="F395" s="3">
        <v>1.0</v>
      </c>
      <c r="G395" s="3">
        <v>1.0</v>
      </c>
      <c r="H395" s="3">
        <v>1.0</v>
      </c>
      <c r="I395" s="3">
        <v>1.0</v>
      </c>
      <c r="J395" s="3">
        <v>1.0</v>
      </c>
      <c r="K395" s="3">
        <v>1.0</v>
      </c>
      <c r="L395" s="3">
        <v>1.0</v>
      </c>
      <c r="M395" s="3">
        <v>1.0</v>
      </c>
      <c r="N395" s="3">
        <v>1.0</v>
      </c>
      <c r="O395" s="3">
        <v>1.0</v>
      </c>
      <c r="P395" s="3">
        <v>1.0</v>
      </c>
      <c r="Q395" s="3">
        <v>1.0</v>
      </c>
      <c r="R395" s="3">
        <v>1.0</v>
      </c>
      <c r="S395" s="3">
        <v>0.0</v>
      </c>
      <c r="T395" s="3">
        <v>1.0</v>
      </c>
      <c r="U395" s="3">
        <v>1.0</v>
      </c>
      <c r="V395" s="3">
        <v>1.0</v>
      </c>
      <c r="W395" s="3" t="s">
        <v>1304</v>
      </c>
      <c r="X395" s="3" t="s">
        <v>1563</v>
      </c>
      <c r="Y395" s="3" t="s">
        <v>1564</v>
      </c>
      <c r="Z395" s="3" t="s">
        <v>1372</v>
      </c>
      <c r="AA395" s="3" t="s">
        <v>1649</v>
      </c>
      <c r="AB395" s="3" t="s">
        <v>1374</v>
      </c>
      <c r="AC395" s="3" t="s">
        <v>1650</v>
      </c>
      <c r="AD395" s="3" t="s">
        <v>1566</v>
      </c>
      <c r="AE395" s="3" t="s">
        <v>1567</v>
      </c>
      <c r="AF395" s="3">
        <v>0.344</v>
      </c>
      <c r="AG395" s="3">
        <v>0.672</v>
      </c>
      <c r="AH395" s="3">
        <v>0.312</v>
      </c>
      <c r="AI395" s="3">
        <v>46.94</v>
      </c>
      <c r="AJ395" s="3">
        <v>0.375</v>
      </c>
      <c r="AK395" s="3" t="s">
        <v>1651</v>
      </c>
      <c r="AL395" s="3">
        <v>0.051</v>
      </c>
      <c r="AM395" s="3" t="s">
        <v>1569</v>
      </c>
    </row>
    <row r="396" ht="15.75" customHeight="1">
      <c r="A396" s="3">
        <v>1.73031E12</v>
      </c>
      <c r="B396" s="3">
        <v>17.0</v>
      </c>
      <c r="C396" s="3" t="s">
        <v>170</v>
      </c>
      <c r="D396" s="3" t="s">
        <v>1369</v>
      </c>
      <c r="E396" s="3" t="s">
        <v>170</v>
      </c>
      <c r="F396" s="3">
        <v>1.0</v>
      </c>
      <c r="G396" s="3">
        <v>1.0</v>
      </c>
      <c r="H396" s="3">
        <v>1.0</v>
      </c>
      <c r="I396" s="3">
        <v>1.0</v>
      </c>
      <c r="J396" s="3">
        <v>1.0</v>
      </c>
      <c r="K396" s="3">
        <v>1.0</v>
      </c>
      <c r="L396" s="3">
        <v>1.0</v>
      </c>
      <c r="M396" s="3">
        <v>1.0</v>
      </c>
      <c r="N396" s="3">
        <v>1.0</v>
      </c>
      <c r="O396" s="3">
        <v>1.0</v>
      </c>
      <c r="P396" s="3">
        <v>1.0</v>
      </c>
      <c r="Q396" s="3">
        <v>1.0</v>
      </c>
      <c r="R396" s="3">
        <v>1.0</v>
      </c>
      <c r="S396" s="3">
        <v>1.0</v>
      </c>
      <c r="T396" s="3">
        <v>1.0</v>
      </c>
      <c r="U396" s="3">
        <v>1.0</v>
      </c>
      <c r="V396" s="3">
        <v>1.0</v>
      </c>
      <c r="W396" s="3" t="s">
        <v>1206</v>
      </c>
      <c r="X396" s="3" t="s">
        <v>1447</v>
      </c>
      <c r="Y396" s="3" t="s">
        <v>1448</v>
      </c>
      <c r="Z396" s="3" t="s">
        <v>1372</v>
      </c>
      <c r="AA396" s="3" t="s">
        <v>1450</v>
      </c>
      <c r="AB396" s="3" t="s">
        <v>1374</v>
      </c>
      <c r="AC396" s="3" t="s">
        <v>1451</v>
      </c>
      <c r="AD396" s="3" t="s">
        <v>1452</v>
      </c>
      <c r="AE396" s="3" t="s">
        <v>1453</v>
      </c>
      <c r="AF396" s="3">
        <v>0.033</v>
      </c>
      <c r="AG396" s="3">
        <v>0.217</v>
      </c>
      <c r="AH396" s="3" t="s">
        <v>1394</v>
      </c>
      <c r="AI396" s="3" t="s">
        <v>1394</v>
      </c>
      <c r="AJ396" s="3">
        <v>6.554</v>
      </c>
      <c r="AK396" s="3" t="s">
        <v>1599</v>
      </c>
      <c r="AL396" s="3" t="s">
        <v>1394</v>
      </c>
      <c r="AM396" s="3" t="s">
        <v>1455</v>
      </c>
    </row>
    <row r="397" ht="15.75" customHeight="1">
      <c r="A397" s="3">
        <v>1.73035E12</v>
      </c>
      <c r="B397" s="3">
        <v>17.0</v>
      </c>
      <c r="C397" s="3" t="s">
        <v>480</v>
      </c>
      <c r="D397" s="3" t="s">
        <v>1369</v>
      </c>
      <c r="E397" s="3" t="s">
        <v>480</v>
      </c>
      <c r="F397" s="3">
        <v>1.0</v>
      </c>
      <c r="G397" s="3">
        <v>1.0</v>
      </c>
      <c r="H397" s="3">
        <v>1.0</v>
      </c>
      <c r="I397" s="3">
        <v>1.0</v>
      </c>
      <c r="J397" s="3">
        <v>1.0</v>
      </c>
      <c r="K397" s="3">
        <v>1.0</v>
      </c>
      <c r="L397" s="3">
        <v>1.0</v>
      </c>
      <c r="M397" s="3">
        <v>1.0</v>
      </c>
      <c r="N397" s="3">
        <v>1.0</v>
      </c>
      <c r="O397" s="3">
        <v>1.0</v>
      </c>
      <c r="P397" s="3">
        <v>1.0</v>
      </c>
      <c r="Q397" s="3">
        <v>1.0</v>
      </c>
      <c r="R397" s="3">
        <v>1.0</v>
      </c>
      <c r="S397" s="3">
        <v>1.0</v>
      </c>
      <c r="T397" s="3">
        <v>1.0</v>
      </c>
      <c r="U397" s="3">
        <v>1.0</v>
      </c>
      <c r="V397" s="3">
        <v>1.0</v>
      </c>
      <c r="W397" s="3" t="s">
        <v>1037</v>
      </c>
      <c r="X397" s="3" t="s">
        <v>1605</v>
      </c>
      <c r="Y397" s="3" t="s">
        <v>1654</v>
      </c>
      <c r="Z397" s="3" t="s">
        <v>1423</v>
      </c>
      <c r="AA397" s="3" t="s">
        <v>1382</v>
      </c>
      <c r="AB397" s="3" t="s">
        <v>1391</v>
      </c>
      <c r="AC397" s="3" t="s">
        <v>1374</v>
      </c>
      <c r="AD397" s="3" t="s">
        <v>1655</v>
      </c>
      <c r="AE397" s="3" t="s">
        <v>1656</v>
      </c>
      <c r="AF397" s="3">
        <v>0.066</v>
      </c>
      <c r="AG397" s="3">
        <v>1.473</v>
      </c>
      <c r="AH397" s="3" t="s">
        <v>1394</v>
      </c>
      <c r="AI397" s="3" t="s">
        <v>1394</v>
      </c>
      <c r="AJ397" s="3">
        <v>40.518</v>
      </c>
      <c r="AK397" s="3" t="s">
        <v>1776</v>
      </c>
      <c r="AL397" s="3" t="s">
        <v>1394</v>
      </c>
      <c r="AM397" s="3" t="s">
        <v>1608</v>
      </c>
    </row>
    <row r="398" ht="15.75" customHeight="1">
      <c r="A398" s="3">
        <v>1.73027E12</v>
      </c>
      <c r="B398" s="3">
        <v>17.0</v>
      </c>
      <c r="C398" s="3" t="s">
        <v>862</v>
      </c>
      <c r="D398" s="3" t="s">
        <v>1369</v>
      </c>
      <c r="E398" s="3" t="s">
        <v>862</v>
      </c>
      <c r="F398" s="3">
        <v>1.0</v>
      </c>
      <c r="G398" s="3">
        <v>1.0</v>
      </c>
      <c r="H398" s="3">
        <v>1.0</v>
      </c>
      <c r="I398" s="3">
        <v>1.0</v>
      </c>
      <c r="J398" s="3">
        <v>1.0</v>
      </c>
      <c r="K398" s="3">
        <v>1.0</v>
      </c>
      <c r="L398" s="3">
        <v>1.0</v>
      </c>
      <c r="M398" s="3">
        <v>1.0</v>
      </c>
      <c r="N398" s="3">
        <v>1.0</v>
      </c>
      <c r="O398" s="3">
        <v>1.0</v>
      </c>
      <c r="P398" s="3">
        <v>1.0</v>
      </c>
      <c r="Q398" s="3">
        <v>1.0</v>
      </c>
      <c r="R398" s="3">
        <v>1.0</v>
      </c>
      <c r="S398" s="3">
        <v>1.0</v>
      </c>
      <c r="T398" s="3">
        <v>1.0</v>
      </c>
      <c r="U398" s="3">
        <v>1.0</v>
      </c>
      <c r="V398" s="3">
        <v>1.0</v>
      </c>
      <c r="W398" s="3" t="s">
        <v>1170</v>
      </c>
      <c r="X398" s="3" t="s">
        <v>1542</v>
      </c>
      <c r="Y398" s="3" t="s">
        <v>1543</v>
      </c>
      <c r="Z398" s="3" t="s">
        <v>1423</v>
      </c>
      <c r="AA398" s="3" t="s">
        <v>1544</v>
      </c>
      <c r="AB398" s="3" t="s">
        <v>1374</v>
      </c>
      <c r="AC398" s="3" t="s">
        <v>1374</v>
      </c>
      <c r="AD398" s="3" t="s">
        <v>1545</v>
      </c>
      <c r="AE398" s="3" t="s">
        <v>1546</v>
      </c>
      <c r="AF398" s="3">
        <v>0.033</v>
      </c>
      <c r="AG398" s="3">
        <v>0.063</v>
      </c>
      <c r="AH398" s="3">
        <v>0.262</v>
      </c>
      <c r="AI398" s="3">
        <v>52.602</v>
      </c>
      <c r="AJ398" s="3">
        <v>-9.724</v>
      </c>
      <c r="AK398" s="3" t="s">
        <v>1547</v>
      </c>
      <c r="AL398" s="3">
        <v>0.046</v>
      </c>
      <c r="AM398" s="3" t="s">
        <v>1548</v>
      </c>
    </row>
    <row r="399" ht="15.75" customHeight="1">
      <c r="A399" s="3">
        <v>1.73022E12</v>
      </c>
      <c r="B399" s="3">
        <v>13.0</v>
      </c>
      <c r="C399" s="3" t="s">
        <v>356</v>
      </c>
      <c r="D399" s="3" t="s">
        <v>1369</v>
      </c>
      <c r="E399" s="3" t="s">
        <v>356</v>
      </c>
      <c r="F399" s="3">
        <v>1.0</v>
      </c>
      <c r="G399" s="3">
        <v>1.0</v>
      </c>
      <c r="H399" s="3">
        <v>1.0</v>
      </c>
      <c r="I399" s="3">
        <v>1.0</v>
      </c>
      <c r="J399" s="3">
        <v>1.0</v>
      </c>
      <c r="K399" s="3">
        <v>1.0</v>
      </c>
      <c r="L399" s="3">
        <v>1.0</v>
      </c>
      <c r="M399" s="3">
        <v>1.0</v>
      </c>
      <c r="N399" s="3">
        <v>1.0</v>
      </c>
      <c r="O399" s="3">
        <v>1.0</v>
      </c>
      <c r="P399" s="3">
        <v>1.0</v>
      </c>
      <c r="Q399" s="3">
        <v>0.0</v>
      </c>
      <c r="R399" s="3">
        <v>0.0</v>
      </c>
      <c r="S399" s="3">
        <v>0.0</v>
      </c>
      <c r="T399" s="3">
        <v>1.0</v>
      </c>
      <c r="U399" s="3">
        <v>0.0</v>
      </c>
      <c r="V399" s="3">
        <v>1.0</v>
      </c>
      <c r="W399" s="3" t="s">
        <v>144</v>
      </c>
      <c r="X399" s="3" t="s">
        <v>1398</v>
      </c>
      <c r="Y399" s="3" t="s">
        <v>1399</v>
      </c>
      <c r="Z399" s="3" t="s">
        <v>1372</v>
      </c>
      <c r="AA399" s="3" t="s">
        <v>1373</v>
      </c>
      <c r="AB399" s="3" t="s">
        <v>1374</v>
      </c>
      <c r="AC399" s="3" t="s">
        <v>1400</v>
      </c>
      <c r="AD399" s="3" t="s">
        <v>1401</v>
      </c>
      <c r="AE399" s="3" t="s">
        <v>1402</v>
      </c>
      <c r="AF399" s="3">
        <v>0.007</v>
      </c>
      <c r="AG399" s="3">
        <v>0.075</v>
      </c>
      <c r="AH399" s="3">
        <v>0.171</v>
      </c>
      <c r="AI399" s="3">
        <v>34.339</v>
      </c>
      <c r="AJ399" s="3">
        <v>8.293</v>
      </c>
      <c r="AK399" s="3" t="s">
        <v>1663</v>
      </c>
      <c r="AL399" s="3">
        <v>0.252</v>
      </c>
      <c r="AM399" s="3" t="s">
        <v>1404</v>
      </c>
    </row>
    <row r="400" ht="15.75" customHeight="1">
      <c r="A400" s="3">
        <v>1.73031E12</v>
      </c>
      <c r="B400" s="3">
        <v>17.0</v>
      </c>
      <c r="C400" s="3" t="s">
        <v>106</v>
      </c>
      <c r="D400" s="3" t="s">
        <v>1369</v>
      </c>
      <c r="E400" s="3" t="s">
        <v>106</v>
      </c>
      <c r="F400" s="3">
        <v>1.0</v>
      </c>
      <c r="G400" s="3">
        <v>1.0</v>
      </c>
      <c r="H400" s="3">
        <v>1.0</v>
      </c>
      <c r="I400" s="3">
        <v>1.0</v>
      </c>
      <c r="J400" s="3">
        <v>1.0</v>
      </c>
      <c r="K400" s="3">
        <v>1.0</v>
      </c>
      <c r="L400" s="3">
        <v>1.0</v>
      </c>
      <c r="M400" s="3">
        <v>1.0</v>
      </c>
      <c r="N400" s="3">
        <v>1.0</v>
      </c>
      <c r="O400" s="3">
        <v>1.0</v>
      </c>
      <c r="P400" s="3">
        <v>1.0</v>
      </c>
      <c r="Q400" s="3">
        <v>1.0</v>
      </c>
      <c r="R400" s="3">
        <v>1.0</v>
      </c>
      <c r="S400" s="3">
        <v>1.0</v>
      </c>
      <c r="T400" s="3">
        <v>1.0</v>
      </c>
      <c r="U400" s="3">
        <v>1.0</v>
      </c>
      <c r="V400" s="3">
        <v>1.0</v>
      </c>
      <c r="W400" s="3" t="s">
        <v>1016</v>
      </c>
      <c r="X400" s="3" t="s">
        <v>1521</v>
      </c>
      <c r="Y400" s="3" t="s">
        <v>1522</v>
      </c>
      <c r="Z400" s="3" t="s">
        <v>1372</v>
      </c>
      <c r="AA400" s="3" t="s">
        <v>1523</v>
      </c>
      <c r="AB400" s="3" t="s">
        <v>1374</v>
      </c>
      <c r="AC400" s="3" t="s">
        <v>1374</v>
      </c>
      <c r="AD400" s="3" t="s">
        <v>1524</v>
      </c>
      <c r="AE400" s="3" t="s">
        <v>1525</v>
      </c>
      <c r="AF400" s="3">
        <v>0.029</v>
      </c>
      <c r="AG400" s="3">
        <v>0.068</v>
      </c>
      <c r="AH400" s="3" t="s">
        <v>1394</v>
      </c>
      <c r="AI400" s="3">
        <v>1067.867</v>
      </c>
      <c r="AJ400" s="3">
        <v>1.614</v>
      </c>
      <c r="AK400" s="3" t="s">
        <v>1812</v>
      </c>
      <c r="AL400" s="3">
        <v>0.069</v>
      </c>
      <c r="AM400" s="3" t="s">
        <v>1527</v>
      </c>
    </row>
    <row r="401" ht="15.75" customHeight="1">
      <c r="A401" s="3">
        <v>1.73039E12</v>
      </c>
      <c r="B401" s="3">
        <v>17.0</v>
      </c>
      <c r="C401" s="3" t="s">
        <v>193</v>
      </c>
      <c r="D401" s="3" t="s">
        <v>1369</v>
      </c>
      <c r="E401" s="3" t="s">
        <v>193</v>
      </c>
      <c r="F401" s="3">
        <v>1.0</v>
      </c>
      <c r="G401" s="3">
        <v>1.0</v>
      </c>
      <c r="H401" s="3">
        <v>1.0</v>
      </c>
      <c r="I401" s="3">
        <v>1.0</v>
      </c>
      <c r="J401" s="3">
        <v>1.0</v>
      </c>
      <c r="K401" s="3">
        <v>1.0</v>
      </c>
      <c r="L401" s="3">
        <v>1.0</v>
      </c>
      <c r="M401" s="3">
        <v>1.0</v>
      </c>
      <c r="N401" s="3">
        <v>1.0</v>
      </c>
      <c r="O401" s="3">
        <v>1.0</v>
      </c>
      <c r="P401" s="3">
        <v>1.0</v>
      </c>
      <c r="Q401" s="3">
        <v>1.0</v>
      </c>
      <c r="R401" s="3">
        <v>1.0</v>
      </c>
      <c r="S401" s="3">
        <v>1.0</v>
      </c>
      <c r="T401" s="3">
        <v>1.0</v>
      </c>
      <c r="U401" s="3">
        <v>1.0</v>
      </c>
      <c r="V401" s="3">
        <v>1.0</v>
      </c>
      <c r="W401" s="3" t="s">
        <v>107</v>
      </c>
      <c r="X401" s="3" t="s">
        <v>1456</v>
      </c>
      <c r="Y401" s="3" t="s">
        <v>1457</v>
      </c>
      <c r="Z401" s="3" t="s">
        <v>1423</v>
      </c>
      <c r="AA401" s="3" t="s">
        <v>1458</v>
      </c>
      <c r="AB401" s="3" t="s">
        <v>1374</v>
      </c>
      <c r="AC401" s="3" t="s">
        <v>1374</v>
      </c>
      <c r="AD401" s="3" t="s">
        <v>1392</v>
      </c>
      <c r="AE401" s="3" t="s">
        <v>1459</v>
      </c>
      <c r="AF401" s="3">
        <v>0.077</v>
      </c>
      <c r="AG401" s="3">
        <v>0.617</v>
      </c>
      <c r="AH401" s="3">
        <v>0.288</v>
      </c>
      <c r="AI401" s="3">
        <v>111.688</v>
      </c>
      <c r="AJ401" s="3">
        <v>3.048</v>
      </c>
      <c r="AK401" s="3" t="s">
        <v>1463</v>
      </c>
      <c r="AL401" s="3">
        <v>0.06</v>
      </c>
      <c r="AM401" s="3" t="s">
        <v>1461</v>
      </c>
    </row>
    <row r="402" ht="15.75" customHeight="1">
      <c r="A402" s="3">
        <v>1.7302E12</v>
      </c>
      <c r="B402" s="3">
        <v>15.0</v>
      </c>
      <c r="C402" s="3" t="s">
        <v>572</v>
      </c>
      <c r="D402" s="3" t="s">
        <v>1369</v>
      </c>
      <c r="E402" s="3" t="s">
        <v>572</v>
      </c>
      <c r="F402" s="3">
        <v>1.0</v>
      </c>
      <c r="G402" s="3">
        <v>1.0</v>
      </c>
      <c r="H402" s="3">
        <v>1.0</v>
      </c>
      <c r="I402" s="3">
        <v>1.0</v>
      </c>
      <c r="J402" s="3">
        <v>1.0</v>
      </c>
      <c r="K402" s="3">
        <v>1.0</v>
      </c>
      <c r="L402" s="3">
        <v>1.0</v>
      </c>
      <c r="M402" s="3">
        <v>1.0</v>
      </c>
      <c r="N402" s="3">
        <v>1.0</v>
      </c>
      <c r="O402" s="3">
        <v>1.0</v>
      </c>
      <c r="P402" s="3">
        <v>1.0</v>
      </c>
      <c r="Q402" s="3">
        <v>1.0</v>
      </c>
      <c r="R402" s="3">
        <v>1.0</v>
      </c>
      <c r="S402" s="3">
        <v>0.0</v>
      </c>
      <c r="T402" s="3">
        <v>0.0</v>
      </c>
      <c r="U402" s="3">
        <v>1.0</v>
      </c>
      <c r="V402" s="3">
        <v>1.0</v>
      </c>
      <c r="W402" s="3" t="s">
        <v>582</v>
      </c>
      <c r="X402" s="3" t="s">
        <v>1605</v>
      </c>
      <c r="Y402" s="3" t="s">
        <v>1654</v>
      </c>
      <c r="Z402" s="3" t="s">
        <v>1981</v>
      </c>
      <c r="AA402" s="3" t="s">
        <v>1382</v>
      </c>
      <c r="AB402" s="3" t="s">
        <v>1391</v>
      </c>
      <c r="AC402" s="3" t="s">
        <v>1374</v>
      </c>
      <c r="AD402" s="3" t="s">
        <v>1655</v>
      </c>
      <c r="AE402" s="3" t="s">
        <v>1656</v>
      </c>
      <c r="AF402" s="3">
        <v>0.066</v>
      </c>
      <c r="AG402" s="3">
        <v>1.46</v>
      </c>
      <c r="AH402" s="3" t="s">
        <v>1394</v>
      </c>
      <c r="AI402" s="3" t="s">
        <v>1394</v>
      </c>
      <c r="AJ402" s="3">
        <v>39.712</v>
      </c>
      <c r="AK402" s="3" t="s">
        <v>1982</v>
      </c>
      <c r="AL402" s="3" t="s">
        <v>1394</v>
      </c>
      <c r="AM402" s="3" t="s">
        <v>1608</v>
      </c>
    </row>
    <row r="403" ht="15.75" customHeight="1">
      <c r="A403" s="3">
        <v>1.7304E12</v>
      </c>
      <c r="B403" s="3">
        <v>16.0</v>
      </c>
      <c r="C403" s="3" t="s">
        <v>813</v>
      </c>
      <c r="D403" s="3" t="s">
        <v>1369</v>
      </c>
      <c r="E403" s="3" t="s">
        <v>813</v>
      </c>
      <c r="F403" s="3">
        <v>1.0</v>
      </c>
      <c r="G403" s="3">
        <v>1.0</v>
      </c>
      <c r="H403" s="3">
        <v>1.0</v>
      </c>
      <c r="I403" s="3">
        <v>1.0</v>
      </c>
      <c r="J403" s="3">
        <v>1.0</v>
      </c>
      <c r="K403" s="3">
        <v>1.0</v>
      </c>
      <c r="L403" s="3">
        <v>1.0</v>
      </c>
      <c r="M403" s="3">
        <v>1.0</v>
      </c>
      <c r="N403" s="3">
        <v>1.0</v>
      </c>
      <c r="O403" s="3">
        <v>1.0</v>
      </c>
      <c r="P403" s="3">
        <v>1.0</v>
      </c>
      <c r="Q403" s="3">
        <v>1.0</v>
      </c>
      <c r="R403" s="3">
        <v>1.0</v>
      </c>
      <c r="S403" s="3">
        <v>0.0</v>
      </c>
      <c r="T403" s="3">
        <v>1.0</v>
      </c>
      <c r="U403" s="3">
        <v>1.0</v>
      </c>
      <c r="V403" s="3">
        <v>1.0</v>
      </c>
      <c r="W403" s="3" t="s">
        <v>117</v>
      </c>
      <c r="X403" s="3" t="s">
        <v>1370</v>
      </c>
      <c r="Y403" s="3" t="s">
        <v>1371</v>
      </c>
      <c r="Z403" s="3" t="s">
        <v>1372</v>
      </c>
      <c r="AA403" s="3" t="s">
        <v>1373</v>
      </c>
      <c r="AB403" s="3" t="s">
        <v>1374</v>
      </c>
      <c r="AC403" s="3" t="s">
        <v>1451</v>
      </c>
      <c r="AD403" s="3" t="s">
        <v>1375</v>
      </c>
      <c r="AE403" s="3" t="s">
        <v>1376</v>
      </c>
      <c r="AF403" s="3">
        <v>0.555</v>
      </c>
      <c r="AG403" s="3">
        <v>2.825</v>
      </c>
      <c r="AH403" s="3" t="s">
        <v>1394</v>
      </c>
      <c r="AI403" s="3" t="s">
        <v>1394</v>
      </c>
      <c r="AJ403" s="3">
        <v>7.523</v>
      </c>
      <c r="AK403" s="3" t="s">
        <v>1983</v>
      </c>
      <c r="AL403" s="3" t="s">
        <v>1394</v>
      </c>
      <c r="AM403" s="3" t="s">
        <v>1509</v>
      </c>
    </row>
    <row r="404" ht="15.75" customHeight="1">
      <c r="A404" s="3">
        <v>1.7304E12</v>
      </c>
      <c r="B404" s="3">
        <v>0.0</v>
      </c>
      <c r="C404" s="3" t="s">
        <v>1984</v>
      </c>
      <c r="D404" s="3" t="s">
        <v>1369</v>
      </c>
      <c r="E404" s="3" t="s">
        <v>1984</v>
      </c>
      <c r="F404" s="3">
        <v>0.0</v>
      </c>
      <c r="G404" s="3">
        <v>0.0</v>
      </c>
      <c r="H404" s="3">
        <v>0.0</v>
      </c>
      <c r="I404" s="3">
        <v>0.0</v>
      </c>
      <c r="J404" s="3">
        <v>0.0</v>
      </c>
      <c r="K404" s="3">
        <v>0.0</v>
      </c>
      <c r="L404" s="3">
        <v>0.0</v>
      </c>
      <c r="M404" s="3">
        <v>0.0</v>
      </c>
      <c r="N404" s="3">
        <v>0.0</v>
      </c>
      <c r="O404" s="3">
        <v>0.0</v>
      </c>
      <c r="P404" s="3">
        <v>0.0</v>
      </c>
      <c r="Q404" s="3">
        <v>0.0</v>
      </c>
      <c r="R404" s="3">
        <v>0.0</v>
      </c>
      <c r="S404" s="3">
        <v>0.0</v>
      </c>
      <c r="T404" s="3">
        <v>0.0</v>
      </c>
      <c r="U404" s="3">
        <v>0.0</v>
      </c>
      <c r="V404" s="3">
        <v>0.0</v>
      </c>
      <c r="W404" s="3" t="s">
        <v>1985</v>
      </c>
      <c r="X404" s="3" t="s">
        <v>1986</v>
      </c>
      <c r="Y404" s="3" t="s">
        <v>1987</v>
      </c>
      <c r="Z404" s="3" t="s">
        <v>1986</v>
      </c>
      <c r="AA404" s="3" t="s">
        <v>1988</v>
      </c>
      <c r="AB404" s="3" t="s">
        <v>1798</v>
      </c>
      <c r="AC404" s="3" t="s">
        <v>1671</v>
      </c>
      <c r="AD404" s="3" t="s">
        <v>1989</v>
      </c>
      <c r="AE404" s="3" t="s">
        <v>1990</v>
      </c>
      <c r="AF404" s="3">
        <v>0.978</v>
      </c>
      <c r="AG404" s="3">
        <v>0.243</v>
      </c>
      <c r="AH404" s="3">
        <v>0.843</v>
      </c>
      <c r="AI404" s="3">
        <v>56.0</v>
      </c>
      <c r="AJ404" s="3">
        <v>56.0</v>
      </c>
      <c r="AK404" s="3" t="s">
        <v>1986</v>
      </c>
      <c r="AL404" s="3" t="b">
        <v>1</v>
      </c>
      <c r="AM404" s="3" t="s">
        <v>1991</v>
      </c>
    </row>
    <row r="405" ht="15.75" customHeight="1">
      <c r="A405" s="3">
        <v>1.7304E12</v>
      </c>
      <c r="B405" s="3">
        <v>12.0</v>
      </c>
      <c r="C405" s="3" t="s">
        <v>756</v>
      </c>
      <c r="D405" s="3" t="s">
        <v>1369</v>
      </c>
      <c r="E405" s="3" t="s">
        <v>756</v>
      </c>
      <c r="F405" s="3">
        <v>1.0</v>
      </c>
      <c r="G405" s="3">
        <v>1.0</v>
      </c>
      <c r="H405" s="3">
        <v>1.0</v>
      </c>
      <c r="I405" s="3">
        <v>1.0</v>
      </c>
      <c r="J405" s="3">
        <v>1.0</v>
      </c>
      <c r="K405" s="3">
        <v>1.0</v>
      </c>
      <c r="L405" s="3">
        <v>1.0</v>
      </c>
      <c r="M405" s="3">
        <v>1.0</v>
      </c>
      <c r="N405" s="3">
        <v>1.0</v>
      </c>
      <c r="O405" s="3">
        <v>1.0</v>
      </c>
      <c r="P405" s="3">
        <v>1.0</v>
      </c>
      <c r="Q405" s="3">
        <v>0.0</v>
      </c>
      <c r="R405" s="3">
        <v>0.0</v>
      </c>
      <c r="S405" s="3">
        <v>0.0</v>
      </c>
      <c r="T405" s="3">
        <v>1.0</v>
      </c>
      <c r="U405" s="3">
        <v>0.0</v>
      </c>
      <c r="V405" s="3">
        <v>0.0</v>
      </c>
      <c r="W405" s="3" t="s">
        <v>181</v>
      </c>
      <c r="X405" s="3" t="s">
        <v>1379</v>
      </c>
      <c r="Y405" s="3" t="s">
        <v>1380</v>
      </c>
      <c r="Z405" s="3" t="s">
        <v>1372</v>
      </c>
      <c r="AA405" s="3" t="s">
        <v>1382</v>
      </c>
      <c r="AB405" s="3" t="s">
        <v>1374</v>
      </c>
      <c r="AC405" s="3" t="s">
        <v>1400</v>
      </c>
      <c r="AD405" s="3" t="s">
        <v>1425</v>
      </c>
      <c r="AE405" s="3" t="s">
        <v>1385</v>
      </c>
      <c r="AF405" s="3">
        <v>0.191</v>
      </c>
      <c r="AG405" s="3">
        <v>2.348</v>
      </c>
      <c r="AH405" s="3">
        <v>0.197</v>
      </c>
      <c r="AK405" s="3" t="s">
        <v>1942</v>
      </c>
    </row>
    <row r="406" ht="15.75" customHeight="1">
      <c r="A406" s="3">
        <v>1.73039E12</v>
      </c>
      <c r="B406" s="3">
        <v>16.0</v>
      </c>
      <c r="C406" s="3" t="s">
        <v>457</v>
      </c>
      <c r="D406" s="3" t="s">
        <v>1369</v>
      </c>
      <c r="E406" s="3" t="s">
        <v>457</v>
      </c>
      <c r="F406" s="3">
        <v>1.0</v>
      </c>
      <c r="G406" s="3">
        <v>1.0</v>
      </c>
      <c r="H406" s="3">
        <v>1.0</v>
      </c>
      <c r="I406" s="3">
        <v>1.0</v>
      </c>
      <c r="J406" s="3">
        <v>1.0</v>
      </c>
      <c r="K406" s="3">
        <v>1.0</v>
      </c>
      <c r="L406" s="3">
        <v>1.0</v>
      </c>
      <c r="M406" s="3">
        <v>1.0</v>
      </c>
      <c r="N406" s="3">
        <v>1.0</v>
      </c>
      <c r="O406" s="3">
        <v>1.0</v>
      </c>
      <c r="P406" s="3">
        <v>1.0</v>
      </c>
      <c r="Q406" s="3">
        <v>1.0</v>
      </c>
      <c r="R406" s="3">
        <v>1.0</v>
      </c>
      <c r="S406" s="3">
        <v>0.0</v>
      </c>
      <c r="T406" s="3">
        <v>1.0</v>
      </c>
      <c r="U406" s="3">
        <v>1.0</v>
      </c>
      <c r="V406" s="3">
        <v>1.0</v>
      </c>
      <c r="W406" s="3" t="s">
        <v>1274</v>
      </c>
      <c r="X406" s="3" t="s">
        <v>1438</v>
      </c>
      <c r="Y406" s="3" t="s">
        <v>1439</v>
      </c>
      <c r="Z406" s="3" t="s">
        <v>1372</v>
      </c>
      <c r="AA406" s="3" t="s">
        <v>1553</v>
      </c>
      <c r="AB406" s="3" t="s">
        <v>1374</v>
      </c>
      <c r="AC406" s="3" t="s">
        <v>1391</v>
      </c>
      <c r="AD406" s="3" t="s">
        <v>1554</v>
      </c>
      <c r="AE406" s="3" t="s">
        <v>1444</v>
      </c>
      <c r="AF406" s="3">
        <v>0.082</v>
      </c>
      <c r="AG406" s="3">
        <v>0.291</v>
      </c>
      <c r="AH406" s="3">
        <v>0.221</v>
      </c>
      <c r="AI406" s="3">
        <v>243.038</v>
      </c>
      <c r="AJ406" s="3">
        <v>-0.044</v>
      </c>
      <c r="AK406" s="3" t="s">
        <v>1555</v>
      </c>
      <c r="AL406" s="3">
        <v>0.253</v>
      </c>
      <c r="AM406" s="3" t="s">
        <v>1446</v>
      </c>
    </row>
    <row r="407" ht="15.75" customHeight="1">
      <c r="A407" s="3">
        <v>1.7304E12</v>
      </c>
      <c r="B407" s="3">
        <v>17.0</v>
      </c>
      <c r="C407" s="3" t="s">
        <v>346</v>
      </c>
      <c r="D407" s="3" t="s">
        <v>1369</v>
      </c>
      <c r="E407" s="3" t="s">
        <v>346</v>
      </c>
      <c r="F407" s="3">
        <v>1.0</v>
      </c>
      <c r="G407" s="3">
        <v>1.0</v>
      </c>
      <c r="H407" s="3">
        <v>1.0</v>
      </c>
      <c r="I407" s="3">
        <v>1.0</v>
      </c>
      <c r="J407" s="3">
        <v>1.0</v>
      </c>
      <c r="K407" s="3">
        <v>1.0</v>
      </c>
      <c r="L407" s="3">
        <v>1.0</v>
      </c>
      <c r="M407" s="3">
        <v>1.0</v>
      </c>
      <c r="N407" s="3">
        <v>1.0</v>
      </c>
      <c r="O407" s="3">
        <v>1.0</v>
      </c>
      <c r="P407" s="3">
        <v>1.0</v>
      </c>
      <c r="Q407" s="3">
        <v>1.0</v>
      </c>
      <c r="R407" s="3">
        <v>1.0</v>
      </c>
      <c r="S407" s="3">
        <v>1.0</v>
      </c>
      <c r="T407" s="3">
        <v>1.0</v>
      </c>
      <c r="U407" s="3">
        <v>1.0</v>
      </c>
      <c r="V407" s="3">
        <v>1.0</v>
      </c>
      <c r="W407" s="3" t="s">
        <v>1048</v>
      </c>
      <c r="X407" s="3" t="s">
        <v>1542</v>
      </c>
      <c r="Y407" s="3" t="s">
        <v>1543</v>
      </c>
      <c r="Z407" s="3" t="s">
        <v>1423</v>
      </c>
      <c r="AA407" s="3" t="s">
        <v>1544</v>
      </c>
      <c r="AB407" s="3" t="s">
        <v>1374</v>
      </c>
      <c r="AC407" s="3" t="s">
        <v>1451</v>
      </c>
      <c r="AD407" s="3" t="s">
        <v>1545</v>
      </c>
      <c r="AE407" s="3" t="s">
        <v>1546</v>
      </c>
      <c r="AF407" s="3">
        <v>0.035</v>
      </c>
      <c r="AG407" s="3">
        <v>0.068</v>
      </c>
      <c r="AH407" s="3">
        <v>0.22</v>
      </c>
      <c r="AI407" s="3">
        <v>53.923</v>
      </c>
      <c r="AJ407" s="3">
        <v>-10.881</v>
      </c>
      <c r="AK407" s="3" t="s">
        <v>1624</v>
      </c>
      <c r="AL407" s="3">
        <v>0.044</v>
      </c>
      <c r="AM407" s="3" t="s">
        <v>1548</v>
      </c>
    </row>
    <row r="408" ht="15.75" customHeight="1">
      <c r="A408" s="3">
        <v>1.73038E12</v>
      </c>
      <c r="B408" s="3">
        <v>12.0</v>
      </c>
      <c r="C408" s="3" t="s">
        <v>180</v>
      </c>
      <c r="D408" s="3" t="s">
        <v>1369</v>
      </c>
      <c r="E408" s="3" t="s">
        <v>180</v>
      </c>
      <c r="F408" s="3">
        <v>1.0</v>
      </c>
      <c r="G408" s="3">
        <v>1.0</v>
      </c>
      <c r="H408" s="3">
        <v>1.0</v>
      </c>
      <c r="I408" s="3">
        <v>1.0</v>
      </c>
      <c r="J408" s="3">
        <v>1.0</v>
      </c>
      <c r="K408" s="3">
        <v>1.0</v>
      </c>
      <c r="L408" s="3">
        <v>1.0</v>
      </c>
      <c r="M408" s="3">
        <v>0.0</v>
      </c>
      <c r="N408" s="3">
        <v>1.0</v>
      </c>
      <c r="O408" s="3">
        <v>1.0</v>
      </c>
      <c r="P408" s="3">
        <v>1.0</v>
      </c>
      <c r="Q408" s="3">
        <v>0.0</v>
      </c>
      <c r="R408" s="3">
        <v>0.0</v>
      </c>
      <c r="S408" s="3">
        <v>1.0</v>
      </c>
      <c r="T408" s="3">
        <v>0.0</v>
      </c>
      <c r="U408" s="3">
        <v>0.0</v>
      </c>
      <c r="V408" s="3">
        <v>1.0</v>
      </c>
      <c r="W408" s="3" t="s">
        <v>827</v>
      </c>
      <c r="X408" s="3" t="s">
        <v>1379</v>
      </c>
      <c r="Y408" s="3" t="s">
        <v>1380</v>
      </c>
      <c r="Z408" s="3" t="s">
        <v>1449</v>
      </c>
      <c r="AA408" s="3" t="s">
        <v>1382</v>
      </c>
      <c r="AB408" s="3" t="s">
        <v>1374</v>
      </c>
      <c r="AC408" s="3" t="s">
        <v>1400</v>
      </c>
      <c r="AD408" s="3" t="s">
        <v>1425</v>
      </c>
      <c r="AE408" s="3" t="s">
        <v>1385</v>
      </c>
      <c r="AF408" s="3">
        <v>0.192</v>
      </c>
      <c r="AG408" s="3">
        <v>2.349</v>
      </c>
      <c r="AH408" s="3">
        <v>0.198</v>
      </c>
      <c r="AI408" s="3">
        <v>64.475</v>
      </c>
      <c r="AJ408" s="3">
        <v>0.27</v>
      </c>
      <c r="AK408" s="3" t="s">
        <v>1992</v>
      </c>
      <c r="AL408" s="3">
        <v>0.192</v>
      </c>
      <c r="AM408" s="3" t="s">
        <v>1387</v>
      </c>
    </row>
    <row r="409" ht="15.75" customHeight="1">
      <c r="A409" s="3">
        <v>1.7304E12</v>
      </c>
      <c r="B409" s="3">
        <v>17.0</v>
      </c>
      <c r="C409" s="3" t="s">
        <v>1993</v>
      </c>
      <c r="D409" s="3" t="s">
        <v>1369</v>
      </c>
      <c r="E409" s="3" t="s">
        <v>1993</v>
      </c>
      <c r="F409" s="3">
        <v>1.0</v>
      </c>
      <c r="G409" s="3">
        <v>1.0</v>
      </c>
      <c r="H409" s="3">
        <v>1.0</v>
      </c>
      <c r="I409" s="3">
        <v>1.0</v>
      </c>
      <c r="J409" s="3">
        <v>1.0</v>
      </c>
      <c r="K409" s="3">
        <v>1.0</v>
      </c>
      <c r="L409" s="3">
        <v>1.0</v>
      </c>
      <c r="M409" s="3">
        <v>1.0</v>
      </c>
      <c r="N409" s="3">
        <v>1.0</v>
      </c>
      <c r="O409" s="3">
        <v>1.0</v>
      </c>
      <c r="P409" s="3">
        <v>1.0</v>
      </c>
      <c r="Q409" s="3">
        <v>1.0</v>
      </c>
      <c r="R409" s="3">
        <v>1.0</v>
      </c>
      <c r="S409" s="3">
        <v>1.0</v>
      </c>
      <c r="T409" s="3">
        <v>1.0</v>
      </c>
      <c r="U409" s="3">
        <v>1.0</v>
      </c>
      <c r="V409" s="3">
        <v>1.0</v>
      </c>
      <c r="W409" s="3" t="s">
        <v>1118</v>
      </c>
      <c r="X409" s="3" t="s">
        <v>1578</v>
      </c>
      <c r="Y409" s="3" t="s">
        <v>1579</v>
      </c>
      <c r="Z409" s="3" t="s">
        <v>1372</v>
      </c>
      <c r="AA409" s="3" t="s">
        <v>1382</v>
      </c>
      <c r="AB409" s="3" t="s">
        <v>1374</v>
      </c>
      <c r="AC409" s="3" t="s">
        <v>1580</v>
      </c>
      <c r="AD409" s="3" t="s">
        <v>1581</v>
      </c>
      <c r="AE409" s="3" t="s">
        <v>1582</v>
      </c>
      <c r="AF409" s="3">
        <v>0.05</v>
      </c>
      <c r="AG409" s="3">
        <v>0.271</v>
      </c>
      <c r="AH409" s="3">
        <v>0.426</v>
      </c>
      <c r="AI409" s="3">
        <v>-78.491</v>
      </c>
      <c r="AJ409" s="3">
        <v>18.742</v>
      </c>
      <c r="AK409" s="3" t="s">
        <v>1583</v>
      </c>
      <c r="AL409" s="3">
        <v>0.131</v>
      </c>
      <c r="AM409" s="3" t="s">
        <v>1584</v>
      </c>
    </row>
    <row r="410" ht="15.75" customHeight="1">
      <c r="A410" s="3">
        <v>1.7303E12</v>
      </c>
      <c r="B410" s="3">
        <v>16.0</v>
      </c>
      <c r="C410" s="3" t="s">
        <v>687</v>
      </c>
      <c r="D410" s="3" t="s">
        <v>1369</v>
      </c>
      <c r="E410" s="3" t="s">
        <v>687</v>
      </c>
      <c r="F410" s="3">
        <v>1.0</v>
      </c>
      <c r="G410" s="3">
        <v>1.0</v>
      </c>
      <c r="H410" s="3">
        <v>1.0</v>
      </c>
      <c r="I410" s="3">
        <v>1.0</v>
      </c>
      <c r="J410" s="3">
        <v>1.0</v>
      </c>
      <c r="K410" s="3">
        <v>1.0</v>
      </c>
      <c r="L410" s="3">
        <v>1.0</v>
      </c>
      <c r="M410" s="3">
        <v>1.0</v>
      </c>
      <c r="N410" s="3">
        <v>1.0</v>
      </c>
      <c r="O410" s="3">
        <v>1.0</v>
      </c>
      <c r="P410" s="3">
        <v>1.0</v>
      </c>
      <c r="Q410" s="3">
        <v>1.0</v>
      </c>
      <c r="R410" s="3">
        <v>1.0</v>
      </c>
      <c r="S410" s="3">
        <v>1.0</v>
      </c>
      <c r="T410" s="3">
        <v>0.0</v>
      </c>
      <c r="U410" s="3">
        <v>1.0</v>
      </c>
      <c r="V410" s="3">
        <v>1.0</v>
      </c>
      <c r="W410" s="3" t="s">
        <v>1127</v>
      </c>
      <c r="X410" s="3" t="s">
        <v>1605</v>
      </c>
      <c r="Y410" s="3" t="s">
        <v>1654</v>
      </c>
      <c r="Z410" s="3" t="s">
        <v>1423</v>
      </c>
      <c r="AA410" s="3" t="s">
        <v>1382</v>
      </c>
      <c r="AB410" s="3" t="s">
        <v>1391</v>
      </c>
      <c r="AC410" s="3" t="s">
        <v>1374</v>
      </c>
      <c r="AD410" s="3" t="s">
        <v>1655</v>
      </c>
      <c r="AE410" s="3" t="s">
        <v>1656</v>
      </c>
      <c r="AF410" s="3">
        <v>0.066</v>
      </c>
      <c r="AG410" s="3">
        <v>1.481</v>
      </c>
      <c r="AH410" s="3">
        <v>0.311</v>
      </c>
      <c r="AI410" s="3">
        <v>-837.4</v>
      </c>
      <c r="AJ410" s="3">
        <v>40.721</v>
      </c>
      <c r="AK410" s="3" t="s">
        <v>1994</v>
      </c>
      <c r="AL410" s="3">
        <v>0.068</v>
      </c>
      <c r="AM410" s="3" t="s">
        <v>1608</v>
      </c>
    </row>
    <row r="411" ht="15.75" customHeight="1">
      <c r="A411" s="3">
        <v>1.73032E12</v>
      </c>
      <c r="B411" s="3">
        <v>11.0</v>
      </c>
      <c r="C411" s="3" t="s">
        <v>201</v>
      </c>
      <c r="D411" s="3" t="s">
        <v>1369</v>
      </c>
      <c r="E411" s="3" t="s">
        <v>201</v>
      </c>
      <c r="F411" s="3">
        <v>1.0</v>
      </c>
      <c r="G411" s="3">
        <v>0.0</v>
      </c>
      <c r="H411" s="3">
        <v>0.0</v>
      </c>
      <c r="I411" s="3">
        <v>0.0</v>
      </c>
      <c r="J411" s="3">
        <v>1.0</v>
      </c>
      <c r="K411" s="3">
        <v>1.0</v>
      </c>
      <c r="L411" s="3">
        <v>1.0</v>
      </c>
      <c r="M411" s="3">
        <v>1.0</v>
      </c>
      <c r="N411" s="3">
        <v>0.0</v>
      </c>
      <c r="O411" s="3">
        <v>1.0</v>
      </c>
      <c r="P411" s="3">
        <v>1.0</v>
      </c>
      <c r="Q411" s="3">
        <v>1.0</v>
      </c>
      <c r="R411" s="3">
        <v>1.0</v>
      </c>
      <c r="S411" s="3">
        <v>1.0</v>
      </c>
      <c r="T411" s="3">
        <v>0.0</v>
      </c>
      <c r="U411" s="3">
        <v>1.0</v>
      </c>
      <c r="V411" s="3">
        <v>0.0</v>
      </c>
      <c r="W411" s="3" t="s">
        <v>709</v>
      </c>
      <c r="X411" s="3" t="s">
        <v>1856</v>
      </c>
      <c r="Y411" s="3" t="s">
        <v>1995</v>
      </c>
      <c r="Z411" s="3" t="s">
        <v>1996</v>
      </c>
      <c r="AA411" s="3" t="s">
        <v>1382</v>
      </c>
      <c r="AB411" s="3" t="s">
        <v>1374</v>
      </c>
      <c r="AC411" s="3" t="s">
        <v>1400</v>
      </c>
      <c r="AD411" s="3" t="s">
        <v>1472</v>
      </c>
      <c r="AE411" s="3" t="s">
        <v>1997</v>
      </c>
      <c r="AF411" s="3">
        <v>0.15</v>
      </c>
      <c r="AG411" s="3">
        <v>4.09</v>
      </c>
      <c r="AH411" s="3">
        <v>0.276</v>
      </c>
      <c r="AI411" s="3">
        <v>110.024</v>
      </c>
      <c r="AJ411" s="3">
        <v>9.195</v>
      </c>
      <c r="AK411" s="3" t="s">
        <v>1998</v>
      </c>
      <c r="AL411" s="3">
        <v>0.029</v>
      </c>
      <c r="AM411" s="3" t="s">
        <v>1999</v>
      </c>
    </row>
    <row r="412" ht="15.75" customHeight="1">
      <c r="A412" s="3">
        <v>1.73039E12</v>
      </c>
      <c r="B412" s="3">
        <v>17.0</v>
      </c>
      <c r="C412" s="3" t="s">
        <v>2000</v>
      </c>
      <c r="D412" s="3" t="s">
        <v>1369</v>
      </c>
      <c r="E412" s="3" t="s">
        <v>2000</v>
      </c>
      <c r="F412" s="3">
        <v>1.0</v>
      </c>
      <c r="G412" s="3">
        <v>1.0</v>
      </c>
      <c r="H412" s="3">
        <v>1.0</v>
      </c>
      <c r="I412" s="3">
        <v>1.0</v>
      </c>
      <c r="J412" s="3">
        <v>1.0</v>
      </c>
      <c r="K412" s="3">
        <v>1.0</v>
      </c>
      <c r="L412" s="3">
        <v>1.0</v>
      </c>
      <c r="M412" s="3">
        <v>1.0</v>
      </c>
      <c r="N412" s="3">
        <v>1.0</v>
      </c>
      <c r="O412" s="3">
        <v>1.0</v>
      </c>
      <c r="P412" s="3">
        <v>1.0</v>
      </c>
      <c r="Q412" s="3">
        <v>1.0</v>
      </c>
      <c r="R412" s="3">
        <v>1.0</v>
      </c>
      <c r="S412" s="3">
        <v>1.0</v>
      </c>
      <c r="T412" s="3">
        <v>1.0</v>
      </c>
      <c r="U412" s="3">
        <v>1.0</v>
      </c>
      <c r="V412" s="3">
        <v>1.0</v>
      </c>
      <c r="W412" s="3" t="s">
        <v>1311</v>
      </c>
      <c r="X412" s="3" t="s">
        <v>1542</v>
      </c>
      <c r="Y412" s="3" t="s">
        <v>1543</v>
      </c>
      <c r="Z412" s="3" t="s">
        <v>1423</v>
      </c>
      <c r="AA412" s="3" t="s">
        <v>1544</v>
      </c>
      <c r="AB412" s="3" t="s">
        <v>1374</v>
      </c>
      <c r="AC412" s="3" t="s">
        <v>1451</v>
      </c>
      <c r="AD412" s="3" t="s">
        <v>1545</v>
      </c>
      <c r="AE412" s="3" t="s">
        <v>1546</v>
      </c>
      <c r="AF412" s="3">
        <v>0.035</v>
      </c>
      <c r="AG412" s="3">
        <v>0.068</v>
      </c>
      <c r="AH412" s="3" t="s">
        <v>1394</v>
      </c>
      <c r="AI412" s="3" t="s">
        <v>1394</v>
      </c>
      <c r="AJ412" s="3">
        <v>-10.881</v>
      </c>
      <c r="AK412" s="3" t="s">
        <v>1547</v>
      </c>
      <c r="AL412" s="3" t="s">
        <v>1394</v>
      </c>
      <c r="AM412" s="3" t="s">
        <v>1548</v>
      </c>
    </row>
    <row r="413" ht="15.75" customHeight="1">
      <c r="A413" s="3">
        <v>1.73014E12</v>
      </c>
      <c r="B413" s="3">
        <v>16.0</v>
      </c>
      <c r="C413" s="3" t="s">
        <v>220</v>
      </c>
      <c r="D413" s="3" t="s">
        <v>1369</v>
      </c>
      <c r="E413" s="3" t="s">
        <v>220</v>
      </c>
      <c r="F413" s="3">
        <v>1.0</v>
      </c>
      <c r="G413" s="3">
        <v>1.0</v>
      </c>
      <c r="H413" s="3">
        <v>1.0</v>
      </c>
      <c r="I413" s="3">
        <v>1.0</v>
      </c>
      <c r="J413" s="3">
        <v>1.0</v>
      </c>
      <c r="K413" s="3">
        <v>1.0</v>
      </c>
      <c r="L413" s="3">
        <v>1.0</v>
      </c>
      <c r="M413" s="3">
        <v>1.0</v>
      </c>
      <c r="N413" s="3">
        <v>1.0</v>
      </c>
      <c r="O413" s="3">
        <v>1.0</v>
      </c>
      <c r="P413" s="3">
        <v>1.0</v>
      </c>
      <c r="Q413" s="3">
        <v>1.0</v>
      </c>
      <c r="R413" s="3">
        <v>1.0</v>
      </c>
      <c r="S413" s="3">
        <v>0.0</v>
      </c>
      <c r="T413" s="3">
        <v>1.0</v>
      </c>
      <c r="U413" s="3">
        <v>1.0</v>
      </c>
      <c r="V413" s="3">
        <v>1.0</v>
      </c>
      <c r="W413" s="3" t="s">
        <v>1200</v>
      </c>
      <c r="X413" s="3" t="s">
        <v>1421</v>
      </c>
      <c r="Y413" s="3" t="s">
        <v>1422</v>
      </c>
      <c r="Z413" s="3" t="s">
        <v>1423</v>
      </c>
      <c r="AA413" s="3" t="s">
        <v>1424</v>
      </c>
      <c r="AB413" s="3" t="s">
        <v>1374</v>
      </c>
      <c r="AC413" s="3" t="s">
        <v>1391</v>
      </c>
      <c r="AD413" s="3" t="s">
        <v>1425</v>
      </c>
      <c r="AE413" s="3" t="s">
        <v>1781</v>
      </c>
      <c r="AF413" s="3">
        <v>0.052</v>
      </c>
      <c r="AG413" s="3">
        <v>0.213</v>
      </c>
      <c r="AH413" s="3">
        <v>0.362</v>
      </c>
      <c r="AI413" s="3">
        <v>-28.727</v>
      </c>
      <c r="AJ413" s="3">
        <v>0.112</v>
      </c>
      <c r="AK413" s="3" t="s">
        <v>1818</v>
      </c>
      <c r="AL413" s="3">
        <v>0.187</v>
      </c>
      <c r="AM413" s="3" t="s">
        <v>1428</v>
      </c>
    </row>
    <row r="414" ht="15.75" customHeight="1">
      <c r="A414" s="3">
        <v>1.73013E12</v>
      </c>
      <c r="B414" s="3">
        <v>13.0</v>
      </c>
      <c r="C414" s="3" t="s">
        <v>472</v>
      </c>
      <c r="D414" s="3" t="s">
        <v>1369</v>
      </c>
      <c r="E414" s="3" t="s">
        <v>472</v>
      </c>
      <c r="F414" s="3">
        <v>1.0</v>
      </c>
      <c r="G414" s="3">
        <v>1.0</v>
      </c>
      <c r="H414" s="3">
        <v>1.0</v>
      </c>
      <c r="I414" s="3">
        <v>1.0</v>
      </c>
      <c r="J414" s="3">
        <v>1.0</v>
      </c>
      <c r="K414" s="3">
        <v>1.0</v>
      </c>
      <c r="L414" s="3">
        <v>1.0</v>
      </c>
      <c r="M414" s="3">
        <v>1.0</v>
      </c>
      <c r="N414" s="3">
        <v>1.0</v>
      </c>
      <c r="O414" s="3">
        <v>1.0</v>
      </c>
      <c r="P414" s="3">
        <v>1.0</v>
      </c>
      <c r="Q414" s="3">
        <v>0.0</v>
      </c>
      <c r="R414" s="3">
        <v>0.0</v>
      </c>
      <c r="S414" s="3">
        <v>0.0</v>
      </c>
      <c r="T414" s="3">
        <v>1.0</v>
      </c>
      <c r="U414" s="3">
        <v>0.0</v>
      </c>
      <c r="V414" s="3">
        <v>1.0</v>
      </c>
      <c r="W414" s="3" t="s">
        <v>648</v>
      </c>
      <c r="X414" s="3" t="s">
        <v>1398</v>
      </c>
      <c r="Y414" s="3" t="s">
        <v>1399</v>
      </c>
      <c r="Z414" s="3" t="s">
        <v>1449</v>
      </c>
      <c r="AA414" s="3" t="s">
        <v>1785</v>
      </c>
      <c r="AB414" s="3" t="s">
        <v>1374</v>
      </c>
      <c r="AC414" s="3" t="s">
        <v>1400</v>
      </c>
      <c r="AD414" s="3" t="s">
        <v>1401</v>
      </c>
      <c r="AE414" s="3" t="s">
        <v>1402</v>
      </c>
      <c r="AF414" s="3">
        <v>0.006</v>
      </c>
      <c r="AG414" s="3">
        <v>0.063</v>
      </c>
      <c r="AK414" s="3" t="s">
        <v>1802</v>
      </c>
      <c r="AM414" s="3" t="s">
        <v>1404</v>
      </c>
    </row>
    <row r="415" ht="15.75" customHeight="1">
      <c r="A415" s="3">
        <v>1.73038E12</v>
      </c>
      <c r="B415" s="3">
        <v>17.0</v>
      </c>
      <c r="C415" s="3" t="s">
        <v>491</v>
      </c>
      <c r="D415" s="3" t="s">
        <v>1369</v>
      </c>
      <c r="E415" s="3" t="s">
        <v>491</v>
      </c>
      <c r="F415" s="3">
        <v>1.0</v>
      </c>
      <c r="G415" s="3">
        <v>1.0</v>
      </c>
      <c r="H415" s="3">
        <v>1.0</v>
      </c>
      <c r="I415" s="3">
        <v>1.0</v>
      </c>
      <c r="J415" s="3">
        <v>1.0</v>
      </c>
      <c r="K415" s="3">
        <v>1.0</v>
      </c>
      <c r="L415" s="3">
        <v>1.0</v>
      </c>
      <c r="M415" s="3">
        <v>1.0</v>
      </c>
      <c r="N415" s="3">
        <v>1.0</v>
      </c>
      <c r="O415" s="3">
        <v>1.0</v>
      </c>
      <c r="P415" s="3">
        <v>1.0</v>
      </c>
      <c r="Q415" s="3">
        <v>1.0</v>
      </c>
      <c r="R415" s="3">
        <v>1.0</v>
      </c>
      <c r="S415" s="3">
        <v>1.0</v>
      </c>
      <c r="T415" s="3">
        <v>1.0</v>
      </c>
      <c r="U415" s="3">
        <v>1.0</v>
      </c>
      <c r="V415" s="3">
        <v>1.0</v>
      </c>
      <c r="W415" s="3" t="s">
        <v>1036</v>
      </c>
      <c r="X415" s="3" t="s">
        <v>1590</v>
      </c>
      <c r="Y415" s="3" t="s">
        <v>1591</v>
      </c>
      <c r="Z415" s="3" t="s">
        <v>1423</v>
      </c>
      <c r="AA415" s="3" t="s">
        <v>1593</v>
      </c>
      <c r="AB415" s="3" t="s">
        <v>1374</v>
      </c>
      <c r="AC415" s="3" t="s">
        <v>1374</v>
      </c>
      <c r="AD415" s="3" t="s">
        <v>1625</v>
      </c>
      <c r="AE415" s="3" t="s">
        <v>1595</v>
      </c>
      <c r="AF415" s="3">
        <v>0.189</v>
      </c>
      <c r="AG415" s="3">
        <v>2.257</v>
      </c>
      <c r="AH415" s="3">
        <v>0.379</v>
      </c>
      <c r="AI415" s="3">
        <v>-46.186</v>
      </c>
      <c r="AJ415" s="3">
        <v>7.708</v>
      </c>
      <c r="AK415" s="3" t="s">
        <v>1626</v>
      </c>
      <c r="AL415" s="3">
        <v>0.056</v>
      </c>
      <c r="AM415" s="3" t="s">
        <v>1469</v>
      </c>
    </row>
    <row r="416" ht="15.75" customHeight="1">
      <c r="A416" s="3">
        <v>1.7304E12</v>
      </c>
      <c r="B416" s="3">
        <v>15.0</v>
      </c>
      <c r="C416" s="3" t="s">
        <v>753</v>
      </c>
      <c r="D416" s="3" t="s">
        <v>1369</v>
      </c>
      <c r="E416" s="3" t="s">
        <v>753</v>
      </c>
      <c r="F416" s="3">
        <v>1.0</v>
      </c>
      <c r="G416" s="3">
        <v>1.0</v>
      </c>
      <c r="H416" s="3">
        <v>1.0</v>
      </c>
      <c r="I416" s="3">
        <v>1.0</v>
      </c>
      <c r="J416" s="3">
        <v>1.0</v>
      </c>
      <c r="K416" s="3">
        <v>1.0</v>
      </c>
      <c r="L416" s="3">
        <v>1.0</v>
      </c>
      <c r="M416" s="3">
        <v>1.0</v>
      </c>
      <c r="N416" s="3">
        <v>1.0</v>
      </c>
      <c r="O416" s="3">
        <v>1.0</v>
      </c>
      <c r="P416" s="3">
        <v>1.0</v>
      </c>
      <c r="Q416" s="3">
        <v>1.0</v>
      </c>
      <c r="R416" s="3">
        <v>0.0</v>
      </c>
      <c r="S416" s="3">
        <v>1.0</v>
      </c>
      <c r="T416" s="3">
        <v>1.0</v>
      </c>
      <c r="U416" s="3">
        <v>0.0</v>
      </c>
      <c r="V416" s="3">
        <v>1.0</v>
      </c>
      <c r="W416" s="3" t="s">
        <v>332</v>
      </c>
      <c r="X416" s="3" t="s">
        <v>1398</v>
      </c>
      <c r="Y416" s="3" t="s">
        <v>1399</v>
      </c>
      <c r="Z416" s="3" t="s">
        <v>2001</v>
      </c>
      <c r="AA416" s="3" t="s">
        <v>1373</v>
      </c>
      <c r="AB416" s="3" t="s">
        <v>1374</v>
      </c>
      <c r="AC416" s="3" t="s">
        <v>1400</v>
      </c>
      <c r="AD416" s="3" t="s">
        <v>1401</v>
      </c>
      <c r="AE416" s="3" t="s">
        <v>1402</v>
      </c>
      <c r="AF416" s="3">
        <v>0.006</v>
      </c>
      <c r="AG416" s="3">
        <v>0.072</v>
      </c>
      <c r="AH416" s="3" t="s">
        <v>1394</v>
      </c>
      <c r="AI416" s="3">
        <v>33.415</v>
      </c>
      <c r="AJ416" s="3">
        <v>8.393</v>
      </c>
      <c r="AK416" s="3" t="s">
        <v>1841</v>
      </c>
      <c r="AL416" s="3">
        <v>0.259</v>
      </c>
      <c r="AM416" s="3" t="s">
        <v>1404</v>
      </c>
    </row>
    <row r="417" ht="15.75" customHeight="1">
      <c r="A417" s="3">
        <v>1.73038E12</v>
      </c>
      <c r="B417" s="3">
        <v>17.0</v>
      </c>
      <c r="C417" s="3" t="s">
        <v>447</v>
      </c>
      <c r="D417" s="3" t="s">
        <v>1369</v>
      </c>
      <c r="E417" s="3" t="s">
        <v>447</v>
      </c>
      <c r="F417" s="3">
        <v>1.0</v>
      </c>
      <c r="G417" s="3">
        <v>1.0</v>
      </c>
      <c r="H417" s="3">
        <v>1.0</v>
      </c>
      <c r="I417" s="3">
        <v>1.0</v>
      </c>
      <c r="J417" s="3">
        <v>1.0</v>
      </c>
      <c r="K417" s="3">
        <v>1.0</v>
      </c>
      <c r="L417" s="3">
        <v>1.0</v>
      </c>
      <c r="M417" s="3">
        <v>1.0</v>
      </c>
      <c r="N417" s="3">
        <v>1.0</v>
      </c>
      <c r="O417" s="3">
        <v>1.0</v>
      </c>
      <c r="P417" s="3">
        <v>1.0</v>
      </c>
      <c r="Q417" s="3">
        <v>1.0</v>
      </c>
      <c r="R417" s="3">
        <v>1.0</v>
      </c>
      <c r="S417" s="3">
        <v>1.0</v>
      </c>
      <c r="T417" s="3">
        <v>1.0</v>
      </c>
      <c r="U417" s="3">
        <v>1.0</v>
      </c>
      <c r="V417" s="3">
        <v>1.0</v>
      </c>
      <c r="W417" s="3" t="s">
        <v>1303</v>
      </c>
      <c r="X417" s="3" t="s">
        <v>1489</v>
      </c>
      <c r="Y417" s="3" t="s">
        <v>1490</v>
      </c>
      <c r="Z417" s="3" t="s">
        <v>1431</v>
      </c>
      <c r="AA417" s="3" t="s">
        <v>1491</v>
      </c>
      <c r="AB417" s="3" t="s">
        <v>1374</v>
      </c>
      <c r="AC417" s="3" t="s">
        <v>1451</v>
      </c>
      <c r="AD417" s="3" t="s">
        <v>1492</v>
      </c>
      <c r="AE417" s="3" t="s">
        <v>1493</v>
      </c>
      <c r="AF417" s="3">
        <v>0.055</v>
      </c>
      <c r="AG417" s="3">
        <v>0.251</v>
      </c>
      <c r="AH417" s="3">
        <v>0.353</v>
      </c>
      <c r="AI417" s="3">
        <v>-12.608</v>
      </c>
      <c r="AJ417" s="3">
        <v>8.533</v>
      </c>
      <c r="AK417" s="3" t="s">
        <v>1560</v>
      </c>
      <c r="AL417" s="3">
        <v>0.13</v>
      </c>
      <c r="AM417" s="3" t="s">
        <v>1495</v>
      </c>
    </row>
    <row r="418" ht="15.75" customHeight="1">
      <c r="A418" s="3">
        <v>1.73038E12</v>
      </c>
      <c r="B418" s="3">
        <v>15.0</v>
      </c>
      <c r="C418" s="3" t="s">
        <v>601</v>
      </c>
      <c r="D418" s="3" t="s">
        <v>1369</v>
      </c>
      <c r="E418" s="3" t="s">
        <v>601</v>
      </c>
      <c r="F418" s="3">
        <v>1.0</v>
      </c>
      <c r="G418" s="3">
        <v>1.0</v>
      </c>
      <c r="H418" s="3">
        <v>1.0</v>
      </c>
      <c r="I418" s="3">
        <v>1.0</v>
      </c>
      <c r="J418" s="3">
        <v>1.0</v>
      </c>
      <c r="K418" s="3">
        <v>1.0</v>
      </c>
      <c r="L418" s="3">
        <v>1.0</v>
      </c>
      <c r="M418" s="3">
        <v>1.0</v>
      </c>
      <c r="N418" s="3">
        <v>1.0</v>
      </c>
      <c r="O418" s="3">
        <v>1.0</v>
      </c>
      <c r="P418" s="3">
        <v>1.0</v>
      </c>
      <c r="Q418" s="3">
        <v>1.0</v>
      </c>
      <c r="R418" s="3">
        <v>1.0</v>
      </c>
      <c r="S418" s="3">
        <v>0.0</v>
      </c>
      <c r="T418" s="3">
        <v>1.0</v>
      </c>
      <c r="U418" s="3">
        <v>1.0</v>
      </c>
      <c r="V418" s="3">
        <v>0.0</v>
      </c>
      <c r="W418" s="3" t="s">
        <v>495</v>
      </c>
      <c r="X418" s="3" t="s">
        <v>1529</v>
      </c>
      <c r="Y418" s="3" t="s">
        <v>1530</v>
      </c>
      <c r="Z418" s="3" t="s">
        <v>1449</v>
      </c>
      <c r="AA418" s="3" t="s">
        <v>1531</v>
      </c>
      <c r="AB418" s="3" t="s">
        <v>1374</v>
      </c>
      <c r="AC418" s="3" t="s">
        <v>1391</v>
      </c>
      <c r="AD418" s="3" t="s">
        <v>1532</v>
      </c>
      <c r="AE418" s="3" t="s">
        <v>1533</v>
      </c>
      <c r="AF418" s="3">
        <v>0.084</v>
      </c>
      <c r="AG418" s="3">
        <v>1.813</v>
      </c>
      <c r="AH418" s="3">
        <v>0.355</v>
      </c>
      <c r="AI418" s="3">
        <v>-860.252</v>
      </c>
      <c r="AK418" s="3" t="s">
        <v>1907</v>
      </c>
      <c r="AL418" s="3">
        <v>-0.045</v>
      </c>
    </row>
    <row r="419" ht="15.75" customHeight="1">
      <c r="A419" s="3">
        <v>1.73031E12</v>
      </c>
      <c r="B419" s="3">
        <v>12.0</v>
      </c>
      <c r="C419" s="3" t="s">
        <v>826</v>
      </c>
      <c r="D419" s="3" t="s">
        <v>1369</v>
      </c>
      <c r="E419" s="3" t="s">
        <v>826</v>
      </c>
      <c r="F419" s="3">
        <v>1.0</v>
      </c>
      <c r="G419" s="3">
        <v>1.0</v>
      </c>
      <c r="H419" s="3">
        <v>1.0</v>
      </c>
      <c r="I419" s="3">
        <v>1.0</v>
      </c>
      <c r="J419" s="3">
        <v>1.0</v>
      </c>
      <c r="K419" s="3">
        <v>1.0</v>
      </c>
      <c r="L419" s="3">
        <v>1.0</v>
      </c>
      <c r="M419" s="3">
        <v>1.0</v>
      </c>
      <c r="N419" s="3">
        <v>1.0</v>
      </c>
      <c r="O419" s="3">
        <v>0.0</v>
      </c>
      <c r="P419" s="3">
        <v>1.0</v>
      </c>
      <c r="Q419" s="3">
        <v>0.0</v>
      </c>
      <c r="R419" s="3">
        <v>0.0</v>
      </c>
      <c r="S419" s="3">
        <v>0.0</v>
      </c>
      <c r="T419" s="3">
        <v>1.0</v>
      </c>
      <c r="U419" s="3">
        <v>0.0</v>
      </c>
      <c r="V419" s="3">
        <v>1.0</v>
      </c>
      <c r="W419" s="3" t="s">
        <v>627</v>
      </c>
      <c r="X419" s="3" t="s">
        <v>1563</v>
      </c>
      <c r="Y419" s="3" t="s">
        <v>1564</v>
      </c>
      <c r="Z419" s="3" t="s">
        <v>1372</v>
      </c>
      <c r="AA419" s="3" t="s">
        <v>1565</v>
      </c>
      <c r="AB419" s="3" t="s">
        <v>1374</v>
      </c>
      <c r="AC419" s="3" t="s">
        <v>1400</v>
      </c>
      <c r="AD419" s="3" t="s">
        <v>1566</v>
      </c>
      <c r="AE419" s="3" t="s">
        <v>1567</v>
      </c>
      <c r="AF419" s="3">
        <v>0.344</v>
      </c>
      <c r="AG419" s="3">
        <v>0.674</v>
      </c>
      <c r="AH419" s="3">
        <v>0.307</v>
      </c>
      <c r="AI419" s="3">
        <v>45.898</v>
      </c>
      <c r="AJ419" s="3">
        <v>0.378</v>
      </c>
      <c r="AK419" s="3" t="s">
        <v>1651</v>
      </c>
      <c r="AL419" s="3">
        <v>0.066</v>
      </c>
      <c r="AM419" s="3" t="s">
        <v>1569</v>
      </c>
    </row>
    <row r="420" ht="15.75" customHeight="1">
      <c r="A420" s="3">
        <v>1.7304E12</v>
      </c>
      <c r="B420" s="3">
        <v>14.0</v>
      </c>
      <c r="C420" s="3" t="s">
        <v>339</v>
      </c>
      <c r="D420" s="3" t="s">
        <v>1369</v>
      </c>
      <c r="E420" s="3" t="s">
        <v>339</v>
      </c>
      <c r="F420" s="3">
        <v>1.0</v>
      </c>
      <c r="G420" s="3">
        <v>1.0</v>
      </c>
      <c r="H420" s="3">
        <v>1.0</v>
      </c>
      <c r="I420" s="3">
        <v>1.0</v>
      </c>
      <c r="J420" s="3">
        <v>1.0</v>
      </c>
      <c r="K420" s="3">
        <v>1.0</v>
      </c>
      <c r="L420" s="3">
        <v>1.0</v>
      </c>
      <c r="M420" s="3">
        <v>1.0</v>
      </c>
      <c r="N420" s="3">
        <v>1.0</v>
      </c>
      <c r="O420" s="3">
        <v>1.0</v>
      </c>
      <c r="P420" s="3">
        <v>1.0</v>
      </c>
      <c r="Q420" s="3">
        <v>0.0</v>
      </c>
      <c r="R420" s="3">
        <v>0.0</v>
      </c>
      <c r="S420" s="3">
        <v>1.0</v>
      </c>
      <c r="T420" s="3">
        <v>1.0</v>
      </c>
      <c r="U420" s="3">
        <v>0.0</v>
      </c>
      <c r="V420" s="3">
        <v>1.0</v>
      </c>
      <c r="W420" s="3" t="s">
        <v>697</v>
      </c>
      <c r="X420" s="3" t="s">
        <v>1438</v>
      </c>
      <c r="Y420" s="3" t="s">
        <v>1439</v>
      </c>
      <c r="Z420" s="3" t="s">
        <v>1449</v>
      </c>
      <c r="AA420" s="3" t="s">
        <v>1553</v>
      </c>
      <c r="AB420" s="3" t="s">
        <v>1374</v>
      </c>
      <c r="AC420" s="3" t="s">
        <v>1391</v>
      </c>
      <c r="AD420" s="3" t="s">
        <v>1554</v>
      </c>
      <c r="AE420" s="3" t="s">
        <v>1444</v>
      </c>
      <c r="AF420" s="3">
        <v>0.082</v>
      </c>
      <c r="AG420" s="3">
        <v>0.291</v>
      </c>
      <c r="AH420" s="3">
        <v>0.22</v>
      </c>
      <c r="AI420" s="3">
        <v>-77.376</v>
      </c>
      <c r="AJ420" s="3">
        <v>-1.617</v>
      </c>
      <c r="AK420" s="3" t="s">
        <v>1555</v>
      </c>
      <c r="AL420" s="3">
        <v>-1.52</v>
      </c>
      <c r="AM420" s="3" t="s">
        <v>1446</v>
      </c>
    </row>
    <row r="421" ht="15.75" customHeight="1">
      <c r="A421" s="3">
        <v>1.73029E12</v>
      </c>
      <c r="B421" s="3">
        <v>16.0</v>
      </c>
      <c r="C421" s="3" t="s">
        <v>892</v>
      </c>
      <c r="D421" s="3" t="s">
        <v>1369</v>
      </c>
      <c r="E421" s="3" t="s">
        <v>892</v>
      </c>
      <c r="F421" s="3">
        <v>1.0</v>
      </c>
      <c r="G421" s="3">
        <v>1.0</v>
      </c>
      <c r="H421" s="3">
        <v>1.0</v>
      </c>
      <c r="I421" s="3">
        <v>1.0</v>
      </c>
      <c r="J421" s="3">
        <v>1.0</v>
      </c>
      <c r="K421" s="3">
        <v>1.0</v>
      </c>
      <c r="L421" s="3">
        <v>1.0</v>
      </c>
      <c r="M421" s="3">
        <v>1.0</v>
      </c>
      <c r="N421" s="3">
        <v>1.0</v>
      </c>
      <c r="O421" s="3">
        <v>1.0</v>
      </c>
      <c r="P421" s="3">
        <v>1.0</v>
      </c>
      <c r="Q421" s="3">
        <v>0.0</v>
      </c>
      <c r="R421" s="3">
        <v>1.0</v>
      </c>
      <c r="S421" s="3">
        <v>1.0</v>
      </c>
      <c r="T421" s="3">
        <v>1.0</v>
      </c>
      <c r="U421" s="3">
        <v>1.0</v>
      </c>
      <c r="V421" s="3">
        <v>1.0</v>
      </c>
      <c r="W421" s="3" t="s">
        <v>1058</v>
      </c>
      <c r="X421" s="3" t="s">
        <v>1447</v>
      </c>
      <c r="Y421" s="3" t="s">
        <v>1448</v>
      </c>
      <c r="Z421" s="3" t="s">
        <v>1449</v>
      </c>
      <c r="AA421" s="3" t="s">
        <v>1450</v>
      </c>
      <c r="AB421" s="3" t="s">
        <v>1374</v>
      </c>
      <c r="AC421" s="3" t="s">
        <v>1451</v>
      </c>
      <c r="AD421" s="3" t="s">
        <v>1452</v>
      </c>
      <c r="AE421" s="3" t="s">
        <v>1453</v>
      </c>
      <c r="AF421" s="3">
        <v>0.033</v>
      </c>
      <c r="AG421" s="3">
        <v>0.217</v>
      </c>
      <c r="AH421" s="3">
        <v>0.368</v>
      </c>
      <c r="AI421" s="3">
        <v>48.601</v>
      </c>
      <c r="AJ421" s="3">
        <v>6.565</v>
      </c>
      <c r="AK421" s="3" t="s">
        <v>1454</v>
      </c>
      <c r="AL421" s="3">
        <v>0.176</v>
      </c>
      <c r="AM421" s="3" t="s">
        <v>1455</v>
      </c>
    </row>
    <row r="422" ht="15.75" customHeight="1">
      <c r="A422" s="3">
        <v>1.7304E12</v>
      </c>
      <c r="B422" s="3">
        <v>17.0</v>
      </c>
      <c r="C422" s="3" t="s">
        <v>364</v>
      </c>
      <c r="D422" s="3" t="s">
        <v>1369</v>
      </c>
      <c r="E422" s="3" t="s">
        <v>364</v>
      </c>
      <c r="F422" s="3">
        <v>1.0</v>
      </c>
      <c r="G422" s="3">
        <v>1.0</v>
      </c>
      <c r="H422" s="3">
        <v>1.0</v>
      </c>
      <c r="I422" s="3">
        <v>1.0</v>
      </c>
      <c r="J422" s="3">
        <v>1.0</v>
      </c>
      <c r="K422" s="3">
        <v>1.0</v>
      </c>
      <c r="L422" s="3">
        <v>1.0</v>
      </c>
      <c r="M422" s="3">
        <v>1.0</v>
      </c>
      <c r="N422" s="3">
        <v>1.0</v>
      </c>
      <c r="O422" s="3">
        <v>1.0</v>
      </c>
      <c r="P422" s="3">
        <v>1.0</v>
      </c>
      <c r="Q422" s="3">
        <v>1.0</v>
      </c>
      <c r="R422" s="3">
        <v>1.0</v>
      </c>
      <c r="S422" s="3">
        <v>1.0</v>
      </c>
      <c r="T422" s="3">
        <v>1.0</v>
      </c>
      <c r="U422" s="3">
        <v>1.0</v>
      </c>
      <c r="V422" s="3">
        <v>1.0</v>
      </c>
      <c r="W422" s="3" t="s">
        <v>1158</v>
      </c>
      <c r="X422" s="3" t="s">
        <v>1470</v>
      </c>
      <c r="Y422" s="3" t="s">
        <v>1471</v>
      </c>
      <c r="Z422" s="3" t="s">
        <v>1372</v>
      </c>
      <c r="AA422" s="3" t="s">
        <v>1382</v>
      </c>
      <c r="AB422" s="3" t="s">
        <v>1374</v>
      </c>
      <c r="AC422" s="3" t="s">
        <v>1400</v>
      </c>
      <c r="AD422" s="3" t="s">
        <v>1472</v>
      </c>
      <c r="AE422" s="3" t="s">
        <v>1473</v>
      </c>
      <c r="AF422" s="3">
        <v>0.15</v>
      </c>
      <c r="AG422" s="3">
        <v>4.09</v>
      </c>
      <c r="AH422" s="3">
        <v>0.274</v>
      </c>
      <c r="AI422" s="3">
        <v>110.007</v>
      </c>
      <c r="AJ422" s="3">
        <v>9.194</v>
      </c>
      <c r="AK422" s="3" t="s">
        <v>1474</v>
      </c>
      <c r="AL422" s="3">
        <v>0.029</v>
      </c>
      <c r="AM422" s="3" t="s">
        <v>1475</v>
      </c>
    </row>
    <row r="423" ht="15.75" customHeight="1">
      <c r="A423" s="3">
        <v>1.73039E12</v>
      </c>
      <c r="B423" s="3">
        <v>2.0</v>
      </c>
      <c r="C423" s="3" t="s">
        <v>974</v>
      </c>
      <c r="D423" s="3" t="s">
        <v>1369</v>
      </c>
      <c r="E423" s="3" t="s">
        <v>974</v>
      </c>
      <c r="F423" s="3">
        <v>1.0</v>
      </c>
      <c r="G423" s="3">
        <v>0.0</v>
      </c>
      <c r="H423" s="3">
        <v>0.0</v>
      </c>
      <c r="I423" s="3">
        <v>0.0</v>
      </c>
      <c r="J423" s="3">
        <v>0.0</v>
      </c>
      <c r="K423" s="3">
        <v>1.0</v>
      </c>
      <c r="L423" s="3">
        <v>0.0</v>
      </c>
      <c r="M423" s="3">
        <v>0.0</v>
      </c>
      <c r="N423" s="3">
        <v>0.0</v>
      </c>
      <c r="O423" s="3">
        <v>0.0</v>
      </c>
      <c r="P423" s="3">
        <v>0.0</v>
      </c>
      <c r="Q423" s="3">
        <v>0.0</v>
      </c>
      <c r="R423" s="3">
        <v>0.0</v>
      </c>
      <c r="S423" s="3">
        <v>0.0</v>
      </c>
      <c r="T423" s="3">
        <v>0.0</v>
      </c>
      <c r="U423" s="3">
        <v>0.0</v>
      </c>
      <c r="V423" s="3">
        <v>0.0</v>
      </c>
      <c r="W423" s="3" t="s">
        <v>954</v>
      </c>
      <c r="X423" s="3" t="s">
        <v>2002</v>
      </c>
      <c r="Y423" s="3" t="s">
        <v>2003</v>
      </c>
      <c r="Z423" s="3" t="s">
        <v>1512</v>
      </c>
      <c r="AA423" s="3" t="s">
        <v>1531</v>
      </c>
      <c r="AB423" s="3" t="s">
        <v>1374</v>
      </c>
      <c r="AC423" s="3" t="s">
        <v>1391</v>
      </c>
      <c r="AD423" s="3" t="s">
        <v>2004</v>
      </c>
      <c r="AE423" s="3" t="s">
        <v>2005</v>
      </c>
      <c r="AF423" s="3">
        <v>0.084</v>
      </c>
      <c r="AG423" s="3">
        <v>1.814</v>
      </c>
      <c r="AH423" s="3">
        <v>0.355</v>
      </c>
      <c r="AI423" s="3" t="s">
        <v>1519</v>
      </c>
      <c r="AJ423" s="3">
        <v>-16.644</v>
      </c>
      <c r="AK423" s="3" t="s">
        <v>2006</v>
      </c>
      <c r="AL423" s="3">
        <v>0.474</v>
      </c>
      <c r="AM423" s="3" t="s">
        <v>1919</v>
      </c>
    </row>
    <row r="424" ht="15.75" customHeight="1">
      <c r="A424" s="3">
        <v>1.73029E12</v>
      </c>
      <c r="B424" s="3">
        <v>13.0</v>
      </c>
      <c r="C424" s="3" t="s">
        <v>647</v>
      </c>
      <c r="D424" s="3" t="s">
        <v>1369</v>
      </c>
      <c r="E424" s="3" t="s">
        <v>647</v>
      </c>
      <c r="F424" s="3">
        <v>1.0</v>
      </c>
      <c r="G424" s="3">
        <v>1.0</v>
      </c>
      <c r="H424" s="3">
        <v>1.0</v>
      </c>
      <c r="I424" s="3">
        <v>0.0</v>
      </c>
      <c r="J424" s="3">
        <v>1.0</v>
      </c>
      <c r="K424" s="3">
        <v>1.0</v>
      </c>
      <c r="L424" s="3">
        <v>1.0</v>
      </c>
      <c r="M424" s="3">
        <v>1.0</v>
      </c>
      <c r="N424" s="3">
        <v>1.0</v>
      </c>
      <c r="O424" s="3">
        <v>1.0</v>
      </c>
      <c r="P424" s="3">
        <v>1.0</v>
      </c>
      <c r="Q424" s="3">
        <v>0.0</v>
      </c>
      <c r="R424" s="3">
        <v>0.0</v>
      </c>
      <c r="S424" s="3">
        <v>1.0</v>
      </c>
      <c r="T424" s="3">
        <v>1.0</v>
      </c>
      <c r="U424" s="3">
        <v>0.0</v>
      </c>
      <c r="V424" s="3">
        <v>1.0</v>
      </c>
      <c r="W424" s="3" t="s">
        <v>2007</v>
      </c>
      <c r="X424" s="3" t="s">
        <v>1489</v>
      </c>
      <c r="Y424" s="3" t="s">
        <v>1490</v>
      </c>
      <c r="Z424" s="3" t="s">
        <v>1423</v>
      </c>
      <c r="AA424" s="3" t="s">
        <v>1629</v>
      </c>
      <c r="AB424" s="3" t="s">
        <v>1374</v>
      </c>
      <c r="AC424" s="3" t="s">
        <v>1451</v>
      </c>
      <c r="AD424" s="3" t="s">
        <v>1492</v>
      </c>
      <c r="AE424" s="3" t="s">
        <v>1493</v>
      </c>
      <c r="AF424" s="3">
        <v>0.056</v>
      </c>
      <c r="AG424" s="3">
        <v>0.253</v>
      </c>
      <c r="AH424" s="3" t="s">
        <v>2008</v>
      </c>
      <c r="AI424" s="3">
        <v>-13.249</v>
      </c>
      <c r="AJ424" s="3">
        <v>8.397</v>
      </c>
      <c r="AK424" s="3" t="s">
        <v>1560</v>
      </c>
      <c r="AL424" s="3">
        <v>0.134</v>
      </c>
      <c r="AM424" s="3" t="s">
        <v>1495</v>
      </c>
    </row>
    <row r="425" ht="15.75" customHeight="1">
      <c r="A425" s="3">
        <v>1.73023E12</v>
      </c>
      <c r="B425" s="3">
        <v>15.0</v>
      </c>
      <c r="C425" s="3" t="s">
        <v>654</v>
      </c>
      <c r="D425" s="3" t="s">
        <v>1369</v>
      </c>
      <c r="E425" s="3" t="s">
        <v>654</v>
      </c>
      <c r="F425" s="3">
        <v>1.0</v>
      </c>
      <c r="G425" s="3">
        <v>1.0</v>
      </c>
      <c r="H425" s="3">
        <v>1.0</v>
      </c>
      <c r="I425" s="3">
        <v>1.0</v>
      </c>
      <c r="J425" s="3">
        <v>1.0</v>
      </c>
      <c r="K425" s="3">
        <v>1.0</v>
      </c>
      <c r="L425" s="3">
        <v>1.0</v>
      </c>
      <c r="M425" s="3">
        <v>1.0</v>
      </c>
      <c r="N425" s="3">
        <v>1.0</v>
      </c>
      <c r="O425" s="3">
        <v>1.0</v>
      </c>
      <c r="P425" s="3">
        <v>1.0</v>
      </c>
      <c r="Q425" s="3">
        <v>1.0</v>
      </c>
      <c r="R425" s="3">
        <v>1.0</v>
      </c>
      <c r="S425" s="3">
        <v>0.0</v>
      </c>
      <c r="T425" s="3">
        <v>1.0</v>
      </c>
      <c r="U425" s="3">
        <v>1.0</v>
      </c>
      <c r="V425" s="3">
        <v>0.0</v>
      </c>
      <c r="W425" s="3" t="s">
        <v>432</v>
      </c>
      <c r="X425" s="3" t="s">
        <v>1456</v>
      </c>
      <c r="Y425" s="3" t="s">
        <v>1457</v>
      </c>
      <c r="Z425" s="3" t="s">
        <v>1586</v>
      </c>
      <c r="AA425" s="3" t="s">
        <v>1458</v>
      </c>
      <c r="AB425" s="3" t="s">
        <v>1374</v>
      </c>
      <c r="AC425" s="3" t="s">
        <v>1374</v>
      </c>
      <c r="AD425" s="3" t="s">
        <v>1392</v>
      </c>
      <c r="AE425" s="3" t="s">
        <v>1459</v>
      </c>
      <c r="AF425" s="3">
        <v>0.083</v>
      </c>
      <c r="AG425" s="3">
        <v>0.685</v>
      </c>
      <c r="AH425" s="3" t="s">
        <v>1394</v>
      </c>
      <c r="AI425" s="3" t="s">
        <v>1394</v>
      </c>
      <c r="AK425" s="3" t="s">
        <v>1587</v>
      </c>
      <c r="AL425" s="3" t="s">
        <v>1394</v>
      </c>
    </row>
    <row r="426" ht="15.75" customHeight="1">
      <c r="A426" s="3">
        <v>1.7304E12</v>
      </c>
      <c r="B426" s="3">
        <v>17.0</v>
      </c>
      <c r="C426" s="3" t="s">
        <v>617</v>
      </c>
      <c r="D426" s="3" t="s">
        <v>1369</v>
      </c>
      <c r="E426" s="3" t="s">
        <v>617</v>
      </c>
      <c r="F426" s="3">
        <v>1.0</v>
      </c>
      <c r="G426" s="3">
        <v>1.0</v>
      </c>
      <c r="H426" s="3">
        <v>1.0</v>
      </c>
      <c r="I426" s="3">
        <v>1.0</v>
      </c>
      <c r="J426" s="3">
        <v>1.0</v>
      </c>
      <c r="K426" s="3">
        <v>1.0</v>
      </c>
      <c r="L426" s="3">
        <v>1.0</v>
      </c>
      <c r="M426" s="3">
        <v>1.0</v>
      </c>
      <c r="N426" s="3">
        <v>1.0</v>
      </c>
      <c r="O426" s="3">
        <v>1.0</v>
      </c>
      <c r="P426" s="3">
        <v>1.0</v>
      </c>
      <c r="Q426" s="3">
        <v>1.0</v>
      </c>
      <c r="R426" s="3">
        <v>1.0</v>
      </c>
      <c r="S426" s="3">
        <v>1.0</v>
      </c>
      <c r="T426" s="3">
        <v>1.0</v>
      </c>
      <c r="U426" s="3">
        <v>1.0</v>
      </c>
      <c r="V426" s="3">
        <v>1.0</v>
      </c>
      <c r="W426" s="3" t="s">
        <v>1030</v>
      </c>
      <c r="X426" s="3" t="s">
        <v>1521</v>
      </c>
      <c r="Y426" s="3" t="s">
        <v>1522</v>
      </c>
      <c r="Z426" s="3" t="s">
        <v>1372</v>
      </c>
      <c r="AA426" s="3" t="s">
        <v>1523</v>
      </c>
      <c r="AB426" s="3" t="s">
        <v>1374</v>
      </c>
      <c r="AC426" s="3" t="s">
        <v>1374</v>
      </c>
      <c r="AD426" s="3" t="s">
        <v>1524</v>
      </c>
      <c r="AE426" s="3" t="s">
        <v>1525</v>
      </c>
      <c r="AF426" s="3">
        <v>0.028</v>
      </c>
      <c r="AG426" s="3">
        <v>0.067</v>
      </c>
      <c r="AH426" s="3" t="s">
        <v>1394</v>
      </c>
      <c r="AI426" s="3" t="s">
        <v>1394</v>
      </c>
      <c r="AJ426" s="3">
        <v>1.256</v>
      </c>
      <c r="AK426" s="3" t="s">
        <v>1812</v>
      </c>
      <c r="AL426" s="3" t="s">
        <v>1394</v>
      </c>
      <c r="AM426" s="3" t="s">
        <v>1527</v>
      </c>
    </row>
    <row r="427" ht="15.75" customHeight="1">
      <c r="A427" s="3">
        <v>1.73039E12</v>
      </c>
      <c r="B427" s="3">
        <v>16.0</v>
      </c>
      <c r="C427" s="3" t="s">
        <v>802</v>
      </c>
      <c r="D427" s="3" t="s">
        <v>1369</v>
      </c>
      <c r="E427" s="3" t="s">
        <v>802</v>
      </c>
      <c r="F427" s="3">
        <v>1.0</v>
      </c>
      <c r="G427" s="3">
        <v>1.0</v>
      </c>
      <c r="H427" s="3">
        <v>1.0</v>
      </c>
      <c r="I427" s="3">
        <v>1.0</v>
      </c>
      <c r="J427" s="3">
        <v>1.0</v>
      </c>
      <c r="K427" s="3">
        <v>1.0</v>
      </c>
      <c r="L427" s="3">
        <v>1.0</v>
      </c>
      <c r="M427" s="3">
        <v>1.0</v>
      </c>
      <c r="N427" s="3">
        <v>1.0</v>
      </c>
      <c r="O427" s="3">
        <v>1.0</v>
      </c>
      <c r="P427" s="3">
        <v>1.0</v>
      </c>
      <c r="Q427" s="3">
        <v>1.0</v>
      </c>
      <c r="R427" s="3">
        <v>0.0</v>
      </c>
      <c r="S427" s="3">
        <v>1.0</v>
      </c>
      <c r="T427" s="3">
        <v>1.0</v>
      </c>
      <c r="U427" s="3">
        <v>1.0</v>
      </c>
      <c r="V427" s="3">
        <v>1.0</v>
      </c>
      <c r="W427" s="3" t="s">
        <v>1314</v>
      </c>
      <c r="X427" s="3" t="s">
        <v>1489</v>
      </c>
      <c r="Y427" s="3" t="s">
        <v>1571</v>
      </c>
      <c r="Z427" s="3" t="s">
        <v>1423</v>
      </c>
      <c r="AA427" s="3" t="s">
        <v>1491</v>
      </c>
      <c r="AB427" s="3" t="s">
        <v>1374</v>
      </c>
      <c r="AC427" s="3" t="s">
        <v>1451</v>
      </c>
      <c r="AD427" s="3" t="s">
        <v>1492</v>
      </c>
      <c r="AE427" s="3" t="s">
        <v>1493</v>
      </c>
      <c r="AF427" s="3">
        <v>0.056</v>
      </c>
      <c r="AG427" s="3">
        <v>0.257</v>
      </c>
      <c r="AH427" s="3" t="s">
        <v>1394</v>
      </c>
      <c r="AI427" s="3">
        <v>-14.869</v>
      </c>
      <c r="AJ427" s="3">
        <v>8.127</v>
      </c>
      <c r="AK427" s="3" t="s">
        <v>1561</v>
      </c>
      <c r="AL427" s="3">
        <v>0.134</v>
      </c>
      <c r="AM427" s="3" t="s">
        <v>1495</v>
      </c>
    </row>
    <row r="428" ht="15.75" customHeight="1">
      <c r="A428" s="3">
        <v>1.73038E12</v>
      </c>
      <c r="B428" s="3">
        <v>17.0</v>
      </c>
      <c r="C428" s="3" t="s">
        <v>924</v>
      </c>
      <c r="D428" s="3" t="s">
        <v>1369</v>
      </c>
      <c r="E428" s="3" t="s">
        <v>924</v>
      </c>
      <c r="F428" s="3">
        <v>1.0</v>
      </c>
      <c r="G428" s="3">
        <v>1.0</v>
      </c>
      <c r="H428" s="3">
        <v>1.0</v>
      </c>
      <c r="I428" s="3">
        <v>1.0</v>
      </c>
      <c r="J428" s="3">
        <v>1.0</v>
      </c>
      <c r="K428" s="3">
        <v>1.0</v>
      </c>
      <c r="L428" s="3">
        <v>1.0</v>
      </c>
      <c r="M428" s="3">
        <v>1.0</v>
      </c>
      <c r="N428" s="3">
        <v>1.0</v>
      </c>
      <c r="O428" s="3">
        <v>1.0</v>
      </c>
      <c r="P428" s="3">
        <v>1.0</v>
      </c>
      <c r="Q428" s="3">
        <v>1.0</v>
      </c>
      <c r="R428" s="3">
        <v>1.0</v>
      </c>
      <c r="S428" s="3">
        <v>1.0</v>
      </c>
      <c r="T428" s="3">
        <v>1.0</v>
      </c>
      <c r="U428" s="3">
        <v>1.0</v>
      </c>
      <c r="V428" s="3">
        <v>1.0</v>
      </c>
      <c r="W428" s="3" t="s">
        <v>1128</v>
      </c>
      <c r="X428" s="3" t="s">
        <v>1447</v>
      </c>
      <c r="Y428" s="3" t="s">
        <v>1448</v>
      </c>
      <c r="Z428" s="3" t="s">
        <v>1372</v>
      </c>
      <c r="AA428" s="3" t="s">
        <v>1450</v>
      </c>
      <c r="AB428" s="3" t="s">
        <v>1374</v>
      </c>
      <c r="AC428" s="3" t="s">
        <v>1451</v>
      </c>
      <c r="AD428" s="3" t="s">
        <v>1452</v>
      </c>
      <c r="AE428" s="3" t="s">
        <v>1453</v>
      </c>
      <c r="AF428" s="3">
        <v>0.035</v>
      </c>
      <c r="AG428" s="3">
        <v>0.228</v>
      </c>
      <c r="AH428" s="3">
        <v>0.375</v>
      </c>
      <c r="AI428" s="3">
        <v>48.318</v>
      </c>
      <c r="AJ428" s="3">
        <v>6.713</v>
      </c>
      <c r="AK428" s="3" t="s">
        <v>1599</v>
      </c>
      <c r="AL428" s="3">
        <v>0.169</v>
      </c>
      <c r="AM428" s="3" t="s">
        <v>1455</v>
      </c>
    </row>
    <row r="429" ht="15.75" customHeight="1">
      <c r="A429" s="3">
        <v>1.73038E12</v>
      </c>
      <c r="B429" s="3">
        <v>8.0</v>
      </c>
      <c r="C429" s="3" t="s">
        <v>102</v>
      </c>
      <c r="D429" s="3" t="s">
        <v>1369</v>
      </c>
      <c r="E429" s="3" t="s">
        <v>102</v>
      </c>
      <c r="F429" s="3">
        <v>1.0</v>
      </c>
      <c r="G429" s="3">
        <v>1.0</v>
      </c>
      <c r="H429" s="3">
        <v>1.0</v>
      </c>
      <c r="I429" s="3">
        <v>1.0</v>
      </c>
      <c r="J429" s="3">
        <v>1.0</v>
      </c>
      <c r="K429" s="3">
        <v>1.0</v>
      </c>
      <c r="L429" s="3">
        <v>0.0</v>
      </c>
      <c r="M429" s="3">
        <v>1.0</v>
      </c>
      <c r="N429" s="3">
        <v>1.0</v>
      </c>
      <c r="O429" s="3">
        <v>0.0</v>
      </c>
      <c r="P429" s="3">
        <v>0.0</v>
      </c>
      <c r="Q429" s="3">
        <v>0.0</v>
      </c>
      <c r="R429" s="3">
        <v>0.0</v>
      </c>
      <c r="S429" s="3">
        <v>0.0</v>
      </c>
      <c r="T429" s="3">
        <v>0.0</v>
      </c>
      <c r="U429" s="3">
        <v>0.0</v>
      </c>
      <c r="V429" s="3">
        <v>0.0</v>
      </c>
      <c r="W429" s="3" t="s">
        <v>359</v>
      </c>
      <c r="X429" s="3" t="s">
        <v>1590</v>
      </c>
      <c r="Y429" s="3" t="s">
        <v>1591</v>
      </c>
      <c r="Z429" s="3" t="s">
        <v>1423</v>
      </c>
      <c r="AA429" s="3" t="s">
        <v>1593</v>
      </c>
      <c r="AB429" s="3" t="s">
        <v>1374</v>
      </c>
      <c r="AC429" s="3" t="s">
        <v>1451</v>
      </c>
      <c r="AD429" s="3" t="s">
        <v>2009</v>
      </c>
      <c r="AE429" s="3" t="s">
        <v>1595</v>
      </c>
      <c r="AF429" s="3">
        <v>0.187</v>
      </c>
      <c r="AG429" s="3">
        <v>2.242</v>
      </c>
      <c r="AH429" s="3">
        <v>0.38</v>
      </c>
      <c r="AI429" s="3">
        <v>-45.9007</v>
      </c>
      <c r="AJ429" s="3">
        <v>7.693</v>
      </c>
      <c r="AK429" s="3" t="s">
        <v>1626</v>
      </c>
      <c r="AL429" s="3">
        <v>0.4834</v>
      </c>
      <c r="AM429" s="3" t="s">
        <v>1705</v>
      </c>
    </row>
    <row r="430" ht="15.75" customHeight="1">
      <c r="A430" s="3">
        <v>1.73031E12</v>
      </c>
      <c r="B430" s="3">
        <v>14.0</v>
      </c>
      <c r="C430" s="3" t="s">
        <v>696</v>
      </c>
      <c r="D430" s="3" t="s">
        <v>1369</v>
      </c>
      <c r="E430" s="3" t="s">
        <v>696</v>
      </c>
      <c r="F430" s="3">
        <v>1.0</v>
      </c>
      <c r="G430" s="3">
        <v>1.0</v>
      </c>
      <c r="H430" s="3">
        <v>1.0</v>
      </c>
      <c r="I430" s="3">
        <v>1.0</v>
      </c>
      <c r="J430" s="3">
        <v>1.0</v>
      </c>
      <c r="K430" s="3">
        <v>1.0</v>
      </c>
      <c r="L430" s="3">
        <v>1.0</v>
      </c>
      <c r="M430" s="3">
        <v>1.0</v>
      </c>
      <c r="N430" s="3">
        <v>1.0</v>
      </c>
      <c r="O430" s="3">
        <v>1.0</v>
      </c>
      <c r="P430" s="3">
        <v>1.0</v>
      </c>
      <c r="Q430" s="3">
        <v>0.0</v>
      </c>
      <c r="R430" s="3">
        <v>0.0</v>
      </c>
      <c r="S430" s="3">
        <v>1.0</v>
      </c>
      <c r="T430" s="3">
        <v>1.0</v>
      </c>
      <c r="U430" s="3">
        <v>0.0</v>
      </c>
      <c r="V430" s="3">
        <v>1.0</v>
      </c>
      <c r="W430" s="3" t="s">
        <v>395</v>
      </c>
      <c r="X430" s="3" t="s">
        <v>1542</v>
      </c>
      <c r="Y430" s="3" t="s">
        <v>1543</v>
      </c>
      <c r="Z430" s="3" t="s">
        <v>1423</v>
      </c>
      <c r="AA430" s="3" t="s">
        <v>1544</v>
      </c>
      <c r="AB430" s="3" t="s">
        <v>1374</v>
      </c>
      <c r="AC430" s="3" t="s">
        <v>1451</v>
      </c>
      <c r="AD430" s="3" t="s">
        <v>1545</v>
      </c>
      <c r="AE430" s="3" t="s">
        <v>1546</v>
      </c>
      <c r="AF430" s="3">
        <v>0.035</v>
      </c>
      <c r="AG430" s="3">
        <v>0.068</v>
      </c>
      <c r="AH430" s="3">
        <v>0.262</v>
      </c>
      <c r="AI430" s="3">
        <v>54.093</v>
      </c>
      <c r="AJ430" s="3">
        <v>-10.883</v>
      </c>
      <c r="AK430" s="3" t="s">
        <v>1547</v>
      </c>
      <c r="AL430" s="3">
        <v>0.044</v>
      </c>
      <c r="AM430" s="3" t="s">
        <v>1548</v>
      </c>
    </row>
    <row r="431" ht="15.75" customHeight="1">
      <c r="A431" s="3">
        <v>1.73039E12</v>
      </c>
      <c r="B431" s="3">
        <v>15.0</v>
      </c>
      <c r="C431" s="3" t="s">
        <v>431</v>
      </c>
      <c r="D431" s="3" t="s">
        <v>1369</v>
      </c>
      <c r="E431" s="3" t="s">
        <v>431</v>
      </c>
      <c r="F431" s="3">
        <v>1.0</v>
      </c>
      <c r="G431" s="3">
        <v>1.0</v>
      </c>
      <c r="H431" s="3">
        <v>1.0</v>
      </c>
      <c r="I431" s="3">
        <v>1.0</v>
      </c>
      <c r="J431" s="3">
        <v>1.0</v>
      </c>
      <c r="K431" s="3">
        <v>1.0</v>
      </c>
      <c r="L431" s="3">
        <v>1.0</v>
      </c>
      <c r="M431" s="3">
        <v>0.0</v>
      </c>
      <c r="N431" s="3">
        <v>1.0</v>
      </c>
      <c r="O431" s="3">
        <v>1.0</v>
      </c>
      <c r="P431" s="3">
        <v>1.0</v>
      </c>
      <c r="Q431" s="3">
        <v>1.0</v>
      </c>
      <c r="R431" s="3">
        <v>1.0</v>
      </c>
      <c r="S431" s="3">
        <v>1.0</v>
      </c>
      <c r="T431" s="3">
        <v>0.0</v>
      </c>
      <c r="U431" s="3">
        <v>1.0</v>
      </c>
      <c r="V431" s="3">
        <v>1.0</v>
      </c>
      <c r="W431" s="3" t="s">
        <v>336</v>
      </c>
      <c r="X431" s="3" t="s">
        <v>1521</v>
      </c>
      <c r="Y431" s="3" t="s">
        <v>1522</v>
      </c>
      <c r="Z431" s="3" t="s">
        <v>1372</v>
      </c>
      <c r="AA431" s="3" t="s">
        <v>1523</v>
      </c>
      <c r="AB431" s="3" t="s">
        <v>1374</v>
      </c>
      <c r="AC431" s="3" t="s">
        <v>1391</v>
      </c>
      <c r="AD431" s="3" t="s">
        <v>1524</v>
      </c>
      <c r="AE431" s="3" t="s">
        <v>1525</v>
      </c>
      <c r="AF431" s="3">
        <v>0.028</v>
      </c>
      <c r="AG431" s="3">
        <v>0.067</v>
      </c>
      <c r="AH431" s="3" t="s">
        <v>1394</v>
      </c>
      <c r="AI431" s="3" t="s">
        <v>1394</v>
      </c>
      <c r="AJ431" s="3">
        <v>1.283</v>
      </c>
      <c r="AK431" s="3" t="s">
        <v>1812</v>
      </c>
      <c r="AL431" s="3" t="s">
        <v>1394</v>
      </c>
      <c r="AM431" s="3" t="s">
        <v>1527</v>
      </c>
    </row>
    <row r="432" ht="15.75" customHeight="1">
      <c r="A432" s="3">
        <v>1.73031E12</v>
      </c>
      <c r="B432" s="3">
        <v>17.0</v>
      </c>
      <c r="C432" s="3" t="s">
        <v>725</v>
      </c>
      <c r="D432" s="3" t="s">
        <v>1369</v>
      </c>
      <c r="E432" s="3" t="s">
        <v>725</v>
      </c>
      <c r="F432" s="3">
        <v>1.0</v>
      </c>
      <c r="G432" s="3">
        <v>1.0</v>
      </c>
      <c r="H432" s="3">
        <v>1.0</v>
      </c>
      <c r="I432" s="3">
        <v>1.0</v>
      </c>
      <c r="J432" s="3">
        <v>1.0</v>
      </c>
      <c r="K432" s="3">
        <v>1.0</v>
      </c>
      <c r="L432" s="3">
        <v>1.0</v>
      </c>
      <c r="M432" s="3">
        <v>1.0</v>
      </c>
      <c r="N432" s="3">
        <v>1.0</v>
      </c>
      <c r="O432" s="3">
        <v>1.0</v>
      </c>
      <c r="P432" s="3">
        <v>1.0</v>
      </c>
      <c r="Q432" s="3">
        <v>1.0</v>
      </c>
      <c r="R432" s="3">
        <v>1.0</v>
      </c>
      <c r="S432" s="3">
        <v>1.0</v>
      </c>
      <c r="T432" s="3">
        <v>1.0</v>
      </c>
      <c r="U432" s="3">
        <v>1.0</v>
      </c>
      <c r="V432" s="3">
        <v>1.0</v>
      </c>
      <c r="W432" s="3" t="s">
        <v>1205</v>
      </c>
      <c r="X432" s="3" t="s">
        <v>1563</v>
      </c>
      <c r="Y432" s="3" t="s">
        <v>1564</v>
      </c>
      <c r="Z432" s="3" t="s">
        <v>1372</v>
      </c>
      <c r="AA432" s="3" t="s">
        <v>1649</v>
      </c>
      <c r="AB432" s="3" t="s">
        <v>1374</v>
      </c>
      <c r="AC432" s="3" t="s">
        <v>1650</v>
      </c>
      <c r="AD432" s="3" t="s">
        <v>1566</v>
      </c>
      <c r="AE432" s="3" t="s">
        <v>1567</v>
      </c>
      <c r="AF432" s="3">
        <v>0.344</v>
      </c>
      <c r="AG432" s="3">
        <v>0.671</v>
      </c>
      <c r="AH432" s="3">
        <v>0.266</v>
      </c>
      <c r="AI432" s="3">
        <v>46.915</v>
      </c>
      <c r="AJ432" s="3">
        <v>2.468</v>
      </c>
      <c r="AK432" s="3" t="s">
        <v>1568</v>
      </c>
      <c r="AL432" s="3">
        <v>0.051</v>
      </c>
      <c r="AM432" s="3" t="s">
        <v>1569</v>
      </c>
    </row>
    <row r="433" ht="15.75" customHeight="1">
      <c r="A433" s="3">
        <v>1.7304E12</v>
      </c>
      <c r="B433" s="3">
        <v>15.0</v>
      </c>
      <c r="C433" s="3" t="s">
        <v>2010</v>
      </c>
      <c r="D433" s="3" t="s">
        <v>1369</v>
      </c>
      <c r="E433" s="3" t="s">
        <v>2010</v>
      </c>
      <c r="F433" s="3">
        <v>1.0</v>
      </c>
      <c r="G433" s="3">
        <v>1.0</v>
      </c>
      <c r="H433" s="3">
        <v>1.0</v>
      </c>
      <c r="I433" s="3">
        <v>1.0</v>
      </c>
      <c r="J433" s="3">
        <v>1.0</v>
      </c>
      <c r="K433" s="3">
        <v>1.0</v>
      </c>
      <c r="L433" s="3">
        <v>1.0</v>
      </c>
      <c r="M433" s="3">
        <v>1.0</v>
      </c>
      <c r="N433" s="3">
        <v>1.0</v>
      </c>
      <c r="O433" s="3">
        <v>1.0</v>
      </c>
      <c r="P433" s="3">
        <v>1.0</v>
      </c>
      <c r="Q433" s="3">
        <v>1.0</v>
      </c>
      <c r="R433" s="3">
        <v>0.0</v>
      </c>
      <c r="S433" s="3">
        <v>1.0</v>
      </c>
      <c r="T433" s="3">
        <v>1.0</v>
      </c>
      <c r="U433" s="3">
        <v>0.0</v>
      </c>
      <c r="V433" s="3">
        <v>1.0</v>
      </c>
      <c r="W433" s="3" t="s">
        <v>369</v>
      </c>
      <c r="X433" s="3" t="s">
        <v>1398</v>
      </c>
      <c r="Y433" s="3" t="s">
        <v>1399</v>
      </c>
      <c r="Z433" s="3" t="s">
        <v>1372</v>
      </c>
      <c r="AA433" s="3" t="s">
        <v>1785</v>
      </c>
      <c r="AB433" s="3" t="s">
        <v>1374</v>
      </c>
      <c r="AC433" s="3" t="s">
        <v>1374</v>
      </c>
      <c r="AD433" s="3" t="s">
        <v>1786</v>
      </c>
      <c r="AE433" s="3" t="s">
        <v>1402</v>
      </c>
      <c r="AF433" s="3">
        <v>0.006</v>
      </c>
      <c r="AG433" s="3">
        <v>0.063</v>
      </c>
      <c r="AH433" s="3" t="s">
        <v>1394</v>
      </c>
      <c r="AI433" s="3">
        <v>33.695</v>
      </c>
      <c r="AJ433" s="3">
        <v>8.551</v>
      </c>
      <c r="AK433" s="3" t="s">
        <v>2011</v>
      </c>
      <c r="AL433" s="3">
        <v>0.259</v>
      </c>
      <c r="AM433" s="3" t="s">
        <v>1404</v>
      </c>
    </row>
    <row r="434" ht="15.75" customHeight="1">
      <c r="A434" s="3">
        <v>1.73039E12</v>
      </c>
      <c r="B434" s="3">
        <v>17.0</v>
      </c>
      <c r="C434" s="3" t="s">
        <v>476</v>
      </c>
      <c r="D434" s="3" t="s">
        <v>1369</v>
      </c>
      <c r="E434" s="3" t="s">
        <v>476</v>
      </c>
      <c r="F434" s="3">
        <v>1.0</v>
      </c>
      <c r="G434" s="3">
        <v>1.0</v>
      </c>
      <c r="H434" s="3">
        <v>1.0</v>
      </c>
      <c r="I434" s="3">
        <v>1.0</v>
      </c>
      <c r="J434" s="3">
        <v>1.0</v>
      </c>
      <c r="K434" s="3">
        <v>1.0</v>
      </c>
      <c r="L434" s="3">
        <v>1.0</v>
      </c>
      <c r="M434" s="3">
        <v>1.0</v>
      </c>
      <c r="N434" s="3">
        <v>1.0</v>
      </c>
      <c r="O434" s="3">
        <v>1.0</v>
      </c>
      <c r="P434" s="3">
        <v>1.0</v>
      </c>
      <c r="Q434" s="3">
        <v>1.0</v>
      </c>
      <c r="R434" s="3">
        <v>1.0</v>
      </c>
      <c r="S434" s="3">
        <v>1.0</v>
      </c>
      <c r="T434" s="3">
        <v>1.0</v>
      </c>
      <c r="U434" s="3">
        <v>1.0</v>
      </c>
      <c r="V434" s="3">
        <v>1.0</v>
      </c>
      <c r="W434" s="3" t="s">
        <v>1257</v>
      </c>
      <c r="X434" s="3" t="s">
        <v>1542</v>
      </c>
      <c r="Y434" s="3" t="s">
        <v>1543</v>
      </c>
      <c r="Z434" s="3" t="s">
        <v>1423</v>
      </c>
      <c r="AA434" s="3" t="s">
        <v>1544</v>
      </c>
      <c r="AB434" s="3" t="s">
        <v>1374</v>
      </c>
      <c r="AC434" s="3" t="s">
        <v>1451</v>
      </c>
      <c r="AD434" s="3" t="s">
        <v>1545</v>
      </c>
      <c r="AE434" s="3" t="s">
        <v>1546</v>
      </c>
      <c r="AF434" s="3">
        <v>0.035</v>
      </c>
      <c r="AG434" s="3">
        <v>0.068</v>
      </c>
      <c r="AH434" s="3">
        <v>0.251</v>
      </c>
      <c r="AI434" s="3">
        <v>54.188</v>
      </c>
      <c r="AJ434" s="3">
        <v>-10.884</v>
      </c>
      <c r="AK434" s="3" t="s">
        <v>1604</v>
      </c>
      <c r="AL434" s="3">
        <v>0.044</v>
      </c>
      <c r="AM434" s="3" t="s">
        <v>1548</v>
      </c>
    </row>
    <row r="435" ht="15.75" customHeight="1">
      <c r="A435" s="3">
        <v>1.73036E12</v>
      </c>
      <c r="B435" s="3">
        <v>16.0</v>
      </c>
      <c r="C435" s="3" t="s">
        <v>897</v>
      </c>
      <c r="D435" s="3" t="s">
        <v>1369</v>
      </c>
      <c r="E435" s="3" t="s">
        <v>897</v>
      </c>
      <c r="F435" s="3">
        <v>1.0</v>
      </c>
      <c r="G435" s="3">
        <v>1.0</v>
      </c>
      <c r="H435" s="3">
        <v>1.0</v>
      </c>
      <c r="I435" s="3">
        <v>1.0</v>
      </c>
      <c r="J435" s="3">
        <v>1.0</v>
      </c>
      <c r="K435" s="3">
        <v>1.0</v>
      </c>
      <c r="L435" s="3">
        <v>1.0</v>
      </c>
      <c r="M435" s="3">
        <v>1.0</v>
      </c>
      <c r="N435" s="3">
        <v>1.0</v>
      </c>
      <c r="O435" s="3">
        <v>1.0</v>
      </c>
      <c r="P435" s="3">
        <v>1.0</v>
      </c>
      <c r="Q435" s="3">
        <v>1.0</v>
      </c>
      <c r="R435" s="3">
        <v>1.0</v>
      </c>
      <c r="S435" s="3">
        <v>1.0</v>
      </c>
      <c r="T435" s="3">
        <v>1.0</v>
      </c>
      <c r="U435" s="3">
        <v>0.0</v>
      </c>
      <c r="V435" s="3">
        <v>1.0</v>
      </c>
      <c r="W435" s="3" t="s">
        <v>1035</v>
      </c>
      <c r="X435" s="3" t="s">
        <v>1456</v>
      </c>
      <c r="Y435" s="3" t="s">
        <v>1457</v>
      </c>
      <c r="Z435" s="3" t="s">
        <v>1431</v>
      </c>
      <c r="AA435" s="3" t="s">
        <v>1458</v>
      </c>
      <c r="AB435" s="3" t="s">
        <v>1374</v>
      </c>
      <c r="AC435" s="3" t="s">
        <v>1374</v>
      </c>
      <c r="AD435" s="3" t="s">
        <v>1392</v>
      </c>
      <c r="AE435" s="3" t="s">
        <v>1459</v>
      </c>
      <c r="AF435" s="3">
        <v>0.076</v>
      </c>
      <c r="AG435" s="3">
        <v>0.615</v>
      </c>
      <c r="AH435" s="3">
        <v>0.289</v>
      </c>
      <c r="AI435" s="3">
        <v>111.502</v>
      </c>
      <c r="AJ435" s="3">
        <v>3.043</v>
      </c>
      <c r="AK435" s="3" t="s">
        <v>1463</v>
      </c>
      <c r="AL435" s="3">
        <v>0.0</v>
      </c>
      <c r="AM435" s="3" t="s">
        <v>1461</v>
      </c>
    </row>
    <row r="436" ht="15.75" customHeight="1">
      <c r="A436" s="3">
        <v>1.73032E12</v>
      </c>
      <c r="B436" s="3">
        <v>6.0</v>
      </c>
      <c r="C436" s="3" t="s">
        <v>2012</v>
      </c>
      <c r="D436" s="3" t="s">
        <v>1369</v>
      </c>
      <c r="E436" s="3" t="s">
        <v>2012</v>
      </c>
      <c r="F436" s="3">
        <v>1.0</v>
      </c>
      <c r="G436" s="3">
        <v>1.0</v>
      </c>
      <c r="H436" s="3">
        <v>0.0</v>
      </c>
      <c r="I436" s="3">
        <v>1.0</v>
      </c>
      <c r="J436" s="3">
        <v>0.0</v>
      </c>
      <c r="K436" s="3">
        <v>1.0</v>
      </c>
      <c r="L436" s="3">
        <v>0.0</v>
      </c>
      <c r="M436" s="3">
        <v>1.0</v>
      </c>
      <c r="N436" s="3">
        <v>0.0</v>
      </c>
      <c r="O436" s="3">
        <v>0.0</v>
      </c>
      <c r="P436" s="3">
        <v>0.0</v>
      </c>
      <c r="Q436" s="3">
        <v>0.0</v>
      </c>
      <c r="R436" s="3">
        <v>0.0</v>
      </c>
      <c r="S436" s="3">
        <v>0.0</v>
      </c>
      <c r="T436" s="3">
        <v>1.0</v>
      </c>
      <c r="U436" s="3">
        <v>0.0</v>
      </c>
      <c r="V436" s="3">
        <v>0.0</v>
      </c>
      <c r="W436" s="3" t="s">
        <v>719</v>
      </c>
      <c r="X436" s="3" t="s">
        <v>1563</v>
      </c>
      <c r="Y436" s="3" t="s">
        <v>1564</v>
      </c>
      <c r="Z436" s="3" t="s">
        <v>1449</v>
      </c>
      <c r="AA436" s="3" t="s">
        <v>2013</v>
      </c>
      <c r="AB436" s="3" t="s">
        <v>1374</v>
      </c>
      <c r="AC436" s="3" t="s">
        <v>1374</v>
      </c>
      <c r="AD436" s="3" t="s">
        <v>1566</v>
      </c>
      <c r="AE436" s="3" t="s">
        <v>1567</v>
      </c>
      <c r="AF436" s="3">
        <v>0.345</v>
      </c>
      <c r="AG436" s="3">
        <v>0.67</v>
      </c>
      <c r="AH436" s="3">
        <v>0.261</v>
      </c>
      <c r="AI436" s="3">
        <v>45.899</v>
      </c>
      <c r="AJ436" s="3">
        <v>2.4</v>
      </c>
      <c r="AK436" s="3" t="s">
        <v>1568</v>
      </c>
      <c r="AL436" s="3">
        <v>0.066</v>
      </c>
      <c r="AM436" s="3" t="s">
        <v>1569</v>
      </c>
    </row>
    <row r="437" ht="15.75" customHeight="1">
      <c r="A437" s="3">
        <v>1.7304E12</v>
      </c>
      <c r="B437" s="3">
        <v>15.0</v>
      </c>
      <c r="C437" s="3" t="s">
        <v>645</v>
      </c>
      <c r="D437" s="3" t="s">
        <v>1369</v>
      </c>
      <c r="E437" s="3" t="s">
        <v>645</v>
      </c>
      <c r="F437" s="3">
        <v>1.0</v>
      </c>
      <c r="G437" s="3">
        <v>1.0</v>
      </c>
      <c r="H437" s="3">
        <v>1.0</v>
      </c>
      <c r="I437" s="3">
        <v>1.0</v>
      </c>
      <c r="J437" s="3">
        <v>1.0</v>
      </c>
      <c r="K437" s="3">
        <v>1.0</v>
      </c>
      <c r="L437" s="3">
        <v>0.0</v>
      </c>
      <c r="M437" s="3">
        <v>1.0</v>
      </c>
      <c r="N437" s="3">
        <v>1.0</v>
      </c>
      <c r="O437" s="3">
        <v>1.0</v>
      </c>
      <c r="P437" s="3">
        <v>1.0</v>
      </c>
      <c r="Q437" s="3">
        <v>1.0</v>
      </c>
      <c r="R437" s="3">
        <v>1.0</v>
      </c>
      <c r="S437" s="3">
        <v>0.0</v>
      </c>
      <c r="T437" s="3">
        <v>1.0</v>
      </c>
      <c r="U437" s="3">
        <v>1.0</v>
      </c>
      <c r="V437" s="3">
        <v>1.0</v>
      </c>
      <c r="W437" s="3" t="s">
        <v>560</v>
      </c>
      <c r="X437" s="3" t="s">
        <v>1421</v>
      </c>
      <c r="Y437" s="3" t="s">
        <v>1422</v>
      </c>
      <c r="Z437" s="3" t="s">
        <v>1423</v>
      </c>
      <c r="AA437" s="3" t="s">
        <v>1424</v>
      </c>
      <c r="AB437" s="3" t="s">
        <v>1374</v>
      </c>
      <c r="AC437" s="3" t="s">
        <v>1374</v>
      </c>
      <c r="AD437" s="3" t="s">
        <v>1425</v>
      </c>
      <c r="AE437" s="3" t="s">
        <v>1426</v>
      </c>
      <c r="AF437" s="3">
        <v>0.054</v>
      </c>
      <c r="AG437" s="3">
        <v>0.221</v>
      </c>
      <c r="AH437" s="3">
        <v>0.344</v>
      </c>
      <c r="AI437" s="3">
        <v>-27.595</v>
      </c>
      <c r="AJ437" s="3">
        <v>7.352</v>
      </c>
      <c r="AK437" s="3" t="s">
        <v>1427</v>
      </c>
      <c r="AL437" s="3">
        <v>0.185</v>
      </c>
      <c r="AM437" s="3" t="s">
        <v>1428</v>
      </c>
    </row>
    <row r="438" ht="15.75" customHeight="1">
      <c r="A438" s="3">
        <v>1.73027E12</v>
      </c>
      <c r="B438" s="3">
        <v>14.0</v>
      </c>
      <c r="C438" s="3" t="s">
        <v>772</v>
      </c>
      <c r="D438" s="3" t="s">
        <v>1369</v>
      </c>
      <c r="E438" s="3" t="s">
        <v>772</v>
      </c>
      <c r="F438" s="3">
        <v>1.0</v>
      </c>
      <c r="G438" s="3">
        <v>1.0</v>
      </c>
      <c r="H438" s="3">
        <v>1.0</v>
      </c>
      <c r="I438" s="3">
        <v>1.0</v>
      </c>
      <c r="J438" s="3">
        <v>1.0</v>
      </c>
      <c r="K438" s="3">
        <v>1.0</v>
      </c>
      <c r="L438" s="3">
        <v>1.0</v>
      </c>
      <c r="M438" s="3">
        <v>1.0</v>
      </c>
      <c r="N438" s="3">
        <v>1.0</v>
      </c>
      <c r="O438" s="3">
        <v>1.0</v>
      </c>
      <c r="P438" s="3">
        <v>1.0</v>
      </c>
      <c r="Q438" s="3">
        <v>0.0</v>
      </c>
      <c r="R438" s="3">
        <v>0.0</v>
      </c>
      <c r="S438" s="3">
        <v>1.0</v>
      </c>
      <c r="T438" s="3">
        <v>1.0</v>
      </c>
      <c r="U438" s="3">
        <v>0.0</v>
      </c>
      <c r="V438" s="3">
        <v>1.0</v>
      </c>
      <c r="W438" s="3" t="s">
        <v>418</v>
      </c>
      <c r="X438" s="3" t="s">
        <v>1379</v>
      </c>
      <c r="Y438" s="3" t="s">
        <v>1380</v>
      </c>
      <c r="Z438" s="3" t="s">
        <v>1372</v>
      </c>
      <c r="AA438" s="3" t="s">
        <v>1382</v>
      </c>
      <c r="AB438" s="3" t="s">
        <v>1374</v>
      </c>
      <c r="AC438" s="3" t="s">
        <v>1400</v>
      </c>
      <c r="AD438" s="3" t="s">
        <v>1425</v>
      </c>
      <c r="AE438" s="3" t="s">
        <v>1385</v>
      </c>
      <c r="AF438" s="3">
        <v>0.192</v>
      </c>
      <c r="AG438" s="3">
        <v>2.349</v>
      </c>
      <c r="AH438" s="3">
        <v>0.197</v>
      </c>
      <c r="AI438" s="3">
        <v>64.495</v>
      </c>
      <c r="AJ438" s="3">
        <v>0.27</v>
      </c>
      <c r="AK438" s="3" t="s">
        <v>1942</v>
      </c>
      <c r="AL438" s="3">
        <v>0.192</v>
      </c>
      <c r="AM438" s="3" t="s">
        <v>1387</v>
      </c>
    </row>
    <row r="439" ht="15.75" customHeight="1">
      <c r="A439" s="3">
        <v>1.73038E12</v>
      </c>
      <c r="B439" s="3">
        <v>13.0</v>
      </c>
      <c r="C439" s="3" t="s">
        <v>2014</v>
      </c>
      <c r="D439" s="3" t="s">
        <v>1369</v>
      </c>
      <c r="E439" s="3" t="s">
        <v>2014</v>
      </c>
      <c r="F439" s="3">
        <v>1.0</v>
      </c>
      <c r="G439" s="3">
        <v>1.0</v>
      </c>
      <c r="H439" s="3">
        <v>1.0</v>
      </c>
      <c r="I439" s="3">
        <v>1.0</v>
      </c>
      <c r="J439" s="3">
        <v>1.0</v>
      </c>
      <c r="K439" s="3">
        <v>1.0</v>
      </c>
      <c r="L439" s="3">
        <v>1.0</v>
      </c>
      <c r="M439" s="3">
        <v>1.0</v>
      </c>
      <c r="N439" s="3">
        <v>1.0</v>
      </c>
      <c r="O439" s="3">
        <v>1.0</v>
      </c>
      <c r="P439" s="3">
        <v>0.0</v>
      </c>
      <c r="Q439" s="3">
        <v>0.0</v>
      </c>
      <c r="R439" s="3">
        <v>1.0</v>
      </c>
      <c r="S439" s="3">
        <v>0.0</v>
      </c>
      <c r="T439" s="3">
        <v>0.0</v>
      </c>
      <c r="U439" s="3">
        <v>1.0</v>
      </c>
      <c r="V439" s="3">
        <v>1.0</v>
      </c>
      <c r="W439" s="3" t="s">
        <v>900</v>
      </c>
      <c r="X439" s="3" t="s">
        <v>1489</v>
      </c>
      <c r="Y439" s="3" t="s">
        <v>1490</v>
      </c>
      <c r="Z439" s="3" t="s">
        <v>1423</v>
      </c>
      <c r="AA439" s="3" t="s">
        <v>1491</v>
      </c>
      <c r="AB439" s="3" t="s">
        <v>1374</v>
      </c>
      <c r="AC439" s="3" t="s">
        <v>1391</v>
      </c>
      <c r="AD439" s="3" t="s">
        <v>1492</v>
      </c>
      <c r="AE439" s="3" t="s">
        <v>1493</v>
      </c>
      <c r="AF439" s="3">
        <v>0.056</v>
      </c>
      <c r="AG439" s="3">
        <v>0.252</v>
      </c>
      <c r="AH439" s="3">
        <v>0.418</v>
      </c>
      <c r="AI439" s="3">
        <v>-13.377</v>
      </c>
      <c r="AJ439" s="3">
        <v>-1.533</v>
      </c>
      <c r="AK439" s="3" t="s">
        <v>2015</v>
      </c>
      <c r="AL439" s="3">
        <v>0.135</v>
      </c>
      <c r="AM439" s="3" t="s">
        <v>1495</v>
      </c>
    </row>
    <row r="440" ht="15.75" customHeight="1">
      <c r="A440" s="3">
        <v>1.73039E12</v>
      </c>
      <c r="B440" s="3">
        <v>9.0</v>
      </c>
      <c r="C440" s="3" t="s">
        <v>2016</v>
      </c>
      <c r="D440" s="3" t="s">
        <v>1369</v>
      </c>
      <c r="E440" s="3" t="s">
        <v>2016</v>
      </c>
      <c r="F440" s="3">
        <v>1.0</v>
      </c>
      <c r="G440" s="3">
        <v>1.0</v>
      </c>
      <c r="H440" s="3">
        <v>1.0</v>
      </c>
      <c r="I440" s="3">
        <v>0.0</v>
      </c>
      <c r="J440" s="3">
        <v>1.0</v>
      </c>
      <c r="K440" s="3">
        <v>1.0</v>
      </c>
      <c r="L440" s="3">
        <v>1.0</v>
      </c>
      <c r="M440" s="3">
        <v>1.0</v>
      </c>
      <c r="N440" s="3">
        <v>0.0</v>
      </c>
      <c r="O440" s="3">
        <v>1.0</v>
      </c>
      <c r="P440" s="3">
        <v>0.0</v>
      </c>
      <c r="Q440" s="3">
        <v>0.0</v>
      </c>
      <c r="R440" s="3">
        <v>0.0</v>
      </c>
      <c r="S440" s="3">
        <v>0.0</v>
      </c>
      <c r="T440" s="3">
        <v>0.0</v>
      </c>
      <c r="U440" s="3">
        <v>0.0</v>
      </c>
      <c r="V440" s="3">
        <v>1.0</v>
      </c>
      <c r="W440" s="3" t="s">
        <v>608</v>
      </c>
      <c r="X440" s="3" t="s">
        <v>1634</v>
      </c>
      <c r="Y440" s="3" t="s">
        <v>1635</v>
      </c>
      <c r="Z440" s="3" t="s">
        <v>2017</v>
      </c>
      <c r="AA440" s="3" t="s">
        <v>1636</v>
      </c>
      <c r="AB440" s="3" t="s">
        <v>1374</v>
      </c>
      <c r="AC440" s="3" t="s">
        <v>1391</v>
      </c>
      <c r="AD440" s="3" t="s">
        <v>1680</v>
      </c>
      <c r="AE440" s="3" t="s">
        <v>2018</v>
      </c>
      <c r="AF440" s="3">
        <v>0.046</v>
      </c>
      <c r="AG440" s="3">
        <v>1.422</v>
      </c>
      <c r="AH440" s="3">
        <v>0.303</v>
      </c>
      <c r="AI440" s="3" t="s">
        <v>1394</v>
      </c>
      <c r="AJ440" s="3">
        <v>36.522</v>
      </c>
      <c r="AK440" s="3" t="s">
        <v>1828</v>
      </c>
      <c r="AL440" s="3">
        <v>0.081</v>
      </c>
      <c r="AM440" s="3" t="s">
        <v>1469</v>
      </c>
    </row>
    <row r="441" ht="15.75" customHeight="1">
      <c r="A441" s="3">
        <v>1.73029E12</v>
      </c>
      <c r="B441" s="3">
        <v>17.0</v>
      </c>
      <c r="C441" s="3" t="s">
        <v>246</v>
      </c>
      <c r="D441" s="3" t="s">
        <v>1369</v>
      </c>
      <c r="E441" s="3" t="s">
        <v>246</v>
      </c>
      <c r="F441" s="3">
        <v>1.0</v>
      </c>
      <c r="G441" s="3">
        <v>1.0</v>
      </c>
      <c r="H441" s="3">
        <v>1.0</v>
      </c>
      <c r="I441" s="3">
        <v>1.0</v>
      </c>
      <c r="J441" s="3">
        <v>1.0</v>
      </c>
      <c r="K441" s="3">
        <v>1.0</v>
      </c>
      <c r="L441" s="3">
        <v>1.0</v>
      </c>
      <c r="M441" s="3">
        <v>1.0</v>
      </c>
      <c r="N441" s="3">
        <v>1.0</v>
      </c>
      <c r="O441" s="3">
        <v>1.0</v>
      </c>
      <c r="P441" s="3">
        <v>1.0</v>
      </c>
      <c r="Q441" s="3">
        <v>1.0</v>
      </c>
      <c r="R441" s="3">
        <v>1.0</v>
      </c>
      <c r="S441" s="3">
        <v>1.0</v>
      </c>
      <c r="T441" s="3">
        <v>1.0</v>
      </c>
      <c r="U441" s="3">
        <v>1.0</v>
      </c>
      <c r="V441" s="3">
        <v>1.0</v>
      </c>
      <c r="W441" s="3" t="s">
        <v>1168</v>
      </c>
      <c r="X441" s="3" t="s">
        <v>1379</v>
      </c>
      <c r="Y441" s="3" t="s">
        <v>1380</v>
      </c>
      <c r="Z441" s="3" t="s">
        <v>1449</v>
      </c>
      <c r="AA441" s="3" t="s">
        <v>1382</v>
      </c>
      <c r="AB441" s="3" t="s">
        <v>1374</v>
      </c>
      <c r="AC441" s="3" t="s">
        <v>1400</v>
      </c>
      <c r="AD441" s="3" t="s">
        <v>1425</v>
      </c>
      <c r="AE441" s="3" t="s">
        <v>1385</v>
      </c>
      <c r="AF441" s="3">
        <v>0.191</v>
      </c>
      <c r="AG441" s="3">
        <v>2.34</v>
      </c>
      <c r="AH441" s="3">
        <v>0.198</v>
      </c>
      <c r="AI441" s="3">
        <v>64.096</v>
      </c>
      <c r="AJ441" s="3">
        <v>0.331</v>
      </c>
      <c r="AK441" s="3" t="s">
        <v>1949</v>
      </c>
      <c r="AL441" s="3">
        <v>0.189</v>
      </c>
      <c r="AM441" s="3" t="s">
        <v>1387</v>
      </c>
    </row>
    <row r="442" ht="15.75" customHeight="1">
      <c r="A442" s="3">
        <v>1.73035E12</v>
      </c>
      <c r="B442" s="3">
        <v>16.0</v>
      </c>
      <c r="C442" s="3" t="s">
        <v>690</v>
      </c>
      <c r="D442" s="3" t="s">
        <v>1369</v>
      </c>
      <c r="E442" s="3" t="s">
        <v>690</v>
      </c>
      <c r="F442" s="3">
        <v>1.0</v>
      </c>
      <c r="G442" s="3">
        <v>1.0</v>
      </c>
      <c r="H442" s="3">
        <v>1.0</v>
      </c>
      <c r="I442" s="3">
        <v>1.0</v>
      </c>
      <c r="J442" s="3">
        <v>1.0</v>
      </c>
      <c r="K442" s="3">
        <v>1.0</v>
      </c>
      <c r="L442" s="3">
        <v>1.0</v>
      </c>
      <c r="M442" s="3">
        <v>1.0</v>
      </c>
      <c r="N442" s="3">
        <v>1.0</v>
      </c>
      <c r="O442" s="3">
        <v>1.0</v>
      </c>
      <c r="P442" s="3">
        <v>1.0</v>
      </c>
      <c r="Q442" s="3">
        <v>1.0</v>
      </c>
      <c r="R442" s="3">
        <v>1.0</v>
      </c>
      <c r="S442" s="3">
        <v>0.0</v>
      </c>
      <c r="T442" s="3">
        <v>1.0</v>
      </c>
      <c r="U442" s="3">
        <v>1.0</v>
      </c>
      <c r="V442" s="3">
        <v>1.0</v>
      </c>
      <c r="W442" s="3" t="s">
        <v>1034</v>
      </c>
      <c r="X442" s="3" t="s">
        <v>1600</v>
      </c>
      <c r="Y442" s="3" t="s">
        <v>1601</v>
      </c>
      <c r="Z442" s="3" t="s">
        <v>1372</v>
      </c>
      <c r="AA442" s="3" t="s">
        <v>1407</v>
      </c>
      <c r="AB442" s="3" t="s">
        <v>1374</v>
      </c>
      <c r="AC442" s="3" t="s">
        <v>1400</v>
      </c>
      <c r="AD442" s="3" t="s">
        <v>1408</v>
      </c>
      <c r="AE442" s="3" t="s">
        <v>1602</v>
      </c>
      <c r="AF442" s="3">
        <v>0.035</v>
      </c>
      <c r="AG442" s="3">
        <v>0.101</v>
      </c>
      <c r="AH442" s="3">
        <v>0.171</v>
      </c>
      <c r="AI442" s="3">
        <v>9.934</v>
      </c>
      <c r="AK442" s="3" t="s">
        <v>1646</v>
      </c>
      <c r="AL442" s="3">
        <v>0.219</v>
      </c>
      <c r="AM442" s="3" t="s">
        <v>1411</v>
      </c>
    </row>
    <row r="443" ht="15.75" customHeight="1">
      <c r="A443" s="3">
        <v>1.73039E12</v>
      </c>
      <c r="B443" s="3">
        <v>17.0</v>
      </c>
      <c r="C443" s="3" t="s">
        <v>797</v>
      </c>
      <c r="D443" s="3" t="s">
        <v>1369</v>
      </c>
      <c r="E443" s="3" t="s">
        <v>797</v>
      </c>
      <c r="F443" s="3">
        <v>1.0</v>
      </c>
      <c r="G443" s="3">
        <v>1.0</v>
      </c>
      <c r="H443" s="3">
        <v>1.0</v>
      </c>
      <c r="I443" s="3">
        <v>1.0</v>
      </c>
      <c r="J443" s="3">
        <v>1.0</v>
      </c>
      <c r="K443" s="3">
        <v>1.0</v>
      </c>
      <c r="L443" s="3">
        <v>1.0</v>
      </c>
      <c r="M443" s="3">
        <v>1.0</v>
      </c>
      <c r="N443" s="3">
        <v>1.0</v>
      </c>
      <c r="O443" s="3">
        <v>1.0</v>
      </c>
      <c r="P443" s="3">
        <v>1.0</v>
      </c>
      <c r="Q443" s="3">
        <v>1.0</v>
      </c>
      <c r="R443" s="3">
        <v>1.0</v>
      </c>
      <c r="S443" s="3">
        <v>1.0</v>
      </c>
      <c r="T443" s="3">
        <v>1.0</v>
      </c>
      <c r="U443" s="3">
        <v>1.0</v>
      </c>
      <c r="V443" s="3">
        <v>1.0</v>
      </c>
      <c r="W443" s="3" t="s">
        <v>1073</v>
      </c>
      <c r="X443" s="3" t="s">
        <v>1413</v>
      </c>
      <c r="Y443" s="3" t="s">
        <v>1414</v>
      </c>
      <c r="Z443" s="3" t="s">
        <v>1372</v>
      </c>
      <c r="AA443" s="3" t="s">
        <v>1415</v>
      </c>
      <c r="AB443" s="3" t="s">
        <v>1374</v>
      </c>
      <c r="AC443" s="3" t="s">
        <v>1632</v>
      </c>
      <c r="AD443" s="3" t="s">
        <v>1416</v>
      </c>
      <c r="AE443" s="3" t="s">
        <v>1417</v>
      </c>
      <c r="AF443" s="3">
        <v>-0.005</v>
      </c>
      <c r="AG443" s="3">
        <v>-0.053</v>
      </c>
      <c r="AH443" s="3">
        <v>0.295</v>
      </c>
      <c r="AI443" s="3">
        <v>143.462</v>
      </c>
      <c r="AJ443" s="3">
        <v>-42.032</v>
      </c>
      <c r="AK443" s="3" t="s">
        <v>1418</v>
      </c>
      <c r="AL443" s="3">
        <v>0.075</v>
      </c>
      <c r="AM443" s="3" t="s">
        <v>1419</v>
      </c>
    </row>
    <row r="444" ht="15.75" customHeight="1">
      <c r="A444" s="3">
        <v>1.73039E12</v>
      </c>
      <c r="B444" s="3">
        <v>0.0</v>
      </c>
      <c r="C444" s="3" t="s">
        <v>2019</v>
      </c>
      <c r="D444" s="3" t="s">
        <v>1369</v>
      </c>
      <c r="E444" s="3" t="s">
        <v>2019</v>
      </c>
      <c r="F444" s="3">
        <v>0.0</v>
      </c>
      <c r="G444" s="3">
        <v>0.0</v>
      </c>
      <c r="H444" s="3">
        <v>0.0</v>
      </c>
      <c r="I444" s="3">
        <v>0.0</v>
      </c>
      <c r="J444" s="3">
        <v>0.0</v>
      </c>
      <c r="K444" s="3">
        <v>0.0</v>
      </c>
      <c r="L444" s="3">
        <v>0.0</v>
      </c>
      <c r="M444" s="3">
        <v>0.0</v>
      </c>
      <c r="N444" s="3">
        <v>0.0</v>
      </c>
      <c r="O444" s="3">
        <v>0.0</v>
      </c>
      <c r="P444" s="3">
        <v>0.0</v>
      </c>
      <c r="Q444" s="3">
        <v>0.0</v>
      </c>
      <c r="R444" s="3">
        <v>0.0</v>
      </c>
      <c r="S444" s="3">
        <v>0.0</v>
      </c>
      <c r="T444" s="3">
        <v>0.0</v>
      </c>
      <c r="U444" s="3">
        <v>0.0</v>
      </c>
      <c r="V444" s="3">
        <v>0.0</v>
      </c>
      <c r="W444" s="3" t="s">
        <v>2020</v>
      </c>
      <c r="X444" s="3" t="s">
        <v>2021</v>
      </c>
      <c r="Y444" s="3" t="s">
        <v>2022</v>
      </c>
      <c r="Z444" s="3" t="s">
        <v>2023</v>
      </c>
      <c r="AB444" s="3" t="s">
        <v>1374</v>
      </c>
      <c r="AE444" s="3" t="s">
        <v>2024</v>
      </c>
    </row>
    <row r="445" ht="15.75" customHeight="1">
      <c r="A445" s="3">
        <v>1.73035E12</v>
      </c>
      <c r="B445" s="3">
        <v>11.0</v>
      </c>
      <c r="C445" s="3" t="s">
        <v>734</v>
      </c>
      <c r="D445" s="3" t="s">
        <v>1369</v>
      </c>
      <c r="E445" s="3" t="s">
        <v>734</v>
      </c>
      <c r="F445" s="3">
        <v>1.0</v>
      </c>
      <c r="G445" s="3">
        <v>1.0</v>
      </c>
      <c r="H445" s="3">
        <v>0.0</v>
      </c>
      <c r="I445" s="3">
        <v>1.0</v>
      </c>
      <c r="J445" s="3">
        <v>1.0</v>
      </c>
      <c r="K445" s="3">
        <v>1.0</v>
      </c>
      <c r="L445" s="3">
        <v>0.0</v>
      </c>
      <c r="M445" s="3">
        <v>1.0</v>
      </c>
      <c r="N445" s="3">
        <v>0.0</v>
      </c>
      <c r="O445" s="3">
        <v>1.0</v>
      </c>
      <c r="P445" s="3">
        <v>1.0</v>
      </c>
      <c r="Q445" s="3">
        <v>0.0</v>
      </c>
      <c r="R445" s="3">
        <v>0.0</v>
      </c>
      <c r="S445" s="3">
        <v>1.0</v>
      </c>
      <c r="T445" s="3">
        <v>1.0</v>
      </c>
      <c r="U445" s="3">
        <v>0.0</v>
      </c>
      <c r="V445" s="3">
        <v>1.0</v>
      </c>
      <c r="W445" s="3" t="s">
        <v>731</v>
      </c>
      <c r="X445" s="3" t="s">
        <v>1464</v>
      </c>
      <c r="Y445" s="3" t="s">
        <v>2025</v>
      </c>
      <c r="Z445" s="3" t="s">
        <v>1449</v>
      </c>
      <c r="AA445" s="3" t="s">
        <v>1373</v>
      </c>
      <c r="AB445" s="3" t="s">
        <v>1374</v>
      </c>
      <c r="AC445" s="3" t="s">
        <v>1539</v>
      </c>
      <c r="AD445" s="3" t="s">
        <v>1497</v>
      </c>
      <c r="AE445" s="3" t="s">
        <v>2026</v>
      </c>
      <c r="AF445" s="3">
        <v>0.203</v>
      </c>
      <c r="AG445" s="3">
        <v>2.499</v>
      </c>
      <c r="AH445" s="3">
        <v>0.307</v>
      </c>
      <c r="AI445" s="3">
        <v>12.968</v>
      </c>
      <c r="AJ445" s="3">
        <v>-3.774</v>
      </c>
      <c r="AK445" s="3" t="s">
        <v>2027</v>
      </c>
      <c r="AL445" s="3">
        <v>0.082</v>
      </c>
      <c r="AM445" s="3" t="s">
        <v>1469</v>
      </c>
    </row>
    <row r="446" ht="15.75" customHeight="1">
      <c r="A446" s="3">
        <v>1.7304E12</v>
      </c>
      <c r="B446" s="3">
        <v>13.0</v>
      </c>
      <c r="C446" s="3" t="s">
        <v>899</v>
      </c>
      <c r="D446" s="3" t="s">
        <v>1369</v>
      </c>
      <c r="E446" s="3" t="s">
        <v>899</v>
      </c>
      <c r="F446" s="3">
        <v>1.0</v>
      </c>
      <c r="G446" s="3">
        <v>1.0</v>
      </c>
      <c r="H446" s="3">
        <v>1.0</v>
      </c>
      <c r="I446" s="3">
        <v>1.0</v>
      </c>
      <c r="J446" s="3">
        <v>1.0</v>
      </c>
      <c r="K446" s="3">
        <v>1.0</v>
      </c>
      <c r="L446" s="3">
        <v>1.0</v>
      </c>
      <c r="M446" s="3">
        <v>1.0</v>
      </c>
      <c r="N446" s="3">
        <v>1.0</v>
      </c>
      <c r="O446" s="3">
        <v>1.0</v>
      </c>
      <c r="P446" s="3">
        <v>1.0</v>
      </c>
      <c r="Q446" s="3">
        <v>0.0</v>
      </c>
      <c r="R446" s="3">
        <v>0.0</v>
      </c>
      <c r="S446" s="3">
        <v>1.0</v>
      </c>
      <c r="T446" s="3">
        <v>1.0</v>
      </c>
      <c r="U446" s="3">
        <v>0.0</v>
      </c>
      <c r="V446" s="3">
        <v>0.0</v>
      </c>
      <c r="W446" s="3" t="s">
        <v>65</v>
      </c>
      <c r="X446" s="3" t="s">
        <v>1590</v>
      </c>
      <c r="Y446" s="3" t="s">
        <v>1591</v>
      </c>
      <c r="Z446" s="3" t="s">
        <v>1423</v>
      </c>
      <c r="AA446" s="3" t="s">
        <v>1593</v>
      </c>
      <c r="AB446" s="3" t="s">
        <v>1374</v>
      </c>
      <c r="AC446" s="3" t="s">
        <v>1374</v>
      </c>
      <c r="AD446" s="3" t="s">
        <v>1625</v>
      </c>
      <c r="AE446" s="3" t="s">
        <v>1595</v>
      </c>
      <c r="AF446" s="3">
        <v>0.188</v>
      </c>
      <c r="AG446" s="3">
        <v>2.242</v>
      </c>
      <c r="AH446" s="3">
        <v>0.38</v>
      </c>
      <c r="AI446" s="3">
        <v>-45.9</v>
      </c>
      <c r="AJ446" s="3">
        <v>7.351</v>
      </c>
      <c r="AK446" s="3" t="s">
        <v>1626</v>
      </c>
      <c r="AL446" s="3">
        <v>-0.047</v>
      </c>
      <c r="AM446" s="3" t="s">
        <v>1705</v>
      </c>
    </row>
    <row r="447" ht="15.75" customHeight="1">
      <c r="A447" s="3">
        <v>1.73039E12</v>
      </c>
      <c r="B447" s="3">
        <v>17.0</v>
      </c>
      <c r="C447" s="3" t="s">
        <v>260</v>
      </c>
      <c r="D447" s="3" t="s">
        <v>1369</v>
      </c>
      <c r="E447" s="3" t="s">
        <v>260</v>
      </c>
      <c r="F447" s="3">
        <v>1.0</v>
      </c>
      <c r="G447" s="3">
        <v>1.0</v>
      </c>
      <c r="H447" s="3">
        <v>1.0</v>
      </c>
      <c r="I447" s="3">
        <v>1.0</v>
      </c>
      <c r="J447" s="3">
        <v>1.0</v>
      </c>
      <c r="K447" s="3">
        <v>1.0</v>
      </c>
      <c r="L447" s="3">
        <v>1.0</v>
      </c>
      <c r="M447" s="3">
        <v>1.0</v>
      </c>
      <c r="N447" s="3">
        <v>1.0</v>
      </c>
      <c r="O447" s="3">
        <v>1.0</v>
      </c>
      <c r="P447" s="3">
        <v>1.0</v>
      </c>
      <c r="Q447" s="3">
        <v>1.0</v>
      </c>
      <c r="R447" s="3">
        <v>1.0</v>
      </c>
      <c r="S447" s="3">
        <v>1.0</v>
      </c>
      <c r="T447" s="3">
        <v>1.0</v>
      </c>
      <c r="U447" s="3">
        <v>1.0</v>
      </c>
      <c r="V447" s="3">
        <v>1.0</v>
      </c>
      <c r="W447" s="3" t="s">
        <v>1285</v>
      </c>
      <c r="X447" s="3" t="s">
        <v>1405</v>
      </c>
      <c r="Y447" s="3" t="s">
        <v>1406</v>
      </c>
      <c r="Z447" s="3" t="s">
        <v>1449</v>
      </c>
      <c r="AA447" s="3" t="s">
        <v>1407</v>
      </c>
      <c r="AB447" s="3" t="s">
        <v>1374</v>
      </c>
      <c r="AC447" s="3" t="s">
        <v>1400</v>
      </c>
      <c r="AD447" s="3" t="s">
        <v>1506</v>
      </c>
      <c r="AE447" s="3" t="s">
        <v>1409</v>
      </c>
      <c r="AF447" s="3">
        <v>-0.017</v>
      </c>
      <c r="AG447" s="3">
        <v>-0.049</v>
      </c>
      <c r="AH447" s="3">
        <v>0.161</v>
      </c>
      <c r="AI447" s="3">
        <v>-178.533</v>
      </c>
      <c r="AJ447" s="3">
        <v>12.823</v>
      </c>
      <c r="AK447" s="3" t="s">
        <v>1535</v>
      </c>
      <c r="AL447" s="3">
        <v>0.255</v>
      </c>
      <c r="AM447" s="3" t="s">
        <v>1411</v>
      </c>
    </row>
    <row r="448" ht="15.75" customHeight="1">
      <c r="A448" s="3">
        <v>1.73013E12</v>
      </c>
      <c r="B448" s="3">
        <v>13.0</v>
      </c>
      <c r="C448" s="3" t="s">
        <v>64</v>
      </c>
      <c r="D448" s="3" t="s">
        <v>1369</v>
      </c>
      <c r="E448" s="3" t="s">
        <v>64</v>
      </c>
      <c r="F448" s="3">
        <v>1.0</v>
      </c>
      <c r="G448" s="3">
        <v>1.0</v>
      </c>
      <c r="H448" s="3">
        <v>1.0</v>
      </c>
      <c r="I448" s="3">
        <v>1.0</v>
      </c>
      <c r="J448" s="3">
        <v>1.0</v>
      </c>
      <c r="K448" s="3">
        <v>1.0</v>
      </c>
      <c r="L448" s="3">
        <v>1.0</v>
      </c>
      <c r="M448" s="3">
        <v>1.0</v>
      </c>
      <c r="N448" s="3">
        <v>1.0</v>
      </c>
      <c r="O448" s="3">
        <v>1.0</v>
      </c>
      <c r="P448" s="3">
        <v>1.0</v>
      </c>
      <c r="Q448" s="3">
        <v>0.0</v>
      </c>
      <c r="R448" s="3">
        <v>0.0</v>
      </c>
      <c r="S448" s="3">
        <v>0.0</v>
      </c>
      <c r="T448" s="3">
        <v>1.0</v>
      </c>
      <c r="U448" s="3">
        <v>0.0</v>
      </c>
      <c r="V448" s="3">
        <v>1.0</v>
      </c>
      <c r="W448" s="3" t="s">
        <v>115</v>
      </c>
      <c r="X448" s="3" t="s">
        <v>1438</v>
      </c>
      <c r="Y448" s="3" t="s">
        <v>1439</v>
      </c>
      <c r="Z448" s="3" t="s">
        <v>1372</v>
      </c>
      <c r="AA448" s="3" t="s">
        <v>1553</v>
      </c>
      <c r="AB448" s="3" t="s">
        <v>1374</v>
      </c>
      <c r="AC448" s="3" t="s">
        <v>1391</v>
      </c>
      <c r="AD448" s="3" t="s">
        <v>1554</v>
      </c>
      <c r="AE448" s="3" t="s">
        <v>1444</v>
      </c>
      <c r="AF448" s="3">
        <v>0.084</v>
      </c>
      <c r="AG448" s="3">
        <v>0.296</v>
      </c>
      <c r="AH448" s="3">
        <v>0.221</v>
      </c>
      <c r="AI448" s="3">
        <v>0.0</v>
      </c>
      <c r="AJ448" s="3">
        <v>-1.658</v>
      </c>
      <c r="AK448" s="3" t="s">
        <v>1555</v>
      </c>
      <c r="AL448" s="3">
        <v>0.627</v>
      </c>
      <c r="AM448" s="3" t="s">
        <v>1446</v>
      </c>
    </row>
    <row r="449" ht="15.75" customHeight="1">
      <c r="A449" s="3">
        <v>1.73038E12</v>
      </c>
      <c r="B449" s="3">
        <v>17.0</v>
      </c>
      <c r="C449" s="3" t="s">
        <v>912</v>
      </c>
      <c r="D449" s="3" t="s">
        <v>1369</v>
      </c>
      <c r="E449" s="3" t="s">
        <v>912</v>
      </c>
      <c r="F449" s="3">
        <v>1.0</v>
      </c>
      <c r="G449" s="3">
        <v>1.0</v>
      </c>
      <c r="H449" s="3">
        <v>1.0</v>
      </c>
      <c r="I449" s="3">
        <v>1.0</v>
      </c>
      <c r="J449" s="3">
        <v>1.0</v>
      </c>
      <c r="K449" s="3">
        <v>1.0</v>
      </c>
      <c r="L449" s="3">
        <v>1.0</v>
      </c>
      <c r="M449" s="3">
        <v>1.0</v>
      </c>
      <c r="N449" s="3">
        <v>1.0</v>
      </c>
      <c r="O449" s="3">
        <v>1.0</v>
      </c>
      <c r="P449" s="3">
        <v>1.0</v>
      </c>
      <c r="Q449" s="3">
        <v>1.0</v>
      </c>
      <c r="R449" s="3">
        <v>1.0</v>
      </c>
      <c r="S449" s="3">
        <v>1.0</v>
      </c>
      <c r="T449" s="3">
        <v>1.0</v>
      </c>
      <c r="U449" s="3">
        <v>1.0</v>
      </c>
      <c r="V449" s="3">
        <v>1.0</v>
      </c>
      <c r="W449" s="3" t="s">
        <v>1050</v>
      </c>
      <c r="X449" s="3" t="s">
        <v>1542</v>
      </c>
      <c r="Y449" s="3" t="s">
        <v>1543</v>
      </c>
      <c r="Z449" s="3" t="s">
        <v>1423</v>
      </c>
      <c r="AA449" s="3" t="s">
        <v>1544</v>
      </c>
      <c r="AB449" s="3" t="s">
        <v>1374</v>
      </c>
      <c r="AC449" s="3" t="s">
        <v>1451</v>
      </c>
      <c r="AD449" s="3" t="s">
        <v>1545</v>
      </c>
      <c r="AE449" s="3" t="s">
        <v>1546</v>
      </c>
      <c r="AF449" s="3">
        <v>0.035</v>
      </c>
      <c r="AG449" s="3">
        <v>0.068</v>
      </c>
      <c r="AH449" s="3">
        <v>0.251</v>
      </c>
      <c r="AI449" s="3">
        <v>54.174</v>
      </c>
      <c r="AJ449" s="3">
        <v>-10.884</v>
      </c>
      <c r="AK449" s="3" t="s">
        <v>1604</v>
      </c>
      <c r="AL449" s="3">
        <v>0.044</v>
      </c>
      <c r="AM449" s="3" t="s">
        <v>1548</v>
      </c>
    </row>
    <row r="450" ht="15.75" customHeight="1">
      <c r="A450" s="3">
        <v>1.73038E12</v>
      </c>
      <c r="B450" s="3">
        <v>17.0</v>
      </c>
      <c r="C450" s="3" t="s">
        <v>693</v>
      </c>
      <c r="D450" s="3" t="s">
        <v>1369</v>
      </c>
      <c r="E450" s="3" t="s">
        <v>693</v>
      </c>
      <c r="F450" s="3">
        <v>1.0</v>
      </c>
      <c r="G450" s="3">
        <v>1.0</v>
      </c>
      <c r="H450" s="3">
        <v>1.0</v>
      </c>
      <c r="I450" s="3">
        <v>1.0</v>
      </c>
      <c r="J450" s="3">
        <v>1.0</v>
      </c>
      <c r="K450" s="3">
        <v>1.0</v>
      </c>
      <c r="L450" s="3">
        <v>1.0</v>
      </c>
      <c r="M450" s="3">
        <v>1.0</v>
      </c>
      <c r="N450" s="3">
        <v>1.0</v>
      </c>
      <c r="O450" s="3">
        <v>1.0</v>
      </c>
      <c r="P450" s="3">
        <v>1.0</v>
      </c>
      <c r="Q450" s="3">
        <v>1.0</v>
      </c>
      <c r="R450" s="3">
        <v>1.0</v>
      </c>
      <c r="S450" s="3">
        <v>1.0</v>
      </c>
      <c r="T450" s="3">
        <v>1.0</v>
      </c>
      <c r="U450" s="3">
        <v>1.0</v>
      </c>
      <c r="V450" s="3">
        <v>1.0</v>
      </c>
      <c r="W450" s="3" t="s">
        <v>1316</v>
      </c>
      <c r="X450" s="3" t="s">
        <v>1605</v>
      </c>
      <c r="Y450" s="3" t="s">
        <v>1772</v>
      </c>
      <c r="Z450" s="3" t="s">
        <v>1423</v>
      </c>
      <c r="AA450" s="3" t="s">
        <v>1382</v>
      </c>
      <c r="AB450" s="3" t="s">
        <v>1391</v>
      </c>
      <c r="AC450" s="3" t="s">
        <v>1374</v>
      </c>
      <c r="AD450" s="3" t="s">
        <v>1655</v>
      </c>
      <c r="AE450" s="3" t="s">
        <v>1656</v>
      </c>
      <c r="AF450" s="3">
        <v>0.065</v>
      </c>
      <c r="AG450" s="3">
        <v>1.452</v>
      </c>
      <c r="AH450" s="3">
        <v>0.31</v>
      </c>
      <c r="AI450" s="3">
        <v>-833.268</v>
      </c>
      <c r="AJ450" s="3">
        <v>40.386</v>
      </c>
      <c r="AK450" s="3" t="s">
        <v>1607</v>
      </c>
      <c r="AL450" s="3">
        <v>0.061</v>
      </c>
      <c r="AM450" s="3" t="s">
        <v>1608</v>
      </c>
    </row>
    <row r="451" ht="15.75" customHeight="1">
      <c r="A451" s="3">
        <v>1.73037E12</v>
      </c>
      <c r="B451" s="3">
        <v>17.0</v>
      </c>
      <c r="C451" s="3" t="s">
        <v>655</v>
      </c>
      <c r="D451" s="3" t="s">
        <v>1369</v>
      </c>
      <c r="E451" s="3" t="s">
        <v>655</v>
      </c>
      <c r="F451" s="3">
        <v>1.0</v>
      </c>
      <c r="G451" s="3">
        <v>1.0</v>
      </c>
      <c r="H451" s="3">
        <v>1.0</v>
      </c>
      <c r="I451" s="3">
        <v>1.0</v>
      </c>
      <c r="J451" s="3">
        <v>1.0</v>
      </c>
      <c r="K451" s="3">
        <v>1.0</v>
      </c>
      <c r="L451" s="3">
        <v>1.0</v>
      </c>
      <c r="M451" s="3">
        <v>1.0</v>
      </c>
      <c r="N451" s="3">
        <v>1.0</v>
      </c>
      <c r="O451" s="3">
        <v>1.0</v>
      </c>
      <c r="P451" s="3">
        <v>1.0</v>
      </c>
      <c r="Q451" s="3">
        <v>1.0</v>
      </c>
      <c r="R451" s="3">
        <v>1.0</v>
      </c>
      <c r="S451" s="3">
        <v>1.0</v>
      </c>
      <c r="T451" s="3">
        <v>1.0</v>
      </c>
      <c r="U451" s="3">
        <v>1.0</v>
      </c>
      <c r="V451" s="3">
        <v>1.0</v>
      </c>
      <c r="W451" s="3" t="s">
        <v>1135</v>
      </c>
      <c r="X451" s="3" t="s">
        <v>1605</v>
      </c>
      <c r="Y451" s="3" t="s">
        <v>1654</v>
      </c>
      <c r="Z451" s="3" t="s">
        <v>2028</v>
      </c>
      <c r="AA451" s="3" t="s">
        <v>1382</v>
      </c>
      <c r="AB451" s="3" t="s">
        <v>1391</v>
      </c>
      <c r="AC451" s="3" t="s">
        <v>1374</v>
      </c>
      <c r="AD451" s="3" t="s">
        <v>1655</v>
      </c>
      <c r="AE451" s="3" t="s">
        <v>1656</v>
      </c>
      <c r="AF451" s="3">
        <v>0.068</v>
      </c>
      <c r="AG451" s="3">
        <v>12.897</v>
      </c>
      <c r="AH451" s="3">
        <v>0.336</v>
      </c>
      <c r="AI451" s="3">
        <v>-834.073</v>
      </c>
      <c r="AJ451" s="3">
        <v>40.527</v>
      </c>
      <c r="AK451" s="3" t="s">
        <v>2029</v>
      </c>
      <c r="AL451" s="3">
        <v>0.066</v>
      </c>
      <c r="AM451" s="3" t="s">
        <v>1608</v>
      </c>
    </row>
    <row r="452" ht="15.75" customHeight="1">
      <c r="A452" s="3">
        <v>1.7304E12</v>
      </c>
      <c r="B452" s="3">
        <v>0.0</v>
      </c>
      <c r="C452" s="3" t="s">
        <v>2030</v>
      </c>
      <c r="D452" s="3" t="s">
        <v>1369</v>
      </c>
      <c r="E452" s="3" t="s">
        <v>2030</v>
      </c>
      <c r="F452" s="3">
        <v>0.0</v>
      </c>
      <c r="G452" s="3">
        <v>0.0</v>
      </c>
      <c r="H452" s="3">
        <v>0.0</v>
      </c>
      <c r="I452" s="3">
        <v>0.0</v>
      </c>
      <c r="J452" s="3">
        <v>0.0</v>
      </c>
      <c r="K452" s="3">
        <v>0.0</v>
      </c>
      <c r="L452" s="3">
        <v>0.0</v>
      </c>
      <c r="M452" s="3">
        <v>0.0</v>
      </c>
      <c r="N452" s="3">
        <v>0.0</v>
      </c>
      <c r="O452" s="3">
        <v>0.0</v>
      </c>
      <c r="P452" s="3">
        <v>0.0</v>
      </c>
      <c r="Q452" s="3">
        <v>0.0</v>
      </c>
      <c r="R452" s="3">
        <v>0.0</v>
      </c>
      <c r="S452" s="3">
        <v>0.0</v>
      </c>
      <c r="T452" s="3">
        <v>0.0</v>
      </c>
      <c r="U452" s="3">
        <v>0.0</v>
      </c>
      <c r="V452" s="3">
        <v>0.0</v>
      </c>
      <c r="AH452" s="3" t="s">
        <v>1638</v>
      </c>
      <c r="AJ452" s="3" t="s">
        <v>1638</v>
      </c>
      <c r="AM452" s="3" t="s">
        <v>1469</v>
      </c>
    </row>
    <row r="453" ht="15.75" customHeight="1">
      <c r="A453" s="3">
        <v>1.73036E12</v>
      </c>
      <c r="B453" s="3">
        <v>16.0</v>
      </c>
      <c r="C453" s="3" t="s">
        <v>66</v>
      </c>
      <c r="D453" s="3" t="s">
        <v>1369</v>
      </c>
      <c r="E453" s="3" t="s">
        <v>66</v>
      </c>
      <c r="F453" s="3">
        <v>1.0</v>
      </c>
      <c r="G453" s="3">
        <v>1.0</v>
      </c>
      <c r="H453" s="3">
        <v>1.0</v>
      </c>
      <c r="I453" s="3">
        <v>1.0</v>
      </c>
      <c r="J453" s="3">
        <v>1.0</v>
      </c>
      <c r="K453" s="3">
        <v>1.0</v>
      </c>
      <c r="L453" s="3">
        <v>0.0</v>
      </c>
      <c r="M453" s="3">
        <v>1.0</v>
      </c>
      <c r="N453" s="3">
        <v>1.0</v>
      </c>
      <c r="O453" s="3">
        <v>1.0</v>
      </c>
      <c r="P453" s="3">
        <v>1.0</v>
      </c>
      <c r="Q453" s="3">
        <v>1.0</v>
      </c>
      <c r="R453" s="3">
        <v>1.0</v>
      </c>
      <c r="S453" s="3">
        <v>1.0</v>
      </c>
      <c r="T453" s="3">
        <v>1.0</v>
      </c>
      <c r="U453" s="3">
        <v>1.0</v>
      </c>
      <c r="V453" s="3">
        <v>1.0</v>
      </c>
      <c r="W453" s="3" t="s">
        <v>1246</v>
      </c>
      <c r="X453" s="3" t="s">
        <v>1600</v>
      </c>
      <c r="Y453" s="3" t="s">
        <v>1601</v>
      </c>
      <c r="Z453" s="3" t="s">
        <v>1372</v>
      </c>
      <c r="AA453" s="3" t="s">
        <v>1407</v>
      </c>
      <c r="AB453" s="3" t="s">
        <v>1374</v>
      </c>
      <c r="AC453" s="3" t="s">
        <v>1798</v>
      </c>
      <c r="AD453" s="3" t="s">
        <v>1408</v>
      </c>
      <c r="AE453" s="3" t="s">
        <v>1602</v>
      </c>
      <c r="AF453" s="3">
        <v>0.035</v>
      </c>
      <c r="AG453" s="3">
        <v>0.104</v>
      </c>
      <c r="AH453" s="3">
        <v>0.16</v>
      </c>
      <c r="AI453" s="3">
        <v>7.314</v>
      </c>
      <c r="AJ453" s="3">
        <v>-0.349</v>
      </c>
      <c r="AK453" s="3" t="s">
        <v>1603</v>
      </c>
      <c r="AL453" s="3">
        <v>0.231</v>
      </c>
      <c r="AM453" s="3" t="s">
        <v>1411</v>
      </c>
    </row>
    <row r="454" ht="15.75" customHeight="1">
      <c r="A454" s="3">
        <v>1.73037E12</v>
      </c>
      <c r="B454" s="3">
        <v>17.0</v>
      </c>
      <c r="C454" s="3" t="s">
        <v>151</v>
      </c>
      <c r="D454" s="3" t="s">
        <v>1369</v>
      </c>
      <c r="E454" s="3" t="s">
        <v>151</v>
      </c>
      <c r="F454" s="3">
        <v>1.0</v>
      </c>
      <c r="G454" s="3">
        <v>1.0</v>
      </c>
      <c r="H454" s="3">
        <v>1.0</v>
      </c>
      <c r="I454" s="3">
        <v>1.0</v>
      </c>
      <c r="J454" s="3">
        <v>1.0</v>
      </c>
      <c r="K454" s="3">
        <v>1.0</v>
      </c>
      <c r="L454" s="3">
        <v>1.0</v>
      </c>
      <c r="M454" s="3">
        <v>1.0</v>
      </c>
      <c r="N454" s="3">
        <v>1.0</v>
      </c>
      <c r="O454" s="3">
        <v>1.0</v>
      </c>
      <c r="P454" s="3">
        <v>1.0</v>
      </c>
      <c r="Q454" s="3">
        <v>1.0</v>
      </c>
      <c r="R454" s="3">
        <v>1.0</v>
      </c>
      <c r="S454" s="3">
        <v>1.0</v>
      </c>
      <c r="T454" s="3">
        <v>1.0</v>
      </c>
      <c r="U454" s="3">
        <v>1.0</v>
      </c>
      <c r="V454" s="3">
        <v>1.0</v>
      </c>
      <c r="W454" s="3" t="s">
        <v>1236</v>
      </c>
      <c r="X454" s="3" t="s">
        <v>1489</v>
      </c>
      <c r="Y454" s="3" t="s">
        <v>1490</v>
      </c>
      <c r="Z454" s="3" t="s">
        <v>1423</v>
      </c>
      <c r="AA454" s="3" t="s">
        <v>1491</v>
      </c>
      <c r="AB454" s="3" t="s">
        <v>1374</v>
      </c>
      <c r="AC454" s="3" t="s">
        <v>1451</v>
      </c>
      <c r="AD454" s="3" t="s">
        <v>1492</v>
      </c>
      <c r="AE454" s="3" t="s">
        <v>1493</v>
      </c>
      <c r="AF454" s="3">
        <v>0.055</v>
      </c>
      <c r="AG454" s="3">
        <v>0.253</v>
      </c>
      <c r="AH454" s="3">
        <v>0.353</v>
      </c>
      <c r="AI454" s="3">
        <v>-13.306</v>
      </c>
      <c r="AJ454" s="3">
        <v>8.378</v>
      </c>
      <c r="AK454" s="3" t="s">
        <v>1560</v>
      </c>
      <c r="AL454" s="3">
        <v>0.135</v>
      </c>
      <c r="AM454" s="3" t="s">
        <v>1495</v>
      </c>
    </row>
    <row r="455" ht="15.75" customHeight="1">
      <c r="A455" s="3">
        <v>1.73039E12</v>
      </c>
      <c r="B455" s="3">
        <v>17.0</v>
      </c>
      <c r="C455" s="3" t="s">
        <v>878</v>
      </c>
      <c r="D455" s="3" t="s">
        <v>1369</v>
      </c>
      <c r="E455" s="3" t="s">
        <v>878</v>
      </c>
      <c r="F455" s="3">
        <v>1.0</v>
      </c>
      <c r="G455" s="3">
        <v>1.0</v>
      </c>
      <c r="H455" s="3">
        <v>1.0</v>
      </c>
      <c r="I455" s="3">
        <v>1.0</v>
      </c>
      <c r="J455" s="3">
        <v>1.0</v>
      </c>
      <c r="K455" s="3">
        <v>1.0</v>
      </c>
      <c r="L455" s="3">
        <v>1.0</v>
      </c>
      <c r="M455" s="3">
        <v>1.0</v>
      </c>
      <c r="N455" s="3">
        <v>1.0</v>
      </c>
      <c r="O455" s="3">
        <v>1.0</v>
      </c>
      <c r="P455" s="3">
        <v>1.0</v>
      </c>
      <c r="Q455" s="3">
        <v>1.0</v>
      </c>
      <c r="R455" s="3">
        <v>1.0</v>
      </c>
      <c r="S455" s="3">
        <v>1.0</v>
      </c>
      <c r="T455" s="3">
        <v>1.0</v>
      </c>
      <c r="U455" s="3">
        <v>1.0</v>
      </c>
      <c r="V455" s="3">
        <v>1.0</v>
      </c>
      <c r="W455" s="3" t="s">
        <v>1028</v>
      </c>
      <c r="X455" s="3" t="s">
        <v>1456</v>
      </c>
      <c r="Y455" s="3" t="s">
        <v>1457</v>
      </c>
      <c r="Z455" s="3" t="s">
        <v>1423</v>
      </c>
      <c r="AA455" s="3" t="s">
        <v>1458</v>
      </c>
      <c r="AB455" s="3" t="s">
        <v>1374</v>
      </c>
      <c r="AC455" s="3" t="s">
        <v>1374</v>
      </c>
      <c r="AD455" s="3" t="s">
        <v>1392</v>
      </c>
      <c r="AE455" s="3" t="s">
        <v>1459</v>
      </c>
      <c r="AF455" s="3">
        <v>0.077</v>
      </c>
      <c r="AG455" s="3">
        <v>0.617</v>
      </c>
      <c r="AH455" s="3">
        <v>0.288</v>
      </c>
      <c r="AI455" s="3">
        <v>111.688</v>
      </c>
      <c r="AJ455" s="3">
        <v>3.047</v>
      </c>
      <c r="AK455" s="3" t="s">
        <v>1463</v>
      </c>
      <c r="AL455" s="3">
        <v>0.06</v>
      </c>
      <c r="AM455" s="3" t="s">
        <v>1461</v>
      </c>
    </row>
    <row r="456" ht="15.75" customHeight="1">
      <c r="A456" s="3">
        <v>1.7304E12</v>
      </c>
      <c r="B456" s="3">
        <v>13.0</v>
      </c>
      <c r="C456" s="3" t="s">
        <v>114</v>
      </c>
      <c r="D456" s="3" t="s">
        <v>1369</v>
      </c>
      <c r="E456" s="3" t="s">
        <v>114</v>
      </c>
      <c r="F456" s="3">
        <v>1.0</v>
      </c>
      <c r="G456" s="3">
        <v>1.0</v>
      </c>
      <c r="H456" s="3">
        <v>1.0</v>
      </c>
      <c r="I456" s="3">
        <v>1.0</v>
      </c>
      <c r="J456" s="3">
        <v>1.0</v>
      </c>
      <c r="K456" s="3">
        <v>1.0</v>
      </c>
      <c r="L456" s="3">
        <v>1.0</v>
      </c>
      <c r="M456" s="3">
        <v>1.0</v>
      </c>
      <c r="N456" s="3">
        <v>1.0</v>
      </c>
      <c r="O456" s="3">
        <v>1.0</v>
      </c>
      <c r="P456" s="3">
        <v>0.0</v>
      </c>
      <c r="Q456" s="3">
        <v>0.0</v>
      </c>
      <c r="R456" s="3">
        <v>0.0</v>
      </c>
      <c r="S456" s="3">
        <v>1.0</v>
      </c>
      <c r="T456" s="3">
        <v>1.0</v>
      </c>
      <c r="U456" s="3">
        <v>0.0</v>
      </c>
      <c r="V456" s="3">
        <v>1.0</v>
      </c>
      <c r="W456" s="3" t="s">
        <v>306</v>
      </c>
      <c r="X456" s="3" t="s">
        <v>1464</v>
      </c>
      <c r="Y456" s="3" t="s">
        <v>1465</v>
      </c>
      <c r="Z456" s="3" t="s">
        <v>1449</v>
      </c>
      <c r="AA456" s="3" t="s">
        <v>1373</v>
      </c>
      <c r="AB456" s="3" t="s">
        <v>1374</v>
      </c>
      <c r="AC456" s="3" t="s">
        <v>1391</v>
      </c>
      <c r="AD456" s="3" t="s">
        <v>1497</v>
      </c>
      <c r="AE456" s="3" t="s">
        <v>1467</v>
      </c>
      <c r="AF456" s="3">
        <v>0.203</v>
      </c>
      <c r="AH456" s="3">
        <v>0.309</v>
      </c>
      <c r="AI456" s="3">
        <v>12.948</v>
      </c>
      <c r="AJ456" s="3">
        <v>-3.778</v>
      </c>
      <c r="AK456" s="3" t="s">
        <v>2031</v>
      </c>
      <c r="AL456" s="3">
        <v>0.535</v>
      </c>
      <c r="AM456" s="3" t="s">
        <v>1469</v>
      </c>
    </row>
    <row r="457" ht="15.75" customHeight="1">
      <c r="A457" s="3">
        <v>1.73038E12</v>
      </c>
      <c r="B457" s="3">
        <v>15.0</v>
      </c>
      <c r="C457" s="3" t="s">
        <v>559</v>
      </c>
      <c r="D457" s="3" t="s">
        <v>1369</v>
      </c>
      <c r="E457" s="3" t="s">
        <v>559</v>
      </c>
      <c r="F457" s="3">
        <v>1.0</v>
      </c>
      <c r="G457" s="3">
        <v>1.0</v>
      </c>
      <c r="H457" s="3">
        <v>1.0</v>
      </c>
      <c r="I457" s="3">
        <v>1.0</v>
      </c>
      <c r="J457" s="3">
        <v>1.0</v>
      </c>
      <c r="K457" s="3">
        <v>1.0</v>
      </c>
      <c r="L457" s="3">
        <v>1.0</v>
      </c>
      <c r="M457" s="3">
        <v>1.0</v>
      </c>
      <c r="N457" s="3">
        <v>1.0</v>
      </c>
      <c r="O457" s="3">
        <v>1.0</v>
      </c>
      <c r="P457" s="3">
        <v>1.0</v>
      </c>
      <c r="Q457" s="3">
        <v>1.0</v>
      </c>
      <c r="R457" s="3">
        <v>1.0</v>
      </c>
      <c r="S457" s="3">
        <v>0.0</v>
      </c>
      <c r="T457" s="3">
        <v>0.0</v>
      </c>
      <c r="U457" s="3">
        <v>1.0</v>
      </c>
      <c r="V457" s="3">
        <v>1.0</v>
      </c>
      <c r="W457" s="3" t="s">
        <v>769</v>
      </c>
      <c r="X457" s="3" t="s">
        <v>1600</v>
      </c>
      <c r="Y457" s="3" t="s">
        <v>1601</v>
      </c>
      <c r="Z457" s="3" t="s">
        <v>1372</v>
      </c>
      <c r="AA457" s="3" t="s">
        <v>1407</v>
      </c>
      <c r="AB457" s="3" t="s">
        <v>1374</v>
      </c>
      <c r="AC457" s="3" t="s">
        <v>1400</v>
      </c>
      <c r="AD457" s="3" t="s">
        <v>1408</v>
      </c>
      <c r="AE457" s="3" t="s">
        <v>1602</v>
      </c>
      <c r="AF457" s="3">
        <v>0.034</v>
      </c>
      <c r="AG457" s="3">
        <v>0.101</v>
      </c>
      <c r="AH457" s="3" t="s">
        <v>1394</v>
      </c>
      <c r="AI457" s="3" t="s">
        <v>1394</v>
      </c>
      <c r="AJ457" s="3">
        <v>-0.141</v>
      </c>
      <c r="AK457" s="3" t="s">
        <v>1603</v>
      </c>
      <c r="AL457" s="3" t="s">
        <v>1394</v>
      </c>
      <c r="AM457" s="3" t="s">
        <v>1411</v>
      </c>
    </row>
    <row r="458" ht="15.75" customHeight="1">
      <c r="A458" s="3">
        <v>1.73035E12</v>
      </c>
      <c r="B458" s="3">
        <v>17.0</v>
      </c>
      <c r="C458" s="3" t="s">
        <v>678</v>
      </c>
      <c r="D458" s="3" t="s">
        <v>1369</v>
      </c>
      <c r="E458" s="3" t="s">
        <v>678</v>
      </c>
      <c r="F458" s="3">
        <v>1.0</v>
      </c>
      <c r="G458" s="3">
        <v>1.0</v>
      </c>
      <c r="H458" s="3">
        <v>1.0</v>
      </c>
      <c r="I458" s="3">
        <v>1.0</v>
      </c>
      <c r="J458" s="3">
        <v>1.0</v>
      </c>
      <c r="K458" s="3">
        <v>1.0</v>
      </c>
      <c r="L458" s="3">
        <v>1.0</v>
      </c>
      <c r="M458" s="3">
        <v>1.0</v>
      </c>
      <c r="N458" s="3">
        <v>1.0</v>
      </c>
      <c r="O458" s="3">
        <v>1.0</v>
      </c>
      <c r="P458" s="3">
        <v>1.0</v>
      </c>
      <c r="Q458" s="3">
        <v>1.0</v>
      </c>
      <c r="R458" s="3">
        <v>1.0</v>
      </c>
      <c r="S458" s="3">
        <v>1.0</v>
      </c>
      <c r="T458" s="3">
        <v>1.0</v>
      </c>
      <c r="U458" s="3">
        <v>1.0</v>
      </c>
      <c r="V458" s="3">
        <v>1.0</v>
      </c>
      <c r="W458" s="3" t="s">
        <v>1309</v>
      </c>
      <c r="X458" s="3" t="s">
        <v>1429</v>
      </c>
      <c r="Y458" s="3" t="s">
        <v>1430</v>
      </c>
      <c r="Z458" s="3" t="s">
        <v>1423</v>
      </c>
      <c r="AA458" s="3" t="s">
        <v>1432</v>
      </c>
      <c r="AB458" s="3" t="s">
        <v>1374</v>
      </c>
      <c r="AC458" s="3" t="s">
        <v>1391</v>
      </c>
      <c r="AD458" s="3" t="s">
        <v>1433</v>
      </c>
      <c r="AE458" s="3" t="s">
        <v>1434</v>
      </c>
      <c r="AF458" s="3">
        <v>0.168</v>
      </c>
      <c r="AG458" s="3">
        <v>1.192</v>
      </c>
      <c r="AH458" s="3">
        <v>0.308</v>
      </c>
      <c r="AI458" s="3">
        <v>111.972</v>
      </c>
      <c r="AJ458" s="3">
        <v>-5.303</v>
      </c>
      <c r="AK458" s="3" t="s">
        <v>1903</v>
      </c>
      <c r="AL458" s="3">
        <v>0.113</v>
      </c>
      <c r="AM458" s="3" t="s">
        <v>1436</v>
      </c>
    </row>
    <row r="459" ht="15.75" customHeight="1">
      <c r="A459" s="3">
        <v>1.7304E12</v>
      </c>
      <c r="B459" s="3">
        <v>0.0</v>
      </c>
      <c r="C459" s="3" t="s">
        <v>2032</v>
      </c>
      <c r="D459" s="3" t="s">
        <v>1369</v>
      </c>
      <c r="E459" s="3" t="s">
        <v>2032</v>
      </c>
      <c r="F459" s="3">
        <v>0.0</v>
      </c>
      <c r="G459" s="3">
        <v>0.0</v>
      </c>
      <c r="H459" s="3">
        <v>0.0</v>
      </c>
      <c r="I459" s="3">
        <v>0.0</v>
      </c>
      <c r="J459" s="3">
        <v>0.0</v>
      </c>
      <c r="K459" s="3">
        <v>0.0</v>
      </c>
      <c r="L459" s="3">
        <v>0.0</v>
      </c>
      <c r="M459" s="3">
        <v>0.0</v>
      </c>
      <c r="N459" s="3">
        <v>0.0</v>
      </c>
      <c r="O459" s="3">
        <v>0.0</v>
      </c>
      <c r="P459" s="3">
        <v>0.0</v>
      </c>
      <c r="Q459" s="3">
        <v>0.0</v>
      </c>
      <c r="R459" s="3">
        <v>0.0</v>
      </c>
      <c r="S459" s="3">
        <v>0.0</v>
      </c>
      <c r="T459" s="3">
        <v>0.0</v>
      </c>
      <c r="U459" s="3">
        <v>0.0</v>
      </c>
      <c r="V459" s="3">
        <v>0.0</v>
      </c>
      <c r="W459" s="3" t="s">
        <v>2033</v>
      </c>
      <c r="X459" s="3" t="s">
        <v>1542</v>
      </c>
      <c r="AB459" s="3" t="s">
        <v>1374</v>
      </c>
      <c r="AC459" s="3" t="s">
        <v>1451</v>
      </c>
      <c r="AD459" s="3" t="s">
        <v>1391</v>
      </c>
      <c r="AH459" s="3">
        <v>0.252</v>
      </c>
      <c r="AI459" s="3">
        <v>54.063</v>
      </c>
      <c r="AJ459" s="3" t="s">
        <v>1394</v>
      </c>
      <c r="AK459" s="3" t="s">
        <v>1394</v>
      </c>
      <c r="AL459" s="3" t="s">
        <v>1394</v>
      </c>
      <c r="AM459" s="3" t="s">
        <v>1394</v>
      </c>
    </row>
    <row r="460" ht="15.75" customHeight="1">
      <c r="A460" s="3">
        <v>1.73028E12</v>
      </c>
      <c r="B460" s="3">
        <v>17.0</v>
      </c>
      <c r="C460" s="3" t="s">
        <v>139</v>
      </c>
      <c r="D460" s="3" t="s">
        <v>1369</v>
      </c>
      <c r="E460" s="3" t="s">
        <v>139</v>
      </c>
      <c r="F460" s="3">
        <v>1.0</v>
      </c>
      <c r="G460" s="3">
        <v>1.0</v>
      </c>
      <c r="H460" s="3">
        <v>1.0</v>
      </c>
      <c r="I460" s="3">
        <v>1.0</v>
      </c>
      <c r="J460" s="3">
        <v>1.0</v>
      </c>
      <c r="K460" s="3">
        <v>1.0</v>
      </c>
      <c r="L460" s="3">
        <v>1.0</v>
      </c>
      <c r="M460" s="3">
        <v>1.0</v>
      </c>
      <c r="N460" s="3">
        <v>1.0</v>
      </c>
      <c r="O460" s="3">
        <v>1.0</v>
      </c>
      <c r="P460" s="3">
        <v>1.0</v>
      </c>
      <c r="Q460" s="3">
        <v>1.0</v>
      </c>
      <c r="R460" s="3">
        <v>1.0</v>
      </c>
      <c r="S460" s="3">
        <v>1.0</v>
      </c>
      <c r="T460" s="3">
        <v>1.0</v>
      </c>
      <c r="U460" s="3">
        <v>1.0</v>
      </c>
      <c r="V460" s="3">
        <v>1.0</v>
      </c>
      <c r="W460" s="3" t="s">
        <v>1242</v>
      </c>
      <c r="X460" s="3" t="s">
        <v>1483</v>
      </c>
      <c r="Y460" s="3" t="s">
        <v>1484</v>
      </c>
      <c r="Z460" s="3" t="s">
        <v>1372</v>
      </c>
      <c r="AA460" s="3" t="s">
        <v>1373</v>
      </c>
      <c r="AB460" s="3" t="s">
        <v>1374</v>
      </c>
      <c r="AC460" s="3" t="s">
        <v>1374</v>
      </c>
      <c r="AD460" s="3" t="s">
        <v>1485</v>
      </c>
      <c r="AE460" s="3" t="s">
        <v>1486</v>
      </c>
      <c r="AF460" s="3">
        <v>0.017</v>
      </c>
      <c r="AG460" s="3">
        <v>0.279</v>
      </c>
      <c r="AH460" s="3">
        <v>0.405</v>
      </c>
      <c r="AI460" s="3">
        <v>47.492</v>
      </c>
      <c r="AJ460" s="3">
        <v>28.501</v>
      </c>
      <c r="AK460" s="3" t="s">
        <v>1659</v>
      </c>
      <c r="AL460" s="3">
        <v>-0.012</v>
      </c>
      <c r="AM460" s="3" t="s">
        <v>1573</v>
      </c>
    </row>
    <row r="461" ht="15.75" customHeight="1">
      <c r="A461" s="3">
        <v>1.73036E12</v>
      </c>
      <c r="B461" s="3">
        <v>17.0</v>
      </c>
      <c r="C461" s="3" t="s">
        <v>204</v>
      </c>
      <c r="D461" s="3" t="s">
        <v>1369</v>
      </c>
      <c r="E461" s="3" t="s">
        <v>204</v>
      </c>
      <c r="F461" s="3">
        <v>1.0</v>
      </c>
      <c r="G461" s="3">
        <v>1.0</v>
      </c>
      <c r="H461" s="3">
        <v>1.0</v>
      </c>
      <c r="I461" s="3">
        <v>1.0</v>
      </c>
      <c r="J461" s="3">
        <v>1.0</v>
      </c>
      <c r="K461" s="3">
        <v>1.0</v>
      </c>
      <c r="L461" s="3">
        <v>1.0</v>
      </c>
      <c r="M461" s="3">
        <v>1.0</v>
      </c>
      <c r="N461" s="3">
        <v>1.0</v>
      </c>
      <c r="O461" s="3">
        <v>1.0</v>
      </c>
      <c r="P461" s="3">
        <v>1.0</v>
      </c>
      <c r="Q461" s="3">
        <v>1.0</v>
      </c>
      <c r="R461" s="3">
        <v>1.0</v>
      </c>
      <c r="S461" s="3">
        <v>1.0</v>
      </c>
      <c r="T461" s="3">
        <v>1.0</v>
      </c>
      <c r="U461" s="3">
        <v>1.0</v>
      </c>
      <c r="V461" s="3">
        <v>1.0</v>
      </c>
      <c r="W461" s="3" t="s">
        <v>1322</v>
      </c>
      <c r="X461" s="3" t="s">
        <v>1521</v>
      </c>
      <c r="Y461" s="3" t="s">
        <v>1522</v>
      </c>
      <c r="Z461" s="3" t="s">
        <v>1372</v>
      </c>
      <c r="AA461" s="3" t="s">
        <v>1523</v>
      </c>
      <c r="AB461" s="3" t="s">
        <v>1374</v>
      </c>
      <c r="AC461" s="3" t="s">
        <v>1374</v>
      </c>
      <c r="AD461" s="3" t="s">
        <v>1524</v>
      </c>
      <c r="AE461" s="3" t="s">
        <v>1525</v>
      </c>
      <c r="AF461" s="3">
        <v>0.029</v>
      </c>
      <c r="AG461" s="3">
        <v>0.068</v>
      </c>
      <c r="AH461" s="3">
        <v>0.445</v>
      </c>
      <c r="AI461" s="3">
        <v>1082.566</v>
      </c>
      <c r="AJ461" s="3">
        <v>1.99</v>
      </c>
      <c r="AK461" s="3" t="s">
        <v>1812</v>
      </c>
      <c r="AL461" s="3">
        <v>0.061</v>
      </c>
      <c r="AM461" s="3" t="s">
        <v>1527</v>
      </c>
    </row>
    <row r="462" ht="15.75" customHeight="1">
      <c r="A462" s="3">
        <v>1.7304E12</v>
      </c>
      <c r="B462" s="3">
        <v>14.0</v>
      </c>
      <c r="C462" s="3" t="s">
        <v>2034</v>
      </c>
      <c r="D462" s="3" t="s">
        <v>1369</v>
      </c>
      <c r="E462" s="3" t="s">
        <v>2034</v>
      </c>
      <c r="F462" s="3">
        <v>1.0</v>
      </c>
      <c r="G462" s="3">
        <v>1.0</v>
      </c>
      <c r="H462" s="3">
        <v>1.0</v>
      </c>
      <c r="I462" s="3">
        <v>1.0</v>
      </c>
      <c r="J462" s="3">
        <v>1.0</v>
      </c>
      <c r="K462" s="3">
        <v>1.0</v>
      </c>
      <c r="L462" s="3">
        <v>1.0</v>
      </c>
      <c r="M462" s="3">
        <v>1.0</v>
      </c>
      <c r="N462" s="3">
        <v>1.0</v>
      </c>
      <c r="O462" s="3">
        <v>1.0</v>
      </c>
      <c r="P462" s="3">
        <v>1.0</v>
      </c>
      <c r="Q462" s="3">
        <v>0.0</v>
      </c>
      <c r="R462" s="3">
        <v>1.0</v>
      </c>
      <c r="S462" s="3">
        <v>0.0</v>
      </c>
      <c r="T462" s="3">
        <v>1.0</v>
      </c>
      <c r="U462" s="3">
        <v>1.0</v>
      </c>
      <c r="V462" s="3">
        <v>0.0</v>
      </c>
      <c r="W462" s="3" t="s">
        <v>231</v>
      </c>
      <c r="X462" s="3" t="s">
        <v>1563</v>
      </c>
      <c r="Y462" s="3" t="s">
        <v>1564</v>
      </c>
      <c r="Z462" s="3" t="s">
        <v>1372</v>
      </c>
      <c r="AA462" s="3" t="s">
        <v>1565</v>
      </c>
      <c r="AB462" s="3" t="s">
        <v>1374</v>
      </c>
      <c r="AC462" s="3" t="s">
        <v>1594</v>
      </c>
      <c r="AD462" s="3" t="s">
        <v>1566</v>
      </c>
      <c r="AE462" s="3" t="s">
        <v>1567</v>
      </c>
      <c r="AF462" s="3">
        <v>0.352</v>
      </c>
      <c r="AG462" s="3">
        <v>0.684</v>
      </c>
      <c r="AH462" s="3" t="s">
        <v>1394</v>
      </c>
      <c r="AI462" s="3">
        <v>44.956</v>
      </c>
      <c r="AJ462" s="3">
        <v>0.38</v>
      </c>
      <c r="AK462" s="3" t="s">
        <v>1568</v>
      </c>
      <c r="AL462" s="3">
        <v>0.053</v>
      </c>
      <c r="AM462" s="3" t="s">
        <v>2035</v>
      </c>
    </row>
    <row r="463" ht="15.75" customHeight="1">
      <c r="A463" s="3">
        <v>1.73035E12</v>
      </c>
      <c r="B463" s="3">
        <v>15.0</v>
      </c>
      <c r="C463" s="3" t="s">
        <v>2036</v>
      </c>
      <c r="D463" s="3" t="s">
        <v>1369</v>
      </c>
      <c r="E463" s="3" t="s">
        <v>2036</v>
      </c>
      <c r="F463" s="3">
        <v>1.0</v>
      </c>
      <c r="G463" s="3">
        <v>1.0</v>
      </c>
      <c r="H463" s="3">
        <v>1.0</v>
      </c>
      <c r="I463" s="3">
        <v>1.0</v>
      </c>
      <c r="J463" s="3">
        <v>1.0</v>
      </c>
      <c r="K463" s="3">
        <v>1.0</v>
      </c>
      <c r="L463" s="3">
        <v>1.0</v>
      </c>
      <c r="M463" s="3">
        <v>1.0</v>
      </c>
      <c r="N463" s="3">
        <v>1.0</v>
      </c>
      <c r="O463" s="3">
        <v>1.0</v>
      </c>
      <c r="P463" s="3">
        <v>1.0</v>
      </c>
      <c r="Q463" s="3">
        <v>1.0</v>
      </c>
      <c r="R463" s="3">
        <v>1.0</v>
      </c>
      <c r="S463" s="3">
        <v>0.0</v>
      </c>
      <c r="T463" s="3">
        <v>1.0</v>
      </c>
      <c r="U463" s="3">
        <v>1.0</v>
      </c>
      <c r="V463" s="3">
        <v>0.0</v>
      </c>
      <c r="W463" s="3" t="s">
        <v>755</v>
      </c>
      <c r="X463" s="3" t="s">
        <v>1447</v>
      </c>
      <c r="Y463" s="3" t="s">
        <v>1448</v>
      </c>
      <c r="Z463" s="3" t="s">
        <v>1372</v>
      </c>
      <c r="AA463" s="3" t="s">
        <v>1450</v>
      </c>
      <c r="AB463" s="3" t="s">
        <v>1374</v>
      </c>
      <c r="AC463" s="3" t="s">
        <v>1451</v>
      </c>
      <c r="AD463" s="3" t="s">
        <v>1452</v>
      </c>
      <c r="AE463" s="3" t="s">
        <v>1453</v>
      </c>
      <c r="AF463" s="3">
        <v>0.033</v>
      </c>
      <c r="AG463" s="3">
        <v>0.217</v>
      </c>
      <c r="AH463" s="3">
        <v>0.375</v>
      </c>
      <c r="AI463" s="3">
        <v>48.585</v>
      </c>
      <c r="AK463" s="3" t="s">
        <v>1599</v>
      </c>
      <c r="AL463" s="3">
        <v>0.176</v>
      </c>
      <c r="AM463" s="3" t="s">
        <v>2037</v>
      </c>
    </row>
    <row r="464" ht="15.75" customHeight="1">
      <c r="A464" s="3">
        <v>1.73038E12</v>
      </c>
      <c r="B464" s="3">
        <v>17.0</v>
      </c>
      <c r="C464" s="3" t="s">
        <v>337</v>
      </c>
      <c r="D464" s="3" t="s">
        <v>1369</v>
      </c>
      <c r="E464" s="3" t="s">
        <v>337</v>
      </c>
      <c r="F464" s="3">
        <v>1.0</v>
      </c>
      <c r="G464" s="3">
        <v>1.0</v>
      </c>
      <c r="H464" s="3">
        <v>1.0</v>
      </c>
      <c r="I464" s="3">
        <v>1.0</v>
      </c>
      <c r="J464" s="3">
        <v>1.0</v>
      </c>
      <c r="K464" s="3">
        <v>1.0</v>
      </c>
      <c r="L464" s="3">
        <v>1.0</v>
      </c>
      <c r="M464" s="3">
        <v>1.0</v>
      </c>
      <c r="N464" s="3">
        <v>1.0</v>
      </c>
      <c r="O464" s="3">
        <v>1.0</v>
      </c>
      <c r="P464" s="3">
        <v>1.0</v>
      </c>
      <c r="Q464" s="3">
        <v>1.0</v>
      </c>
      <c r="R464" s="3">
        <v>1.0</v>
      </c>
      <c r="S464" s="3">
        <v>1.0</v>
      </c>
      <c r="T464" s="3">
        <v>1.0</v>
      </c>
      <c r="U464" s="3">
        <v>1.0</v>
      </c>
      <c r="V464" s="3">
        <v>1.0</v>
      </c>
      <c r="W464" s="3" t="s">
        <v>1053</v>
      </c>
      <c r="X464" s="3" t="s">
        <v>1634</v>
      </c>
      <c r="Y464" s="3" t="s">
        <v>1635</v>
      </c>
      <c r="Z464" s="3" t="s">
        <v>1372</v>
      </c>
      <c r="AA464" s="3" t="s">
        <v>1636</v>
      </c>
      <c r="AB464" s="3" t="s">
        <v>1374</v>
      </c>
      <c r="AC464" s="3" t="s">
        <v>1391</v>
      </c>
      <c r="AD464" s="3" t="s">
        <v>1680</v>
      </c>
      <c r="AE464" s="3" t="s">
        <v>1637</v>
      </c>
      <c r="AF464" s="3">
        <v>0.046</v>
      </c>
      <c r="AG464" s="3">
        <v>1.447</v>
      </c>
      <c r="AH464" s="3">
        <v>0.322</v>
      </c>
      <c r="AI464" s="3">
        <v>221.438</v>
      </c>
      <c r="AJ464" s="3">
        <v>37.011</v>
      </c>
      <c r="AK464" s="3" t="s">
        <v>2038</v>
      </c>
      <c r="AL464" s="3">
        <v>0.077</v>
      </c>
      <c r="AM464" s="3" t="s">
        <v>1469</v>
      </c>
    </row>
    <row r="465" ht="15.75" customHeight="1">
      <c r="A465" s="3">
        <v>1.7304E12</v>
      </c>
      <c r="B465" s="3">
        <v>14.0</v>
      </c>
      <c r="C465" s="3" t="s">
        <v>903</v>
      </c>
      <c r="D465" s="3" t="s">
        <v>1369</v>
      </c>
      <c r="E465" s="3" t="s">
        <v>903</v>
      </c>
      <c r="F465" s="3">
        <v>1.0</v>
      </c>
      <c r="G465" s="3">
        <v>1.0</v>
      </c>
      <c r="H465" s="3">
        <v>1.0</v>
      </c>
      <c r="I465" s="3">
        <v>1.0</v>
      </c>
      <c r="J465" s="3">
        <v>1.0</v>
      </c>
      <c r="K465" s="3">
        <v>1.0</v>
      </c>
      <c r="L465" s="3">
        <v>0.0</v>
      </c>
      <c r="M465" s="3">
        <v>1.0</v>
      </c>
      <c r="N465" s="3">
        <v>1.0</v>
      </c>
      <c r="O465" s="3">
        <v>1.0</v>
      </c>
      <c r="P465" s="3">
        <v>1.0</v>
      </c>
      <c r="Q465" s="3">
        <v>0.0</v>
      </c>
      <c r="R465" s="3">
        <v>1.0</v>
      </c>
      <c r="S465" s="3">
        <v>0.0</v>
      </c>
      <c r="T465" s="3">
        <v>1.0</v>
      </c>
      <c r="U465" s="3">
        <v>1.0</v>
      </c>
      <c r="V465" s="3">
        <v>1.0</v>
      </c>
      <c r="W465" s="3" t="s">
        <v>211</v>
      </c>
      <c r="X465" s="3" t="s">
        <v>1578</v>
      </c>
      <c r="Y465" s="3" t="s">
        <v>1579</v>
      </c>
      <c r="Z465" s="3" t="s">
        <v>1372</v>
      </c>
      <c r="AA465" s="3" t="s">
        <v>1382</v>
      </c>
      <c r="AB465" s="3" t="s">
        <v>1374</v>
      </c>
      <c r="AC465" s="3" t="s">
        <v>1383</v>
      </c>
      <c r="AD465" s="3" t="s">
        <v>1581</v>
      </c>
      <c r="AE465" s="3" t="s">
        <v>1582</v>
      </c>
      <c r="AF465" s="3">
        <v>0.051</v>
      </c>
      <c r="AG465" s="3">
        <v>0.28</v>
      </c>
      <c r="AI465" s="3">
        <v>-79.423</v>
      </c>
      <c r="AJ465" s="3">
        <v>0.008</v>
      </c>
      <c r="AK465" s="3" t="s">
        <v>1583</v>
      </c>
      <c r="AL465" s="3">
        <v>0.128</v>
      </c>
      <c r="AM465" s="3" t="s">
        <v>1584</v>
      </c>
    </row>
    <row r="466" ht="15.75" customHeight="1">
      <c r="A466" s="3">
        <v>1.73038E12</v>
      </c>
      <c r="B466" s="3">
        <v>16.0</v>
      </c>
      <c r="C466" s="3" t="s">
        <v>291</v>
      </c>
      <c r="D466" s="3" t="s">
        <v>1369</v>
      </c>
      <c r="E466" s="3" t="s">
        <v>291</v>
      </c>
      <c r="F466" s="3">
        <v>1.0</v>
      </c>
      <c r="G466" s="3">
        <v>1.0</v>
      </c>
      <c r="H466" s="3">
        <v>1.0</v>
      </c>
      <c r="I466" s="3">
        <v>1.0</v>
      </c>
      <c r="J466" s="3">
        <v>1.0</v>
      </c>
      <c r="K466" s="3">
        <v>1.0</v>
      </c>
      <c r="L466" s="3">
        <v>1.0</v>
      </c>
      <c r="M466" s="3">
        <v>1.0</v>
      </c>
      <c r="N466" s="3">
        <v>1.0</v>
      </c>
      <c r="O466" s="3">
        <v>1.0</v>
      </c>
      <c r="P466" s="3">
        <v>1.0</v>
      </c>
      <c r="Q466" s="3">
        <v>1.0</v>
      </c>
      <c r="R466" s="3">
        <v>1.0</v>
      </c>
      <c r="S466" s="3">
        <v>0.0</v>
      </c>
      <c r="T466" s="3">
        <v>1.0</v>
      </c>
      <c r="U466" s="3">
        <v>1.0</v>
      </c>
      <c r="V466" s="3">
        <v>1.0</v>
      </c>
      <c r="W466" s="3" t="s">
        <v>991</v>
      </c>
      <c r="X466" s="3" t="s">
        <v>1379</v>
      </c>
      <c r="Y466" s="3" t="s">
        <v>1380</v>
      </c>
      <c r="Z466" s="3" t="s">
        <v>1372</v>
      </c>
      <c r="AA466" s="3" t="s">
        <v>1382</v>
      </c>
      <c r="AB466" s="3" t="s">
        <v>1374</v>
      </c>
      <c r="AC466" s="3" t="s">
        <v>1400</v>
      </c>
      <c r="AD466" s="3" t="s">
        <v>1425</v>
      </c>
      <c r="AE466" s="3" t="s">
        <v>1385</v>
      </c>
      <c r="AF466" s="3">
        <v>0.192</v>
      </c>
      <c r="AG466" s="3">
        <v>2.356</v>
      </c>
      <c r="AH466" s="3">
        <v>0.196</v>
      </c>
      <c r="AI466" s="3">
        <v>61.955</v>
      </c>
      <c r="AJ466" s="3">
        <v>0.301</v>
      </c>
      <c r="AK466" s="3" t="s">
        <v>1857</v>
      </c>
      <c r="AL466" s="3">
        <v>0.193</v>
      </c>
      <c r="AM466" s="3" t="s">
        <v>1411</v>
      </c>
    </row>
    <row r="467" ht="15.75" customHeight="1">
      <c r="A467" s="3">
        <v>1.73034E12</v>
      </c>
      <c r="B467" s="3">
        <v>17.0</v>
      </c>
      <c r="C467" s="3" t="s">
        <v>714</v>
      </c>
      <c r="D467" s="3" t="s">
        <v>1369</v>
      </c>
      <c r="E467" s="3" t="s">
        <v>714</v>
      </c>
      <c r="F467" s="3">
        <v>1.0</v>
      </c>
      <c r="G467" s="3">
        <v>1.0</v>
      </c>
      <c r="H467" s="3">
        <v>1.0</v>
      </c>
      <c r="I467" s="3">
        <v>1.0</v>
      </c>
      <c r="J467" s="3">
        <v>1.0</v>
      </c>
      <c r="K467" s="3">
        <v>1.0</v>
      </c>
      <c r="L467" s="3">
        <v>1.0</v>
      </c>
      <c r="M467" s="3">
        <v>1.0</v>
      </c>
      <c r="N467" s="3">
        <v>1.0</v>
      </c>
      <c r="O467" s="3">
        <v>1.0</v>
      </c>
      <c r="P467" s="3">
        <v>1.0</v>
      </c>
      <c r="Q467" s="3">
        <v>1.0</v>
      </c>
      <c r="R467" s="3">
        <v>1.0</v>
      </c>
      <c r="S467" s="3">
        <v>1.0</v>
      </c>
      <c r="T467" s="3">
        <v>1.0</v>
      </c>
      <c r="U467" s="3">
        <v>1.0</v>
      </c>
      <c r="V467" s="3">
        <v>1.0</v>
      </c>
      <c r="W467" s="3" t="s">
        <v>1114</v>
      </c>
      <c r="X467" s="3" t="s">
        <v>1379</v>
      </c>
      <c r="Y467" s="3" t="s">
        <v>1380</v>
      </c>
      <c r="Z467" s="3" t="s">
        <v>1372</v>
      </c>
      <c r="AA467" s="3" t="s">
        <v>1382</v>
      </c>
      <c r="AB467" s="3" t="s">
        <v>1374</v>
      </c>
      <c r="AC467" s="3" t="s">
        <v>1400</v>
      </c>
      <c r="AD467" s="3" t="s">
        <v>1425</v>
      </c>
      <c r="AE467" s="3" t="s">
        <v>1385</v>
      </c>
      <c r="AF467" s="3">
        <v>0.191</v>
      </c>
      <c r="AG467" s="3">
        <v>2.347</v>
      </c>
      <c r="AH467" s="3">
        <v>0.189</v>
      </c>
      <c r="AI467" s="3">
        <v>63.698</v>
      </c>
      <c r="AJ467" s="3">
        <v>0.21</v>
      </c>
      <c r="AK467" s="3" t="s">
        <v>1691</v>
      </c>
      <c r="AL467" s="3">
        <v>0.198</v>
      </c>
      <c r="AM467" s="3" t="s">
        <v>1387</v>
      </c>
    </row>
    <row r="468" ht="15.75" customHeight="1">
      <c r="A468" s="3">
        <v>1.7303E12</v>
      </c>
      <c r="B468" s="3">
        <v>17.0</v>
      </c>
      <c r="C468" s="3" t="s">
        <v>289</v>
      </c>
      <c r="D468" s="3" t="s">
        <v>1369</v>
      </c>
      <c r="E468" s="3" t="s">
        <v>289</v>
      </c>
      <c r="F468" s="3">
        <v>1.0</v>
      </c>
      <c r="G468" s="3">
        <v>1.0</v>
      </c>
      <c r="H468" s="3">
        <v>1.0</v>
      </c>
      <c r="I468" s="3">
        <v>1.0</v>
      </c>
      <c r="J468" s="3">
        <v>1.0</v>
      </c>
      <c r="K468" s="3">
        <v>1.0</v>
      </c>
      <c r="L468" s="3">
        <v>1.0</v>
      </c>
      <c r="M468" s="3">
        <v>1.0</v>
      </c>
      <c r="N468" s="3">
        <v>1.0</v>
      </c>
      <c r="O468" s="3">
        <v>1.0</v>
      </c>
      <c r="P468" s="3">
        <v>1.0</v>
      </c>
      <c r="Q468" s="3">
        <v>1.0</v>
      </c>
      <c r="R468" s="3">
        <v>1.0</v>
      </c>
      <c r="S468" s="3">
        <v>1.0</v>
      </c>
      <c r="T468" s="3">
        <v>1.0</v>
      </c>
      <c r="U468" s="3">
        <v>1.0</v>
      </c>
      <c r="V468" s="3">
        <v>1.0</v>
      </c>
      <c r="W468" s="3" t="s">
        <v>1254</v>
      </c>
      <c r="X468" s="3" t="s">
        <v>1483</v>
      </c>
      <c r="Y468" s="3" t="s">
        <v>1484</v>
      </c>
      <c r="Z468" s="3" t="s">
        <v>1372</v>
      </c>
      <c r="AA468" s="3" t="s">
        <v>1373</v>
      </c>
      <c r="AB468" s="3" t="s">
        <v>1374</v>
      </c>
      <c r="AC468" s="3" t="s">
        <v>1374</v>
      </c>
      <c r="AD468" s="3" t="s">
        <v>1485</v>
      </c>
      <c r="AE468" s="3" t="s">
        <v>1486</v>
      </c>
      <c r="AF468" s="3">
        <v>0.017</v>
      </c>
      <c r="AG468" s="3">
        <v>0.29</v>
      </c>
      <c r="AH468" s="3" t="s">
        <v>1394</v>
      </c>
      <c r="AI468" s="3" t="s">
        <v>1394</v>
      </c>
      <c r="AJ468" s="3">
        <v>28.516</v>
      </c>
      <c r="AK468" s="3" t="s">
        <v>1487</v>
      </c>
      <c r="AL468" s="3" t="s">
        <v>1394</v>
      </c>
      <c r="AM468" s="3" t="s">
        <v>1573</v>
      </c>
    </row>
    <row r="469" ht="15.75" customHeight="1">
      <c r="A469" s="3">
        <v>1.73033E12</v>
      </c>
      <c r="B469" s="3">
        <v>16.0</v>
      </c>
      <c r="C469" s="3" t="s">
        <v>178</v>
      </c>
      <c r="D469" s="3" t="s">
        <v>1369</v>
      </c>
      <c r="E469" s="3" t="s">
        <v>178</v>
      </c>
      <c r="F469" s="3">
        <v>1.0</v>
      </c>
      <c r="G469" s="3">
        <v>1.0</v>
      </c>
      <c r="H469" s="3">
        <v>1.0</v>
      </c>
      <c r="I469" s="3">
        <v>1.0</v>
      </c>
      <c r="J469" s="3">
        <v>1.0</v>
      </c>
      <c r="K469" s="3">
        <v>1.0</v>
      </c>
      <c r="L469" s="3">
        <v>1.0</v>
      </c>
      <c r="M469" s="3">
        <v>1.0</v>
      </c>
      <c r="N469" s="3">
        <v>1.0</v>
      </c>
      <c r="O469" s="3">
        <v>1.0</v>
      </c>
      <c r="P469" s="3">
        <v>1.0</v>
      </c>
      <c r="Q469" s="3">
        <v>1.0</v>
      </c>
      <c r="R469" s="3">
        <v>1.0</v>
      </c>
      <c r="S469" s="3">
        <v>1.0</v>
      </c>
      <c r="T469" s="3">
        <v>1.0</v>
      </c>
      <c r="U469" s="3">
        <v>0.0</v>
      </c>
      <c r="V469" s="3">
        <v>1.0</v>
      </c>
      <c r="W469" s="3" t="s">
        <v>1094</v>
      </c>
      <c r="X469" s="3" t="s">
        <v>1447</v>
      </c>
      <c r="Y469" s="3" t="s">
        <v>1448</v>
      </c>
      <c r="Z469" s="3" t="s">
        <v>1372</v>
      </c>
      <c r="AA469" s="3" t="s">
        <v>1450</v>
      </c>
      <c r="AB469" s="3" t="s">
        <v>1374</v>
      </c>
      <c r="AC469" s="3" t="s">
        <v>1451</v>
      </c>
      <c r="AD469" s="3" t="s">
        <v>1452</v>
      </c>
      <c r="AE469" s="3" t="s">
        <v>1453</v>
      </c>
      <c r="AF469" s="3">
        <v>0.033</v>
      </c>
      <c r="AG469" s="3">
        <v>0.217</v>
      </c>
      <c r="AH469" s="3" t="s">
        <v>1394</v>
      </c>
      <c r="AI469" s="3" t="s">
        <v>1394</v>
      </c>
      <c r="AJ469" s="3">
        <v>6.573</v>
      </c>
      <c r="AK469" s="3" t="s">
        <v>1454</v>
      </c>
      <c r="AL469" s="3">
        <v>0.176</v>
      </c>
      <c r="AM469" s="3" t="s">
        <v>1455</v>
      </c>
    </row>
    <row r="470" ht="15.75" customHeight="1">
      <c r="A470" s="3">
        <v>1.7304E12</v>
      </c>
      <c r="B470" s="3">
        <v>17.0</v>
      </c>
      <c r="C470" s="3" t="s">
        <v>667</v>
      </c>
      <c r="D470" s="3" t="s">
        <v>1369</v>
      </c>
      <c r="E470" s="3" t="s">
        <v>667</v>
      </c>
      <c r="F470" s="3">
        <v>1.0</v>
      </c>
      <c r="G470" s="3">
        <v>1.0</v>
      </c>
      <c r="H470" s="3">
        <v>1.0</v>
      </c>
      <c r="I470" s="3">
        <v>1.0</v>
      </c>
      <c r="J470" s="3">
        <v>1.0</v>
      </c>
      <c r="K470" s="3">
        <v>1.0</v>
      </c>
      <c r="L470" s="3">
        <v>1.0</v>
      </c>
      <c r="M470" s="3">
        <v>1.0</v>
      </c>
      <c r="N470" s="3">
        <v>1.0</v>
      </c>
      <c r="O470" s="3">
        <v>1.0</v>
      </c>
      <c r="P470" s="3">
        <v>1.0</v>
      </c>
      <c r="Q470" s="3">
        <v>1.0</v>
      </c>
      <c r="R470" s="3">
        <v>1.0</v>
      </c>
      <c r="S470" s="3">
        <v>1.0</v>
      </c>
      <c r="T470" s="3">
        <v>1.0</v>
      </c>
      <c r="U470" s="3">
        <v>1.0</v>
      </c>
      <c r="V470" s="3">
        <v>1.0</v>
      </c>
      <c r="W470" s="3" t="s">
        <v>2039</v>
      </c>
      <c r="X470" s="3" t="s">
        <v>1456</v>
      </c>
      <c r="Y470" s="3" t="s">
        <v>1457</v>
      </c>
      <c r="Z470" s="3" t="s">
        <v>1423</v>
      </c>
      <c r="AA470" s="3" t="s">
        <v>1458</v>
      </c>
      <c r="AB470" s="3" t="s">
        <v>1374</v>
      </c>
      <c r="AC470" s="3" t="s">
        <v>1374</v>
      </c>
      <c r="AD470" s="3" t="s">
        <v>1392</v>
      </c>
      <c r="AE470" s="3" t="s">
        <v>1459</v>
      </c>
      <c r="AF470" s="3">
        <v>0.076</v>
      </c>
      <c r="AG470" s="3">
        <v>0.61</v>
      </c>
      <c r="AH470" s="3">
        <v>0.287</v>
      </c>
      <c r="AI470" s="3">
        <v>108.884</v>
      </c>
      <c r="AJ470" s="3">
        <v>3.192</v>
      </c>
      <c r="AK470" s="3" t="s">
        <v>1463</v>
      </c>
      <c r="AL470" s="3">
        <v>0.08</v>
      </c>
      <c r="AM470" s="3" t="s">
        <v>1461</v>
      </c>
    </row>
    <row r="471" ht="15.75" customHeight="1">
      <c r="A471" s="3">
        <v>1.7304E12</v>
      </c>
      <c r="B471" s="3">
        <v>0.0</v>
      </c>
      <c r="C471" s="3" t="s">
        <v>2040</v>
      </c>
      <c r="D471" s="3" t="s">
        <v>1369</v>
      </c>
      <c r="E471" s="3" t="s">
        <v>2040</v>
      </c>
      <c r="F471" s="3">
        <v>0.0</v>
      </c>
      <c r="G471" s="3">
        <v>0.0</v>
      </c>
      <c r="H471" s="3">
        <v>0.0</v>
      </c>
      <c r="I471" s="3">
        <v>0.0</v>
      </c>
      <c r="J471" s="3">
        <v>0.0</v>
      </c>
      <c r="K471" s="3">
        <v>0.0</v>
      </c>
      <c r="L471" s="3">
        <v>0.0</v>
      </c>
      <c r="M471" s="3">
        <v>0.0</v>
      </c>
      <c r="N471" s="3">
        <v>0.0</v>
      </c>
      <c r="O471" s="3">
        <v>0.0</v>
      </c>
      <c r="P471" s="3">
        <v>0.0</v>
      </c>
      <c r="Q471" s="3">
        <v>0.0</v>
      </c>
      <c r="R471" s="3">
        <v>0.0</v>
      </c>
      <c r="S471" s="3">
        <v>0.0</v>
      </c>
      <c r="T471" s="3">
        <v>0.0</v>
      </c>
      <c r="U471" s="3">
        <v>0.0</v>
      </c>
      <c r="V471" s="3">
        <v>0.0</v>
      </c>
      <c r="W471" s="3" t="s">
        <v>2041</v>
      </c>
      <c r="X471" s="3" t="s">
        <v>1477</v>
      </c>
      <c r="Y471" s="3" t="s">
        <v>1477</v>
      </c>
      <c r="Z471" s="3" t="s">
        <v>1372</v>
      </c>
      <c r="AA471" s="3" t="s">
        <v>1415</v>
      </c>
      <c r="AB471" s="3" t="s">
        <v>1374</v>
      </c>
      <c r="AC471" s="3" t="s">
        <v>1374</v>
      </c>
      <c r="AD471" s="3" t="s">
        <v>1500</v>
      </c>
      <c r="AE471" s="3" t="s">
        <v>1479</v>
      </c>
      <c r="AF471" s="3" t="s">
        <v>1394</v>
      </c>
      <c r="AG471" s="3" t="s">
        <v>1394</v>
      </c>
      <c r="AI471" s="3">
        <v>149.502</v>
      </c>
    </row>
    <row r="472" ht="15.75" customHeight="1">
      <c r="A472" s="3">
        <v>1.7304E12</v>
      </c>
      <c r="B472" s="3">
        <v>17.0</v>
      </c>
      <c r="C472" s="3" t="s">
        <v>784</v>
      </c>
      <c r="D472" s="3" t="s">
        <v>1369</v>
      </c>
      <c r="E472" s="3" t="s">
        <v>784</v>
      </c>
      <c r="F472" s="3">
        <v>1.0</v>
      </c>
      <c r="G472" s="3">
        <v>1.0</v>
      </c>
      <c r="H472" s="3">
        <v>1.0</v>
      </c>
      <c r="I472" s="3">
        <v>1.0</v>
      </c>
      <c r="J472" s="3">
        <v>1.0</v>
      </c>
      <c r="K472" s="3">
        <v>1.0</v>
      </c>
      <c r="L472" s="3">
        <v>1.0</v>
      </c>
      <c r="M472" s="3">
        <v>1.0</v>
      </c>
      <c r="N472" s="3">
        <v>1.0</v>
      </c>
      <c r="O472" s="3">
        <v>1.0</v>
      </c>
      <c r="P472" s="3">
        <v>1.0</v>
      </c>
      <c r="Q472" s="3">
        <v>1.0</v>
      </c>
      <c r="R472" s="3">
        <v>1.0</v>
      </c>
      <c r="S472" s="3">
        <v>1.0</v>
      </c>
      <c r="T472" s="3">
        <v>1.0</v>
      </c>
      <c r="U472" s="3">
        <v>1.0</v>
      </c>
      <c r="V472" s="3">
        <v>1.0</v>
      </c>
      <c r="W472" s="3" t="s">
        <v>668</v>
      </c>
      <c r="X472" s="3" t="s">
        <v>1413</v>
      </c>
      <c r="Y472" s="3" t="s">
        <v>1414</v>
      </c>
      <c r="Z472" s="3" t="s">
        <v>1372</v>
      </c>
      <c r="AA472" s="3" t="s">
        <v>1415</v>
      </c>
      <c r="AB472" s="3" t="s">
        <v>1374</v>
      </c>
      <c r="AC472" s="3" t="s">
        <v>1632</v>
      </c>
      <c r="AD472" s="3" t="s">
        <v>1416</v>
      </c>
      <c r="AE472" s="3" t="s">
        <v>1417</v>
      </c>
      <c r="AF472" s="3">
        <v>-0.005</v>
      </c>
      <c r="AG472" s="3">
        <v>-0.053</v>
      </c>
      <c r="AH472" s="3">
        <v>0.295</v>
      </c>
      <c r="AI472" s="3">
        <v>143.462</v>
      </c>
      <c r="AJ472" s="3">
        <v>-42.033</v>
      </c>
      <c r="AK472" s="3" t="s">
        <v>1418</v>
      </c>
      <c r="AL472" s="3">
        <v>0.075</v>
      </c>
      <c r="AM472" s="3" t="s">
        <v>1419</v>
      </c>
    </row>
    <row r="473" ht="15.75" customHeight="1">
      <c r="A473" s="3">
        <v>1.73039E12</v>
      </c>
      <c r="B473" s="3">
        <v>17.0</v>
      </c>
      <c r="C473" s="3" t="s">
        <v>871</v>
      </c>
      <c r="D473" s="3" t="s">
        <v>1369</v>
      </c>
      <c r="E473" s="3" t="s">
        <v>871</v>
      </c>
      <c r="F473" s="3">
        <v>1.0</v>
      </c>
      <c r="G473" s="3">
        <v>1.0</v>
      </c>
      <c r="H473" s="3">
        <v>1.0</v>
      </c>
      <c r="I473" s="3">
        <v>1.0</v>
      </c>
      <c r="J473" s="3">
        <v>1.0</v>
      </c>
      <c r="K473" s="3">
        <v>1.0</v>
      </c>
      <c r="L473" s="3">
        <v>1.0</v>
      </c>
      <c r="M473" s="3">
        <v>1.0</v>
      </c>
      <c r="N473" s="3">
        <v>1.0</v>
      </c>
      <c r="O473" s="3">
        <v>1.0</v>
      </c>
      <c r="P473" s="3">
        <v>1.0</v>
      </c>
      <c r="Q473" s="3">
        <v>1.0</v>
      </c>
      <c r="R473" s="3">
        <v>1.0</v>
      </c>
      <c r="S473" s="3">
        <v>1.0</v>
      </c>
      <c r="T473" s="3">
        <v>1.0</v>
      </c>
      <c r="U473" s="3">
        <v>1.0</v>
      </c>
      <c r="V473" s="3">
        <v>1.0</v>
      </c>
      <c r="W473" s="3" t="s">
        <v>1279</v>
      </c>
      <c r="X473" s="3" t="s">
        <v>1447</v>
      </c>
      <c r="Y473" s="3" t="s">
        <v>1448</v>
      </c>
      <c r="Z473" s="3" t="s">
        <v>1372</v>
      </c>
      <c r="AA473" s="3" t="s">
        <v>1450</v>
      </c>
      <c r="AB473" s="3" t="s">
        <v>1374</v>
      </c>
      <c r="AC473" s="3" t="s">
        <v>1451</v>
      </c>
      <c r="AD473" s="3" t="s">
        <v>1452</v>
      </c>
      <c r="AE473" s="3" t="s">
        <v>1453</v>
      </c>
      <c r="AF473" s="3">
        <v>0.033</v>
      </c>
      <c r="AG473" s="3">
        <v>0.217</v>
      </c>
      <c r="AH473" s="3">
        <v>0.374</v>
      </c>
      <c r="AI473" s="3">
        <v>48.586</v>
      </c>
      <c r="AJ473" s="3">
        <v>6.575</v>
      </c>
      <c r="AK473" s="3" t="s">
        <v>1599</v>
      </c>
      <c r="AL473" s="3">
        <v>0.176</v>
      </c>
      <c r="AM473" s="3" t="s">
        <v>1455</v>
      </c>
    </row>
    <row r="474" ht="15.75" customHeight="1">
      <c r="A474" s="3">
        <v>1.7304E12</v>
      </c>
      <c r="B474" s="3">
        <v>17.0</v>
      </c>
      <c r="C474" s="3" t="s">
        <v>493</v>
      </c>
      <c r="D474" s="3" t="s">
        <v>1369</v>
      </c>
      <c r="E474" s="3" t="s">
        <v>493</v>
      </c>
      <c r="F474" s="3">
        <v>1.0</v>
      </c>
      <c r="G474" s="3">
        <v>1.0</v>
      </c>
      <c r="H474" s="3">
        <v>1.0</v>
      </c>
      <c r="I474" s="3">
        <v>1.0</v>
      </c>
      <c r="J474" s="3">
        <v>1.0</v>
      </c>
      <c r="K474" s="3">
        <v>1.0</v>
      </c>
      <c r="L474" s="3">
        <v>1.0</v>
      </c>
      <c r="M474" s="3">
        <v>1.0</v>
      </c>
      <c r="N474" s="3">
        <v>1.0</v>
      </c>
      <c r="O474" s="3">
        <v>1.0</v>
      </c>
      <c r="P474" s="3">
        <v>1.0</v>
      </c>
      <c r="Q474" s="3">
        <v>1.0</v>
      </c>
      <c r="R474" s="3">
        <v>1.0</v>
      </c>
      <c r="S474" s="3">
        <v>1.0</v>
      </c>
      <c r="T474" s="3">
        <v>1.0</v>
      </c>
      <c r="U474" s="3">
        <v>1.0</v>
      </c>
      <c r="V474" s="3">
        <v>1.0</v>
      </c>
      <c r="W474" s="3" t="s">
        <v>1117</v>
      </c>
      <c r="X474" s="3" t="s">
        <v>1456</v>
      </c>
      <c r="Y474" s="3" t="s">
        <v>1457</v>
      </c>
      <c r="Z474" s="3" t="s">
        <v>1423</v>
      </c>
      <c r="AA474" s="3" t="s">
        <v>1458</v>
      </c>
      <c r="AB474" s="3" t="s">
        <v>1374</v>
      </c>
      <c r="AC474" s="3" t="s">
        <v>1374</v>
      </c>
      <c r="AD474" s="3" t="s">
        <v>1392</v>
      </c>
      <c r="AE474" s="3" t="s">
        <v>1459</v>
      </c>
      <c r="AF474" s="3">
        <v>0.074</v>
      </c>
      <c r="AG474" s="3">
        <v>0.605</v>
      </c>
      <c r="AH474" s="3" t="s">
        <v>1394</v>
      </c>
      <c r="AI474" s="3" t="s">
        <v>1394</v>
      </c>
      <c r="AJ474" s="3">
        <v>4.517</v>
      </c>
      <c r="AK474" s="3" t="s">
        <v>1463</v>
      </c>
      <c r="AL474" s="3" t="s">
        <v>1394</v>
      </c>
      <c r="AM474" s="3" t="s">
        <v>1461</v>
      </c>
    </row>
    <row r="475" ht="15.75" customHeight="1">
      <c r="A475" s="3">
        <v>1.73011E12</v>
      </c>
      <c r="B475" s="3">
        <v>16.0</v>
      </c>
      <c r="C475" s="3" t="s">
        <v>630</v>
      </c>
      <c r="D475" s="3" t="s">
        <v>1369</v>
      </c>
      <c r="E475" s="3" t="s">
        <v>630</v>
      </c>
      <c r="F475" s="3">
        <v>1.0</v>
      </c>
      <c r="G475" s="3">
        <v>1.0</v>
      </c>
      <c r="H475" s="3">
        <v>1.0</v>
      </c>
      <c r="I475" s="3">
        <v>1.0</v>
      </c>
      <c r="J475" s="3">
        <v>1.0</v>
      </c>
      <c r="K475" s="3">
        <v>1.0</v>
      </c>
      <c r="L475" s="3">
        <v>1.0</v>
      </c>
      <c r="M475" s="3">
        <v>1.0</v>
      </c>
      <c r="N475" s="3">
        <v>1.0</v>
      </c>
      <c r="O475" s="3">
        <v>1.0</v>
      </c>
      <c r="P475" s="3">
        <v>1.0</v>
      </c>
      <c r="Q475" s="3">
        <v>1.0</v>
      </c>
      <c r="R475" s="3">
        <v>1.0</v>
      </c>
      <c r="S475" s="3">
        <v>0.0</v>
      </c>
      <c r="T475" s="3">
        <v>1.0</v>
      </c>
      <c r="U475" s="3">
        <v>1.0</v>
      </c>
      <c r="V475" s="3">
        <v>1.0</v>
      </c>
      <c r="W475" s="3" t="s">
        <v>1041</v>
      </c>
      <c r="X475" s="3" t="s">
        <v>1590</v>
      </c>
      <c r="Y475" s="3" t="s">
        <v>1591</v>
      </c>
      <c r="Z475" s="3" t="s">
        <v>1423</v>
      </c>
      <c r="AA475" s="3" t="s">
        <v>1593</v>
      </c>
      <c r="AB475" s="3" t="s">
        <v>1374</v>
      </c>
      <c r="AC475" s="3" t="s">
        <v>1374</v>
      </c>
      <c r="AD475" s="3" t="s">
        <v>1625</v>
      </c>
      <c r="AE475" s="3" t="s">
        <v>1595</v>
      </c>
      <c r="AF475" s="3">
        <v>0.19</v>
      </c>
      <c r="AG475" s="3">
        <v>2.258</v>
      </c>
      <c r="AH475" s="3">
        <v>0.38</v>
      </c>
      <c r="AI475" s="3">
        <v>-46.704</v>
      </c>
      <c r="AJ475" s="3">
        <v>0.994</v>
      </c>
      <c r="AK475" s="3" t="s">
        <v>1626</v>
      </c>
      <c r="AL475" s="3">
        <v>0.064</v>
      </c>
      <c r="AM475" s="3" t="s">
        <v>1469</v>
      </c>
    </row>
    <row r="476" ht="15.75" customHeight="1">
      <c r="A476" s="3">
        <v>1.7304E12</v>
      </c>
      <c r="B476" s="3">
        <v>17.0</v>
      </c>
      <c r="C476" s="3" t="s">
        <v>896</v>
      </c>
      <c r="D476" s="3" t="s">
        <v>1369</v>
      </c>
      <c r="E476" s="3" t="s">
        <v>896</v>
      </c>
      <c r="F476" s="3">
        <v>1.0</v>
      </c>
      <c r="G476" s="3">
        <v>1.0</v>
      </c>
      <c r="H476" s="3">
        <v>1.0</v>
      </c>
      <c r="I476" s="3">
        <v>1.0</v>
      </c>
      <c r="J476" s="3">
        <v>1.0</v>
      </c>
      <c r="K476" s="3">
        <v>1.0</v>
      </c>
      <c r="L476" s="3">
        <v>1.0</v>
      </c>
      <c r="M476" s="3">
        <v>1.0</v>
      </c>
      <c r="N476" s="3">
        <v>1.0</v>
      </c>
      <c r="O476" s="3">
        <v>1.0</v>
      </c>
      <c r="P476" s="3">
        <v>1.0</v>
      </c>
      <c r="Q476" s="3">
        <v>1.0</v>
      </c>
      <c r="R476" s="3">
        <v>1.0</v>
      </c>
      <c r="S476" s="3">
        <v>1.0</v>
      </c>
      <c r="T476" s="3">
        <v>1.0</v>
      </c>
      <c r="U476" s="3">
        <v>1.0</v>
      </c>
      <c r="V476" s="3">
        <v>1.0</v>
      </c>
      <c r="W476" s="3" t="s">
        <v>1115</v>
      </c>
      <c r="X476" s="3" t="s">
        <v>1413</v>
      </c>
      <c r="Y476" s="3" t="s">
        <v>1414</v>
      </c>
      <c r="Z476" s="3" t="s">
        <v>1372</v>
      </c>
      <c r="AA476" s="3" t="s">
        <v>1415</v>
      </c>
      <c r="AB476" s="3" t="s">
        <v>1374</v>
      </c>
      <c r="AC476" s="3" t="s">
        <v>1632</v>
      </c>
      <c r="AD476" s="3" t="s">
        <v>1416</v>
      </c>
      <c r="AE476" s="3" t="s">
        <v>1417</v>
      </c>
      <c r="AF476" s="3">
        <v>-0.005</v>
      </c>
      <c r="AG476" s="3">
        <v>-0.053</v>
      </c>
      <c r="AH476" s="3" t="s">
        <v>1394</v>
      </c>
      <c r="AI476" s="3" t="s">
        <v>1394</v>
      </c>
      <c r="AJ476" s="3">
        <v>-42.033</v>
      </c>
      <c r="AK476" s="3" t="s">
        <v>1418</v>
      </c>
      <c r="AL476" s="3" t="s">
        <v>1394</v>
      </c>
      <c r="AM476" s="3" t="s">
        <v>1419</v>
      </c>
    </row>
    <row r="477" ht="15.75" customHeight="1">
      <c r="A477" s="3">
        <v>1.73037E12</v>
      </c>
      <c r="B477" s="3">
        <v>17.0</v>
      </c>
      <c r="C477" s="3" t="s">
        <v>394</v>
      </c>
      <c r="D477" s="3" t="s">
        <v>1369</v>
      </c>
      <c r="E477" s="3" t="s">
        <v>394</v>
      </c>
      <c r="F477" s="3">
        <v>1.0</v>
      </c>
      <c r="G477" s="3">
        <v>1.0</v>
      </c>
      <c r="H477" s="3">
        <v>1.0</v>
      </c>
      <c r="I477" s="3">
        <v>1.0</v>
      </c>
      <c r="J477" s="3">
        <v>1.0</v>
      </c>
      <c r="K477" s="3">
        <v>1.0</v>
      </c>
      <c r="L477" s="3">
        <v>1.0</v>
      </c>
      <c r="M477" s="3">
        <v>1.0</v>
      </c>
      <c r="N477" s="3">
        <v>1.0</v>
      </c>
      <c r="O477" s="3">
        <v>1.0</v>
      </c>
      <c r="P477" s="3">
        <v>1.0</v>
      </c>
      <c r="Q477" s="3">
        <v>1.0</v>
      </c>
      <c r="R477" s="3">
        <v>1.0</v>
      </c>
      <c r="S477" s="3">
        <v>1.0</v>
      </c>
      <c r="T477" s="3">
        <v>1.0</v>
      </c>
      <c r="U477" s="3">
        <v>1.0</v>
      </c>
      <c r="V477" s="3">
        <v>1.0</v>
      </c>
      <c r="W477" s="3" t="s">
        <v>1248</v>
      </c>
      <c r="X477" s="3" t="s">
        <v>1447</v>
      </c>
      <c r="Y477" s="3" t="s">
        <v>1448</v>
      </c>
      <c r="Z477" s="3" t="s">
        <v>1372</v>
      </c>
      <c r="AA477" s="3" t="s">
        <v>1450</v>
      </c>
      <c r="AB477" s="3" t="s">
        <v>1374</v>
      </c>
      <c r="AC477" s="3" t="s">
        <v>1451</v>
      </c>
      <c r="AD477" s="3" t="s">
        <v>1452</v>
      </c>
      <c r="AE477" s="3" t="s">
        <v>1453</v>
      </c>
      <c r="AF477" s="3">
        <v>0.035</v>
      </c>
      <c r="AG477" s="3">
        <v>0.228</v>
      </c>
      <c r="AH477" s="3">
        <v>0.375</v>
      </c>
      <c r="AI477" s="3">
        <v>48.315</v>
      </c>
      <c r="AJ477" s="3">
        <v>6.713</v>
      </c>
      <c r="AK477" s="3" t="s">
        <v>1599</v>
      </c>
      <c r="AL477" s="3">
        <v>0.169</v>
      </c>
      <c r="AM477" s="3" t="s">
        <v>1455</v>
      </c>
    </row>
    <row r="478" ht="15.75" customHeight="1">
      <c r="A478" s="3">
        <v>1.7301E12</v>
      </c>
      <c r="B478" s="3">
        <v>12.0</v>
      </c>
      <c r="C478" s="3" t="s">
        <v>2042</v>
      </c>
      <c r="D478" s="3" t="s">
        <v>1369</v>
      </c>
      <c r="E478" s="3" t="s">
        <v>2042</v>
      </c>
      <c r="F478" s="3">
        <v>1.0</v>
      </c>
      <c r="G478" s="3">
        <v>1.0</v>
      </c>
      <c r="H478" s="3">
        <v>1.0</v>
      </c>
      <c r="I478" s="3">
        <v>1.0</v>
      </c>
      <c r="J478" s="3">
        <v>1.0</v>
      </c>
      <c r="K478" s="3">
        <v>1.0</v>
      </c>
      <c r="L478" s="3">
        <v>1.0</v>
      </c>
      <c r="M478" s="3">
        <v>1.0</v>
      </c>
      <c r="N478" s="3">
        <v>1.0</v>
      </c>
      <c r="O478" s="3">
        <v>1.0</v>
      </c>
      <c r="P478" s="3">
        <v>1.0</v>
      </c>
      <c r="Q478" s="3">
        <v>0.0</v>
      </c>
      <c r="R478" s="3">
        <v>0.0</v>
      </c>
      <c r="S478" s="3">
        <v>0.0</v>
      </c>
      <c r="T478" s="3">
        <v>1.0</v>
      </c>
      <c r="U478" s="3">
        <v>0.0</v>
      </c>
      <c r="V478" s="3">
        <v>0.0</v>
      </c>
      <c r="W478" s="3" t="s">
        <v>442</v>
      </c>
      <c r="X478" s="3" t="s">
        <v>1470</v>
      </c>
      <c r="Y478" s="3" t="s">
        <v>1660</v>
      </c>
      <c r="Z478" s="3" t="s">
        <v>1372</v>
      </c>
      <c r="AA478" s="3" t="s">
        <v>1382</v>
      </c>
      <c r="AB478" s="3" t="s">
        <v>1374</v>
      </c>
      <c r="AC478" s="3" t="s">
        <v>1400</v>
      </c>
      <c r="AD478" s="3" t="s">
        <v>1472</v>
      </c>
      <c r="AE478" s="3" t="s">
        <v>1473</v>
      </c>
      <c r="AF478" s="3">
        <v>0.151</v>
      </c>
      <c r="AG478" s="3">
        <v>4.102</v>
      </c>
      <c r="AH478" s="3">
        <v>0.274</v>
      </c>
      <c r="AI478" s="3">
        <v>108.801</v>
      </c>
      <c r="AJ478" s="3">
        <v>7.974</v>
      </c>
      <c r="AK478" s="3" t="s">
        <v>1474</v>
      </c>
      <c r="AL478" s="3">
        <v>0.02</v>
      </c>
    </row>
    <row r="479" ht="15.75" customHeight="1">
      <c r="A479" s="3">
        <v>1.72987E12</v>
      </c>
      <c r="B479" s="3">
        <v>12.0</v>
      </c>
      <c r="C479" s="3" t="s">
        <v>441</v>
      </c>
      <c r="D479" s="3" t="s">
        <v>1369</v>
      </c>
      <c r="E479" s="3" t="s">
        <v>441</v>
      </c>
      <c r="F479" s="3">
        <v>1.0</v>
      </c>
      <c r="G479" s="3">
        <v>1.0</v>
      </c>
      <c r="H479" s="3">
        <v>1.0</v>
      </c>
      <c r="I479" s="3">
        <v>1.0</v>
      </c>
      <c r="J479" s="3">
        <v>1.0</v>
      </c>
      <c r="K479" s="3">
        <v>1.0</v>
      </c>
      <c r="L479" s="3">
        <v>1.0</v>
      </c>
      <c r="M479" s="3">
        <v>1.0</v>
      </c>
      <c r="N479" s="3">
        <v>1.0</v>
      </c>
      <c r="O479" s="3">
        <v>1.0</v>
      </c>
      <c r="P479" s="3">
        <v>1.0</v>
      </c>
      <c r="Q479" s="3">
        <v>0.0</v>
      </c>
      <c r="R479" s="3">
        <v>0.0</v>
      </c>
      <c r="S479" s="3">
        <v>0.0</v>
      </c>
      <c r="T479" s="3">
        <v>1.0</v>
      </c>
      <c r="U479" s="3">
        <v>0.0</v>
      </c>
      <c r="V479" s="3">
        <v>0.0</v>
      </c>
      <c r="W479" s="3" t="s">
        <v>839</v>
      </c>
      <c r="X479" s="3" t="s">
        <v>1590</v>
      </c>
      <c r="Y479" s="3" t="s">
        <v>1591</v>
      </c>
      <c r="Z479" s="3" t="s">
        <v>1431</v>
      </c>
      <c r="AA479" s="3" t="s">
        <v>1593</v>
      </c>
      <c r="AB479" s="3" t="s">
        <v>1374</v>
      </c>
      <c r="AC479" s="3" t="s">
        <v>1374</v>
      </c>
      <c r="AD479" s="3" t="s">
        <v>1625</v>
      </c>
      <c r="AE479" s="3" t="s">
        <v>1595</v>
      </c>
      <c r="AF479" s="3">
        <v>0.188</v>
      </c>
      <c r="AG479" s="3">
        <v>2.242</v>
      </c>
      <c r="AH479" s="3">
        <v>0.38</v>
      </c>
      <c r="AI479" s="3">
        <v>-46.243</v>
      </c>
      <c r="AJ479" s="3">
        <v>1.007</v>
      </c>
      <c r="AK479" s="3" t="s">
        <v>1626</v>
      </c>
      <c r="AL479" s="3">
        <v>-0.06</v>
      </c>
      <c r="AM479" s="3" t="s">
        <v>1705</v>
      </c>
    </row>
    <row r="480" ht="15.75" customHeight="1">
      <c r="A480" s="3">
        <v>1.7304E12</v>
      </c>
      <c r="B480" s="3">
        <v>0.0</v>
      </c>
      <c r="C480" s="3" t="s">
        <v>2043</v>
      </c>
      <c r="D480" s="3" t="s">
        <v>1369</v>
      </c>
      <c r="E480" s="3" t="s">
        <v>2043</v>
      </c>
      <c r="F480" s="3">
        <v>0.0</v>
      </c>
      <c r="G480" s="3">
        <v>0.0</v>
      </c>
      <c r="H480" s="3">
        <v>0.0</v>
      </c>
      <c r="I480" s="3">
        <v>0.0</v>
      </c>
      <c r="J480" s="3">
        <v>0.0</v>
      </c>
      <c r="K480" s="3">
        <v>0.0</v>
      </c>
      <c r="L480" s="3">
        <v>0.0</v>
      </c>
      <c r="M480" s="3">
        <v>0.0</v>
      </c>
      <c r="N480" s="3">
        <v>0.0</v>
      </c>
      <c r="O480" s="3">
        <v>0.0</v>
      </c>
      <c r="P480" s="3">
        <v>0.0</v>
      </c>
      <c r="Q480" s="3">
        <v>0.0</v>
      </c>
      <c r="R480" s="3">
        <v>0.0</v>
      </c>
      <c r="S480" s="3">
        <v>0.0</v>
      </c>
      <c r="T480" s="3">
        <v>0.0</v>
      </c>
      <c r="U480" s="3">
        <v>0.0</v>
      </c>
      <c r="V480" s="3">
        <v>0.0</v>
      </c>
      <c r="W480" s="3" t="s">
        <v>2044</v>
      </c>
      <c r="X480" s="3" t="s">
        <v>2045</v>
      </c>
      <c r="Y480" s="3" t="s">
        <v>1477</v>
      </c>
      <c r="Z480" s="3" t="s">
        <v>2046</v>
      </c>
      <c r="AA480" s="3" t="s">
        <v>1415</v>
      </c>
      <c r="AB480" s="3" t="s">
        <v>1374</v>
      </c>
      <c r="AC480" s="3" t="s">
        <v>1374</v>
      </c>
      <c r="AD480" s="3" t="s">
        <v>1500</v>
      </c>
      <c r="AE480" s="3" t="s">
        <v>1479</v>
      </c>
      <c r="AF480" s="3" t="s">
        <v>1394</v>
      </c>
      <c r="AG480" s="3" t="s">
        <v>1394</v>
      </c>
      <c r="AI480" s="3">
        <v>149.502</v>
      </c>
    </row>
    <row r="481" ht="15.75" customHeight="1">
      <c r="A481" s="3">
        <v>1.73037E12</v>
      </c>
      <c r="B481" s="3">
        <v>12.0</v>
      </c>
      <c r="C481" s="3" t="s">
        <v>2047</v>
      </c>
      <c r="D481" s="3" t="s">
        <v>1369</v>
      </c>
      <c r="E481" s="3" t="s">
        <v>2047</v>
      </c>
      <c r="F481" s="3">
        <v>1.0</v>
      </c>
      <c r="G481" s="3">
        <v>1.0</v>
      </c>
      <c r="H481" s="3">
        <v>1.0</v>
      </c>
      <c r="I481" s="3">
        <v>1.0</v>
      </c>
      <c r="J481" s="3">
        <v>1.0</v>
      </c>
      <c r="K481" s="3">
        <v>1.0</v>
      </c>
      <c r="L481" s="3">
        <v>1.0</v>
      </c>
      <c r="M481" s="3">
        <v>1.0</v>
      </c>
      <c r="N481" s="3">
        <v>1.0</v>
      </c>
      <c r="O481" s="3">
        <v>1.0</v>
      </c>
      <c r="P481" s="3">
        <v>1.0</v>
      </c>
      <c r="Q481" s="3">
        <v>0.0</v>
      </c>
      <c r="R481" s="3">
        <v>0.0</v>
      </c>
      <c r="S481" s="3">
        <v>0.0</v>
      </c>
      <c r="T481" s="3">
        <v>0.0</v>
      </c>
      <c r="U481" s="3">
        <v>0.0</v>
      </c>
      <c r="V481" s="3">
        <v>1.0</v>
      </c>
      <c r="W481" s="3" t="s">
        <v>402</v>
      </c>
      <c r="X481" s="3" t="s">
        <v>1600</v>
      </c>
      <c r="Y481" s="3" t="s">
        <v>1601</v>
      </c>
      <c r="Z481" s="3" t="s">
        <v>1372</v>
      </c>
      <c r="AA481" s="3" t="s">
        <v>1407</v>
      </c>
      <c r="AB481" s="3" t="s">
        <v>1374</v>
      </c>
      <c r="AC481" s="3" t="s">
        <v>1400</v>
      </c>
      <c r="AD481" s="3" t="s">
        <v>1408</v>
      </c>
      <c r="AE481" s="3" t="s">
        <v>1602</v>
      </c>
      <c r="AF481" s="3">
        <v>0.035</v>
      </c>
      <c r="AG481" s="3">
        <v>0.102</v>
      </c>
      <c r="AH481" s="3">
        <v>0.193</v>
      </c>
      <c r="AI481" s="3">
        <v>0.459</v>
      </c>
      <c r="AJ481" s="3">
        <v>-0.504</v>
      </c>
      <c r="AK481" s="3" t="s">
        <v>2048</v>
      </c>
      <c r="AL481" s="3">
        <v>0.459</v>
      </c>
      <c r="AM481" s="3" t="s">
        <v>1411</v>
      </c>
    </row>
    <row r="482" ht="15.75" customHeight="1">
      <c r="A482" s="3">
        <v>1.73012E12</v>
      </c>
      <c r="B482" s="3">
        <v>10.0</v>
      </c>
      <c r="C482" s="3" t="s">
        <v>2049</v>
      </c>
      <c r="D482" s="3" t="s">
        <v>1369</v>
      </c>
      <c r="E482" s="3" t="s">
        <v>2049</v>
      </c>
      <c r="F482" s="3">
        <v>1.0</v>
      </c>
      <c r="G482" s="3">
        <v>1.0</v>
      </c>
      <c r="H482" s="3">
        <v>1.0</v>
      </c>
      <c r="I482" s="3">
        <v>1.0</v>
      </c>
      <c r="J482" s="3">
        <v>1.0</v>
      </c>
      <c r="K482" s="3">
        <v>0.0</v>
      </c>
      <c r="L482" s="3">
        <v>1.0</v>
      </c>
      <c r="M482" s="3">
        <v>1.0</v>
      </c>
      <c r="N482" s="3">
        <v>1.0</v>
      </c>
      <c r="O482" s="3">
        <v>0.0</v>
      </c>
      <c r="P482" s="3">
        <v>1.0</v>
      </c>
      <c r="Q482" s="3">
        <v>0.0</v>
      </c>
      <c r="R482" s="3">
        <v>0.0</v>
      </c>
      <c r="S482" s="3">
        <v>0.0</v>
      </c>
      <c r="T482" s="3">
        <v>0.0</v>
      </c>
      <c r="U482" s="3">
        <v>0.0</v>
      </c>
      <c r="V482" s="3">
        <v>1.0</v>
      </c>
      <c r="W482" s="3" t="s">
        <v>233</v>
      </c>
      <c r="X482" s="3" t="s">
        <v>1600</v>
      </c>
      <c r="Y482" s="3" t="s">
        <v>1601</v>
      </c>
      <c r="Z482" s="3" t="s">
        <v>1449</v>
      </c>
      <c r="AA482" s="3" t="s">
        <v>1407</v>
      </c>
      <c r="AB482" s="3" t="s">
        <v>1880</v>
      </c>
      <c r="AC482" s="3" t="s">
        <v>1400</v>
      </c>
      <c r="AD482" s="3" t="s">
        <v>1408</v>
      </c>
      <c r="AE482" s="3" t="s">
        <v>1602</v>
      </c>
      <c r="AF482" s="3">
        <v>0.034</v>
      </c>
      <c r="AG482" s="3">
        <v>0.101</v>
      </c>
      <c r="AH482" s="3">
        <v>0.162</v>
      </c>
      <c r="AI482" s="3" t="s">
        <v>1519</v>
      </c>
      <c r="AJ482" s="3">
        <v>-0.106</v>
      </c>
      <c r="AK482" s="3" t="s">
        <v>2050</v>
      </c>
      <c r="AL482" s="3">
        <v>0.595</v>
      </c>
      <c r="AM482" s="3" t="s">
        <v>1411</v>
      </c>
    </row>
    <row r="483" ht="15.75" customHeight="1">
      <c r="A483" s="3">
        <v>1.73036E12</v>
      </c>
      <c r="B483" s="3">
        <v>14.0</v>
      </c>
      <c r="C483" s="3" t="s">
        <v>825</v>
      </c>
      <c r="D483" s="3" t="s">
        <v>1369</v>
      </c>
      <c r="E483" s="3" t="s">
        <v>825</v>
      </c>
      <c r="F483" s="3">
        <v>1.0</v>
      </c>
      <c r="G483" s="3">
        <v>1.0</v>
      </c>
      <c r="H483" s="3">
        <v>1.0</v>
      </c>
      <c r="I483" s="3">
        <v>1.0</v>
      </c>
      <c r="J483" s="3">
        <v>1.0</v>
      </c>
      <c r="K483" s="3">
        <v>1.0</v>
      </c>
      <c r="L483" s="3">
        <v>1.0</v>
      </c>
      <c r="M483" s="3">
        <v>1.0</v>
      </c>
      <c r="N483" s="3">
        <v>1.0</v>
      </c>
      <c r="O483" s="3">
        <v>1.0</v>
      </c>
      <c r="P483" s="3">
        <v>1.0</v>
      </c>
      <c r="Q483" s="3">
        <v>0.0</v>
      </c>
      <c r="R483" s="3">
        <v>0.0</v>
      </c>
      <c r="S483" s="3">
        <v>1.0</v>
      </c>
      <c r="T483" s="3">
        <v>1.0</v>
      </c>
      <c r="U483" s="3">
        <v>0.0</v>
      </c>
      <c r="V483" s="3">
        <v>1.0</v>
      </c>
      <c r="W483" s="3" t="s">
        <v>598</v>
      </c>
      <c r="X483" s="3" t="s">
        <v>1464</v>
      </c>
      <c r="Y483" s="3" t="s">
        <v>1465</v>
      </c>
      <c r="Z483" s="3" t="s">
        <v>1372</v>
      </c>
      <c r="AA483" s="3" t="s">
        <v>1373</v>
      </c>
      <c r="AB483" s="3" t="s">
        <v>1374</v>
      </c>
      <c r="AC483" s="3" t="s">
        <v>1391</v>
      </c>
      <c r="AD483" s="3" t="s">
        <v>1497</v>
      </c>
      <c r="AE483" s="3" t="s">
        <v>2051</v>
      </c>
      <c r="AF483" s="3">
        <v>0.164</v>
      </c>
      <c r="AG483" s="3">
        <v>2.227</v>
      </c>
      <c r="AH483" s="3">
        <v>0.29</v>
      </c>
      <c r="AI483" s="3">
        <v>9.66</v>
      </c>
      <c r="AJ483" s="3">
        <v>-0.297</v>
      </c>
      <c r="AK483" s="3" t="s">
        <v>1549</v>
      </c>
      <c r="AL483" s="3">
        <v>0.082</v>
      </c>
      <c r="AM483" s="3" t="s">
        <v>1469</v>
      </c>
    </row>
    <row r="484" ht="15.75" customHeight="1">
      <c r="A484" s="3">
        <v>1.73014E12</v>
      </c>
      <c r="B484" s="3">
        <v>12.0</v>
      </c>
      <c r="C484" s="3" t="s">
        <v>777</v>
      </c>
      <c r="D484" s="3" t="s">
        <v>1369</v>
      </c>
      <c r="E484" s="3" t="s">
        <v>777</v>
      </c>
      <c r="F484" s="3">
        <v>1.0</v>
      </c>
      <c r="G484" s="3">
        <v>1.0</v>
      </c>
      <c r="H484" s="3">
        <v>1.0</v>
      </c>
      <c r="I484" s="3">
        <v>1.0</v>
      </c>
      <c r="J484" s="3">
        <v>0.0</v>
      </c>
      <c r="K484" s="3">
        <v>1.0</v>
      </c>
      <c r="L484" s="3">
        <v>1.0</v>
      </c>
      <c r="M484" s="3">
        <v>1.0</v>
      </c>
      <c r="N484" s="3">
        <v>1.0</v>
      </c>
      <c r="O484" s="3">
        <v>1.0</v>
      </c>
      <c r="P484" s="3">
        <v>1.0</v>
      </c>
      <c r="Q484" s="3">
        <v>0.0</v>
      </c>
      <c r="R484" s="3">
        <v>0.0</v>
      </c>
      <c r="S484" s="3">
        <v>0.0</v>
      </c>
      <c r="T484" s="3">
        <v>1.0</v>
      </c>
      <c r="U484" s="3">
        <v>0.0</v>
      </c>
      <c r="V484" s="3">
        <v>1.0</v>
      </c>
      <c r="W484" s="3" t="s">
        <v>884</v>
      </c>
      <c r="X484" s="3" t="s">
        <v>1370</v>
      </c>
      <c r="Y484" s="3" t="s">
        <v>1371</v>
      </c>
      <c r="Z484" s="3" t="s">
        <v>1372</v>
      </c>
      <c r="AA484" s="3" t="s">
        <v>2052</v>
      </c>
      <c r="AB484" s="3" t="s">
        <v>1374</v>
      </c>
      <c r="AC484" s="3" t="s">
        <v>1451</v>
      </c>
      <c r="AD484" s="3" t="s">
        <v>1375</v>
      </c>
      <c r="AE484" s="3" t="s">
        <v>1376</v>
      </c>
      <c r="AF484" s="3">
        <v>0.555</v>
      </c>
      <c r="AG484" s="3">
        <v>2.825</v>
      </c>
      <c r="AH484" s="3">
        <v>0.334</v>
      </c>
      <c r="AI484" s="3">
        <v>47.389</v>
      </c>
      <c r="AJ484" s="3">
        <v>1.465</v>
      </c>
      <c r="AK484" s="3" t="s">
        <v>1647</v>
      </c>
      <c r="AL484" s="3">
        <v>0.109</v>
      </c>
      <c r="AM484" s="3" t="s">
        <v>1509</v>
      </c>
    </row>
    <row r="485" ht="15.75" customHeight="1">
      <c r="A485" s="3">
        <v>1.7304E12</v>
      </c>
      <c r="B485" s="3">
        <v>0.0</v>
      </c>
      <c r="C485" s="3" t="s">
        <v>2053</v>
      </c>
      <c r="D485" s="3" t="s">
        <v>1369</v>
      </c>
      <c r="E485" s="3" t="s">
        <v>2053</v>
      </c>
      <c r="F485" s="3">
        <v>0.0</v>
      </c>
      <c r="G485" s="3">
        <v>0.0</v>
      </c>
      <c r="H485" s="3">
        <v>0.0</v>
      </c>
      <c r="I485" s="3">
        <v>0.0</v>
      </c>
      <c r="J485" s="3">
        <v>0.0</v>
      </c>
      <c r="K485" s="3">
        <v>0.0</v>
      </c>
      <c r="L485" s="3">
        <v>0.0</v>
      </c>
      <c r="M485" s="3">
        <v>0.0</v>
      </c>
      <c r="N485" s="3">
        <v>0.0</v>
      </c>
      <c r="O485" s="3">
        <v>0.0</v>
      </c>
      <c r="P485" s="3">
        <v>0.0</v>
      </c>
      <c r="Q485" s="3">
        <v>0.0</v>
      </c>
      <c r="R485" s="3">
        <v>0.0</v>
      </c>
      <c r="S485" s="3">
        <v>0.0</v>
      </c>
      <c r="T485" s="3">
        <v>0.0</v>
      </c>
      <c r="U485" s="3">
        <v>0.0</v>
      </c>
      <c r="V485" s="3">
        <v>0.0</v>
      </c>
      <c r="W485" s="3" t="s">
        <v>2054</v>
      </c>
      <c r="X485" s="3" t="s">
        <v>1394</v>
      </c>
      <c r="Y485" s="3" t="s">
        <v>1394</v>
      </c>
      <c r="Z485" s="3" t="s">
        <v>1394</v>
      </c>
      <c r="AA485" s="3" t="s">
        <v>1394</v>
      </c>
      <c r="AB485" s="3" t="s">
        <v>1394</v>
      </c>
      <c r="AC485" s="3" t="s">
        <v>1394</v>
      </c>
      <c r="AD485" s="3" t="s">
        <v>1394</v>
      </c>
      <c r="AE485" s="3" t="s">
        <v>1394</v>
      </c>
      <c r="AF485" s="3" t="s">
        <v>1394</v>
      </c>
      <c r="AG485" s="3" t="s">
        <v>1394</v>
      </c>
      <c r="AH485" s="3" t="s">
        <v>1394</v>
      </c>
      <c r="AI485" s="3" t="s">
        <v>1394</v>
      </c>
      <c r="AJ485" s="3" t="s">
        <v>1394</v>
      </c>
      <c r="AK485" s="3" t="s">
        <v>1394</v>
      </c>
      <c r="AL485" s="3" t="s">
        <v>1394</v>
      </c>
      <c r="AM485" s="3" t="s">
        <v>1394</v>
      </c>
    </row>
    <row r="486" ht="15.75" customHeight="1">
      <c r="A486" s="3">
        <v>1.73036E12</v>
      </c>
      <c r="B486" s="3">
        <v>17.0</v>
      </c>
      <c r="C486" s="3" t="s">
        <v>417</v>
      </c>
      <c r="D486" s="3" t="s">
        <v>1369</v>
      </c>
      <c r="E486" s="3" t="s">
        <v>417</v>
      </c>
      <c r="F486" s="3">
        <v>1.0</v>
      </c>
      <c r="G486" s="3">
        <v>1.0</v>
      </c>
      <c r="H486" s="3">
        <v>1.0</v>
      </c>
      <c r="I486" s="3">
        <v>1.0</v>
      </c>
      <c r="J486" s="3">
        <v>1.0</v>
      </c>
      <c r="K486" s="3">
        <v>1.0</v>
      </c>
      <c r="L486" s="3">
        <v>1.0</v>
      </c>
      <c r="M486" s="3">
        <v>1.0</v>
      </c>
      <c r="N486" s="3">
        <v>1.0</v>
      </c>
      <c r="O486" s="3">
        <v>1.0</v>
      </c>
      <c r="P486" s="3">
        <v>1.0</v>
      </c>
      <c r="Q486" s="3">
        <v>1.0</v>
      </c>
      <c r="R486" s="3">
        <v>1.0</v>
      </c>
      <c r="S486" s="3">
        <v>1.0</v>
      </c>
      <c r="T486" s="3">
        <v>1.0</v>
      </c>
      <c r="U486" s="3">
        <v>1.0</v>
      </c>
      <c r="V486" s="3">
        <v>1.0</v>
      </c>
      <c r="W486" s="3" t="s">
        <v>1136</v>
      </c>
      <c r="X486" s="3" t="s">
        <v>1370</v>
      </c>
      <c r="Y486" s="3" t="s">
        <v>1371</v>
      </c>
      <c r="Z486" s="3" t="s">
        <v>1372</v>
      </c>
      <c r="AA486" s="3" t="s">
        <v>1373</v>
      </c>
      <c r="AB486" s="3" t="s">
        <v>1374</v>
      </c>
      <c r="AC486" s="3" t="s">
        <v>1374</v>
      </c>
      <c r="AD486" s="3" t="s">
        <v>1375</v>
      </c>
      <c r="AE486" s="3" t="s">
        <v>1376</v>
      </c>
      <c r="AF486" s="3">
        <v>0.55</v>
      </c>
      <c r="AG486" s="3">
        <v>2.781</v>
      </c>
      <c r="AH486" s="3">
        <v>0.315</v>
      </c>
      <c r="AI486" s="3">
        <v>48.679</v>
      </c>
      <c r="AJ486" s="3">
        <v>7.529</v>
      </c>
      <c r="AK486" s="3" t="s">
        <v>1377</v>
      </c>
      <c r="AL486" s="3">
        <v>0.111</v>
      </c>
      <c r="AM486" s="3" t="s">
        <v>1509</v>
      </c>
    </row>
    <row r="487" ht="15.75" customHeight="1">
      <c r="A487" s="3">
        <v>1.7304E12</v>
      </c>
      <c r="B487" s="3">
        <v>16.0</v>
      </c>
      <c r="C487" s="3" t="s">
        <v>232</v>
      </c>
      <c r="D487" s="3" t="s">
        <v>1369</v>
      </c>
      <c r="E487" s="3" t="s">
        <v>232</v>
      </c>
      <c r="F487" s="3">
        <v>1.0</v>
      </c>
      <c r="G487" s="3">
        <v>1.0</v>
      </c>
      <c r="H487" s="3">
        <v>1.0</v>
      </c>
      <c r="I487" s="3">
        <v>1.0</v>
      </c>
      <c r="J487" s="3">
        <v>1.0</v>
      </c>
      <c r="K487" s="3">
        <v>1.0</v>
      </c>
      <c r="L487" s="3">
        <v>1.0</v>
      </c>
      <c r="M487" s="3">
        <v>1.0</v>
      </c>
      <c r="N487" s="3">
        <v>1.0</v>
      </c>
      <c r="O487" s="3">
        <v>1.0</v>
      </c>
      <c r="P487" s="3">
        <v>1.0</v>
      </c>
      <c r="Q487" s="3">
        <v>1.0</v>
      </c>
      <c r="R487" s="3">
        <v>1.0</v>
      </c>
      <c r="S487" s="3">
        <v>0.0</v>
      </c>
      <c r="T487" s="3">
        <v>1.0</v>
      </c>
      <c r="U487" s="3">
        <v>1.0</v>
      </c>
      <c r="V487" s="3">
        <v>1.0</v>
      </c>
      <c r="W487" s="3" t="s">
        <v>1230</v>
      </c>
      <c r="X487" s="3" t="s">
        <v>1634</v>
      </c>
      <c r="Y487" s="3" t="s">
        <v>1635</v>
      </c>
      <c r="Z487" s="3" t="s">
        <v>1372</v>
      </c>
      <c r="AA487" s="3" t="s">
        <v>1636</v>
      </c>
      <c r="AB487" s="3" t="s">
        <v>1374</v>
      </c>
      <c r="AC487" s="3" t="s">
        <v>1391</v>
      </c>
      <c r="AD487" s="3" t="s">
        <v>1680</v>
      </c>
      <c r="AE487" s="3" t="s">
        <v>2055</v>
      </c>
      <c r="AF487" s="3">
        <v>0.046</v>
      </c>
      <c r="AG487" s="3">
        <v>1.448</v>
      </c>
      <c r="AH487" s="3">
        <v>0.304</v>
      </c>
      <c r="AI487" s="3">
        <v>221.167</v>
      </c>
      <c r="AJ487" s="3">
        <v>0.05</v>
      </c>
      <c r="AK487" s="3" t="s">
        <v>1828</v>
      </c>
      <c r="AL487" s="3">
        <v>0.074</v>
      </c>
      <c r="AM487" s="3" t="s">
        <v>1469</v>
      </c>
    </row>
    <row r="488" ht="15.75" customHeight="1">
      <c r="A488" s="3">
        <v>1.73038E12</v>
      </c>
      <c r="B488" s="3">
        <v>14.0</v>
      </c>
      <c r="C488" s="3" t="s">
        <v>597</v>
      </c>
      <c r="D488" s="3" t="s">
        <v>1369</v>
      </c>
      <c r="E488" s="3" t="s">
        <v>597</v>
      </c>
      <c r="F488" s="3">
        <v>1.0</v>
      </c>
      <c r="G488" s="3">
        <v>1.0</v>
      </c>
      <c r="H488" s="3">
        <v>1.0</v>
      </c>
      <c r="I488" s="3">
        <v>1.0</v>
      </c>
      <c r="J488" s="3">
        <v>1.0</v>
      </c>
      <c r="K488" s="3">
        <v>1.0</v>
      </c>
      <c r="L488" s="3">
        <v>1.0</v>
      </c>
      <c r="M488" s="3">
        <v>1.0</v>
      </c>
      <c r="N488" s="3">
        <v>1.0</v>
      </c>
      <c r="O488" s="3">
        <v>1.0</v>
      </c>
      <c r="P488" s="3">
        <v>1.0</v>
      </c>
      <c r="Q488" s="3">
        <v>1.0</v>
      </c>
      <c r="R488" s="3">
        <v>0.0</v>
      </c>
      <c r="S488" s="3">
        <v>0.0</v>
      </c>
      <c r="T488" s="3">
        <v>1.0</v>
      </c>
      <c r="U488" s="3">
        <v>0.0</v>
      </c>
      <c r="V488" s="3">
        <v>1.0</v>
      </c>
      <c r="W488" s="3" t="s">
        <v>154</v>
      </c>
      <c r="X488" s="3" t="s">
        <v>1464</v>
      </c>
      <c r="Y488" s="3" t="s">
        <v>1465</v>
      </c>
      <c r="Z488" s="3" t="s">
        <v>1372</v>
      </c>
      <c r="AA488" s="3" t="s">
        <v>1373</v>
      </c>
      <c r="AB488" s="3" t="s">
        <v>1374</v>
      </c>
      <c r="AC488" s="3" t="s">
        <v>1391</v>
      </c>
      <c r="AD488" s="3" t="s">
        <v>1497</v>
      </c>
      <c r="AE488" s="3" t="s">
        <v>1467</v>
      </c>
      <c r="AF488" s="3">
        <v>0.204</v>
      </c>
      <c r="AG488" s="3">
        <v>2.51</v>
      </c>
      <c r="AH488" s="3">
        <v>0.311</v>
      </c>
      <c r="AI488" s="3">
        <v>13.225</v>
      </c>
      <c r="AJ488" s="3">
        <v>1.06</v>
      </c>
      <c r="AK488" s="3" t="s">
        <v>1549</v>
      </c>
      <c r="AL488" s="3">
        <v>0.08</v>
      </c>
      <c r="AM488" s="3" t="s">
        <v>1469</v>
      </c>
    </row>
    <row r="489" ht="15.75" customHeight="1">
      <c r="A489" s="3">
        <v>1.73037E12</v>
      </c>
      <c r="B489" s="3">
        <v>13.0</v>
      </c>
      <c r="C489" s="3" t="s">
        <v>703</v>
      </c>
      <c r="D489" s="3" t="s">
        <v>1369</v>
      </c>
      <c r="E489" s="3" t="s">
        <v>703</v>
      </c>
      <c r="F489" s="3">
        <v>1.0</v>
      </c>
      <c r="G489" s="3">
        <v>1.0</v>
      </c>
      <c r="H489" s="3">
        <v>1.0</v>
      </c>
      <c r="I489" s="3">
        <v>1.0</v>
      </c>
      <c r="J489" s="3">
        <v>1.0</v>
      </c>
      <c r="K489" s="3">
        <v>1.0</v>
      </c>
      <c r="L489" s="3">
        <v>1.0</v>
      </c>
      <c r="M489" s="3">
        <v>1.0</v>
      </c>
      <c r="N489" s="3">
        <v>1.0</v>
      </c>
      <c r="O489" s="3">
        <v>1.0</v>
      </c>
      <c r="P489" s="3">
        <v>1.0</v>
      </c>
      <c r="Q489" s="3">
        <v>0.0</v>
      </c>
      <c r="R489" s="3">
        <v>0.0</v>
      </c>
      <c r="S489" s="3">
        <v>0.0</v>
      </c>
      <c r="T489" s="3">
        <v>1.0</v>
      </c>
      <c r="U489" s="3">
        <v>0.0</v>
      </c>
      <c r="V489" s="3">
        <v>1.0</v>
      </c>
      <c r="W489" s="3" t="s">
        <v>854</v>
      </c>
      <c r="X489" s="3" t="s">
        <v>1590</v>
      </c>
      <c r="Y489" s="3" t="s">
        <v>1591</v>
      </c>
      <c r="Z489" s="3" t="s">
        <v>1423</v>
      </c>
      <c r="AA489" s="3" t="s">
        <v>2056</v>
      </c>
      <c r="AB489" s="3" t="s">
        <v>1374</v>
      </c>
      <c r="AC489" s="3" t="s">
        <v>1374</v>
      </c>
      <c r="AD489" s="3" t="s">
        <v>1625</v>
      </c>
      <c r="AE489" s="3" t="s">
        <v>1595</v>
      </c>
      <c r="AF489" s="3">
        <v>0.188</v>
      </c>
      <c r="AG489" s="3">
        <v>2.243</v>
      </c>
      <c r="AH489" s="3">
        <v>1.0</v>
      </c>
      <c r="AI489" s="3">
        <v>-45.897</v>
      </c>
      <c r="AJ489" s="3">
        <v>2.968</v>
      </c>
      <c r="AK489" s="3" t="s">
        <v>1626</v>
      </c>
      <c r="AL489" s="3">
        <v>0.048</v>
      </c>
      <c r="AM489" s="3" t="s">
        <v>1469</v>
      </c>
    </row>
    <row r="490" ht="15.75" customHeight="1">
      <c r="A490" s="3">
        <v>1.73031E12</v>
      </c>
      <c r="B490" s="3">
        <v>16.0</v>
      </c>
      <c r="C490" s="3" t="s">
        <v>746</v>
      </c>
      <c r="D490" s="3" t="s">
        <v>1369</v>
      </c>
      <c r="E490" s="3" t="s">
        <v>746</v>
      </c>
      <c r="F490" s="3">
        <v>1.0</v>
      </c>
      <c r="G490" s="3">
        <v>1.0</v>
      </c>
      <c r="H490" s="3">
        <v>1.0</v>
      </c>
      <c r="I490" s="3">
        <v>1.0</v>
      </c>
      <c r="J490" s="3">
        <v>1.0</v>
      </c>
      <c r="K490" s="3">
        <v>1.0</v>
      </c>
      <c r="L490" s="3">
        <v>1.0</v>
      </c>
      <c r="M490" s="3">
        <v>1.0</v>
      </c>
      <c r="N490" s="3">
        <v>1.0</v>
      </c>
      <c r="O490" s="3">
        <v>1.0</v>
      </c>
      <c r="P490" s="3">
        <v>1.0</v>
      </c>
      <c r="Q490" s="3">
        <v>1.0</v>
      </c>
      <c r="R490" s="3">
        <v>1.0</v>
      </c>
      <c r="S490" s="3">
        <v>0.0</v>
      </c>
      <c r="T490" s="3">
        <v>1.0</v>
      </c>
      <c r="U490" s="3">
        <v>1.0</v>
      </c>
      <c r="V490" s="3">
        <v>1.0</v>
      </c>
      <c r="W490" s="3" t="s">
        <v>1067</v>
      </c>
      <c r="X490" s="3" t="s">
        <v>1542</v>
      </c>
      <c r="Y490" s="3" t="s">
        <v>1543</v>
      </c>
      <c r="Z490" s="3" t="s">
        <v>1423</v>
      </c>
      <c r="AA490" s="3" t="s">
        <v>1544</v>
      </c>
      <c r="AB490" s="3" t="s">
        <v>1374</v>
      </c>
      <c r="AC490" s="3" t="s">
        <v>1451</v>
      </c>
      <c r="AD490" s="3" t="s">
        <v>1545</v>
      </c>
      <c r="AE490" s="3" t="s">
        <v>1546</v>
      </c>
      <c r="AF490" s="3">
        <v>0.035</v>
      </c>
      <c r="AG490" s="3">
        <v>0.068</v>
      </c>
      <c r="AH490" s="3">
        <v>0.251</v>
      </c>
      <c r="AI490" s="3">
        <v>52.679</v>
      </c>
      <c r="AJ490" s="3">
        <v>-1.581</v>
      </c>
      <c r="AK490" s="3" t="s">
        <v>1604</v>
      </c>
      <c r="AL490" s="3">
        <v>0.048</v>
      </c>
      <c r="AM490" s="3" t="s">
        <v>1548</v>
      </c>
    </row>
    <row r="491" ht="15.75" customHeight="1">
      <c r="A491" s="3">
        <v>1.7303E12</v>
      </c>
      <c r="B491" s="3">
        <v>17.0</v>
      </c>
      <c r="C491" s="3" t="s">
        <v>607</v>
      </c>
      <c r="D491" s="3" t="s">
        <v>1369</v>
      </c>
      <c r="E491" s="3" t="s">
        <v>607</v>
      </c>
      <c r="F491" s="3">
        <v>1.0</v>
      </c>
      <c r="G491" s="3">
        <v>1.0</v>
      </c>
      <c r="H491" s="3">
        <v>1.0</v>
      </c>
      <c r="I491" s="3">
        <v>1.0</v>
      </c>
      <c r="J491" s="3">
        <v>1.0</v>
      </c>
      <c r="K491" s="3">
        <v>1.0</v>
      </c>
      <c r="L491" s="3">
        <v>1.0</v>
      </c>
      <c r="M491" s="3">
        <v>1.0</v>
      </c>
      <c r="N491" s="3">
        <v>1.0</v>
      </c>
      <c r="O491" s="3">
        <v>1.0</v>
      </c>
      <c r="P491" s="3">
        <v>1.0</v>
      </c>
      <c r="Q491" s="3">
        <v>1.0</v>
      </c>
      <c r="R491" s="3">
        <v>1.0</v>
      </c>
      <c r="S491" s="3">
        <v>1.0</v>
      </c>
      <c r="T491" s="3">
        <v>1.0</v>
      </c>
      <c r="U491" s="3">
        <v>1.0</v>
      </c>
      <c r="V491" s="3">
        <v>1.0</v>
      </c>
      <c r="W491" s="3" t="s">
        <v>1146</v>
      </c>
      <c r="X491" s="3" t="s">
        <v>1578</v>
      </c>
      <c r="Y491" s="3" t="s">
        <v>1579</v>
      </c>
      <c r="Z491" s="3" t="s">
        <v>1981</v>
      </c>
      <c r="AA491" s="3" t="s">
        <v>1382</v>
      </c>
      <c r="AB491" s="3" t="s">
        <v>1374</v>
      </c>
      <c r="AC491" s="3" t="s">
        <v>1580</v>
      </c>
      <c r="AD491" s="3" t="s">
        <v>1581</v>
      </c>
      <c r="AE491" s="3" t="s">
        <v>1582</v>
      </c>
      <c r="AF491" s="3">
        <v>0.051</v>
      </c>
      <c r="AG491" s="3">
        <v>0.279</v>
      </c>
      <c r="AH491" s="3" t="s">
        <v>1394</v>
      </c>
      <c r="AI491" s="3" t="s">
        <v>1394</v>
      </c>
      <c r="AJ491" s="3">
        <v>18.52</v>
      </c>
      <c r="AK491" s="3" t="s">
        <v>1583</v>
      </c>
      <c r="AL491" s="3" t="s">
        <v>1394</v>
      </c>
      <c r="AM491" s="3" t="s">
        <v>1584</v>
      </c>
    </row>
    <row r="492" ht="15.75" customHeight="1">
      <c r="A492" s="3">
        <v>1.7304E12</v>
      </c>
      <c r="B492" s="3">
        <v>4.0</v>
      </c>
      <c r="C492" s="3" t="s">
        <v>922</v>
      </c>
      <c r="D492" s="3" t="s">
        <v>1369</v>
      </c>
      <c r="E492" s="3" t="s">
        <v>922</v>
      </c>
      <c r="F492" s="3">
        <v>1.0</v>
      </c>
      <c r="G492" s="3">
        <v>1.0</v>
      </c>
      <c r="H492" s="3">
        <v>1.0</v>
      </c>
      <c r="I492" s="3">
        <v>1.0</v>
      </c>
      <c r="J492" s="3">
        <v>0.0</v>
      </c>
      <c r="K492" s="3">
        <v>0.0</v>
      </c>
      <c r="L492" s="3">
        <v>0.0</v>
      </c>
      <c r="M492" s="3">
        <v>0.0</v>
      </c>
      <c r="N492" s="3">
        <v>0.0</v>
      </c>
      <c r="O492" s="3">
        <v>0.0</v>
      </c>
      <c r="P492" s="3">
        <v>0.0</v>
      </c>
      <c r="Q492" s="3">
        <v>0.0</v>
      </c>
      <c r="R492" s="3">
        <v>0.0</v>
      </c>
      <c r="S492" s="3">
        <v>0.0</v>
      </c>
      <c r="T492" s="3">
        <v>0.0</v>
      </c>
      <c r="U492" s="3">
        <v>0.0</v>
      </c>
      <c r="V492" s="3">
        <v>0.0</v>
      </c>
      <c r="W492" s="3" t="s">
        <v>55</v>
      </c>
      <c r="X492" s="3" t="s">
        <v>1578</v>
      </c>
      <c r="Y492" s="3" t="s">
        <v>1579</v>
      </c>
      <c r="Z492" s="3" t="s">
        <v>1431</v>
      </c>
    </row>
    <row r="493" ht="15.75" customHeight="1">
      <c r="A493" s="3">
        <v>1.73035E12</v>
      </c>
      <c r="B493" s="3">
        <v>17.0</v>
      </c>
      <c r="C493" s="3" t="s">
        <v>230</v>
      </c>
      <c r="D493" s="3" t="s">
        <v>1369</v>
      </c>
      <c r="E493" s="3" t="s">
        <v>230</v>
      </c>
      <c r="F493" s="3">
        <v>1.0</v>
      </c>
      <c r="G493" s="3">
        <v>1.0</v>
      </c>
      <c r="H493" s="3">
        <v>1.0</v>
      </c>
      <c r="I493" s="3">
        <v>1.0</v>
      </c>
      <c r="J493" s="3">
        <v>1.0</v>
      </c>
      <c r="K493" s="3">
        <v>1.0</v>
      </c>
      <c r="L493" s="3">
        <v>1.0</v>
      </c>
      <c r="M493" s="3">
        <v>1.0</v>
      </c>
      <c r="N493" s="3">
        <v>1.0</v>
      </c>
      <c r="O493" s="3">
        <v>1.0</v>
      </c>
      <c r="P493" s="3">
        <v>1.0</v>
      </c>
      <c r="Q493" s="3">
        <v>1.0</v>
      </c>
      <c r="R493" s="3">
        <v>1.0</v>
      </c>
      <c r="S493" s="3">
        <v>1.0</v>
      </c>
      <c r="T493" s="3">
        <v>1.0</v>
      </c>
      <c r="U493" s="3">
        <v>1.0</v>
      </c>
      <c r="V493" s="3">
        <v>1.0</v>
      </c>
      <c r="W493" s="3" t="s">
        <v>1221</v>
      </c>
      <c r="X493" s="3" t="s">
        <v>1388</v>
      </c>
      <c r="Y493" s="3" t="s">
        <v>1389</v>
      </c>
      <c r="Z493" s="3" t="s">
        <v>1372</v>
      </c>
      <c r="AA493" s="3" t="s">
        <v>1390</v>
      </c>
      <c r="AB493" s="3" t="s">
        <v>1374</v>
      </c>
      <c r="AC493" s="3" t="s">
        <v>1391</v>
      </c>
      <c r="AD493" s="3" t="s">
        <v>1392</v>
      </c>
      <c r="AE493" s="3" t="s">
        <v>1393</v>
      </c>
      <c r="AF493" s="3">
        <v>0.072</v>
      </c>
      <c r="AG493" s="3">
        <v>1.042</v>
      </c>
      <c r="AH493" s="3">
        <v>0.322</v>
      </c>
      <c r="AI493" s="3">
        <v>289.862</v>
      </c>
      <c r="AJ493" s="3">
        <v>13.487</v>
      </c>
      <c r="AK493" s="3" t="s">
        <v>1685</v>
      </c>
      <c r="AL493" s="3">
        <v>0.1</v>
      </c>
      <c r="AM493" s="3" t="s">
        <v>1686</v>
      </c>
    </row>
    <row r="494" ht="15.75" customHeight="1">
      <c r="A494" s="3">
        <v>1.73038E12</v>
      </c>
      <c r="B494" s="3">
        <v>12.0</v>
      </c>
      <c r="C494" s="3" t="s">
        <v>2057</v>
      </c>
      <c r="D494" s="3" t="s">
        <v>1369</v>
      </c>
      <c r="E494" s="3" t="s">
        <v>2057</v>
      </c>
      <c r="F494" s="3">
        <v>1.0</v>
      </c>
      <c r="G494" s="3">
        <v>1.0</v>
      </c>
      <c r="H494" s="3">
        <v>1.0</v>
      </c>
      <c r="I494" s="3">
        <v>1.0</v>
      </c>
      <c r="J494" s="3">
        <v>0.0</v>
      </c>
      <c r="K494" s="3">
        <v>1.0</v>
      </c>
      <c r="L494" s="3">
        <v>1.0</v>
      </c>
      <c r="M494" s="3">
        <v>1.0</v>
      </c>
      <c r="N494" s="3">
        <v>1.0</v>
      </c>
      <c r="O494" s="3">
        <v>1.0</v>
      </c>
      <c r="P494" s="3">
        <v>1.0</v>
      </c>
      <c r="Q494" s="3">
        <v>0.0</v>
      </c>
      <c r="R494" s="3">
        <v>0.0</v>
      </c>
      <c r="S494" s="3">
        <v>0.0</v>
      </c>
      <c r="T494" s="3">
        <v>1.0</v>
      </c>
      <c r="U494" s="3">
        <v>0.0</v>
      </c>
      <c r="V494" s="3">
        <v>1.0</v>
      </c>
      <c r="W494" s="3" t="s">
        <v>888</v>
      </c>
      <c r="X494" s="3" t="s">
        <v>1521</v>
      </c>
      <c r="Y494" s="3" t="s">
        <v>1522</v>
      </c>
      <c r="Z494" s="3" t="s">
        <v>1449</v>
      </c>
      <c r="AA494" s="3" t="s">
        <v>1519</v>
      </c>
      <c r="AB494" s="3" t="s">
        <v>1594</v>
      </c>
      <c r="AC494" s="3" t="s">
        <v>1374</v>
      </c>
      <c r="AD494" s="3" t="s">
        <v>1524</v>
      </c>
      <c r="AE494" s="3" t="s">
        <v>1525</v>
      </c>
      <c r="AF494" s="3">
        <v>0.028</v>
      </c>
      <c r="AG494" s="3">
        <v>0.067</v>
      </c>
      <c r="AH494" s="3">
        <v>0.483</v>
      </c>
      <c r="AI494" s="3" t="s">
        <v>1519</v>
      </c>
      <c r="AJ494" s="3">
        <v>-12.002</v>
      </c>
      <c r="AK494" s="3" t="s">
        <v>1716</v>
      </c>
      <c r="AL494" s="3" t="s">
        <v>1519</v>
      </c>
      <c r="AM494" s="3" t="s">
        <v>1527</v>
      </c>
    </row>
    <row r="495" ht="15.75" customHeight="1">
      <c r="A495" s="3">
        <v>1.73015E12</v>
      </c>
      <c r="B495" s="3">
        <v>15.0</v>
      </c>
      <c r="C495" s="3" t="s">
        <v>754</v>
      </c>
      <c r="D495" s="3" t="s">
        <v>1369</v>
      </c>
      <c r="E495" s="3" t="s">
        <v>754</v>
      </c>
      <c r="F495" s="3">
        <v>1.0</v>
      </c>
      <c r="G495" s="3">
        <v>1.0</v>
      </c>
      <c r="H495" s="3">
        <v>1.0</v>
      </c>
      <c r="I495" s="3">
        <v>1.0</v>
      </c>
      <c r="J495" s="3">
        <v>1.0</v>
      </c>
      <c r="K495" s="3">
        <v>1.0</v>
      </c>
      <c r="L495" s="3">
        <v>1.0</v>
      </c>
      <c r="M495" s="3">
        <v>1.0</v>
      </c>
      <c r="N495" s="3">
        <v>1.0</v>
      </c>
      <c r="O495" s="3">
        <v>1.0</v>
      </c>
      <c r="P495" s="3">
        <v>1.0</v>
      </c>
      <c r="Q495" s="3">
        <v>0.0</v>
      </c>
      <c r="R495" s="3">
        <v>1.0</v>
      </c>
      <c r="S495" s="3">
        <v>0.0</v>
      </c>
      <c r="T495" s="3">
        <v>1.0</v>
      </c>
      <c r="U495" s="3">
        <v>1.0</v>
      </c>
      <c r="V495" s="3">
        <v>1.0</v>
      </c>
      <c r="W495" s="3" t="s">
        <v>427</v>
      </c>
      <c r="X495" s="3" t="s">
        <v>1578</v>
      </c>
      <c r="Y495" s="3" t="s">
        <v>1579</v>
      </c>
      <c r="Z495" s="3" t="s">
        <v>1431</v>
      </c>
      <c r="AA495" s="3" t="s">
        <v>1382</v>
      </c>
      <c r="AB495" s="3" t="s">
        <v>1374</v>
      </c>
      <c r="AC495" s="3" t="s">
        <v>1374</v>
      </c>
      <c r="AD495" s="3" t="s">
        <v>1650</v>
      </c>
      <c r="AE495" s="3" t="s">
        <v>1582</v>
      </c>
      <c r="AF495" s="3">
        <v>0.053</v>
      </c>
      <c r="AG495" s="3">
        <v>0.289</v>
      </c>
      <c r="AH495" s="3">
        <v>0.548</v>
      </c>
      <c r="AI495" s="3">
        <v>-80.073</v>
      </c>
      <c r="AJ495" s="3">
        <v>0.124</v>
      </c>
      <c r="AK495" s="3" t="s">
        <v>2058</v>
      </c>
      <c r="AL495" s="3">
        <v>0.13</v>
      </c>
      <c r="AM495" s="3" t="s">
        <v>1584</v>
      </c>
    </row>
    <row r="496" ht="15.75" customHeight="1">
      <c r="A496" s="3">
        <v>1.73031E12</v>
      </c>
      <c r="B496" s="3">
        <v>16.0</v>
      </c>
      <c r="C496" s="3" t="s">
        <v>519</v>
      </c>
      <c r="D496" s="3" t="s">
        <v>1369</v>
      </c>
      <c r="E496" s="3" t="s">
        <v>519</v>
      </c>
      <c r="F496" s="3">
        <v>1.0</v>
      </c>
      <c r="G496" s="3">
        <v>1.0</v>
      </c>
      <c r="H496" s="3">
        <v>1.0</v>
      </c>
      <c r="I496" s="3">
        <v>1.0</v>
      </c>
      <c r="J496" s="3">
        <v>1.0</v>
      </c>
      <c r="K496" s="3">
        <v>1.0</v>
      </c>
      <c r="L496" s="3">
        <v>1.0</v>
      </c>
      <c r="M496" s="3">
        <v>1.0</v>
      </c>
      <c r="N496" s="3">
        <v>1.0</v>
      </c>
      <c r="O496" s="3">
        <v>1.0</v>
      </c>
      <c r="P496" s="3">
        <v>1.0</v>
      </c>
      <c r="Q496" s="3">
        <v>1.0</v>
      </c>
      <c r="R496" s="3">
        <v>1.0</v>
      </c>
      <c r="S496" s="3">
        <v>1.0</v>
      </c>
      <c r="T496" s="3">
        <v>1.0</v>
      </c>
      <c r="U496" s="3">
        <v>0.0</v>
      </c>
      <c r="V496" s="3">
        <v>1.0</v>
      </c>
      <c r="W496" s="3" t="s">
        <v>1265</v>
      </c>
      <c r="X496" s="3" t="s">
        <v>1634</v>
      </c>
      <c r="Y496" s="3" t="s">
        <v>1635</v>
      </c>
      <c r="Z496" s="3" t="s">
        <v>1449</v>
      </c>
      <c r="AA496" s="3" t="s">
        <v>1636</v>
      </c>
      <c r="AB496" s="3" t="s">
        <v>1374</v>
      </c>
      <c r="AC496" s="3" t="s">
        <v>1391</v>
      </c>
      <c r="AD496" s="3" t="s">
        <v>1680</v>
      </c>
      <c r="AE496" s="3" t="s">
        <v>1637</v>
      </c>
      <c r="AF496" s="3">
        <v>0.046</v>
      </c>
      <c r="AG496" s="3">
        <v>1.422</v>
      </c>
      <c r="AH496" s="3">
        <v>0.301</v>
      </c>
      <c r="AI496" s="3" t="s">
        <v>1394</v>
      </c>
      <c r="AJ496" s="3">
        <v>36.522</v>
      </c>
      <c r="AK496" s="3" t="s">
        <v>1828</v>
      </c>
      <c r="AL496" s="3">
        <v>0.081</v>
      </c>
      <c r="AM496" s="3" t="s">
        <v>1469</v>
      </c>
    </row>
    <row r="497" ht="15.75" customHeight="1">
      <c r="A497" s="3">
        <v>1.73031E12</v>
      </c>
      <c r="B497" s="3">
        <v>13.0</v>
      </c>
      <c r="C497" s="3" t="s">
        <v>2059</v>
      </c>
      <c r="D497" s="3" t="s">
        <v>1369</v>
      </c>
      <c r="E497" s="3" t="s">
        <v>2059</v>
      </c>
      <c r="F497" s="3">
        <v>1.0</v>
      </c>
      <c r="G497" s="3">
        <v>1.0</v>
      </c>
      <c r="H497" s="3">
        <v>0.0</v>
      </c>
      <c r="I497" s="3">
        <v>1.0</v>
      </c>
      <c r="J497" s="3">
        <v>1.0</v>
      </c>
      <c r="K497" s="3">
        <v>1.0</v>
      </c>
      <c r="L497" s="3">
        <v>1.0</v>
      </c>
      <c r="M497" s="3">
        <v>1.0</v>
      </c>
      <c r="N497" s="3">
        <v>1.0</v>
      </c>
      <c r="O497" s="3">
        <v>1.0</v>
      </c>
      <c r="P497" s="3">
        <v>1.0</v>
      </c>
      <c r="Q497" s="3">
        <v>0.0</v>
      </c>
      <c r="R497" s="3">
        <v>0.0</v>
      </c>
      <c r="S497" s="3">
        <v>1.0</v>
      </c>
      <c r="T497" s="3">
        <v>1.0</v>
      </c>
      <c r="U497" s="3">
        <v>0.0</v>
      </c>
      <c r="V497" s="3">
        <v>1.0</v>
      </c>
      <c r="W497" s="3" t="s">
        <v>686</v>
      </c>
      <c r="X497" s="3" t="s">
        <v>1438</v>
      </c>
      <c r="Y497" s="3" t="s">
        <v>2060</v>
      </c>
      <c r="Z497" s="3" t="s">
        <v>1449</v>
      </c>
      <c r="AA497" s="3" t="s">
        <v>1553</v>
      </c>
      <c r="AB497" s="3" t="s">
        <v>1374</v>
      </c>
      <c r="AC497" s="3" t="s">
        <v>1391</v>
      </c>
      <c r="AD497" s="3" t="s">
        <v>1554</v>
      </c>
      <c r="AE497" s="3" t="s">
        <v>1444</v>
      </c>
      <c r="AF497" s="3">
        <v>0.084</v>
      </c>
      <c r="AG497" s="3">
        <v>0.296</v>
      </c>
      <c r="AH497" s="3">
        <v>0.229</v>
      </c>
      <c r="AI497" s="3">
        <v>237.946</v>
      </c>
      <c r="AJ497" s="3">
        <v>-1.654</v>
      </c>
      <c r="AK497" s="3" t="s">
        <v>2061</v>
      </c>
      <c r="AL497" s="3">
        <v>0.265</v>
      </c>
      <c r="AM497" s="3" t="s">
        <v>1446</v>
      </c>
    </row>
    <row r="498" ht="15.75" customHeight="1">
      <c r="A498" s="3">
        <v>1.73036E12</v>
      </c>
      <c r="B498" s="3">
        <v>17.0</v>
      </c>
      <c r="C498" s="3" t="s">
        <v>210</v>
      </c>
      <c r="D498" s="3" t="s">
        <v>1369</v>
      </c>
      <c r="E498" s="3" t="s">
        <v>210</v>
      </c>
      <c r="F498" s="3">
        <v>1.0</v>
      </c>
      <c r="G498" s="3">
        <v>1.0</v>
      </c>
      <c r="H498" s="3">
        <v>1.0</v>
      </c>
      <c r="I498" s="3">
        <v>1.0</v>
      </c>
      <c r="J498" s="3">
        <v>1.0</v>
      </c>
      <c r="K498" s="3">
        <v>1.0</v>
      </c>
      <c r="L498" s="3">
        <v>1.0</v>
      </c>
      <c r="M498" s="3">
        <v>1.0</v>
      </c>
      <c r="N498" s="3">
        <v>1.0</v>
      </c>
      <c r="O498" s="3">
        <v>1.0</v>
      </c>
      <c r="P498" s="3">
        <v>1.0</v>
      </c>
      <c r="Q498" s="3">
        <v>1.0</v>
      </c>
      <c r="R498" s="3">
        <v>1.0</v>
      </c>
      <c r="S498" s="3">
        <v>1.0</v>
      </c>
      <c r="T498" s="3">
        <v>1.0</v>
      </c>
      <c r="U498" s="3">
        <v>1.0</v>
      </c>
      <c r="V498" s="3">
        <v>1.0</v>
      </c>
      <c r="W498" s="3" t="s">
        <v>1066</v>
      </c>
      <c r="X498" s="3" t="s">
        <v>1542</v>
      </c>
      <c r="Y498" s="3" t="s">
        <v>1543</v>
      </c>
      <c r="Z498" s="3" t="s">
        <v>1423</v>
      </c>
      <c r="AA498" s="3" t="s">
        <v>1544</v>
      </c>
      <c r="AB498" s="3" t="s">
        <v>1374</v>
      </c>
      <c r="AC498" s="3" t="s">
        <v>1451</v>
      </c>
      <c r="AD498" s="3" t="s">
        <v>1545</v>
      </c>
      <c r="AE498" s="3" t="s">
        <v>1546</v>
      </c>
      <c r="AF498" s="3">
        <v>0.035</v>
      </c>
      <c r="AG498" s="3">
        <v>0.068</v>
      </c>
      <c r="AH498" s="3" t="s">
        <v>1394</v>
      </c>
      <c r="AI498" s="3" t="s">
        <v>1394</v>
      </c>
      <c r="AJ498" s="3">
        <v>-10.305</v>
      </c>
      <c r="AK498" s="3" t="s">
        <v>1604</v>
      </c>
      <c r="AL498" s="3" t="s">
        <v>1394</v>
      </c>
      <c r="AM498" s="3" t="s">
        <v>1548</v>
      </c>
    </row>
    <row r="499" ht="15.75" customHeight="1">
      <c r="A499" s="3">
        <v>1.7303E12</v>
      </c>
      <c r="B499" s="3">
        <v>17.0</v>
      </c>
      <c r="C499" s="3" t="s">
        <v>2062</v>
      </c>
      <c r="D499" s="3" t="s">
        <v>1369</v>
      </c>
      <c r="E499" s="3" t="s">
        <v>2062</v>
      </c>
      <c r="F499" s="3">
        <v>1.0</v>
      </c>
      <c r="G499" s="3">
        <v>1.0</v>
      </c>
      <c r="H499" s="3">
        <v>1.0</v>
      </c>
      <c r="I499" s="3">
        <v>1.0</v>
      </c>
      <c r="J499" s="3">
        <v>1.0</v>
      </c>
      <c r="K499" s="3">
        <v>1.0</v>
      </c>
      <c r="L499" s="3">
        <v>1.0</v>
      </c>
      <c r="M499" s="3">
        <v>1.0</v>
      </c>
      <c r="N499" s="3">
        <v>1.0</v>
      </c>
      <c r="O499" s="3">
        <v>1.0</v>
      </c>
      <c r="P499" s="3">
        <v>1.0</v>
      </c>
      <c r="Q499" s="3">
        <v>1.0</v>
      </c>
      <c r="R499" s="3">
        <v>1.0</v>
      </c>
      <c r="S499" s="3">
        <v>1.0</v>
      </c>
      <c r="T499" s="3">
        <v>1.0</v>
      </c>
      <c r="U499" s="3">
        <v>1.0</v>
      </c>
      <c r="V499" s="3">
        <v>1.0</v>
      </c>
      <c r="W499" s="3" t="s">
        <v>1056</v>
      </c>
      <c r="X499" s="3" t="s">
        <v>1542</v>
      </c>
      <c r="Y499" s="3" t="s">
        <v>1543</v>
      </c>
      <c r="Z499" s="3" t="s">
        <v>1423</v>
      </c>
      <c r="AA499" s="3" t="s">
        <v>1544</v>
      </c>
      <c r="AB499" s="3" t="s">
        <v>1374</v>
      </c>
      <c r="AC499" s="3" t="s">
        <v>1451</v>
      </c>
      <c r="AD499" s="3" t="s">
        <v>1545</v>
      </c>
      <c r="AE499" s="3" t="s">
        <v>1546</v>
      </c>
      <c r="AF499" s="3">
        <v>0.035</v>
      </c>
      <c r="AG499" s="3">
        <v>0.068</v>
      </c>
      <c r="AH499" s="3">
        <v>0.251</v>
      </c>
      <c r="AI499" s="3">
        <v>52.655</v>
      </c>
      <c r="AJ499" s="3">
        <v>-11.011</v>
      </c>
      <c r="AK499" s="3" t="s">
        <v>1604</v>
      </c>
      <c r="AL499" s="3">
        <v>0.048</v>
      </c>
      <c r="AM499" s="3" t="s">
        <v>1548</v>
      </c>
    </row>
    <row r="500" ht="15.75" customHeight="1">
      <c r="A500" s="3">
        <v>1.73036E12</v>
      </c>
      <c r="B500" s="3">
        <v>17.0</v>
      </c>
      <c r="C500" s="3" t="s">
        <v>957</v>
      </c>
      <c r="D500" s="3" t="s">
        <v>1369</v>
      </c>
      <c r="E500" s="3" t="s">
        <v>957</v>
      </c>
      <c r="F500" s="3">
        <v>1.0</v>
      </c>
      <c r="G500" s="3">
        <v>1.0</v>
      </c>
      <c r="H500" s="3">
        <v>1.0</v>
      </c>
      <c r="I500" s="3">
        <v>1.0</v>
      </c>
      <c r="J500" s="3">
        <v>1.0</v>
      </c>
      <c r="K500" s="3">
        <v>1.0</v>
      </c>
      <c r="L500" s="3">
        <v>1.0</v>
      </c>
      <c r="M500" s="3">
        <v>1.0</v>
      </c>
      <c r="N500" s="3">
        <v>1.0</v>
      </c>
      <c r="O500" s="3">
        <v>1.0</v>
      </c>
      <c r="P500" s="3">
        <v>1.0</v>
      </c>
      <c r="Q500" s="3">
        <v>1.0</v>
      </c>
      <c r="R500" s="3">
        <v>1.0</v>
      </c>
      <c r="S500" s="3">
        <v>1.0</v>
      </c>
      <c r="T500" s="3">
        <v>1.0</v>
      </c>
      <c r="U500" s="3">
        <v>1.0</v>
      </c>
      <c r="V500" s="3">
        <v>1.0</v>
      </c>
      <c r="W500" s="3" t="s">
        <v>1217</v>
      </c>
      <c r="X500" s="3" t="s">
        <v>1483</v>
      </c>
      <c r="Y500" s="3" t="s">
        <v>1484</v>
      </c>
      <c r="Z500" s="3" t="s">
        <v>1449</v>
      </c>
      <c r="AA500" s="3" t="s">
        <v>1373</v>
      </c>
      <c r="AB500" s="3" t="s">
        <v>1374</v>
      </c>
      <c r="AC500" s="3" t="s">
        <v>2063</v>
      </c>
      <c r="AD500" s="3" t="s">
        <v>1524</v>
      </c>
      <c r="AE500" s="3" t="s">
        <v>1486</v>
      </c>
      <c r="AF500" s="3">
        <v>0.017</v>
      </c>
      <c r="AG500" s="3">
        <v>0.29</v>
      </c>
      <c r="AH500" s="3" t="s">
        <v>1394</v>
      </c>
      <c r="AI500" s="3" t="s">
        <v>1394</v>
      </c>
      <c r="AJ500" s="3">
        <v>28.515</v>
      </c>
      <c r="AK500" s="3" t="s">
        <v>2064</v>
      </c>
      <c r="AL500" s="3" t="s">
        <v>1394</v>
      </c>
      <c r="AM500" s="3" t="s">
        <v>1573</v>
      </c>
    </row>
    <row r="501" ht="15.75" customHeight="1">
      <c r="A501" s="3">
        <v>1.7304E12</v>
      </c>
      <c r="B501" s="3">
        <v>11.0</v>
      </c>
      <c r="C501" s="3" t="s">
        <v>2065</v>
      </c>
      <c r="D501" s="3" t="s">
        <v>1369</v>
      </c>
      <c r="E501" s="3" t="s">
        <v>2065</v>
      </c>
      <c r="F501" s="3">
        <v>1.0</v>
      </c>
      <c r="G501" s="3">
        <v>1.0</v>
      </c>
      <c r="H501" s="3">
        <v>1.0</v>
      </c>
      <c r="I501" s="3">
        <v>1.0</v>
      </c>
      <c r="J501" s="3">
        <v>1.0</v>
      </c>
      <c r="K501" s="3">
        <v>1.0</v>
      </c>
      <c r="L501" s="3">
        <v>1.0</v>
      </c>
      <c r="M501" s="3">
        <v>1.0</v>
      </c>
      <c r="N501" s="3">
        <v>1.0</v>
      </c>
      <c r="O501" s="3">
        <v>0.0</v>
      </c>
      <c r="P501" s="3">
        <v>0.0</v>
      </c>
      <c r="Q501" s="3">
        <v>0.0</v>
      </c>
      <c r="R501" s="3">
        <v>1.0</v>
      </c>
      <c r="S501" s="3">
        <v>0.0</v>
      </c>
      <c r="T501" s="3">
        <v>1.0</v>
      </c>
      <c r="U501" s="3">
        <v>0.0</v>
      </c>
      <c r="V501" s="3">
        <v>0.0</v>
      </c>
      <c r="W501" s="3" t="s">
        <v>284</v>
      </c>
      <c r="X501" s="3" t="s">
        <v>1529</v>
      </c>
      <c r="Y501" s="3" t="s">
        <v>1530</v>
      </c>
      <c r="Z501" s="3" t="s">
        <v>1372</v>
      </c>
      <c r="AA501" s="3" t="s">
        <v>1531</v>
      </c>
      <c r="AB501" s="3" t="s">
        <v>1374</v>
      </c>
      <c r="AC501" s="3" t="s">
        <v>1391</v>
      </c>
      <c r="AD501" s="3" t="s">
        <v>1532</v>
      </c>
      <c r="AE501" s="3" t="s">
        <v>1533</v>
      </c>
      <c r="AF501" s="3">
        <v>0.049</v>
      </c>
      <c r="AG501" s="3">
        <v>1.846</v>
      </c>
      <c r="AI501" s="3">
        <v>-856.904</v>
      </c>
      <c r="AK501" s="3" t="s">
        <v>1630</v>
      </c>
      <c r="AL501" s="3">
        <v>-0.534</v>
      </c>
      <c r="AM501" s="3" t="s">
        <v>1919</v>
      </c>
    </row>
    <row r="502" ht="15.75" customHeight="1">
      <c r="A502" s="3">
        <v>1.7304E12</v>
      </c>
      <c r="B502" s="3">
        <v>3.0</v>
      </c>
      <c r="C502" s="3" t="s">
        <v>2066</v>
      </c>
      <c r="D502" s="3" t="s">
        <v>1369</v>
      </c>
      <c r="E502" s="3" t="s">
        <v>2066</v>
      </c>
      <c r="F502" s="3">
        <v>1.0</v>
      </c>
      <c r="G502" s="3">
        <v>1.0</v>
      </c>
      <c r="H502" s="3">
        <v>0.0</v>
      </c>
      <c r="I502" s="3">
        <v>0.0</v>
      </c>
      <c r="J502" s="3">
        <v>0.0</v>
      </c>
      <c r="K502" s="3">
        <v>1.0</v>
      </c>
      <c r="L502" s="3">
        <v>0.0</v>
      </c>
      <c r="M502" s="3">
        <v>0.0</v>
      </c>
      <c r="N502" s="3">
        <v>0.0</v>
      </c>
      <c r="O502" s="3">
        <v>0.0</v>
      </c>
      <c r="P502" s="3">
        <v>0.0</v>
      </c>
      <c r="Q502" s="3">
        <v>0.0</v>
      </c>
      <c r="R502" s="3">
        <v>0.0</v>
      </c>
      <c r="S502" s="3">
        <v>0.0</v>
      </c>
      <c r="T502" s="3">
        <v>0.0</v>
      </c>
      <c r="U502" s="3">
        <v>0.0</v>
      </c>
      <c r="V502" s="3">
        <v>0.0</v>
      </c>
      <c r="W502" s="3" t="s">
        <v>616</v>
      </c>
      <c r="X502" s="3" t="s">
        <v>1421</v>
      </c>
      <c r="Y502" s="3" t="s">
        <v>2067</v>
      </c>
      <c r="Z502" s="3" t="s">
        <v>2068</v>
      </c>
      <c r="AB502" s="3" t="s">
        <v>1391</v>
      </c>
    </row>
    <row r="503" ht="15.75" customHeight="1">
      <c r="A503" s="3">
        <v>1.73028E12</v>
      </c>
      <c r="B503" s="3">
        <v>17.0</v>
      </c>
      <c r="C503" s="3" t="s">
        <v>133</v>
      </c>
      <c r="D503" s="3" t="s">
        <v>1369</v>
      </c>
      <c r="E503" s="3" t="s">
        <v>133</v>
      </c>
      <c r="F503" s="3">
        <v>1.0</v>
      </c>
      <c r="G503" s="3">
        <v>1.0</v>
      </c>
      <c r="H503" s="3">
        <v>1.0</v>
      </c>
      <c r="I503" s="3">
        <v>1.0</v>
      </c>
      <c r="J503" s="3">
        <v>1.0</v>
      </c>
      <c r="K503" s="3">
        <v>1.0</v>
      </c>
      <c r="L503" s="3">
        <v>1.0</v>
      </c>
      <c r="M503" s="3">
        <v>1.0</v>
      </c>
      <c r="N503" s="3">
        <v>1.0</v>
      </c>
      <c r="O503" s="3">
        <v>1.0</v>
      </c>
      <c r="P503" s="3">
        <v>1.0</v>
      </c>
      <c r="Q503" s="3">
        <v>1.0</v>
      </c>
      <c r="R503" s="3">
        <v>1.0</v>
      </c>
      <c r="S503" s="3">
        <v>1.0</v>
      </c>
      <c r="T503" s="3">
        <v>1.0</v>
      </c>
      <c r="U503" s="3">
        <v>1.0</v>
      </c>
      <c r="V503" s="3">
        <v>1.0</v>
      </c>
      <c r="W503" s="3" t="s">
        <v>1029</v>
      </c>
      <c r="X503" s="3" t="s">
        <v>1405</v>
      </c>
      <c r="Y503" s="3" t="s">
        <v>1406</v>
      </c>
      <c r="Z503" s="3" t="s">
        <v>1372</v>
      </c>
      <c r="AA503" s="3" t="s">
        <v>1407</v>
      </c>
      <c r="AB503" s="3" t="s">
        <v>1374</v>
      </c>
      <c r="AC503" s="3" t="s">
        <v>1400</v>
      </c>
      <c r="AD503" s="3" t="s">
        <v>1506</v>
      </c>
      <c r="AE503" s="3" t="s">
        <v>1409</v>
      </c>
      <c r="AF503" s="3">
        <v>-0.017</v>
      </c>
      <c r="AG503" s="3">
        <v>-0.05</v>
      </c>
      <c r="AH503" s="3">
        <v>0.162</v>
      </c>
      <c r="AI503" s="3">
        <v>-173.813</v>
      </c>
      <c r="AJ503" s="3">
        <v>11.023</v>
      </c>
      <c r="AK503" s="3" t="s">
        <v>1535</v>
      </c>
      <c r="AL503" s="3">
        <v>0.256</v>
      </c>
      <c r="AM503" s="3" t="s">
        <v>1411</v>
      </c>
    </row>
    <row r="504" ht="15.75" customHeight="1">
      <c r="A504" s="3">
        <v>1.73035E12</v>
      </c>
      <c r="B504" s="3">
        <v>17.0</v>
      </c>
      <c r="C504" s="3" t="s">
        <v>628</v>
      </c>
      <c r="D504" s="3" t="s">
        <v>1369</v>
      </c>
      <c r="E504" s="3" t="s">
        <v>628</v>
      </c>
      <c r="F504" s="3">
        <v>1.0</v>
      </c>
      <c r="G504" s="3">
        <v>1.0</v>
      </c>
      <c r="H504" s="3">
        <v>1.0</v>
      </c>
      <c r="I504" s="3">
        <v>1.0</v>
      </c>
      <c r="J504" s="3">
        <v>1.0</v>
      </c>
      <c r="K504" s="3">
        <v>1.0</v>
      </c>
      <c r="L504" s="3">
        <v>1.0</v>
      </c>
      <c r="M504" s="3">
        <v>1.0</v>
      </c>
      <c r="N504" s="3">
        <v>1.0</v>
      </c>
      <c r="O504" s="3">
        <v>1.0</v>
      </c>
      <c r="P504" s="3">
        <v>1.0</v>
      </c>
      <c r="Q504" s="3">
        <v>1.0</v>
      </c>
      <c r="R504" s="3">
        <v>1.0</v>
      </c>
      <c r="S504" s="3">
        <v>1.0</v>
      </c>
      <c r="T504" s="3">
        <v>1.0</v>
      </c>
      <c r="U504" s="3">
        <v>1.0</v>
      </c>
      <c r="V504" s="3">
        <v>1.0</v>
      </c>
      <c r="W504" s="3" t="s">
        <v>1020</v>
      </c>
      <c r="X504" s="3" t="s">
        <v>1388</v>
      </c>
      <c r="Y504" s="3" t="s">
        <v>1389</v>
      </c>
      <c r="Z504" s="3" t="s">
        <v>1813</v>
      </c>
      <c r="AA504" s="3" t="s">
        <v>1726</v>
      </c>
      <c r="AB504" s="3" t="s">
        <v>1374</v>
      </c>
      <c r="AC504" s="3" t="s">
        <v>1391</v>
      </c>
      <c r="AD504" s="3" t="s">
        <v>1392</v>
      </c>
      <c r="AE504" s="3" t="s">
        <v>1393</v>
      </c>
      <c r="AF504" s="3">
        <v>0.071</v>
      </c>
      <c r="AG504" s="3">
        <v>1.031</v>
      </c>
      <c r="AH504" s="3">
        <v>0.323</v>
      </c>
      <c r="AI504" s="3">
        <v>294.668</v>
      </c>
      <c r="AJ504" s="3">
        <v>13.721</v>
      </c>
      <c r="AK504" s="3" t="s">
        <v>1685</v>
      </c>
      <c r="AL504" s="3">
        <v>0.098</v>
      </c>
      <c r="AM504" s="3" t="s">
        <v>1396</v>
      </c>
    </row>
    <row r="505" ht="15.75" customHeight="1">
      <c r="A505" s="3">
        <v>1.7303E12</v>
      </c>
      <c r="B505" s="3">
        <v>12.0</v>
      </c>
      <c r="C505" s="3" t="s">
        <v>2069</v>
      </c>
      <c r="D505" s="3" t="s">
        <v>1369</v>
      </c>
      <c r="E505" s="3" t="s">
        <v>2069</v>
      </c>
      <c r="F505" s="3">
        <v>1.0</v>
      </c>
      <c r="G505" s="3">
        <v>1.0</v>
      </c>
      <c r="H505" s="3">
        <v>1.0</v>
      </c>
      <c r="I505" s="3">
        <v>1.0</v>
      </c>
      <c r="J505" s="3">
        <v>1.0</v>
      </c>
      <c r="K505" s="3">
        <v>1.0</v>
      </c>
      <c r="L505" s="3">
        <v>1.0</v>
      </c>
      <c r="M505" s="3">
        <v>1.0</v>
      </c>
      <c r="N505" s="3">
        <v>1.0</v>
      </c>
      <c r="O505" s="3">
        <v>1.0</v>
      </c>
      <c r="P505" s="3">
        <v>1.0</v>
      </c>
      <c r="Q505" s="3">
        <v>0.0</v>
      </c>
      <c r="R505" s="3">
        <v>0.0</v>
      </c>
      <c r="S505" s="3">
        <v>1.0</v>
      </c>
      <c r="T505" s="3">
        <v>0.0</v>
      </c>
      <c r="U505" s="3">
        <v>0.0</v>
      </c>
      <c r="V505" s="3">
        <v>0.0</v>
      </c>
      <c r="W505" s="3" t="s">
        <v>575</v>
      </c>
      <c r="X505" s="3" t="s">
        <v>1529</v>
      </c>
      <c r="Y505" s="3" t="s">
        <v>1530</v>
      </c>
      <c r="Z505" s="3" t="s">
        <v>1449</v>
      </c>
      <c r="AA505" s="3" t="s">
        <v>1531</v>
      </c>
      <c r="AB505" s="3" t="s">
        <v>1374</v>
      </c>
      <c r="AC505" s="3" t="s">
        <v>1391</v>
      </c>
      <c r="AD505" s="3" t="s">
        <v>1532</v>
      </c>
      <c r="AE505" s="3" t="s">
        <v>1533</v>
      </c>
      <c r="AF505" s="3">
        <v>0.084</v>
      </c>
      <c r="AG505" s="3">
        <v>1.813</v>
      </c>
      <c r="AH505" s="3">
        <v>0.359</v>
      </c>
      <c r="AI505" s="3">
        <v>55.562</v>
      </c>
      <c r="AJ505" s="3">
        <v>-16.58</v>
      </c>
      <c r="AK505" s="3" t="s">
        <v>1630</v>
      </c>
      <c r="AL505" s="3">
        <v>0.474</v>
      </c>
      <c r="AM505" s="3" t="s">
        <v>1919</v>
      </c>
    </row>
    <row r="506" ht="15.75" customHeight="1">
      <c r="A506" s="3">
        <v>1.73038E12</v>
      </c>
      <c r="B506" s="3">
        <v>17.0</v>
      </c>
      <c r="C506" s="3" t="s">
        <v>552</v>
      </c>
      <c r="D506" s="3" t="s">
        <v>1369</v>
      </c>
      <c r="E506" s="3" t="s">
        <v>552</v>
      </c>
      <c r="F506" s="3">
        <v>1.0</v>
      </c>
      <c r="G506" s="3">
        <v>1.0</v>
      </c>
      <c r="H506" s="3">
        <v>1.0</v>
      </c>
      <c r="I506" s="3">
        <v>1.0</v>
      </c>
      <c r="J506" s="3">
        <v>1.0</v>
      </c>
      <c r="K506" s="3">
        <v>1.0</v>
      </c>
      <c r="L506" s="3">
        <v>1.0</v>
      </c>
      <c r="M506" s="3">
        <v>1.0</v>
      </c>
      <c r="N506" s="3">
        <v>1.0</v>
      </c>
      <c r="O506" s="3">
        <v>1.0</v>
      </c>
      <c r="P506" s="3">
        <v>1.0</v>
      </c>
      <c r="Q506" s="3">
        <v>1.0</v>
      </c>
      <c r="R506" s="3">
        <v>1.0</v>
      </c>
      <c r="S506" s="3">
        <v>1.0</v>
      </c>
      <c r="T506" s="3">
        <v>1.0</v>
      </c>
      <c r="U506" s="3">
        <v>1.0</v>
      </c>
      <c r="V506" s="3">
        <v>1.0</v>
      </c>
      <c r="W506" s="3" t="s">
        <v>1229</v>
      </c>
      <c r="X506" s="3" t="s">
        <v>1476</v>
      </c>
      <c r="Y506" s="3" t="s">
        <v>1477</v>
      </c>
      <c r="Z506" s="3" t="s">
        <v>1449</v>
      </c>
      <c r="AA506" s="3" t="s">
        <v>1415</v>
      </c>
      <c r="AB506" s="3" t="s">
        <v>1374</v>
      </c>
      <c r="AC506" s="3" t="s">
        <v>1374</v>
      </c>
      <c r="AD506" s="3" t="s">
        <v>1500</v>
      </c>
      <c r="AE506" s="3" t="s">
        <v>1479</v>
      </c>
      <c r="AF506" s="3">
        <v>0.033</v>
      </c>
      <c r="AG506" s="3">
        <v>0.656</v>
      </c>
      <c r="AH506" s="3">
        <v>0.279</v>
      </c>
      <c r="AI506" s="3">
        <v>149.606</v>
      </c>
      <c r="AJ506" s="3">
        <v>-11.859</v>
      </c>
      <c r="AK506" s="3" t="s">
        <v>2070</v>
      </c>
      <c r="AL506" s="3">
        <v>0.063</v>
      </c>
      <c r="AM506" s="3" t="s">
        <v>1419</v>
      </c>
    </row>
    <row r="507" ht="15.75" customHeight="1">
      <c r="A507" s="3">
        <v>1.73039E12</v>
      </c>
      <c r="B507" s="3">
        <v>17.0</v>
      </c>
      <c r="C507" s="3" t="s">
        <v>118</v>
      </c>
      <c r="D507" s="3" t="s">
        <v>1369</v>
      </c>
      <c r="E507" s="3" t="s">
        <v>118</v>
      </c>
      <c r="F507" s="3">
        <v>1.0</v>
      </c>
      <c r="G507" s="3">
        <v>1.0</v>
      </c>
      <c r="H507" s="3">
        <v>1.0</v>
      </c>
      <c r="I507" s="3">
        <v>1.0</v>
      </c>
      <c r="J507" s="3">
        <v>1.0</v>
      </c>
      <c r="K507" s="3">
        <v>1.0</v>
      </c>
      <c r="L507" s="3">
        <v>1.0</v>
      </c>
      <c r="M507" s="3">
        <v>1.0</v>
      </c>
      <c r="N507" s="3">
        <v>1.0</v>
      </c>
      <c r="O507" s="3">
        <v>1.0</v>
      </c>
      <c r="P507" s="3">
        <v>1.0</v>
      </c>
      <c r="Q507" s="3">
        <v>1.0</v>
      </c>
      <c r="R507" s="3">
        <v>1.0</v>
      </c>
      <c r="S507" s="3">
        <v>1.0</v>
      </c>
      <c r="T507" s="3">
        <v>1.0</v>
      </c>
      <c r="U507" s="3">
        <v>1.0</v>
      </c>
      <c r="V507" s="3">
        <v>1.0</v>
      </c>
      <c r="W507" s="3" t="s">
        <v>1202</v>
      </c>
      <c r="X507" s="3" t="s">
        <v>1563</v>
      </c>
      <c r="Y507" s="3" t="s">
        <v>1564</v>
      </c>
      <c r="Z507" s="3" t="s">
        <v>1372</v>
      </c>
      <c r="AA507" s="3" t="s">
        <v>1649</v>
      </c>
      <c r="AB507" s="3" t="s">
        <v>1374</v>
      </c>
      <c r="AC507" s="3" t="s">
        <v>1650</v>
      </c>
      <c r="AD507" s="3" t="s">
        <v>1566</v>
      </c>
      <c r="AE507" s="3" t="s">
        <v>1567</v>
      </c>
      <c r="AF507" s="3">
        <v>0.344</v>
      </c>
      <c r="AG507" s="3">
        <v>0.672</v>
      </c>
      <c r="AH507" s="3">
        <v>0.312</v>
      </c>
      <c r="AI507" s="3">
        <v>46.94</v>
      </c>
      <c r="AJ507" s="3">
        <v>2.465</v>
      </c>
      <c r="AK507" s="3" t="s">
        <v>1651</v>
      </c>
      <c r="AL507" s="3">
        <v>0.051</v>
      </c>
      <c r="AM507" s="3" t="s">
        <v>1569</v>
      </c>
    </row>
    <row r="508" ht="15.75" customHeight="1">
      <c r="A508" s="3">
        <v>1.73036E12</v>
      </c>
      <c r="B508" s="3">
        <v>13.0</v>
      </c>
      <c r="C508" s="3" t="s">
        <v>685</v>
      </c>
      <c r="D508" s="3" t="s">
        <v>1369</v>
      </c>
      <c r="E508" s="3" t="s">
        <v>685</v>
      </c>
      <c r="F508" s="3">
        <v>1.0</v>
      </c>
      <c r="G508" s="3">
        <v>1.0</v>
      </c>
      <c r="H508" s="3">
        <v>1.0</v>
      </c>
      <c r="I508" s="3">
        <v>1.0</v>
      </c>
      <c r="J508" s="3">
        <v>1.0</v>
      </c>
      <c r="K508" s="3">
        <v>1.0</v>
      </c>
      <c r="L508" s="3">
        <v>1.0</v>
      </c>
      <c r="M508" s="3">
        <v>1.0</v>
      </c>
      <c r="N508" s="3">
        <v>1.0</v>
      </c>
      <c r="O508" s="3">
        <v>1.0</v>
      </c>
      <c r="P508" s="3">
        <v>1.0</v>
      </c>
      <c r="Q508" s="3">
        <v>0.0</v>
      </c>
      <c r="R508" s="3">
        <v>0.0</v>
      </c>
      <c r="S508" s="3">
        <v>0.0</v>
      </c>
      <c r="T508" s="3">
        <v>1.0</v>
      </c>
      <c r="U508" s="3">
        <v>0.0</v>
      </c>
      <c r="V508" s="3">
        <v>1.0</v>
      </c>
      <c r="W508" s="3" t="s">
        <v>760</v>
      </c>
      <c r="X508" s="3" t="s">
        <v>1464</v>
      </c>
      <c r="Y508" s="3" t="s">
        <v>1465</v>
      </c>
      <c r="Z508" s="3" t="s">
        <v>1372</v>
      </c>
      <c r="AA508" s="3" t="s">
        <v>1373</v>
      </c>
      <c r="AB508" s="3" t="s">
        <v>1374</v>
      </c>
      <c r="AC508" s="3" t="s">
        <v>1391</v>
      </c>
      <c r="AD508" s="3" t="s">
        <v>1466</v>
      </c>
      <c r="AE508" s="3" t="s">
        <v>1467</v>
      </c>
      <c r="AF508" s="3">
        <v>0.199</v>
      </c>
      <c r="AG508" s="3">
        <v>2.428</v>
      </c>
      <c r="AK508" s="3" t="s">
        <v>1468</v>
      </c>
      <c r="AM508" s="3" t="s">
        <v>1469</v>
      </c>
    </row>
    <row r="509" ht="15.75" customHeight="1">
      <c r="A509" s="3">
        <v>1.73032E12</v>
      </c>
      <c r="B509" s="3">
        <v>8.0</v>
      </c>
      <c r="C509" s="3" t="s">
        <v>2071</v>
      </c>
      <c r="D509" s="3" t="s">
        <v>1369</v>
      </c>
      <c r="E509" s="3" t="s">
        <v>2071</v>
      </c>
      <c r="F509" s="3">
        <v>1.0</v>
      </c>
      <c r="G509" s="3">
        <v>1.0</v>
      </c>
      <c r="H509" s="3">
        <v>1.0</v>
      </c>
      <c r="I509" s="3">
        <v>0.0</v>
      </c>
      <c r="J509" s="3">
        <v>0.0</v>
      </c>
      <c r="K509" s="3">
        <v>1.0</v>
      </c>
      <c r="L509" s="3">
        <v>1.0</v>
      </c>
      <c r="M509" s="3">
        <v>1.0</v>
      </c>
      <c r="N509" s="3">
        <v>0.0</v>
      </c>
      <c r="O509" s="3">
        <v>1.0</v>
      </c>
      <c r="P509" s="3">
        <v>1.0</v>
      </c>
      <c r="Q509" s="3">
        <v>0.0</v>
      </c>
      <c r="R509" s="3">
        <v>0.0</v>
      </c>
      <c r="S509" s="3">
        <v>0.0</v>
      </c>
      <c r="T509" s="3">
        <v>0.0</v>
      </c>
      <c r="U509" s="3">
        <v>0.0</v>
      </c>
      <c r="V509" s="3">
        <v>0.0</v>
      </c>
      <c r="W509" s="3" t="s">
        <v>91</v>
      </c>
      <c r="X509" s="3" t="s">
        <v>1605</v>
      </c>
      <c r="Y509" s="3" t="s">
        <v>1654</v>
      </c>
      <c r="Z509" s="3" t="s">
        <v>2072</v>
      </c>
      <c r="AA509" s="3" t="s">
        <v>1382</v>
      </c>
      <c r="AB509" s="3" t="s">
        <v>1374</v>
      </c>
      <c r="AC509" s="3" t="s">
        <v>1374</v>
      </c>
      <c r="AD509" s="3" t="s">
        <v>1606</v>
      </c>
      <c r="AE509" s="3" t="s">
        <v>2073</v>
      </c>
      <c r="AF509" s="3">
        <v>0.066</v>
      </c>
      <c r="AG509" s="3">
        <v>1.477</v>
      </c>
      <c r="AH509" s="3">
        <v>0.247</v>
      </c>
      <c r="AI509" s="3" t="s">
        <v>1519</v>
      </c>
      <c r="AK509" s="3" t="s">
        <v>2074</v>
      </c>
      <c r="AL509" s="3">
        <v>0.068</v>
      </c>
      <c r="AM509" s="3" t="s">
        <v>2075</v>
      </c>
    </row>
    <row r="510" ht="15.75" customHeight="1">
      <c r="A510" s="3">
        <v>1.7304E12</v>
      </c>
      <c r="B510" s="3">
        <v>10.0</v>
      </c>
      <c r="C510" s="3" t="s">
        <v>564</v>
      </c>
      <c r="D510" s="3" t="s">
        <v>1369</v>
      </c>
      <c r="E510" s="3" t="s">
        <v>564</v>
      </c>
      <c r="F510" s="3">
        <v>1.0</v>
      </c>
      <c r="G510" s="3">
        <v>1.0</v>
      </c>
      <c r="H510" s="3">
        <v>1.0</v>
      </c>
      <c r="I510" s="3">
        <v>1.0</v>
      </c>
      <c r="J510" s="3">
        <v>1.0</v>
      </c>
      <c r="K510" s="3">
        <v>1.0</v>
      </c>
      <c r="L510" s="3">
        <v>0.0</v>
      </c>
      <c r="M510" s="3">
        <v>0.0</v>
      </c>
      <c r="N510" s="3">
        <v>1.0</v>
      </c>
      <c r="O510" s="3">
        <v>1.0</v>
      </c>
      <c r="P510" s="3">
        <v>1.0</v>
      </c>
      <c r="Q510" s="3">
        <v>0.0</v>
      </c>
      <c r="R510" s="3">
        <v>0.0</v>
      </c>
      <c r="S510" s="3">
        <v>0.0</v>
      </c>
      <c r="T510" s="3">
        <v>0.0</v>
      </c>
      <c r="U510" s="3">
        <v>0.0</v>
      </c>
      <c r="V510" s="3">
        <v>1.0</v>
      </c>
      <c r="W510" s="3" t="s">
        <v>747</v>
      </c>
      <c r="X510" s="3" t="s">
        <v>1398</v>
      </c>
      <c r="Y510" s="3" t="s">
        <v>1399</v>
      </c>
      <c r="Z510" s="3" t="s">
        <v>1449</v>
      </c>
      <c r="AA510" s="3" t="s">
        <v>1373</v>
      </c>
      <c r="AB510" s="3" t="s">
        <v>1374</v>
      </c>
      <c r="AC510" s="3" t="s">
        <v>1391</v>
      </c>
      <c r="AD510" s="3" t="s">
        <v>1374</v>
      </c>
      <c r="AE510" s="3" t="s">
        <v>1402</v>
      </c>
      <c r="AF510" s="3">
        <v>0.006</v>
      </c>
      <c r="AG510" s="3">
        <v>0.07</v>
      </c>
      <c r="AH510" s="3">
        <v>0.203</v>
      </c>
      <c r="AI510" s="3">
        <v>33.27</v>
      </c>
      <c r="AJ510" s="3">
        <v>10.696</v>
      </c>
      <c r="AK510" s="3" t="s">
        <v>2076</v>
      </c>
      <c r="AL510" s="3">
        <v>0.519</v>
      </c>
      <c r="AM510" s="3" t="s">
        <v>1404</v>
      </c>
    </row>
    <row r="511" ht="15.75" customHeight="1">
      <c r="A511" s="3">
        <v>1.7304E12</v>
      </c>
      <c r="B511" s="3">
        <v>13.0</v>
      </c>
      <c r="C511" s="3" t="s">
        <v>958</v>
      </c>
      <c r="D511" s="3" t="s">
        <v>1369</v>
      </c>
      <c r="E511" s="3" t="s">
        <v>958</v>
      </c>
      <c r="F511" s="3">
        <v>1.0</v>
      </c>
      <c r="G511" s="3">
        <v>1.0</v>
      </c>
      <c r="H511" s="3">
        <v>1.0</v>
      </c>
      <c r="I511" s="3">
        <v>1.0</v>
      </c>
      <c r="J511" s="3">
        <v>1.0</v>
      </c>
      <c r="K511" s="3">
        <v>1.0</v>
      </c>
      <c r="L511" s="3">
        <v>1.0</v>
      </c>
      <c r="M511" s="3">
        <v>1.0</v>
      </c>
      <c r="N511" s="3">
        <v>1.0</v>
      </c>
      <c r="O511" s="3">
        <v>1.0</v>
      </c>
      <c r="P511" s="3">
        <v>1.0</v>
      </c>
      <c r="Q511" s="3">
        <v>0.0</v>
      </c>
      <c r="R511" s="3">
        <v>0.0</v>
      </c>
      <c r="S511" s="3">
        <v>0.0</v>
      </c>
      <c r="T511" s="3">
        <v>1.0</v>
      </c>
      <c r="U511" s="3">
        <v>0.0</v>
      </c>
      <c r="V511" s="3">
        <v>1.0</v>
      </c>
      <c r="W511" s="3" t="s">
        <v>160</v>
      </c>
      <c r="X511" s="3" t="s">
        <v>1456</v>
      </c>
      <c r="Y511" s="3" t="s">
        <v>1457</v>
      </c>
      <c r="Z511" s="3" t="s">
        <v>1423</v>
      </c>
      <c r="AA511" s="3" t="s">
        <v>1458</v>
      </c>
      <c r="AB511" s="3" t="s">
        <v>1374</v>
      </c>
      <c r="AC511" s="3" t="s">
        <v>1374</v>
      </c>
      <c r="AD511" s="3" t="s">
        <v>1392</v>
      </c>
      <c r="AE511" s="3" t="s">
        <v>1459</v>
      </c>
      <c r="AF511" s="3">
        <v>0.077</v>
      </c>
      <c r="AG511" s="3">
        <v>0.617</v>
      </c>
      <c r="AH511" s="3">
        <v>0.288</v>
      </c>
      <c r="AI511" s="3">
        <v>108.884</v>
      </c>
      <c r="AJ511" s="3">
        <v>8.393</v>
      </c>
      <c r="AK511" s="3" t="s">
        <v>1463</v>
      </c>
      <c r="AL511" s="3">
        <v>0.08</v>
      </c>
      <c r="AM511" s="3" t="s">
        <v>1461</v>
      </c>
    </row>
    <row r="512" ht="15.75" customHeight="1">
      <c r="A512" s="3">
        <v>1.73038E12</v>
      </c>
      <c r="B512" s="3">
        <v>17.0</v>
      </c>
      <c r="C512" s="3" t="s">
        <v>56</v>
      </c>
      <c r="D512" s="3" t="s">
        <v>1369</v>
      </c>
      <c r="E512" s="3" t="s">
        <v>56</v>
      </c>
      <c r="F512" s="3">
        <v>1.0</v>
      </c>
      <c r="G512" s="3">
        <v>1.0</v>
      </c>
      <c r="H512" s="3">
        <v>1.0</v>
      </c>
      <c r="I512" s="3">
        <v>1.0</v>
      </c>
      <c r="J512" s="3">
        <v>1.0</v>
      </c>
      <c r="K512" s="3">
        <v>1.0</v>
      </c>
      <c r="L512" s="3">
        <v>1.0</v>
      </c>
      <c r="M512" s="3">
        <v>1.0</v>
      </c>
      <c r="N512" s="3">
        <v>1.0</v>
      </c>
      <c r="O512" s="3">
        <v>1.0</v>
      </c>
      <c r="P512" s="3">
        <v>1.0</v>
      </c>
      <c r="Q512" s="3">
        <v>1.0</v>
      </c>
      <c r="R512" s="3">
        <v>1.0</v>
      </c>
      <c r="S512" s="3">
        <v>1.0</v>
      </c>
      <c r="T512" s="3">
        <v>1.0</v>
      </c>
      <c r="U512" s="3">
        <v>1.0</v>
      </c>
      <c r="V512" s="3">
        <v>1.0</v>
      </c>
      <c r="W512" s="3" t="s">
        <v>119</v>
      </c>
      <c r="X512" s="3" t="s">
        <v>1370</v>
      </c>
      <c r="Y512" s="3" t="s">
        <v>1371</v>
      </c>
      <c r="Z512" s="3" t="s">
        <v>1372</v>
      </c>
      <c r="AA512" s="3" t="s">
        <v>1373</v>
      </c>
      <c r="AB512" s="3" t="s">
        <v>1374</v>
      </c>
      <c r="AC512" s="3" t="s">
        <v>1374</v>
      </c>
      <c r="AD512" s="3" t="s">
        <v>1375</v>
      </c>
      <c r="AE512" s="3" t="s">
        <v>1376</v>
      </c>
      <c r="AF512" s="3">
        <v>0.555</v>
      </c>
      <c r="AG512" s="3">
        <v>2.825</v>
      </c>
      <c r="AH512" s="3" t="s">
        <v>1394</v>
      </c>
      <c r="AI512" s="3" t="s">
        <v>1394</v>
      </c>
      <c r="AJ512" s="3">
        <v>7.238</v>
      </c>
      <c r="AK512" s="3" t="s">
        <v>1377</v>
      </c>
      <c r="AL512" s="3" t="s">
        <v>1394</v>
      </c>
      <c r="AM512" s="3" t="s">
        <v>1509</v>
      </c>
    </row>
    <row r="513" ht="15.75" customHeight="1">
      <c r="A513" s="3">
        <v>1.7304E12</v>
      </c>
      <c r="B513" s="3">
        <v>17.0</v>
      </c>
      <c r="C513" s="3" t="s">
        <v>578</v>
      </c>
      <c r="D513" s="3" t="s">
        <v>1369</v>
      </c>
      <c r="E513" s="3" t="s">
        <v>578</v>
      </c>
      <c r="F513" s="3">
        <v>1.0</v>
      </c>
      <c r="G513" s="3">
        <v>1.0</v>
      </c>
      <c r="H513" s="3">
        <v>1.0</v>
      </c>
      <c r="I513" s="3">
        <v>1.0</v>
      </c>
      <c r="J513" s="3">
        <v>1.0</v>
      </c>
      <c r="K513" s="3">
        <v>1.0</v>
      </c>
      <c r="L513" s="3">
        <v>1.0</v>
      </c>
      <c r="M513" s="3">
        <v>1.0</v>
      </c>
      <c r="N513" s="3">
        <v>1.0</v>
      </c>
      <c r="O513" s="3">
        <v>1.0</v>
      </c>
      <c r="P513" s="3">
        <v>1.0</v>
      </c>
      <c r="Q513" s="3">
        <v>1.0</v>
      </c>
      <c r="R513" s="3">
        <v>1.0</v>
      </c>
      <c r="S513" s="3">
        <v>1.0</v>
      </c>
      <c r="T513" s="3">
        <v>1.0</v>
      </c>
      <c r="U513" s="3">
        <v>1.0</v>
      </c>
      <c r="V513" s="3">
        <v>1.0</v>
      </c>
      <c r="W513" s="3" t="s">
        <v>57</v>
      </c>
      <c r="X513" s="3" t="s">
        <v>1464</v>
      </c>
      <c r="Y513" s="3" t="s">
        <v>1465</v>
      </c>
      <c r="Z513" s="3" t="s">
        <v>1372</v>
      </c>
      <c r="AA513" s="3" t="s">
        <v>1373</v>
      </c>
      <c r="AB513" s="3" t="s">
        <v>1374</v>
      </c>
      <c r="AC513" s="3" t="s">
        <v>1391</v>
      </c>
      <c r="AD513" s="3" t="s">
        <v>1497</v>
      </c>
      <c r="AE513" s="3" t="s">
        <v>1467</v>
      </c>
      <c r="AF513" s="3">
        <v>0.203</v>
      </c>
      <c r="AG513" s="3">
        <v>2.5</v>
      </c>
      <c r="AH513" s="3">
        <v>0.311</v>
      </c>
      <c r="AI513" s="3">
        <v>12.951</v>
      </c>
      <c r="AJ513" s="3">
        <v>-3.778</v>
      </c>
      <c r="AK513" s="3" t="s">
        <v>1549</v>
      </c>
      <c r="AL513" s="3">
        <v>0.082</v>
      </c>
      <c r="AM513" s="3" t="s">
        <v>1469</v>
      </c>
    </row>
    <row r="514" ht="15.75" customHeight="1">
      <c r="A514" s="3">
        <v>1.73032E12</v>
      </c>
      <c r="B514" s="3">
        <v>17.0</v>
      </c>
      <c r="C514" s="3" t="s">
        <v>528</v>
      </c>
      <c r="D514" s="3" t="s">
        <v>1369</v>
      </c>
      <c r="E514" s="3" t="s">
        <v>528</v>
      </c>
      <c r="F514" s="3">
        <v>1.0</v>
      </c>
      <c r="G514" s="3">
        <v>1.0</v>
      </c>
      <c r="H514" s="3">
        <v>1.0</v>
      </c>
      <c r="I514" s="3">
        <v>1.0</v>
      </c>
      <c r="J514" s="3">
        <v>1.0</v>
      </c>
      <c r="K514" s="3">
        <v>1.0</v>
      </c>
      <c r="L514" s="3">
        <v>1.0</v>
      </c>
      <c r="M514" s="3">
        <v>1.0</v>
      </c>
      <c r="N514" s="3">
        <v>1.0</v>
      </c>
      <c r="O514" s="3">
        <v>1.0</v>
      </c>
      <c r="P514" s="3">
        <v>1.0</v>
      </c>
      <c r="Q514" s="3">
        <v>1.0</v>
      </c>
      <c r="R514" s="3">
        <v>1.0</v>
      </c>
      <c r="S514" s="3">
        <v>1.0</v>
      </c>
      <c r="T514" s="3">
        <v>1.0</v>
      </c>
      <c r="U514" s="3">
        <v>1.0</v>
      </c>
      <c r="V514" s="3">
        <v>1.0</v>
      </c>
      <c r="W514" s="3" t="s">
        <v>1211</v>
      </c>
      <c r="X514" s="3" t="s">
        <v>1388</v>
      </c>
      <c r="Y514" s="3" t="s">
        <v>1389</v>
      </c>
      <c r="Z514" s="3" t="s">
        <v>1372</v>
      </c>
      <c r="AA514" s="3" t="s">
        <v>1390</v>
      </c>
      <c r="AB514" s="3" t="s">
        <v>1374</v>
      </c>
      <c r="AC514" s="3" t="s">
        <v>1391</v>
      </c>
      <c r="AD514" s="3" t="s">
        <v>1392</v>
      </c>
      <c r="AE514" s="3" t="s">
        <v>1393</v>
      </c>
      <c r="AF514" s="3">
        <v>0.072</v>
      </c>
      <c r="AG514" s="3">
        <v>1.043</v>
      </c>
      <c r="AH514" s="3" t="s">
        <v>1394</v>
      </c>
      <c r="AI514" s="3" t="s">
        <v>1394</v>
      </c>
      <c r="AJ514" s="3">
        <v>13.478</v>
      </c>
      <c r="AK514" s="3" t="s">
        <v>1685</v>
      </c>
      <c r="AL514" s="3" t="s">
        <v>1394</v>
      </c>
      <c r="AM514" s="3" t="s">
        <v>1686</v>
      </c>
    </row>
    <row r="515" ht="15.75" customHeight="1">
      <c r="A515" s="3">
        <v>1.73035E12</v>
      </c>
      <c r="B515" s="3">
        <v>17.0</v>
      </c>
      <c r="C515" s="3" t="s">
        <v>62</v>
      </c>
      <c r="D515" s="3" t="s">
        <v>1369</v>
      </c>
      <c r="E515" s="3" t="s">
        <v>62</v>
      </c>
      <c r="F515" s="3">
        <v>1.0</v>
      </c>
      <c r="G515" s="3">
        <v>1.0</v>
      </c>
      <c r="H515" s="3">
        <v>1.0</v>
      </c>
      <c r="I515" s="3">
        <v>1.0</v>
      </c>
      <c r="J515" s="3">
        <v>1.0</v>
      </c>
      <c r="K515" s="3">
        <v>1.0</v>
      </c>
      <c r="L515" s="3">
        <v>1.0</v>
      </c>
      <c r="M515" s="3">
        <v>1.0</v>
      </c>
      <c r="N515" s="3">
        <v>1.0</v>
      </c>
      <c r="O515" s="3">
        <v>1.0</v>
      </c>
      <c r="P515" s="3">
        <v>1.0</v>
      </c>
      <c r="Q515" s="3">
        <v>1.0</v>
      </c>
      <c r="R515" s="3">
        <v>1.0</v>
      </c>
      <c r="S515" s="3">
        <v>1.0</v>
      </c>
      <c r="T515" s="3">
        <v>1.0</v>
      </c>
      <c r="U515" s="3">
        <v>1.0</v>
      </c>
      <c r="V515" s="3">
        <v>1.0</v>
      </c>
      <c r="W515" s="3" t="s">
        <v>1191</v>
      </c>
      <c r="X515" s="3" t="s">
        <v>1483</v>
      </c>
      <c r="Y515" s="3" t="s">
        <v>1484</v>
      </c>
      <c r="Z515" s="3" t="s">
        <v>1372</v>
      </c>
      <c r="AA515" s="3" t="s">
        <v>1373</v>
      </c>
      <c r="AB515" s="3" t="s">
        <v>1374</v>
      </c>
      <c r="AC515" s="3" t="s">
        <v>1374</v>
      </c>
      <c r="AD515" s="3" t="s">
        <v>1485</v>
      </c>
      <c r="AE515" s="3" t="s">
        <v>1486</v>
      </c>
      <c r="AF515" s="3">
        <v>0.019</v>
      </c>
      <c r="AG515" s="3">
        <v>0.319</v>
      </c>
      <c r="AH515" s="3">
        <v>0.401</v>
      </c>
      <c r="AI515" s="3">
        <v>46.144</v>
      </c>
      <c r="AJ515" s="3">
        <v>29.162</v>
      </c>
      <c r="AK515" s="3" t="s">
        <v>1688</v>
      </c>
      <c r="AL515" s="3">
        <v>-0.001</v>
      </c>
      <c r="AM515" s="3" t="s">
        <v>1573</v>
      </c>
    </row>
    <row r="516" ht="15.75" customHeight="1">
      <c r="A516" s="3">
        <v>1.73037E12</v>
      </c>
      <c r="B516" s="3">
        <v>17.0</v>
      </c>
      <c r="C516" s="3" t="s">
        <v>659</v>
      </c>
      <c r="D516" s="3" t="s">
        <v>1369</v>
      </c>
      <c r="E516" s="3" t="s">
        <v>659</v>
      </c>
      <c r="F516" s="3">
        <v>1.0</v>
      </c>
      <c r="G516" s="3">
        <v>1.0</v>
      </c>
      <c r="H516" s="3">
        <v>1.0</v>
      </c>
      <c r="I516" s="3">
        <v>1.0</v>
      </c>
      <c r="J516" s="3">
        <v>1.0</v>
      </c>
      <c r="K516" s="3">
        <v>1.0</v>
      </c>
      <c r="L516" s="3">
        <v>1.0</v>
      </c>
      <c r="M516" s="3">
        <v>1.0</v>
      </c>
      <c r="N516" s="3">
        <v>1.0</v>
      </c>
      <c r="O516" s="3">
        <v>1.0</v>
      </c>
      <c r="P516" s="3">
        <v>1.0</v>
      </c>
      <c r="Q516" s="3">
        <v>1.0</v>
      </c>
      <c r="R516" s="3">
        <v>1.0</v>
      </c>
      <c r="S516" s="3">
        <v>1.0</v>
      </c>
      <c r="T516" s="3">
        <v>1.0</v>
      </c>
      <c r="U516" s="3">
        <v>1.0</v>
      </c>
      <c r="V516" s="3">
        <v>1.0</v>
      </c>
      <c r="W516" s="3" t="s">
        <v>749</v>
      </c>
      <c r="X516" s="3" t="s">
        <v>1489</v>
      </c>
      <c r="Y516" s="3" t="s">
        <v>1571</v>
      </c>
      <c r="Z516" s="3" t="s">
        <v>1423</v>
      </c>
      <c r="AA516" s="3" t="s">
        <v>1491</v>
      </c>
      <c r="AB516" s="3" t="s">
        <v>1374</v>
      </c>
      <c r="AC516" s="3" t="s">
        <v>1451</v>
      </c>
      <c r="AD516" s="3" t="s">
        <v>1492</v>
      </c>
      <c r="AE516" s="3" t="s">
        <v>1493</v>
      </c>
      <c r="AF516" s="3">
        <v>0.056</v>
      </c>
      <c r="AG516" s="3">
        <v>0.256</v>
      </c>
      <c r="AH516" s="3">
        <v>0.372</v>
      </c>
      <c r="AI516" s="3">
        <v>-14.888</v>
      </c>
      <c r="AJ516" s="3">
        <v>8.082</v>
      </c>
      <c r="AK516" s="3" t="s">
        <v>1561</v>
      </c>
      <c r="AL516" s="3">
        <v>0.134</v>
      </c>
      <c r="AM516" s="3" t="s">
        <v>1495</v>
      </c>
    </row>
    <row r="517" ht="15.75" customHeight="1">
      <c r="A517" s="3">
        <v>1.73038E12</v>
      </c>
      <c r="B517" s="3">
        <v>15.0</v>
      </c>
      <c r="C517" s="3" t="s">
        <v>2077</v>
      </c>
      <c r="D517" s="3" t="s">
        <v>1369</v>
      </c>
      <c r="E517" s="3" t="s">
        <v>2077</v>
      </c>
      <c r="F517" s="3">
        <v>1.0</v>
      </c>
      <c r="G517" s="3">
        <v>1.0</v>
      </c>
      <c r="H517" s="3">
        <v>1.0</v>
      </c>
      <c r="I517" s="3">
        <v>1.0</v>
      </c>
      <c r="J517" s="3">
        <v>1.0</v>
      </c>
      <c r="K517" s="3">
        <v>1.0</v>
      </c>
      <c r="L517" s="3">
        <v>1.0</v>
      </c>
      <c r="M517" s="3">
        <v>1.0</v>
      </c>
      <c r="N517" s="3">
        <v>1.0</v>
      </c>
      <c r="O517" s="3">
        <v>1.0</v>
      </c>
      <c r="P517" s="3">
        <v>1.0</v>
      </c>
      <c r="Q517" s="3">
        <v>1.0</v>
      </c>
      <c r="R517" s="3">
        <v>1.0</v>
      </c>
      <c r="S517" s="3">
        <v>0.0</v>
      </c>
      <c r="T517" s="3">
        <v>0.0</v>
      </c>
      <c r="U517" s="3">
        <v>1.0</v>
      </c>
      <c r="V517" s="3">
        <v>1.0</v>
      </c>
      <c r="W517" s="3" t="s">
        <v>101</v>
      </c>
      <c r="X517" s="3" t="s">
        <v>1476</v>
      </c>
      <c r="Y517" s="3" t="s">
        <v>1477</v>
      </c>
      <c r="Z517" s="3" t="s">
        <v>1449</v>
      </c>
      <c r="AA517" s="3" t="s">
        <v>1415</v>
      </c>
      <c r="AB517" s="3" t="s">
        <v>1374</v>
      </c>
      <c r="AC517" s="3" t="s">
        <v>1508</v>
      </c>
      <c r="AD517" s="3" t="s">
        <v>1391</v>
      </c>
      <c r="AE517" s="3" t="s">
        <v>1479</v>
      </c>
      <c r="AF517" s="3">
        <v>0.033</v>
      </c>
      <c r="AG517" s="3">
        <v>0.657</v>
      </c>
      <c r="AH517" s="3">
        <v>0.484</v>
      </c>
      <c r="AI517" s="3" t="s">
        <v>1394</v>
      </c>
      <c r="AJ517" s="3">
        <v>0.101</v>
      </c>
      <c r="AK517" s="3" t="s">
        <v>2078</v>
      </c>
      <c r="AL517" s="3" t="s">
        <v>1394</v>
      </c>
      <c r="AM517" s="3" t="s">
        <v>1419</v>
      </c>
    </row>
    <row r="518" ht="15.75" customHeight="1">
      <c r="A518" s="3">
        <v>1.73039E12</v>
      </c>
      <c r="B518" s="3">
        <v>14.0</v>
      </c>
      <c r="C518" s="3" t="s">
        <v>153</v>
      </c>
      <c r="D518" s="3" t="s">
        <v>1369</v>
      </c>
      <c r="E518" s="3" t="s">
        <v>153</v>
      </c>
      <c r="F518" s="3">
        <v>1.0</v>
      </c>
      <c r="G518" s="3">
        <v>1.0</v>
      </c>
      <c r="H518" s="3">
        <v>1.0</v>
      </c>
      <c r="I518" s="3">
        <v>1.0</v>
      </c>
      <c r="J518" s="3">
        <v>1.0</v>
      </c>
      <c r="K518" s="3">
        <v>1.0</v>
      </c>
      <c r="L518" s="3">
        <v>1.0</v>
      </c>
      <c r="M518" s="3">
        <v>1.0</v>
      </c>
      <c r="N518" s="3">
        <v>1.0</v>
      </c>
      <c r="O518" s="3">
        <v>0.0</v>
      </c>
      <c r="P518" s="3">
        <v>0.0</v>
      </c>
      <c r="Q518" s="3">
        <v>1.0</v>
      </c>
      <c r="R518" s="3">
        <v>1.0</v>
      </c>
      <c r="S518" s="3">
        <v>0.0</v>
      </c>
      <c r="T518" s="3">
        <v>1.0</v>
      </c>
      <c r="U518" s="3">
        <v>1.0</v>
      </c>
      <c r="V518" s="3">
        <v>1.0</v>
      </c>
      <c r="W518" s="3" t="s">
        <v>134</v>
      </c>
      <c r="X518" s="3" t="s">
        <v>1634</v>
      </c>
      <c r="Y518" s="3" t="s">
        <v>1635</v>
      </c>
      <c r="Z518" s="3" t="s">
        <v>1372</v>
      </c>
      <c r="AA518" s="3" t="s">
        <v>1636</v>
      </c>
      <c r="AB518" s="3" t="s">
        <v>1374</v>
      </c>
      <c r="AC518" s="3" t="s">
        <v>1391</v>
      </c>
      <c r="AD518" s="3" t="s">
        <v>1680</v>
      </c>
      <c r="AE518" s="3" t="s">
        <v>1637</v>
      </c>
      <c r="AF518" s="3" t="s">
        <v>1394</v>
      </c>
      <c r="AG518" s="3" t="s">
        <v>1394</v>
      </c>
      <c r="AH518" s="3" t="s">
        <v>1394</v>
      </c>
      <c r="AI518" s="3" t="s">
        <v>1394</v>
      </c>
      <c r="AJ518" s="3">
        <v>11.023</v>
      </c>
      <c r="AK518" s="3" t="s">
        <v>1828</v>
      </c>
      <c r="AL518" s="3" t="s">
        <v>1394</v>
      </c>
      <c r="AM518" s="3" t="s">
        <v>1469</v>
      </c>
    </row>
    <row r="519" ht="15.75" customHeight="1">
      <c r="A519" s="3">
        <v>1.7304E12</v>
      </c>
      <c r="B519" s="3">
        <v>13.0</v>
      </c>
      <c r="C519" s="3" t="s">
        <v>159</v>
      </c>
      <c r="D519" s="3" t="s">
        <v>1369</v>
      </c>
      <c r="E519" s="3" t="s">
        <v>159</v>
      </c>
      <c r="F519" s="3">
        <v>1.0</v>
      </c>
      <c r="G519" s="3">
        <v>1.0</v>
      </c>
      <c r="H519" s="3">
        <v>1.0</v>
      </c>
      <c r="I519" s="3">
        <v>1.0</v>
      </c>
      <c r="J519" s="3">
        <v>1.0</v>
      </c>
      <c r="K519" s="3">
        <v>1.0</v>
      </c>
      <c r="L519" s="3">
        <v>1.0</v>
      </c>
      <c r="M519" s="3">
        <v>1.0</v>
      </c>
      <c r="N519" s="3">
        <v>1.0</v>
      </c>
      <c r="O519" s="3">
        <v>1.0</v>
      </c>
      <c r="P519" s="3">
        <v>1.0</v>
      </c>
      <c r="Q519" s="3">
        <v>0.0</v>
      </c>
      <c r="R519" s="3">
        <v>0.0</v>
      </c>
      <c r="S519" s="3">
        <v>0.0</v>
      </c>
      <c r="T519" s="3">
        <v>1.0</v>
      </c>
      <c r="U519" s="3">
        <v>0.0</v>
      </c>
      <c r="V519" s="3">
        <v>1.0</v>
      </c>
      <c r="W519" s="3" t="s">
        <v>95</v>
      </c>
      <c r="X519" s="3" t="s">
        <v>1542</v>
      </c>
      <c r="Y519" s="3" t="s">
        <v>1543</v>
      </c>
      <c r="Z519" s="3" t="s">
        <v>1423</v>
      </c>
      <c r="AA519" s="3" t="s">
        <v>1544</v>
      </c>
      <c r="AB519" s="3" t="s">
        <v>1374</v>
      </c>
      <c r="AC519" s="3" t="s">
        <v>1451</v>
      </c>
      <c r="AD519" s="3" t="s">
        <v>1545</v>
      </c>
      <c r="AE519" s="3" t="s">
        <v>1546</v>
      </c>
      <c r="AF519" s="3">
        <v>0.035</v>
      </c>
      <c r="AG519" s="3">
        <v>0.068</v>
      </c>
      <c r="AH519" s="3">
        <v>0.252</v>
      </c>
      <c r="AI519" s="3">
        <v>54.063</v>
      </c>
      <c r="AJ519" s="3">
        <v>10.307</v>
      </c>
      <c r="AK519" s="3" t="s">
        <v>1604</v>
      </c>
      <c r="AL519" s="3">
        <v>0.042</v>
      </c>
      <c r="AM519" s="3" t="s">
        <v>1548</v>
      </c>
    </row>
    <row r="520" ht="15.75" customHeight="1">
      <c r="A520" s="3">
        <v>1.73039E12</v>
      </c>
      <c r="B520" s="3">
        <v>17.0</v>
      </c>
      <c r="C520" s="3" t="s">
        <v>905</v>
      </c>
      <c r="D520" s="3" t="s">
        <v>1369</v>
      </c>
      <c r="E520" s="3" t="s">
        <v>905</v>
      </c>
      <c r="F520" s="3">
        <v>1.0</v>
      </c>
      <c r="G520" s="3">
        <v>1.0</v>
      </c>
      <c r="H520" s="3">
        <v>1.0</v>
      </c>
      <c r="I520" s="3">
        <v>1.0</v>
      </c>
      <c r="J520" s="3">
        <v>1.0</v>
      </c>
      <c r="K520" s="3">
        <v>1.0</v>
      </c>
      <c r="L520" s="3">
        <v>1.0</v>
      </c>
      <c r="M520" s="3">
        <v>1.0</v>
      </c>
      <c r="N520" s="3">
        <v>1.0</v>
      </c>
      <c r="O520" s="3">
        <v>1.0</v>
      </c>
      <c r="P520" s="3">
        <v>1.0</v>
      </c>
      <c r="Q520" s="3">
        <v>1.0</v>
      </c>
      <c r="R520" s="3">
        <v>1.0</v>
      </c>
      <c r="S520" s="3">
        <v>1.0</v>
      </c>
      <c r="T520" s="3">
        <v>1.0</v>
      </c>
      <c r="U520" s="3">
        <v>1.0</v>
      </c>
      <c r="V520" s="3">
        <v>1.0</v>
      </c>
      <c r="W520" s="3" t="s">
        <v>1005</v>
      </c>
      <c r="X520" s="3" t="s">
        <v>1405</v>
      </c>
      <c r="Y520" s="3" t="s">
        <v>1406</v>
      </c>
      <c r="Z520" s="3" t="s">
        <v>1372</v>
      </c>
      <c r="AA520" s="3" t="s">
        <v>1407</v>
      </c>
      <c r="AB520" s="3" t="s">
        <v>1374</v>
      </c>
      <c r="AC520" s="3" t="s">
        <v>1400</v>
      </c>
      <c r="AD520" s="3" t="s">
        <v>1506</v>
      </c>
      <c r="AE520" s="3" t="s">
        <v>1409</v>
      </c>
      <c r="AF520" s="3">
        <v>-0.017</v>
      </c>
      <c r="AG520" s="3">
        <v>-0.05</v>
      </c>
      <c r="AH520" s="3">
        <v>0.162</v>
      </c>
      <c r="AI520" s="3">
        <v>-173.813</v>
      </c>
      <c r="AJ520" s="3">
        <v>11.023</v>
      </c>
      <c r="AK520" s="3" t="s">
        <v>1535</v>
      </c>
      <c r="AL520" s="3">
        <v>0.256</v>
      </c>
      <c r="AM520" s="3" t="s">
        <v>1411</v>
      </c>
    </row>
    <row r="521" ht="15.75" customHeight="1">
      <c r="A521" s="3">
        <v>1.73039E12</v>
      </c>
      <c r="B521" s="3">
        <v>17.0</v>
      </c>
      <c r="C521" s="3" t="s">
        <v>763</v>
      </c>
      <c r="D521" s="3" t="s">
        <v>1369</v>
      </c>
      <c r="E521" s="3" t="s">
        <v>763</v>
      </c>
      <c r="F521" s="3">
        <v>1.0</v>
      </c>
      <c r="G521" s="3">
        <v>1.0</v>
      </c>
      <c r="H521" s="3">
        <v>1.0</v>
      </c>
      <c r="I521" s="3">
        <v>1.0</v>
      </c>
      <c r="J521" s="3">
        <v>1.0</v>
      </c>
      <c r="K521" s="3">
        <v>1.0</v>
      </c>
      <c r="L521" s="3">
        <v>1.0</v>
      </c>
      <c r="M521" s="3">
        <v>1.0</v>
      </c>
      <c r="N521" s="3">
        <v>1.0</v>
      </c>
      <c r="O521" s="3">
        <v>1.0</v>
      </c>
      <c r="P521" s="3">
        <v>1.0</v>
      </c>
      <c r="Q521" s="3">
        <v>1.0</v>
      </c>
      <c r="R521" s="3">
        <v>1.0</v>
      </c>
      <c r="S521" s="3">
        <v>1.0</v>
      </c>
      <c r="T521" s="3">
        <v>1.0</v>
      </c>
      <c r="U521" s="3">
        <v>1.0</v>
      </c>
      <c r="V521" s="3">
        <v>1.0</v>
      </c>
      <c r="W521" s="3" t="s">
        <v>1074</v>
      </c>
      <c r="X521" s="3" t="s">
        <v>1605</v>
      </c>
      <c r="Y521" s="3" t="s">
        <v>1654</v>
      </c>
      <c r="Z521" s="3" t="s">
        <v>1423</v>
      </c>
      <c r="AA521" s="3" t="s">
        <v>1382</v>
      </c>
      <c r="AB521" s="3" t="s">
        <v>1391</v>
      </c>
      <c r="AC521" s="3" t="s">
        <v>1374</v>
      </c>
      <c r="AD521" s="3" t="s">
        <v>1655</v>
      </c>
      <c r="AE521" s="3" t="s">
        <v>1656</v>
      </c>
      <c r="AF521" s="3">
        <v>0.065</v>
      </c>
      <c r="AG521" s="3">
        <v>1.477</v>
      </c>
      <c r="AH521" s="3">
        <v>0.312</v>
      </c>
      <c r="AI521" s="3">
        <v>-844.119</v>
      </c>
      <c r="AJ521" s="3">
        <v>40.899</v>
      </c>
      <c r="AK521" s="3" t="s">
        <v>1657</v>
      </c>
      <c r="AL521" s="3">
        <v>0.068</v>
      </c>
      <c r="AM521" s="3" t="s">
        <v>1608</v>
      </c>
    </row>
    <row r="522" ht="15.75" customHeight="1">
      <c r="A522" s="3">
        <v>1.73039E12</v>
      </c>
      <c r="B522" s="3">
        <v>17.0</v>
      </c>
      <c r="C522" s="3" t="s">
        <v>261</v>
      </c>
      <c r="D522" s="3" t="s">
        <v>1369</v>
      </c>
      <c r="E522" s="3" t="s">
        <v>261</v>
      </c>
      <c r="F522" s="3">
        <v>1.0</v>
      </c>
      <c r="G522" s="3">
        <v>1.0</v>
      </c>
      <c r="H522" s="3">
        <v>1.0</v>
      </c>
      <c r="I522" s="3">
        <v>1.0</v>
      </c>
      <c r="J522" s="3">
        <v>1.0</v>
      </c>
      <c r="K522" s="3">
        <v>1.0</v>
      </c>
      <c r="L522" s="3">
        <v>1.0</v>
      </c>
      <c r="M522" s="3">
        <v>1.0</v>
      </c>
      <c r="N522" s="3">
        <v>1.0</v>
      </c>
      <c r="O522" s="3">
        <v>1.0</v>
      </c>
      <c r="P522" s="3">
        <v>1.0</v>
      </c>
      <c r="Q522" s="3">
        <v>1.0</v>
      </c>
      <c r="R522" s="3">
        <v>1.0</v>
      </c>
      <c r="S522" s="3">
        <v>1.0</v>
      </c>
      <c r="T522" s="3">
        <v>1.0</v>
      </c>
      <c r="U522" s="3">
        <v>1.0</v>
      </c>
      <c r="V522" s="3">
        <v>1.0</v>
      </c>
      <c r="W522" s="3" t="s">
        <v>1078</v>
      </c>
      <c r="X522" s="3" t="s">
        <v>1429</v>
      </c>
      <c r="Y522" s="3" t="s">
        <v>1430</v>
      </c>
      <c r="Z522" s="3" t="s">
        <v>1423</v>
      </c>
      <c r="AA522" s="3" t="s">
        <v>1432</v>
      </c>
      <c r="AB522" s="3" t="s">
        <v>1374</v>
      </c>
      <c r="AC522" s="3" t="s">
        <v>1391</v>
      </c>
      <c r="AD522" s="3" t="s">
        <v>1433</v>
      </c>
      <c r="AE522" s="3" t="s">
        <v>1434</v>
      </c>
      <c r="AF522" s="3">
        <v>0.168</v>
      </c>
      <c r="AG522" s="3">
        <v>1.189</v>
      </c>
      <c r="AH522" s="3">
        <v>0.326</v>
      </c>
      <c r="AI522" s="3">
        <v>111.508</v>
      </c>
      <c r="AJ522" s="3">
        <v>-4.916</v>
      </c>
      <c r="AK522" s="3" t="s">
        <v>1481</v>
      </c>
      <c r="AL522" s="3">
        <v>0.118</v>
      </c>
      <c r="AM522" s="3" t="s">
        <v>1436</v>
      </c>
    </row>
    <row r="523" ht="15.75" customHeight="1">
      <c r="A523" s="3">
        <v>1.73038E12</v>
      </c>
      <c r="B523" s="3">
        <v>16.0</v>
      </c>
      <c r="C523" s="3" t="s">
        <v>555</v>
      </c>
      <c r="D523" s="3" t="s">
        <v>1369</v>
      </c>
      <c r="E523" s="3" t="s">
        <v>555</v>
      </c>
      <c r="F523" s="3">
        <v>1.0</v>
      </c>
      <c r="G523" s="3">
        <v>1.0</v>
      </c>
      <c r="H523" s="3">
        <v>1.0</v>
      </c>
      <c r="I523" s="3">
        <v>1.0</v>
      </c>
      <c r="J523" s="3">
        <v>1.0</v>
      </c>
      <c r="K523" s="3">
        <v>1.0</v>
      </c>
      <c r="L523" s="3">
        <v>1.0</v>
      </c>
      <c r="M523" s="3">
        <v>1.0</v>
      </c>
      <c r="N523" s="3">
        <v>1.0</v>
      </c>
      <c r="O523" s="3">
        <v>1.0</v>
      </c>
      <c r="P523" s="3">
        <v>1.0</v>
      </c>
      <c r="Q523" s="3">
        <v>1.0</v>
      </c>
      <c r="R523" s="3">
        <v>1.0</v>
      </c>
      <c r="S523" s="3">
        <v>0.0</v>
      </c>
      <c r="T523" s="3">
        <v>1.0</v>
      </c>
      <c r="U523" s="3">
        <v>1.0</v>
      </c>
      <c r="V523" s="3">
        <v>1.0</v>
      </c>
      <c r="W523" s="3" t="s">
        <v>1187</v>
      </c>
      <c r="X523" s="3" t="s">
        <v>1521</v>
      </c>
      <c r="Y523" s="3" t="s">
        <v>1522</v>
      </c>
      <c r="Z523" s="3" t="s">
        <v>1372</v>
      </c>
      <c r="AA523" s="3" t="s">
        <v>1523</v>
      </c>
      <c r="AB523" s="3" t="s">
        <v>1374</v>
      </c>
      <c r="AC523" s="3" t="s">
        <v>1374</v>
      </c>
      <c r="AD523" s="3" t="s">
        <v>1524</v>
      </c>
      <c r="AE523" s="3" t="s">
        <v>1525</v>
      </c>
      <c r="AF523" s="3">
        <v>0.028</v>
      </c>
      <c r="AG523" s="3">
        <v>0.067</v>
      </c>
      <c r="AH523" s="3">
        <v>0.433</v>
      </c>
      <c r="AI523" s="3">
        <v>1067.538</v>
      </c>
      <c r="AJ523" s="3">
        <v>-0.026</v>
      </c>
      <c r="AK523" s="3" t="s">
        <v>1526</v>
      </c>
      <c r="AL523" s="3">
        <v>0.067</v>
      </c>
      <c r="AM523" s="3" t="s">
        <v>1527</v>
      </c>
    </row>
    <row r="524" ht="15.75" customHeight="1">
      <c r="A524" s="3">
        <v>1.73036E12</v>
      </c>
      <c r="B524" s="3">
        <v>15.0</v>
      </c>
      <c r="C524" s="3" t="s">
        <v>799</v>
      </c>
      <c r="D524" s="3" t="s">
        <v>1369</v>
      </c>
      <c r="E524" s="3" t="s">
        <v>799</v>
      </c>
      <c r="F524" s="3">
        <v>1.0</v>
      </c>
      <c r="G524" s="3">
        <v>1.0</v>
      </c>
      <c r="H524" s="3">
        <v>1.0</v>
      </c>
      <c r="I524" s="3">
        <v>1.0</v>
      </c>
      <c r="J524" s="3">
        <v>1.0</v>
      </c>
      <c r="K524" s="3">
        <v>1.0</v>
      </c>
      <c r="L524" s="3">
        <v>1.0</v>
      </c>
      <c r="M524" s="3">
        <v>1.0</v>
      </c>
      <c r="N524" s="3">
        <v>1.0</v>
      </c>
      <c r="O524" s="3">
        <v>1.0</v>
      </c>
      <c r="P524" s="3">
        <v>1.0</v>
      </c>
      <c r="Q524" s="3">
        <v>1.0</v>
      </c>
      <c r="R524" s="3">
        <v>1.0</v>
      </c>
      <c r="S524" s="3">
        <v>0.0</v>
      </c>
      <c r="T524" s="3">
        <v>0.0</v>
      </c>
      <c r="U524" s="3">
        <v>1.0</v>
      </c>
      <c r="V524" s="3">
        <v>1.0</v>
      </c>
      <c r="W524" s="3" t="s">
        <v>723</v>
      </c>
      <c r="X524" s="3" t="s">
        <v>1398</v>
      </c>
      <c r="Y524" s="3" t="s">
        <v>1399</v>
      </c>
      <c r="Z524" s="3" t="s">
        <v>1372</v>
      </c>
      <c r="AA524" s="3" t="s">
        <v>1373</v>
      </c>
      <c r="AB524" s="3" t="s">
        <v>1374</v>
      </c>
      <c r="AC524" s="3" t="s">
        <v>1400</v>
      </c>
      <c r="AD524" s="3" t="s">
        <v>1401</v>
      </c>
      <c r="AE524" s="3" t="s">
        <v>1402</v>
      </c>
      <c r="AF524" s="3">
        <v>0.006</v>
      </c>
      <c r="AG524" s="3">
        <v>0.065</v>
      </c>
      <c r="AH524" s="3" t="s">
        <v>1394</v>
      </c>
      <c r="AI524" s="3" t="s">
        <v>1394</v>
      </c>
      <c r="AJ524" s="3">
        <v>1.354</v>
      </c>
      <c r="AK524" s="3" t="s">
        <v>2079</v>
      </c>
      <c r="AL524" s="3" t="s">
        <v>1394</v>
      </c>
      <c r="AM524" s="3" t="s">
        <v>1404</v>
      </c>
    </row>
    <row r="525" ht="15.75" customHeight="1">
      <c r="A525" s="3">
        <v>1.73037E12</v>
      </c>
      <c r="B525" s="3">
        <v>13.0</v>
      </c>
      <c r="C525" s="3" t="s">
        <v>706</v>
      </c>
      <c r="D525" s="3" t="s">
        <v>1369</v>
      </c>
      <c r="E525" s="3" t="s">
        <v>706</v>
      </c>
      <c r="F525" s="3">
        <v>1.0</v>
      </c>
      <c r="G525" s="3">
        <v>1.0</v>
      </c>
      <c r="H525" s="3">
        <v>1.0</v>
      </c>
      <c r="I525" s="3">
        <v>1.0</v>
      </c>
      <c r="J525" s="3">
        <v>1.0</v>
      </c>
      <c r="K525" s="3">
        <v>1.0</v>
      </c>
      <c r="L525" s="3">
        <v>1.0</v>
      </c>
      <c r="M525" s="3">
        <v>1.0</v>
      </c>
      <c r="N525" s="3">
        <v>1.0</v>
      </c>
      <c r="O525" s="3">
        <v>1.0</v>
      </c>
      <c r="P525" s="3">
        <v>1.0</v>
      </c>
      <c r="Q525" s="3">
        <v>0.0</v>
      </c>
      <c r="R525" s="3">
        <v>0.0</v>
      </c>
      <c r="S525" s="3">
        <v>0.0</v>
      </c>
      <c r="T525" s="3">
        <v>1.0</v>
      </c>
      <c r="U525" s="3">
        <v>0.0</v>
      </c>
      <c r="V525" s="3">
        <v>1.0</v>
      </c>
      <c r="W525" s="3" t="s">
        <v>158</v>
      </c>
      <c r="X525" s="3" t="s">
        <v>1521</v>
      </c>
      <c r="Y525" s="3" t="s">
        <v>1522</v>
      </c>
      <c r="Z525" s="3" t="s">
        <v>1372</v>
      </c>
      <c r="AA525" s="3" t="s">
        <v>1523</v>
      </c>
      <c r="AB525" s="3" t="s">
        <v>1594</v>
      </c>
      <c r="AC525" s="3" t="s">
        <v>1374</v>
      </c>
      <c r="AD525" s="3" t="s">
        <v>1524</v>
      </c>
      <c r="AE525" s="3" t="s">
        <v>1525</v>
      </c>
      <c r="AF525" s="3">
        <v>0.029</v>
      </c>
      <c r="AG525" s="3">
        <v>0.068</v>
      </c>
      <c r="AH525" s="3">
        <v>0.48</v>
      </c>
      <c r="AI525" s="3">
        <v>1082.566</v>
      </c>
      <c r="AJ525" s="3">
        <v>1.991</v>
      </c>
      <c r="AK525" s="3" t="s">
        <v>1716</v>
      </c>
      <c r="AL525" s="3">
        <v>0.061</v>
      </c>
      <c r="AM525" s="3" t="s">
        <v>1527</v>
      </c>
    </row>
    <row r="526" ht="15.75" customHeight="1">
      <c r="A526" s="3">
        <v>1.7304E12</v>
      </c>
      <c r="B526" s="3">
        <v>17.0</v>
      </c>
      <c r="C526" s="3" t="s">
        <v>72</v>
      </c>
      <c r="D526" s="3" t="s">
        <v>1369</v>
      </c>
      <c r="E526" s="3" t="s">
        <v>72</v>
      </c>
      <c r="F526" s="3">
        <v>1.0</v>
      </c>
      <c r="G526" s="3">
        <v>1.0</v>
      </c>
      <c r="H526" s="3">
        <v>1.0</v>
      </c>
      <c r="I526" s="3">
        <v>1.0</v>
      </c>
      <c r="J526" s="3">
        <v>1.0</v>
      </c>
      <c r="K526" s="3">
        <v>1.0</v>
      </c>
      <c r="L526" s="3">
        <v>1.0</v>
      </c>
      <c r="M526" s="3">
        <v>1.0</v>
      </c>
      <c r="N526" s="3">
        <v>1.0</v>
      </c>
      <c r="O526" s="3">
        <v>1.0</v>
      </c>
      <c r="P526" s="3">
        <v>1.0</v>
      </c>
      <c r="Q526" s="3">
        <v>1.0</v>
      </c>
      <c r="R526" s="3">
        <v>1.0</v>
      </c>
      <c r="S526" s="3">
        <v>1.0</v>
      </c>
      <c r="T526" s="3">
        <v>1.0</v>
      </c>
      <c r="U526" s="3">
        <v>1.0</v>
      </c>
      <c r="V526" s="3">
        <v>1.0</v>
      </c>
      <c r="W526" s="3" t="s">
        <v>1080</v>
      </c>
      <c r="X526" s="3" t="s">
        <v>1529</v>
      </c>
      <c r="Y526" s="3" t="s">
        <v>1530</v>
      </c>
      <c r="Z526" s="3" t="s">
        <v>1372</v>
      </c>
      <c r="AA526" s="3" t="s">
        <v>1531</v>
      </c>
      <c r="AB526" s="3" t="s">
        <v>1374</v>
      </c>
      <c r="AC526" s="3" t="s">
        <v>1391</v>
      </c>
      <c r="AD526" s="3" t="s">
        <v>1532</v>
      </c>
      <c r="AE526" s="3" t="s">
        <v>1533</v>
      </c>
      <c r="AF526" s="3">
        <v>0.084</v>
      </c>
      <c r="AG526" s="3">
        <v>1.813</v>
      </c>
      <c r="AH526" s="3">
        <v>0.355</v>
      </c>
      <c r="AI526" s="3">
        <v>-860.252</v>
      </c>
      <c r="AJ526" s="3">
        <v>-16.121</v>
      </c>
      <c r="AK526" s="3" t="s">
        <v>1907</v>
      </c>
      <c r="AL526" s="3">
        <v>-0.045</v>
      </c>
      <c r="AM526" s="3" t="s">
        <v>1631</v>
      </c>
    </row>
    <row r="527" ht="15.75" customHeight="1">
      <c r="A527" s="3">
        <v>1.73037E12</v>
      </c>
      <c r="B527" s="3">
        <v>12.0</v>
      </c>
      <c r="C527" s="3" t="s">
        <v>2080</v>
      </c>
      <c r="D527" s="3" t="s">
        <v>1369</v>
      </c>
      <c r="E527" s="3" t="s">
        <v>2080</v>
      </c>
      <c r="F527" s="3">
        <v>1.0</v>
      </c>
      <c r="G527" s="3">
        <v>1.0</v>
      </c>
      <c r="H527" s="3">
        <v>1.0</v>
      </c>
      <c r="I527" s="3">
        <v>1.0</v>
      </c>
      <c r="J527" s="3">
        <v>1.0</v>
      </c>
      <c r="K527" s="3">
        <v>1.0</v>
      </c>
      <c r="L527" s="3">
        <v>1.0</v>
      </c>
      <c r="M527" s="3">
        <v>1.0</v>
      </c>
      <c r="N527" s="3">
        <v>1.0</v>
      </c>
      <c r="O527" s="3">
        <v>1.0</v>
      </c>
      <c r="P527" s="3">
        <v>1.0</v>
      </c>
      <c r="Q527" s="3">
        <v>0.0</v>
      </c>
      <c r="R527" s="3">
        <v>0.0</v>
      </c>
      <c r="S527" s="3">
        <v>0.0</v>
      </c>
      <c r="T527" s="3">
        <v>1.0</v>
      </c>
      <c r="U527" s="3">
        <v>0.0</v>
      </c>
      <c r="V527" s="3">
        <v>0.0</v>
      </c>
      <c r="W527" s="3" t="s">
        <v>497</v>
      </c>
      <c r="X527" s="3" t="s">
        <v>1590</v>
      </c>
      <c r="Y527" s="3" t="s">
        <v>1591</v>
      </c>
      <c r="Z527" s="3" t="s">
        <v>1423</v>
      </c>
      <c r="AA527" s="3" t="s">
        <v>1593</v>
      </c>
      <c r="AB527" s="3" t="s">
        <v>1374</v>
      </c>
      <c r="AC527" s="3" t="s">
        <v>1374</v>
      </c>
      <c r="AD527" s="3" t="s">
        <v>1625</v>
      </c>
      <c r="AE527" s="3" t="s">
        <v>1595</v>
      </c>
      <c r="AF527" s="3">
        <v>0.187</v>
      </c>
      <c r="AG527" s="3">
        <v>2.24</v>
      </c>
      <c r="AH527" s="3">
        <v>0.929</v>
      </c>
      <c r="AI527" s="3">
        <v>-46.491</v>
      </c>
      <c r="AJ527" s="3">
        <v>7.875</v>
      </c>
      <c r="AK527" s="3" t="s">
        <v>1626</v>
      </c>
      <c r="AL527" s="3">
        <v>0.039</v>
      </c>
      <c r="AM527" s="3" t="s">
        <v>1705</v>
      </c>
    </row>
    <row r="528" ht="15.75" customHeight="1">
      <c r="A528" s="3">
        <v>1.73038E12</v>
      </c>
      <c r="B528" s="3">
        <v>15.0</v>
      </c>
      <c r="C528" s="3" t="s">
        <v>722</v>
      </c>
      <c r="D528" s="3" t="s">
        <v>1369</v>
      </c>
      <c r="E528" s="3" t="s">
        <v>722</v>
      </c>
      <c r="F528" s="3">
        <v>1.0</v>
      </c>
      <c r="G528" s="3">
        <v>1.0</v>
      </c>
      <c r="H528" s="3">
        <v>1.0</v>
      </c>
      <c r="I528" s="3">
        <v>1.0</v>
      </c>
      <c r="J528" s="3">
        <v>1.0</v>
      </c>
      <c r="K528" s="3">
        <v>1.0</v>
      </c>
      <c r="L528" s="3">
        <v>1.0</v>
      </c>
      <c r="M528" s="3">
        <v>1.0</v>
      </c>
      <c r="N528" s="3">
        <v>1.0</v>
      </c>
      <c r="O528" s="3">
        <v>1.0</v>
      </c>
      <c r="P528" s="3">
        <v>1.0</v>
      </c>
      <c r="Q528" s="3">
        <v>0.0</v>
      </c>
      <c r="R528" s="3">
        <v>1.0</v>
      </c>
      <c r="S528" s="3">
        <v>0.0</v>
      </c>
      <c r="T528" s="3">
        <v>1.0</v>
      </c>
      <c r="U528" s="3">
        <v>1.0</v>
      </c>
      <c r="V528" s="3">
        <v>1.0</v>
      </c>
      <c r="W528" s="3" t="s">
        <v>603</v>
      </c>
      <c r="X528" s="3" t="s">
        <v>1563</v>
      </c>
      <c r="Y528" s="3" t="s">
        <v>1564</v>
      </c>
      <c r="Z528" s="3" t="s">
        <v>1449</v>
      </c>
      <c r="AA528" s="3" t="s">
        <v>1565</v>
      </c>
      <c r="AB528" s="3" t="s">
        <v>1374</v>
      </c>
      <c r="AC528" s="3" t="s">
        <v>1400</v>
      </c>
      <c r="AD528" s="3" t="s">
        <v>1566</v>
      </c>
      <c r="AE528" s="3" t="s">
        <v>1567</v>
      </c>
      <c r="AF528" s="3">
        <v>0.345</v>
      </c>
      <c r="AG528" s="3">
        <v>0.674</v>
      </c>
      <c r="AH528" s="3">
        <v>0.261</v>
      </c>
      <c r="AI528" s="3">
        <v>45.869</v>
      </c>
      <c r="AJ528" s="3">
        <v>2.506</v>
      </c>
      <c r="AK528" s="3" t="s">
        <v>1568</v>
      </c>
      <c r="AL528" s="3">
        <v>-0.021</v>
      </c>
      <c r="AM528" s="3" t="s">
        <v>1569</v>
      </c>
    </row>
    <row r="529" ht="15.75" customHeight="1">
      <c r="A529" s="3">
        <v>1.7303E12</v>
      </c>
      <c r="B529" s="3">
        <v>16.0</v>
      </c>
      <c r="C529" s="3" t="s">
        <v>122</v>
      </c>
      <c r="D529" s="3" t="s">
        <v>1369</v>
      </c>
      <c r="E529" s="3" t="s">
        <v>122</v>
      </c>
      <c r="F529" s="3">
        <v>1.0</v>
      </c>
      <c r="G529" s="3">
        <v>1.0</v>
      </c>
      <c r="H529" s="3">
        <v>1.0</v>
      </c>
      <c r="I529" s="3">
        <v>1.0</v>
      </c>
      <c r="J529" s="3">
        <v>1.0</v>
      </c>
      <c r="K529" s="3">
        <v>1.0</v>
      </c>
      <c r="L529" s="3">
        <v>1.0</v>
      </c>
      <c r="M529" s="3">
        <v>1.0</v>
      </c>
      <c r="N529" s="3">
        <v>1.0</v>
      </c>
      <c r="O529" s="3">
        <v>1.0</v>
      </c>
      <c r="P529" s="3">
        <v>1.0</v>
      </c>
      <c r="Q529" s="3">
        <v>0.0</v>
      </c>
      <c r="R529" s="3">
        <v>1.0</v>
      </c>
      <c r="S529" s="3">
        <v>1.0</v>
      </c>
      <c r="T529" s="3">
        <v>1.0</v>
      </c>
      <c r="U529" s="3">
        <v>1.0</v>
      </c>
      <c r="V529" s="3">
        <v>1.0</v>
      </c>
      <c r="W529" s="3" t="s">
        <v>1203</v>
      </c>
      <c r="X529" s="3" t="s">
        <v>1489</v>
      </c>
      <c r="Y529" s="3" t="s">
        <v>1490</v>
      </c>
      <c r="Z529" s="3" t="s">
        <v>1423</v>
      </c>
      <c r="AA529" s="3" t="s">
        <v>1491</v>
      </c>
      <c r="AB529" s="3" t="s">
        <v>1374</v>
      </c>
      <c r="AC529" s="3" t="s">
        <v>1451</v>
      </c>
      <c r="AD529" s="3" t="s">
        <v>1492</v>
      </c>
      <c r="AE529" s="3" t="s">
        <v>1493</v>
      </c>
      <c r="AF529" s="3">
        <v>0.056</v>
      </c>
      <c r="AG529" s="3">
        <v>0.253</v>
      </c>
      <c r="AH529" s="3">
        <v>0.395</v>
      </c>
      <c r="AI529" s="3" t="s">
        <v>1394</v>
      </c>
      <c r="AJ529" s="3">
        <v>8.381</v>
      </c>
      <c r="AK529" s="3" t="s">
        <v>2081</v>
      </c>
      <c r="AL529" s="3" t="s">
        <v>1394</v>
      </c>
      <c r="AM529" s="3" t="s">
        <v>1495</v>
      </c>
    </row>
    <row r="530" ht="15.75" customHeight="1">
      <c r="A530" s="3">
        <v>1.7303E12</v>
      </c>
      <c r="B530" s="3">
        <v>17.0</v>
      </c>
      <c r="C530" s="3" t="s">
        <v>483</v>
      </c>
      <c r="D530" s="3" t="s">
        <v>1369</v>
      </c>
      <c r="E530" s="3" t="s">
        <v>483</v>
      </c>
      <c r="F530" s="3">
        <v>1.0</v>
      </c>
      <c r="G530" s="3">
        <v>1.0</v>
      </c>
      <c r="H530" s="3">
        <v>1.0</v>
      </c>
      <c r="I530" s="3">
        <v>1.0</v>
      </c>
      <c r="J530" s="3">
        <v>1.0</v>
      </c>
      <c r="K530" s="3">
        <v>1.0</v>
      </c>
      <c r="L530" s="3">
        <v>1.0</v>
      </c>
      <c r="M530" s="3">
        <v>1.0</v>
      </c>
      <c r="N530" s="3">
        <v>1.0</v>
      </c>
      <c r="O530" s="3">
        <v>1.0</v>
      </c>
      <c r="P530" s="3">
        <v>1.0</v>
      </c>
      <c r="Q530" s="3">
        <v>1.0</v>
      </c>
      <c r="R530" s="3">
        <v>1.0</v>
      </c>
      <c r="S530" s="3">
        <v>1.0</v>
      </c>
      <c r="T530" s="3">
        <v>1.0</v>
      </c>
      <c r="U530" s="3">
        <v>1.0</v>
      </c>
      <c r="V530" s="3">
        <v>1.0</v>
      </c>
      <c r="W530" s="3" t="s">
        <v>994</v>
      </c>
      <c r="X530" s="3" t="s">
        <v>1456</v>
      </c>
      <c r="Y530" s="3" t="s">
        <v>1457</v>
      </c>
      <c r="Z530" s="3" t="s">
        <v>1423</v>
      </c>
      <c r="AA530" s="3" t="s">
        <v>1458</v>
      </c>
      <c r="AB530" s="3" t="s">
        <v>1374</v>
      </c>
      <c r="AC530" s="3" t="s">
        <v>1374</v>
      </c>
      <c r="AD530" s="3" t="s">
        <v>1392</v>
      </c>
      <c r="AE530" s="3" t="s">
        <v>1459</v>
      </c>
      <c r="AF530" s="3">
        <v>0.077</v>
      </c>
      <c r="AG530" s="3">
        <v>0.615</v>
      </c>
      <c r="AH530" s="3">
        <v>0.287</v>
      </c>
      <c r="AI530" s="3">
        <v>111.509</v>
      </c>
      <c r="AJ530" s="3">
        <v>3.044</v>
      </c>
      <c r="AK530" s="3" t="s">
        <v>1640</v>
      </c>
      <c r="AL530" s="3">
        <v>0.059</v>
      </c>
      <c r="AM530" s="3" t="s">
        <v>1461</v>
      </c>
    </row>
    <row r="531" ht="15.75" customHeight="1">
      <c r="A531" s="3">
        <v>1.7304E12</v>
      </c>
      <c r="B531" s="3">
        <v>17.0</v>
      </c>
      <c r="C531" s="3" t="s">
        <v>947</v>
      </c>
      <c r="D531" s="3" t="s">
        <v>1369</v>
      </c>
      <c r="E531" s="3" t="s">
        <v>947</v>
      </c>
      <c r="F531" s="3">
        <v>1.0</v>
      </c>
      <c r="G531" s="3">
        <v>1.0</v>
      </c>
      <c r="H531" s="3">
        <v>1.0</v>
      </c>
      <c r="I531" s="3">
        <v>1.0</v>
      </c>
      <c r="J531" s="3">
        <v>1.0</v>
      </c>
      <c r="K531" s="3">
        <v>1.0</v>
      </c>
      <c r="L531" s="3">
        <v>1.0</v>
      </c>
      <c r="M531" s="3">
        <v>1.0</v>
      </c>
      <c r="N531" s="3">
        <v>1.0</v>
      </c>
      <c r="O531" s="3">
        <v>1.0</v>
      </c>
      <c r="P531" s="3">
        <v>1.0</v>
      </c>
      <c r="Q531" s="3">
        <v>1.0</v>
      </c>
      <c r="R531" s="3">
        <v>1.0</v>
      </c>
      <c r="S531" s="3">
        <v>1.0</v>
      </c>
      <c r="T531" s="3">
        <v>1.0</v>
      </c>
      <c r="U531" s="3">
        <v>1.0</v>
      </c>
      <c r="V531" s="3">
        <v>1.0</v>
      </c>
      <c r="W531" s="3" t="s">
        <v>1171</v>
      </c>
      <c r="X531" s="3" t="s">
        <v>1370</v>
      </c>
      <c r="Y531" s="3" t="s">
        <v>1371</v>
      </c>
      <c r="Z531" s="3" t="s">
        <v>1372</v>
      </c>
      <c r="AA531" s="3" t="s">
        <v>1373</v>
      </c>
      <c r="AB531" s="3" t="s">
        <v>1374</v>
      </c>
      <c r="AC531" s="3" t="s">
        <v>1374</v>
      </c>
      <c r="AD531" s="3" t="s">
        <v>1375</v>
      </c>
      <c r="AE531" s="3" t="s">
        <v>1376</v>
      </c>
      <c r="AF531" s="3">
        <v>0.55</v>
      </c>
      <c r="AG531" s="3">
        <v>2.781</v>
      </c>
      <c r="AH531" s="3">
        <v>0.315</v>
      </c>
      <c r="AI531" s="3">
        <v>48.679</v>
      </c>
      <c r="AJ531" s="3">
        <v>7.529</v>
      </c>
      <c r="AK531" s="3" t="s">
        <v>1377</v>
      </c>
      <c r="AL531" s="3">
        <v>0.111</v>
      </c>
      <c r="AM531" s="3" t="s">
        <v>1509</v>
      </c>
    </row>
    <row r="532" ht="15.75" customHeight="1">
      <c r="A532" s="3">
        <v>1.73031E12</v>
      </c>
      <c r="B532" s="3">
        <v>13.0</v>
      </c>
      <c r="C532" s="3" t="s">
        <v>2082</v>
      </c>
      <c r="D532" s="3" t="s">
        <v>1369</v>
      </c>
      <c r="E532" s="3" t="s">
        <v>2082</v>
      </c>
      <c r="F532" s="3">
        <v>1.0</v>
      </c>
      <c r="G532" s="3">
        <v>1.0</v>
      </c>
      <c r="H532" s="3">
        <v>1.0</v>
      </c>
      <c r="I532" s="3">
        <v>1.0</v>
      </c>
      <c r="J532" s="3">
        <v>1.0</v>
      </c>
      <c r="K532" s="3">
        <v>1.0</v>
      </c>
      <c r="L532" s="3">
        <v>1.0</v>
      </c>
      <c r="M532" s="3">
        <v>1.0</v>
      </c>
      <c r="N532" s="3">
        <v>1.0</v>
      </c>
      <c r="O532" s="3">
        <v>1.0</v>
      </c>
      <c r="P532" s="3">
        <v>1.0</v>
      </c>
      <c r="Q532" s="3">
        <v>0.0</v>
      </c>
      <c r="R532" s="3">
        <v>0.0</v>
      </c>
      <c r="S532" s="3">
        <v>0.0</v>
      </c>
      <c r="T532" s="3">
        <v>1.0</v>
      </c>
      <c r="U532" s="3">
        <v>0.0</v>
      </c>
      <c r="V532" s="3">
        <v>1.0</v>
      </c>
      <c r="W532" s="3" t="s">
        <v>676</v>
      </c>
      <c r="X532" s="3" t="s">
        <v>1563</v>
      </c>
      <c r="Y532" s="3" t="s">
        <v>1564</v>
      </c>
      <c r="Z532" s="3" t="s">
        <v>1372</v>
      </c>
      <c r="AA532" s="3" t="s">
        <v>1565</v>
      </c>
      <c r="AB532" s="3" t="s">
        <v>1374</v>
      </c>
      <c r="AC532" s="3" t="s">
        <v>1594</v>
      </c>
      <c r="AD532" s="3" t="s">
        <v>1566</v>
      </c>
      <c r="AE532" s="3" t="s">
        <v>1567</v>
      </c>
      <c r="AF532" s="3">
        <v>0.352</v>
      </c>
      <c r="AG532" s="3">
        <v>0.683</v>
      </c>
      <c r="AH532" s="3">
        <v>0.262</v>
      </c>
      <c r="AI532" s="3">
        <v>44.942</v>
      </c>
      <c r="AJ532" s="3">
        <v>0.38</v>
      </c>
      <c r="AK532" s="3" t="s">
        <v>1568</v>
      </c>
      <c r="AL532" s="3">
        <v>0.053</v>
      </c>
      <c r="AM532" s="3" t="s">
        <v>1569</v>
      </c>
    </row>
    <row r="533" ht="15.75" customHeight="1">
      <c r="A533" s="3">
        <v>1.73029E12</v>
      </c>
      <c r="B533" s="3">
        <v>13.0</v>
      </c>
      <c r="C533" s="3" t="s">
        <v>683</v>
      </c>
      <c r="D533" s="3" t="s">
        <v>1369</v>
      </c>
      <c r="E533" s="3" t="s">
        <v>683</v>
      </c>
      <c r="F533" s="3">
        <v>1.0</v>
      </c>
      <c r="G533" s="3">
        <v>1.0</v>
      </c>
      <c r="H533" s="3">
        <v>1.0</v>
      </c>
      <c r="I533" s="3">
        <v>1.0</v>
      </c>
      <c r="J533" s="3">
        <v>1.0</v>
      </c>
      <c r="K533" s="3">
        <v>1.0</v>
      </c>
      <c r="L533" s="3">
        <v>0.0</v>
      </c>
      <c r="M533" s="3">
        <v>1.0</v>
      </c>
      <c r="N533" s="3">
        <v>1.0</v>
      </c>
      <c r="O533" s="3">
        <v>1.0</v>
      </c>
      <c r="P533" s="3">
        <v>1.0</v>
      </c>
      <c r="Q533" s="3">
        <v>0.0</v>
      </c>
      <c r="R533" s="3">
        <v>0.0</v>
      </c>
      <c r="S533" s="3">
        <v>0.0</v>
      </c>
      <c r="T533" s="3">
        <v>1.0</v>
      </c>
      <c r="U533" s="3">
        <v>1.0</v>
      </c>
      <c r="V533" s="3">
        <v>1.0</v>
      </c>
      <c r="W533" s="3" t="s">
        <v>566</v>
      </c>
      <c r="X533" s="3" t="s">
        <v>1476</v>
      </c>
      <c r="Y533" s="3" t="s">
        <v>1477</v>
      </c>
      <c r="Z533" s="3" t="s">
        <v>1372</v>
      </c>
      <c r="AA533" s="3" t="s">
        <v>1415</v>
      </c>
      <c r="AB533" s="3" t="s">
        <v>1374</v>
      </c>
      <c r="AC533" s="3" t="s">
        <v>1508</v>
      </c>
      <c r="AD533" s="3" t="s">
        <v>1500</v>
      </c>
      <c r="AE533" s="3" t="s">
        <v>1479</v>
      </c>
      <c r="AF533" s="3">
        <v>0.033</v>
      </c>
      <c r="AG533" s="3">
        <v>0.656</v>
      </c>
      <c r="AH533" s="3">
        <v>0.251</v>
      </c>
      <c r="AI533" s="3">
        <v>149.585</v>
      </c>
      <c r="AJ533" s="3">
        <v>-11.847</v>
      </c>
      <c r="AK533" s="3" t="s">
        <v>1641</v>
      </c>
      <c r="AL533" s="3" t="s">
        <v>1394</v>
      </c>
      <c r="AM533" s="3" t="s">
        <v>1419</v>
      </c>
    </row>
    <row r="534" ht="15.75" customHeight="1">
      <c r="A534" s="3">
        <v>1.7304E12</v>
      </c>
      <c r="B534" s="3">
        <v>0.0</v>
      </c>
      <c r="C534" s="3" t="s">
        <v>2083</v>
      </c>
      <c r="D534" s="3" t="s">
        <v>1369</v>
      </c>
      <c r="E534" s="3" t="s">
        <v>2083</v>
      </c>
      <c r="F534" s="3">
        <v>0.0</v>
      </c>
      <c r="G534" s="3">
        <v>0.0</v>
      </c>
      <c r="H534" s="3">
        <v>0.0</v>
      </c>
      <c r="I534" s="3">
        <v>0.0</v>
      </c>
      <c r="J534" s="3">
        <v>0.0</v>
      </c>
      <c r="K534" s="3">
        <v>0.0</v>
      </c>
      <c r="L534" s="3">
        <v>0.0</v>
      </c>
      <c r="M534" s="3">
        <v>0.0</v>
      </c>
      <c r="N534" s="3">
        <v>0.0</v>
      </c>
      <c r="O534" s="3">
        <v>0.0</v>
      </c>
      <c r="P534" s="3">
        <v>0.0</v>
      </c>
      <c r="Q534" s="3">
        <v>0.0</v>
      </c>
      <c r="R534" s="3">
        <v>0.0</v>
      </c>
      <c r="S534" s="3">
        <v>0.0</v>
      </c>
      <c r="T534" s="3">
        <v>0.0</v>
      </c>
      <c r="U534" s="3">
        <v>0.0</v>
      </c>
      <c r="V534" s="3">
        <v>0.0</v>
      </c>
      <c r="W534" s="3" t="s">
        <v>2084</v>
      </c>
      <c r="X534" s="3" t="s">
        <v>1483</v>
      </c>
      <c r="Y534" s="3" t="s">
        <v>2085</v>
      </c>
      <c r="Z534" s="3" t="s">
        <v>2086</v>
      </c>
      <c r="AA534" s="3" t="s">
        <v>1382</v>
      </c>
      <c r="AB534" s="3" t="s">
        <v>1374</v>
      </c>
      <c r="AC534" s="3" t="s">
        <v>1451</v>
      </c>
      <c r="AD534" s="3" t="s">
        <v>2087</v>
      </c>
      <c r="AE534" s="3" t="s">
        <v>1486</v>
      </c>
      <c r="AF534" s="3">
        <v>0.003</v>
      </c>
      <c r="AG534" s="3">
        <v>0.199</v>
      </c>
      <c r="AH534" s="3">
        <v>0.509</v>
      </c>
      <c r="AI534" s="3">
        <v>136.5</v>
      </c>
      <c r="AJ534" s="3">
        <v>182.852</v>
      </c>
      <c r="AK534" s="3" t="s">
        <v>2088</v>
      </c>
      <c r="AL534" s="3">
        <v>-0.667</v>
      </c>
      <c r="AM534" s="3" t="s">
        <v>2089</v>
      </c>
    </row>
    <row r="535" ht="15.75" customHeight="1">
      <c r="A535" s="3">
        <v>1.73032E12</v>
      </c>
      <c r="B535" s="3">
        <v>7.0</v>
      </c>
      <c r="C535" s="3" t="s">
        <v>596</v>
      </c>
      <c r="D535" s="3" t="s">
        <v>1369</v>
      </c>
      <c r="E535" s="3" t="s">
        <v>596</v>
      </c>
      <c r="F535" s="3">
        <v>1.0</v>
      </c>
      <c r="G535" s="3">
        <v>1.0</v>
      </c>
      <c r="H535" s="3">
        <v>1.0</v>
      </c>
      <c r="I535" s="3">
        <v>0.0</v>
      </c>
      <c r="J535" s="3">
        <v>0.0</v>
      </c>
      <c r="K535" s="3">
        <v>1.0</v>
      </c>
      <c r="L535" s="3">
        <v>0.0</v>
      </c>
      <c r="M535" s="3">
        <v>1.0</v>
      </c>
      <c r="N535" s="3">
        <v>1.0</v>
      </c>
      <c r="O535" s="3">
        <v>0.0</v>
      </c>
      <c r="P535" s="3">
        <v>0.0</v>
      </c>
      <c r="Q535" s="3">
        <v>0.0</v>
      </c>
      <c r="R535" s="3">
        <v>0.0</v>
      </c>
      <c r="S535" s="3">
        <v>0.0</v>
      </c>
      <c r="T535" s="3">
        <v>0.0</v>
      </c>
      <c r="U535" s="3">
        <v>0.0</v>
      </c>
      <c r="V535" s="3">
        <v>1.0</v>
      </c>
      <c r="W535" s="3" t="s">
        <v>711</v>
      </c>
      <c r="X535" s="3" t="s">
        <v>1605</v>
      </c>
      <c r="Y535" s="3" t="s">
        <v>1605</v>
      </c>
      <c r="AB535" s="3" t="s">
        <v>1374</v>
      </c>
      <c r="AD535" s="3" t="s">
        <v>1606</v>
      </c>
      <c r="AE535" s="3" t="s">
        <v>1605</v>
      </c>
      <c r="AH535" s="3">
        <v>0.263</v>
      </c>
      <c r="AK535" s="3" t="s">
        <v>2090</v>
      </c>
      <c r="AL535" s="3" t="s">
        <v>1638</v>
      </c>
    </row>
    <row r="536" ht="15.75" customHeight="1">
      <c r="A536" s="3">
        <v>1.73036E12</v>
      </c>
      <c r="B536" s="3">
        <v>8.0</v>
      </c>
      <c r="C536" s="3" t="s">
        <v>167</v>
      </c>
      <c r="D536" s="3" t="s">
        <v>1369</v>
      </c>
      <c r="E536" s="3" t="s">
        <v>167</v>
      </c>
      <c r="F536" s="3">
        <v>1.0</v>
      </c>
      <c r="G536" s="3">
        <v>1.0</v>
      </c>
      <c r="H536" s="3">
        <v>1.0</v>
      </c>
      <c r="I536" s="3">
        <v>0.0</v>
      </c>
      <c r="J536" s="3">
        <v>0.0</v>
      </c>
      <c r="K536" s="3">
        <v>1.0</v>
      </c>
      <c r="L536" s="3">
        <v>0.0</v>
      </c>
      <c r="M536" s="3">
        <v>0.0</v>
      </c>
      <c r="N536" s="3">
        <v>1.0</v>
      </c>
      <c r="O536" s="3">
        <v>1.0</v>
      </c>
      <c r="P536" s="3">
        <v>1.0</v>
      </c>
      <c r="Q536" s="3">
        <v>0.0</v>
      </c>
      <c r="R536" s="3">
        <v>0.0</v>
      </c>
      <c r="S536" s="3">
        <v>0.0</v>
      </c>
      <c r="T536" s="3">
        <v>0.0</v>
      </c>
      <c r="U536" s="3">
        <v>0.0</v>
      </c>
      <c r="V536" s="3">
        <v>1.0</v>
      </c>
      <c r="W536" s="3" t="s">
        <v>227</v>
      </c>
      <c r="X536" s="3" t="s">
        <v>1447</v>
      </c>
      <c r="Y536" s="3" t="s">
        <v>1448</v>
      </c>
      <c r="Z536" s="3" t="s">
        <v>1372</v>
      </c>
      <c r="AA536" s="3" t="s">
        <v>1450</v>
      </c>
      <c r="AB536" s="3" t="s">
        <v>1374</v>
      </c>
      <c r="AC536" s="3" t="s">
        <v>1400</v>
      </c>
      <c r="AD536" s="3" t="s">
        <v>1452</v>
      </c>
      <c r="AE536" s="3" t="s">
        <v>1453</v>
      </c>
      <c r="AF536" s="3">
        <v>0.033</v>
      </c>
      <c r="AG536" s="3">
        <v>0.217</v>
      </c>
      <c r="AH536" s="3">
        <v>0.375</v>
      </c>
      <c r="AI536" s="3">
        <v>48.585</v>
      </c>
      <c r="AJ536" s="3">
        <v>6.573</v>
      </c>
      <c r="AK536" s="3" t="s">
        <v>1599</v>
      </c>
      <c r="AL536" s="3">
        <v>0.176</v>
      </c>
      <c r="AM536" s="3" t="s">
        <v>1455</v>
      </c>
    </row>
    <row r="537" ht="15.75" customHeight="1">
      <c r="A537" s="3">
        <v>1.7304E12</v>
      </c>
      <c r="B537" s="3">
        <v>0.0</v>
      </c>
      <c r="C537" s="3" t="s">
        <v>2091</v>
      </c>
      <c r="D537" s="3" t="s">
        <v>1369</v>
      </c>
      <c r="E537" s="3" t="s">
        <v>2091</v>
      </c>
      <c r="F537" s="3">
        <v>0.0</v>
      </c>
      <c r="G537" s="3">
        <v>0.0</v>
      </c>
      <c r="H537" s="3">
        <v>0.0</v>
      </c>
      <c r="I537" s="3">
        <v>0.0</v>
      </c>
      <c r="J537" s="3">
        <v>0.0</v>
      </c>
      <c r="K537" s="3">
        <v>0.0</v>
      </c>
      <c r="L537" s="3">
        <v>0.0</v>
      </c>
      <c r="M537" s="3">
        <v>0.0</v>
      </c>
      <c r="N537" s="3">
        <v>0.0</v>
      </c>
      <c r="O537" s="3">
        <v>0.0</v>
      </c>
      <c r="P537" s="3">
        <v>0.0</v>
      </c>
      <c r="Q537" s="3">
        <v>0.0</v>
      </c>
      <c r="R537" s="3">
        <v>0.0</v>
      </c>
      <c r="S537" s="3">
        <v>0.0</v>
      </c>
      <c r="T537" s="3">
        <v>0.0</v>
      </c>
      <c r="U537" s="3">
        <v>0.0</v>
      </c>
      <c r="V537" s="3">
        <v>0.0</v>
      </c>
      <c r="W537" s="3" t="s">
        <v>2092</v>
      </c>
      <c r="X537" s="3" t="s">
        <v>2093</v>
      </c>
      <c r="Y537" s="3" t="s">
        <v>2093</v>
      </c>
      <c r="AA537" s="3" t="s">
        <v>2094</v>
      </c>
      <c r="AB537" s="3" t="s">
        <v>2095</v>
      </c>
      <c r="AC537" s="3" t="s">
        <v>2096</v>
      </c>
      <c r="AD537" s="3" t="s">
        <v>2096</v>
      </c>
      <c r="AE537" s="3" t="s">
        <v>2097</v>
      </c>
      <c r="AF537" s="3">
        <v>0.548</v>
      </c>
      <c r="AG537" s="3">
        <v>0.267</v>
      </c>
      <c r="AH537" s="3">
        <v>0.432</v>
      </c>
      <c r="AI537" s="3">
        <v>10.435</v>
      </c>
      <c r="AJ537" s="3">
        <v>1.245</v>
      </c>
      <c r="AK537" s="3" t="s">
        <v>2097</v>
      </c>
      <c r="AL537" s="3">
        <v>4.467</v>
      </c>
      <c r="AM537" s="3" t="s">
        <v>2098</v>
      </c>
    </row>
    <row r="538" ht="15.75" customHeight="1">
      <c r="A538" s="3">
        <v>1.7301E12</v>
      </c>
      <c r="B538" s="3">
        <v>16.0</v>
      </c>
      <c r="C538" s="3" t="s">
        <v>228</v>
      </c>
      <c r="D538" s="3" t="s">
        <v>1369</v>
      </c>
      <c r="E538" s="3" t="s">
        <v>228</v>
      </c>
      <c r="F538" s="3">
        <v>1.0</v>
      </c>
      <c r="G538" s="3">
        <v>1.0</v>
      </c>
      <c r="H538" s="3">
        <v>1.0</v>
      </c>
      <c r="I538" s="3">
        <v>1.0</v>
      </c>
      <c r="J538" s="3">
        <v>1.0</v>
      </c>
      <c r="K538" s="3">
        <v>1.0</v>
      </c>
      <c r="L538" s="3">
        <v>1.0</v>
      </c>
      <c r="M538" s="3">
        <v>1.0</v>
      </c>
      <c r="N538" s="3">
        <v>1.0</v>
      </c>
      <c r="O538" s="3">
        <v>1.0</v>
      </c>
      <c r="P538" s="3">
        <v>1.0</v>
      </c>
      <c r="Q538" s="3">
        <v>1.0</v>
      </c>
      <c r="R538" s="3">
        <v>1.0</v>
      </c>
      <c r="S538" s="3">
        <v>0.0</v>
      </c>
      <c r="T538" s="3">
        <v>1.0</v>
      </c>
      <c r="U538" s="3">
        <v>1.0</v>
      </c>
      <c r="V538" s="3">
        <v>1.0</v>
      </c>
      <c r="W538" s="3" t="s">
        <v>1015</v>
      </c>
      <c r="X538" s="3" t="s">
        <v>1413</v>
      </c>
      <c r="Y538" s="3" t="s">
        <v>1414</v>
      </c>
      <c r="Z538" s="3" t="s">
        <v>1372</v>
      </c>
      <c r="AA538" s="3" t="s">
        <v>1415</v>
      </c>
      <c r="AB538" s="3" t="s">
        <v>1374</v>
      </c>
      <c r="AC538" s="3" t="s">
        <v>1391</v>
      </c>
      <c r="AD538" s="3" t="s">
        <v>1416</v>
      </c>
      <c r="AE538" s="3" t="s">
        <v>1417</v>
      </c>
      <c r="AF538" s="3">
        <v>-0.005</v>
      </c>
      <c r="AG538" s="3">
        <v>-0.054</v>
      </c>
      <c r="AH538" s="3">
        <v>0.346</v>
      </c>
      <c r="AI538" s="3">
        <v>142.646</v>
      </c>
      <c r="AJ538" s="3">
        <v>-0.055</v>
      </c>
      <c r="AK538" s="3" t="s">
        <v>2099</v>
      </c>
      <c r="AL538" s="3">
        <v>0.074</v>
      </c>
      <c r="AM538" s="3" t="s">
        <v>1419</v>
      </c>
    </row>
    <row r="539" ht="15.75" customHeight="1">
      <c r="A539" s="3">
        <v>1.73036E12</v>
      </c>
      <c r="B539" s="3">
        <v>17.0</v>
      </c>
      <c r="C539" s="3" t="s">
        <v>120</v>
      </c>
      <c r="D539" s="3" t="s">
        <v>1369</v>
      </c>
      <c r="E539" s="3" t="s">
        <v>120</v>
      </c>
      <c r="F539" s="3">
        <v>1.0</v>
      </c>
      <c r="G539" s="3">
        <v>1.0</v>
      </c>
      <c r="H539" s="3">
        <v>1.0</v>
      </c>
      <c r="I539" s="3">
        <v>1.0</v>
      </c>
      <c r="J539" s="3">
        <v>1.0</v>
      </c>
      <c r="K539" s="3">
        <v>1.0</v>
      </c>
      <c r="L539" s="3">
        <v>1.0</v>
      </c>
      <c r="M539" s="3">
        <v>1.0</v>
      </c>
      <c r="N539" s="3">
        <v>1.0</v>
      </c>
      <c r="O539" s="3">
        <v>1.0</v>
      </c>
      <c r="P539" s="3">
        <v>1.0</v>
      </c>
      <c r="Q539" s="3">
        <v>1.0</v>
      </c>
      <c r="R539" s="3">
        <v>1.0</v>
      </c>
      <c r="S539" s="3">
        <v>1.0</v>
      </c>
      <c r="T539" s="3">
        <v>1.0</v>
      </c>
      <c r="U539" s="3">
        <v>1.0</v>
      </c>
      <c r="V539" s="3">
        <v>1.0</v>
      </c>
      <c r="W539" s="3" t="s">
        <v>1324</v>
      </c>
      <c r="X539" s="3" t="s">
        <v>1489</v>
      </c>
      <c r="Y539" s="3" t="s">
        <v>1571</v>
      </c>
      <c r="Z539" s="3" t="s">
        <v>1423</v>
      </c>
      <c r="AA539" s="3" t="s">
        <v>1491</v>
      </c>
      <c r="AB539" s="3" t="s">
        <v>1374</v>
      </c>
      <c r="AC539" s="3" t="s">
        <v>1451</v>
      </c>
      <c r="AD539" s="3" t="s">
        <v>1492</v>
      </c>
      <c r="AE539" s="3" t="s">
        <v>1493</v>
      </c>
      <c r="AF539" s="3">
        <v>0.056</v>
      </c>
      <c r="AG539" s="3">
        <v>0.256</v>
      </c>
      <c r="AH539" s="3" t="s">
        <v>1394</v>
      </c>
      <c r="AI539" s="3" t="s">
        <v>1394</v>
      </c>
      <c r="AJ539" s="3">
        <v>8.127</v>
      </c>
      <c r="AK539" s="3" t="s">
        <v>1561</v>
      </c>
      <c r="AL539" s="3" t="s">
        <v>1394</v>
      </c>
      <c r="AM539" s="3" t="s">
        <v>1495</v>
      </c>
    </row>
    <row r="540" ht="15.75" customHeight="1">
      <c r="A540" s="3">
        <v>1.73038E12</v>
      </c>
      <c r="B540" s="3">
        <v>0.0</v>
      </c>
      <c r="C540" s="3" t="s">
        <v>2100</v>
      </c>
      <c r="D540" s="3" t="s">
        <v>1369</v>
      </c>
      <c r="E540" s="3" t="s">
        <v>2100</v>
      </c>
      <c r="F540" s="3">
        <v>0.0</v>
      </c>
      <c r="G540" s="3">
        <v>0.0</v>
      </c>
      <c r="H540" s="3">
        <v>0.0</v>
      </c>
      <c r="I540" s="3">
        <v>0.0</v>
      </c>
      <c r="J540" s="3">
        <v>0.0</v>
      </c>
      <c r="K540" s="3">
        <v>0.0</v>
      </c>
      <c r="L540" s="3">
        <v>0.0</v>
      </c>
      <c r="M540" s="3">
        <v>0.0</v>
      </c>
      <c r="N540" s="3">
        <v>0.0</v>
      </c>
      <c r="O540" s="3">
        <v>0.0</v>
      </c>
      <c r="P540" s="3">
        <v>0.0</v>
      </c>
      <c r="Q540" s="3">
        <v>0.0</v>
      </c>
      <c r="R540" s="3">
        <v>0.0</v>
      </c>
      <c r="S540" s="3">
        <v>0.0</v>
      </c>
      <c r="T540" s="3">
        <v>0.0</v>
      </c>
      <c r="U540" s="3">
        <v>0.0</v>
      </c>
      <c r="V540" s="3">
        <v>0.0</v>
      </c>
      <c r="W540" s="3" t="s">
        <v>2101</v>
      </c>
      <c r="X540" s="3" t="s">
        <v>1706</v>
      </c>
      <c r="Y540" s="3" t="s">
        <v>1707</v>
      </c>
      <c r="Z540" s="3" t="s">
        <v>1512</v>
      </c>
      <c r="AA540" s="3" t="s">
        <v>1910</v>
      </c>
      <c r="AB540" s="3" t="s">
        <v>1374</v>
      </c>
      <c r="AC540" s="3" t="s">
        <v>1580</v>
      </c>
      <c r="AD540" s="3" t="s">
        <v>1581</v>
      </c>
      <c r="AE540" s="3" t="s">
        <v>1709</v>
      </c>
      <c r="AF540" s="3">
        <v>0.05</v>
      </c>
      <c r="AG540" s="3">
        <v>0.272</v>
      </c>
      <c r="AH540" s="3">
        <v>0.426</v>
      </c>
      <c r="AI540" s="3">
        <v>-78.474</v>
      </c>
      <c r="AJ540" s="3">
        <v>18.718</v>
      </c>
      <c r="AK540" s="3" t="s">
        <v>2102</v>
      </c>
      <c r="AL540" s="3">
        <v>0.131</v>
      </c>
      <c r="AM540" s="3" t="s">
        <v>2103</v>
      </c>
    </row>
    <row r="541" ht="15.75" customHeight="1">
      <c r="A541" s="3">
        <v>1.73037E12</v>
      </c>
      <c r="B541" s="3">
        <v>17.0</v>
      </c>
      <c r="C541" s="3" t="s">
        <v>2104</v>
      </c>
      <c r="D541" s="3" t="s">
        <v>1369</v>
      </c>
      <c r="E541" s="3" t="s">
        <v>2104</v>
      </c>
      <c r="F541" s="3">
        <v>1.0</v>
      </c>
      <c r="G541" s="3">
        <v>1.0</v>
      </c>
      <c r="H541" s="3">
        <v>1.0</v>
      </c>
      <c r="I541" s="3">
        <v>1.0</v>
      </c>
      <c r="J541" s="3">
        <v>1.0</v>
      </c>
      <c r="K541" s="3">
        <v>1.0</v>
      </c>
      <c r="L541" s="3">
        <v>1.0</v>
      </c>
      <c r="M541" s="3">
        <v>1.0</v>
      </c>
      <c r="N541" s="3">
        <v>1.0</v>
      </c>
      <c r="O541" s="3">
        <v>1.0</v>
      </c>
      <c r="P541" s="3">
        <v>1.0</v>
      </c>
      <c r="Q541" s="3">
        <v>1.0</v>
      </c>
      <c r="R541" s="3">
        <v>1.0</v>
      </c>
      <c r="S541" s="3">
        <v>1.0</v>
      </c>
      <c r="T541" s="3">
        <v>1.0</v>
      </c>
      <c r="U541" s="3">
        <v>1.0</v>
      </c>
      <c r="V541" s="3">
        <v>1.0</v>
      </c>
      <c r="W541" s="3" t="s">
        <v>1014</v>
      </c>
      <c r="X541" s="3" t="s">
        <v>1600</v>
      </c>
      <c r="Y541" s="3" t="s">
        <v>1601</v>
      </c>
      <c r="Z541" s="3" t="s">
        <v>1372</v>
      </c>
      <c r="AA541" s="3" t="s">
        <v>1407</v>
      </c>
      <c r="AB541" s="3" t="s">
        <v>1374</v>
      </c>
      <c r="AC541" s="3" t="s">
        <v>1400</v>
      </c>
      <c r="AD541" s="3" t="s">
        <v>1408</v>
      </c>
      <c r="AE541" s="3" t="s">
        <v>1602</v>
      </c>
      <c r="AF541" s="3">
        <v>0.035</v>
      </c>
      <c r="AG541" s="3">
        <v>0.102</v>
      </c>
      <c r="AH541" s="3" t="s">
        <v>1394</v>
      </c>
      <c r="AI541" s="3" t="s">
        <v>1394</v>
      </c>
      <c r="AJ541" s="3">
        <v>-0.487</v>
      </c>
      <c r="AK541" s="3" t="s">
        <v>1646</v>
      </c>
      <c r="AL541" s="3" t="s">
        <v>1394</v>
      </c>
      <c r="AM541" s="3" t="s">
        <v>1411</v>
      </c>
    </row>
    <row r="542" ht="15.75" customHeight="1">
      <c r="A542" s="3">
        <v>1.7304E12</v>
      </c>
      <c r="B542" s="3">
        <v>15.0</v>
      </c>
      <c r="C542" s="3" t="s">
        <v>2105</v>
      </c>
      <c r="D542" s="3" t="s">
        <v>1369</v>
      </c>
      <c r="E542" s="3" t="s">
        <v>2105</v>
      </c>
      <c r="F542" s="3">
        <v>1.0</v>
      </c>
      <c r="G542" s="3">
        <v>1.0</v>
      </c>
      <c r="H542" s="3">
        <v>1.0</v>
      </c>
      <c r="I542" s="3">
        <v>1.0</v>
      </c>
      <c r="J542" s="3">
        <v>1.0</v>
      </c>
      <c r="K542" s="3">
        <v>1.0</v>
      </c>
      <c r="L542" s="3">
        <v>1.0</v>
      </c>
      <c r="M542" s="3">
        <v>1.0</v>
      </c>
      <c r="N542" s="3">
        <v>1.0</v>
      </c>
      <c r="O542" s="3">
        <v>1.0</v>
      </c>
      <c r="P542" s="3">
        <v>1.0</v>
      </c>
      <c r="Q542" s="3">
        <v>1.0</v>
      </c>
      <c r="R542" s="3">
        <v>0.0</v>
      </c>
      <c r="S542" s="3">
        <v>0.0</v>
      </c>
      <c r="T542" s="3">
        <v>1.0</v>
      </c>
      <c r="U542" s="3">
        <v>1.0</v>
      </c>
      <c r="V542" s="3">
        <v>1.0</v>
      </c>
      <c r="W542" s="3" t="s">
        <v>808</v>
      </c>
      <c r="X542" s="3" t="s">
        <v>1483</v>
      </c>
      <c r="Y542" s="3" t="s">
        <v>1484</v>
      </c>
      <c r="Z542" s="3" t="s">
        <v>1372</v>
      </c>
      <c r="AA542" s="3" t="s">
        <v>1373</v>
      </c>
      <c r="AB542" s="3" t="s">
        <v>1374</v>
      </c>
      <c r="AC542" s="3" t="s">
        <v>1374</v>
      </c>
      <c r="AD542" s="3" t="s">
        <v>1485</v>
      </c>
      <c r="AE542" s="3" t="s">
        <v>1486</v>
      </c>
      <c r="AF542" s="3">
        <v>0.017</v>
      </c>
      <c r="AG542" s="3">
        <v>0.279</v>
      </c>
      <c r="AH542" s="3" t="s">
        <v>1394</v>
      </c>
      <c r="AI542" s="3">
        <v>47.47</v>
      </c>
      <c r="AJ542" s="3">
        <v>28.213</v>
      </c>
      <c r="AK542" s="3" t="s">
        <v>2106</v>
      </c>
      <c r="AL542" s="3" t="s">
        <v>1394</v>
      </c>
      <c r="AM542" s="3" t="s">
        <v>1573</v>
      </c>
    </row>
    <row r="543" ht="15.75" customHeight="1">
      <c r="A543" s="3">
        <v>1.73036E12</v>
      </c>
      <c r="B543" s="3">
        <v>17.0</v>
      </c>
      <c r="C543" s="3" t="s">
        <v>526</v>
      </c>
      <c r="D543" s="3" t="s">
        <v>1369</v>
      </c>
      <c r="E543" s="3" t="s">
        <v>526</v>
      </c>
      <c r="F543" s="3">
        <v>1.0</v>
      </c>
      <c r="G543" s="3">
        <v>1.0</v>
      </c>
      <c r="H543" s="3">
        <v>1.0</v>
      </c>
      <c r="I543" s="3">
        <v>1.0</v>
      </c>
      <c r="J543" s="3">
        <v>1.0</v>
      </c>
      <c r="K543" s="3">
        <v>1.0</v>
      </c>
      <c r="L543" s="3">
        <v>1.0</v>
      </c>
      <c r="M543" s="3">
        <v>1.0</v>
      </c>
      <c r="N543" s="3">
        <v>1.0</v>
      </c>
      <c r="O543" s="3">
        <v>1.0</v>
      </c>
      <c r="P543" s="3">
        <v>1.0</v>
      </c>
      <c r="Q543" s="3">
        <v>1.0</v>
      </c>
      <c r="R543" s="3">
        <v>1.0</v>
      </c>
      <c r="S543" s="3">
        <v>1.0</v>
      </c>
      <c r="T543" s="3">
        <v>1.0</v>
      </c>
      <c r="U543" s="3">
        <v>1.0</v>
      </c>
      <c r="V543" s="3">
        <v>1.0</v>
      </c>
      <c r="W543" s="3" t="s">
        <v>313</v>
      </c>
      <c r="X543" s="3" t="s">
        <v>1600</v>
      </c>
      <c r="Y543" s="3" t="s">
        <v>1601</v>
      </c>
      <c r="Z543" s="3" t="s">
        <v>1372</v>
      </c>
      <c r="AA543" s="3" t="s">
        <v>1407</v>
      </c>
      <c r="AB543" s="3" t="s">
        <v>1374</v>
      </c>
      <c r="AC543" s="3" t="s">
        <v>1400</v>
      </c>
      <c r="AD543" s="3" t="s">
        <v>1408</v>
      </c>
      <c r="AE543" s="3" t="s">
        <v>1602</v>
      </c>
      <c r="AF543" s="3">
        <v>0.034</v>
      </c>
      <c r="AG543" s="3">
        <v>0.101</v>
      </c>
      <c r="AH543" s="3">
        <v>0.16</v>
      </c>
      <c r="AI543" s="3">
        <v>8.716</v>
      </c>
      <c r="AJ543" s="3">
        <v>-0.493</v>
      </c>
      <c r="AK543" s="3" t="s">
        <v>1603</v>
      </c>
      <c r="AL543" s="3">
        <v>0.221</v>
      </c>
      <c r="AM543" s="3" t="s">
        <v>1411</v>
      </c>
    </row>
    <row r="544" ht="15.75" customHeight="1">
      <c r="A544" s="3">
        <v>1.7304E12</v>
      </c>
      <c r="B544" s="3">
        <v>14.0</v>
      </c>
      <c r="C544" s="3" t="s">
        <v>902</v>
      </c>
      <c r="D544" s="3" t="s">
        <v>1369</v>
      </c>
      <c r="E544" s="3" t="s">
        <v>902</v>
      </c>
      <c r="F544" s="3">
        <v>1.0</v>
      </c>
      <c r="G544" s="3">
        <v>1.0</v>
      </c>
      <c r="H544" s="3">
        <v>1.0</v>
      </c>
      <c r="I544" s="3">
        <v>1.0</v>
      </c>
      <c r="J544" s="3">
        <v>1.0</v>
      </c>
      <c r="K544" s="3">
        <v>1.0</v>
      </c>
      <c r="L544" s="3">
        <v>1.0</v>
      </c>
      <c r="M544" s="3">
        <v>1.0</v>
      </c>
      <c r="N544" s="3">
        <v>1.0</v>
      </c>
      <c r="O544" s="3">
        <v>1.0</v>
      </c>
      <c r="P544" s="3">
        <v>1.0</v>
      </c>
      <c r="Q544" s="3">
        <v>0.0</v>
      </c>
      <c r="R544" s="3">
        <v>0.0</v>
      </c>
      <c r="S544" s="3">
        <v>1.0</v>
      </c>
      <c r="T544" s="3">
        <v>1.0</v>
      </c>
      <c r="U544" s="3">
        <v>0.0</v>
      </c>
      <c r="V544" s="3">
        <v>1.0</v>
      </c>
      <c r="W544" s="3" t="s">
        <v>629</v>
      </c>
      <c r="X544" s="3" t="s">
        <v>1398</v>
      </c>
      <c r="Y544" s="3" t="s">
        <v>1399</v>
      </c>
      <c r="Z544" s="3" t="s">
        <v>1372</v>
      </c>
      <c r="AA544" s="3" t="s">
        <v>1373</v>
      </c>
      <c r="AB544" s="3" t="s">
        <v>1374</v>
      </c>
      <c r="AC544" s="3" t="s">
        <v>1400</v>
      </c>
      <c r="AD544" s="3" t="s">
        <v>1401</v>
      </c>
      <c r="AE544" s="3" t="s">
        <v>1402</v>
      </c>
      <c r="AF544" s="3">
        <v>0.006</v>
      </c>
      <c r="AG544" s="3">
        <v>0.069</v>
      </c>
      <c r="AH544" s="3">
        <v>0.173</v>
      </c>
      <c r="AI544" s="3">
        <v>33.682</v>
      </c>
      <c r="AJ544" s="3">
        <v>8.59</v>
      </c>
      <c r="AK544" s="3" t="s">
        <v>1663</v>
      </c>
      <c r="AM544" s="3" t="s">
        <v>1404</v>
      </c>
    </row>
    <row r="545" ht="15.75" customHeight="1">
      <c r="A545" s="3">
        <v>1.73032E12</v>
      </c>
      <c r="B545" s="3">
        <v>16.0</v>
      </c>
      <c r="C545" s="3" t="s">
        <v>265</v>
      </c>
      <c r="D545" s="3" t="s">
        <v>1369</v>
      </c>
      <c r="E545" s="3" t="s">
        <v>265</v>
      </c>
      <c r="F545" s="3">
        <v>1.0</v>
      </c>
      <c r="G545" s="3">
        <v>1.0</v>
      </c>
      <c r="H545" s="3">
        <v>1.0</v>
      </c>
      <c r="I545" s="3">
        <v>1.0</v>
      </c>
      <c r="J545" s="3">
        <v>1.0</v>
      </c>
      <c r="K545" s="3">
        <v>1.0</v>
      </c>
      <c r="L545" s="3">
        <v>1.0</v>
      </c>
      <c r="M545" s="3">
        <v>1.0</v>
      </c>
      <c r="N545" s="3">
        <v>1.0</v>
      </c>
      <c r="O545" s="3">
        <v>1.0</v>
      </c>
      <c r="P545" s="3">
        <v>1.0</v>
      </c>
      <c r="Q545" s="3">
        <v>1.0</v>
      </c>
      <c r="R545" s="3">
        <v>1.0</v>
      </c>
      <c r="S545" s="3">
        <v>0.0</v>
      </c>
      <c r="T545" s="3">
        <v>1.0</v>
      </c>
      <c r="U545" s="3">
        <v>1.0</v>
      </c>
      <c r="V545" s="3">
        <v>1.0</v>
      </c>
      <c r="W545" s="3" t="s">
        <v>1065</v>
      </c>
      <c r="X545" s="3" t="s">
        <v>1563</v>
      </c>
      <c r="Y545" s="3" t="s">
        <v>1564</v>
      </c>
      <c r="Z545" s="3" t="s">
        <v>1372</v>
      </c>
      <c r="AA545" s="3" t="s">
        <v>1565</v>
      </c>
      <c r="AB545" s="3" t="s">
        <v>1374</v>
      </c>
      <c r="AC545" s="3" t="s">
        <v>1400</v>
      </c>
      <c r="AD545" s="3" t="s">
        <v>1566</v>
      </c>
      <c r="AE545" s="3" t="s">
        <v>1567</v>
      </c>
      <c r="AF545" s="3">
        <v>0.345</v>
      </c>
      <c r="AG545" s="3">
        <v>0.674</v>
      </c>
      <c r="AH545" s="3" t="s">
        <v>1394</v>
      </c>
      <c r="AI545" s="3" t="s">
        <v>1394</v>
      </c>
      <c r="AJ545" s="3" t="s">
        <v>1394</v>
      </c>
      <c r="AK545" s="3" t="s">
        <v>1651</v>
      </c>
      <c r="AL545" s="3" t="s">
        <v>1394</v>
      </c>
      <c r="AM545" s="3" t="s">
        <v>1569</v>
      </c>
    </row>
    <row r="546" ht="15.75" customHeight="1">
      <c r="A546" s="3">
        <v>1.7304E12</v>
      </c>
      <c r="B546" s="3">
        <v>14.0</v>
      </c>
      <c r="C546" s="3" t="s">
        <v>982</v>
      </c>
      <c r="D546" s="3" t="s">
        <v>1369</v>
      </c>
      <c r="E546" s="3" t="s">
        <v>982</v>
      </c>
      <c r="F546" s="3">
        <v>1.0</v>
      </c>
      <c r="G546" s="3">
        <v>1.0</v>
      </c>
      <c r="H546" s="3">
        <v>1.0</v>
      </c>
      <c r="I546" s="3">
        <v>1.0</v>
      </c>
      <c r="J546" s="3">
        <v>1.0</v>
      </c>
      <c r="K546" s="3">
        <v>1.0</v>
      </c>
      <c r="L546" s="3">
        <v>1.0</v>
      </c>
      <c r="M546" s="3">
        <v>1.0</v>
      </c>
      <c r="N546" s="3">
        <v>1.0</v>
      </c>
      <c r="O546" s="3">
        <v>1.0</v>
      </c>
      <c r="P546" s="3">
        <v>1.0</v>
      </c>
      <c r="Q546" s="3">
        <v>0.0</v>
      </c>
      <c r="R546" s="3">
        <v>0.0</v>
      </c>
      <c r="S546" s="3">
        <v>1.0</v>
      </c>
      <c r="T546" s="3">
        <v>1.0</v>
      </c>
      <c r="U546" s="3">
        <v>0.0</v>
      </c>
      <c r="V546" s="3">
        <v>1.0</v>
      </c>
      <c r="W546" s="3" t="s">
        <v>553</v>
      </c>
      <c r="X546" s="3" t="s">
        <v>1542</v>
      </c>
      <c r="Y546" s="3" t="s">
        <v>1543</v>
      </c>
      <c r="Z546" s="3" t="s">
        <v>1423</v>
      </c>
      <c r="AA546" s="3" t="s">
        <v>1544</v>
      </c>
      <c r="AB546" s="3" t="s">
        <v>1374</v>
      </c>
      <c r="AC546" s="3" t="s">
        <v>1451</v>
      </c>
      <c r="AD546" s="3" t="s">
        <v>1545</v>
      </c>
      <c r="AE546" s="3" t="s">
        <v>1546</v>
      </c>
      <c r="AF546" s="3">
        <v>0.035</v>
      </c>
      <c r="AG546" s="3">
        <v>0.068</v>
      </c>
      <c r="AH546" s="3">
        <v>0.251</v>
      </c>
      <c r="AI546" s="3">
        <v>54.192</v>
      </c>
      <c r="AJ546" s="3">
        <v>-10.884</v>
      </c>
      <c r="AK546" s="3" t="s">
        <v>1604</v>
      </c>
      <c r="AL546" s="3">
        <v>0.044</v>
      </c>
      <c r="AM546" s="3" t="s">
        <v>1548</v>
      </c>
    </row>
    <row r="547" ht="15.75" customHeight="1">
      <c r="A547" s="3">
        <v>1.73029E12</v>
      </c>
      <c r="B547" s="3">
        <v>17.0</v>
      </c>
      <c r="C547" s="3" t="s">
        <v>275</v>
      </c>
      <c r="D547" s="3" t="s">
        <v>1369</v>
      </c>
      <c r="E547" s="3" t="s">
        <v>275</v>
      </c>
      <c r="F547" s="3">
        <v>1.0</v>
      </c>
      <c r="G547" s="3">
        <v>1.0</v>
      </c>
      <c r="H547" s="3">
        <v>1.0</v>
      </c>
      <c r="I547" s="3">
        <v>1.0</v>
      </c>
      <c r="J547" s="3">
        <v>1.0</v>
      </c>
      <c r="K547" s="3">
        <v>1.0</v>
      </c>
      <c r="L547" s="3">
        <v>1.0</v>
      </c>
      <c r="M547" s="3">
        <v>1.0</v>
      </c>
      <c r="N547" s="3">
        <v>1.0</v>
      </c>
      <c r="O547" s="3">
        <v>1.0</v>
      </c>
      <c r="P547" s="3">
        <v>1.0</v>
      </c>
      <c r="Q547" s="3">
        <v>1.0</v>
      </c>
      <c r="R547" s="3">
        <v>1.0</v>
      </c>
      <c r="S547" s="3">
        <v>1.0</v>
      </c>
      <c r="T547" s="3">
        <v>1.0</v>
      </c>
      <c r="U547" s="3">
        <v>1.0</v>
      </c>
      <c r="V547" s="3">
        <v>1.0</v>
      </c>
      <c r="W547" s="3" t="s">
        <v>1190</v>
      </c>
      <c r="X547" s="3" t="s">
        <v>1600</v>
      </c>
      <c r="Y547" s="3" t="s">
        <v>1601</v>
      </c>
      <c r="Z547" s="3" t="s">
        <v>1372</v>
      </c>
      <c r="AA547" s="3" t="s">
        <v>1407</v>
      </c>
      <c r="AB547" s="3" t="s">
        <v>1374</v>
      </c>
      <c r="AC547" s="3" t="s">
        <v>1400</v>
      </c>
      <c r="AD547" s="3" t="s">
        <v>1408</v>
      </c>
      <c r="AE547" s="3" t="s">
        <v>1602</v>
      </c>
      <c r="AF547" s="3">
        <v>0.035</v>
      </c>
      <c r="AG547" s="3">
        <v>0.101</v>
      </c>
      <c r="AH547" s="3">
        <v>0.161</v>
      </c>
      <c r="AI547" s="3">
        <v>9.139</v>
      </c>
      <c r="AJ547" s="3">
        <v>-0.208</v>
      </c>
      <c r="AK547" s="3" t="s">
        <v>1603</v>
      </c>
      <c r="AL547" s="3">
        <v>0.218</v>
      </c>
      <c r="AM547" s="3" t="s">
        <v>1411</v>
      </c>
    </row>
    <row r="548" ht="15.75" customHeight="1">
      <c r="A548" s="3">
        <v>1.73039E12</v>
      </c>
      <c r="B548" s="3">
        <v>17.0</v>
      </c>
      <c r="C548" s="3" t="s">
        <v>677</v>
      </c>
      <c r="D548" s="3" t="s">
        <v>1369</v>
      </c>
      <c r="E548" s="3" t="s">
        <v>677</v>
      </c>
      <c r="F548" s="3">
        <v>1.0</v>
      </c>
      <c r="G548" s="3">
        <v>1.0</v>
      </c>
      <c r="H548" s="3">
        <v>1.0</v>
      </c>
      <c r="I548" s="3">
        <v>1.0</v>
      </c>
      <c r="J548" s="3">
        <v>1.0</v>
      </c>
      <c r="K548" s="3">
        <v>1.0</v>
      </c>
      <c r="L548" s="3">
        <v>1.0</v>
      </c>
      <c r="M548" s="3">
        <v>1.0</v>
      </c>
      <c r="N548" s="3">
        <v>1.0</v>
      </c>
      <c r="O548" s="3">
        <v>1.0</v>
      </c>
      <c r="P548" s="3">
        <v>1.0</v>
      </c>
      <c r="Q548" s="3">
        <v>1.0</v>
      </c>
      <c r="R548" s="3">
        <v>1.0</v>
      </c>
      <c r="S548" s="3">
        <v>1.0</v>
      </c>
      <c r="T548" s="3">
        <v>1.0</v>
      </c>
      <c r="U548" s="3">
        <v>1.0</v>
      </c>
      <c r="V548" s="3">
        <v>1.0</v>
      </c>
      <c r="W548" s="3" t="s">
        <v>1087</v>
      </c>
      <c r="X548" s="3" t="s">
        <v>1464</v>
      </c>
      <c r="Y548" s="3" t="s">
        <v>1465</v>
      </c>
      <c r="Z548" s="3" t="s">
        <v>1372</v>
      </c>
      <c r="AA548" s="3" t="s">
        <v>1373</v>
      </c>
      <c r="AB548" s="3" t="s">
        <v>1374</v>
      </c>
      <c r="AC548" s="3" t="s">
        <v>1391</v>
      </c>
      <c r="AD548" s="3" t="s">
        <v>1497</v>
      </c>
      <c r="AE548" s="3" t="s">
        <v>1467</v>
      </c>
      <c r="AF548" s="3">
        <v>0.204</v>
      </c>
      <c r="AG548" s="3">
        <v>2.509</v>
      </c>
      <c r="AH548" s="3" t="s">
        <v>1394</v>
      </c>
      <c r="AI548" s="3" t="s">
        <v>1394</v>
      </c>
      <c r="AJ548" s="3">
        <v>-3.774</v>
      </c>
      <c r="AK548" s="3" t="s">
        <v>1549</v>
      </c>
      <c r="AL548" s="3" t="s">
        <v>1394</v>
      </c>
      <c r="AM548" s="3" t="s">
        <v>1469</v>
      </c>
    </row>
    <row r="549" ht="15.75" customHeight="1">
      <c r="A549" s="3">
        <v>1.7303E12</v>
      </c>
      <c r="B549" s="3">
        <v>17.0</v>
      </c>
      <c r="C549" s="3" t="s">
        <v>92</v>
      </c>
      <c r="D549" s="3" t="s">
        <v>1369</v>
      </c>
      <c r="E549" s="3" t="s">
        <v>92</v>
      </c>
      <c r="F549" s="3">
        <v>1.0</v>
      </c>
      <c r="G549" s="3">
        <v>1.0</v>
      </c>
      <c r="H549" s="3">
        <v>1.0</v>
      </c>
      <c r="I549" s="3">
        <v>1.0</v>
      </c>
      <c r="J549" s="3">
        <v>1.0</v>
      </c>
      <c r="K549" s="3">
        <v>1.0</v>
      </c>
      <c r="L549" s="3">
        <v>1.0</v>
      </c>
      <c r="M549" s="3">
        <v>1.0</v>
      </c>
      <c r="N549" s="3">
        <v>1.0</v>
      </c>
      <c r="O549" s="3">
        <v>1.0</v>
      </c>
      <c r="P549" s="3">
        <v>1.0</v>
      </c>
      <c r="Q549" s="3">
        <v>1.0</v>
      </c>
      <c r="R549" s="3">
        <v>1.0</v>
      </c>
      <c r="S549" s="3">
        <v>1.0</v>
      </c>
      <c r="T549" s="3">
        <v>1.0</v>
      </c>
      <c r="U549" s="3">
        <v>1.0</v>
      </c>
      <c r="V549" s="3">
        <v>1.0</v>
      </c>
      <c r="W549" s="3" t="s">
        <v>1218</v>
      </c>
      <c r="X549" s="3" t="s">
        <v>1470</v>
      </c>
      <c r="Y549" s="3" t="s">
        <v>1471</v>
      </c>
      <c r="Z549" s="3" t="s">
        <v>1449</v>
      </c>
      <c r="AA549" s="3" t="s">
        <v>1382</v>
      </c>
      <c r="AB549" s="3" t="s">
        <v>1374</v>
      </c>
      <c r="AC549" s="3" t="s">
        <v>1400</v>
      </c>
      <c r="AD549" s="3" t="s">
        <v>1472</v>
      </c>
      <c r="AE549" s="3" t="s">
        <v>1473</v>
      </c>
      <c r="AF549" s="3">
        <v>0.142</v>
      </c>
      <c r="AG549" s="3">
        <v>4.174</v>
      </c>
      <c r="AH549" s="3">
        <v>0.275</v>
      </c>
      <c r="AI549" s="3">
        <v>111.27</v>
      </c>
      <c r="AJ549" s="3">
        <v>10.795</v>
      </c>
      <c r="AK549" s="3" t="s">
        <v>1474</v>
      </c>
      <c r="AL549" s="3">
        <v>0.018</v>
      </c>
      <c r="AM549" s="3" t="s">
        <v>1475</v>
      </c>
    </row>
    <row r="550" ht="15.75" customHeight="1">
      <c r="A550" s="3">
        <v>1.7304E12</v>
      </c>
      <c r="B550" s="3">
        <v>0.0</v>
      </c>
      <c r="C550" s="3" t="s">
        <v>2107</v>
      </c>
      <c r="D550" s="3" t="s">
        <v>1369</v>
      </c>
      <c r="E550" s="3" t="s">
        <v>2107</v>
      </c>
      <c r="F550" s="3">
        <v>0.0</v>
      </c>
      <c r="G550" s="3">
        <v>0.0</v>
      </c>
      <c r="H550" s="3">
        <v>0.0</v>
      </c>
      <c r="I550" s="3">
        <v>0.0</v>
      </c>
      <c r="J550" s="3">
        <v>0.0</v>
      </c>
      <c r="K550" s="3">
        <v>0.0</v>
      </c>
      <c r="L550" s="3">
        <v>0.0</v>
      </c>
      <c r="M550" s="3">
        <v>0.0</v>
      </c>
      <c r="N550" s="3">
        <v>0.0</v>
      </c>
      <c r="O550" s="3">
        <v>0.0</v>
      </c>
      <c r="P550" s="3">
        <v>0.0</v>
      </c>
      <c r="Q550" s="3">
        <v>0.0</v>
      </c>
      <c r="R550" s="3">
        <v>0.0</v>
      </c>
      <c r="S550" s="3">
        <v>0.0</v>
      </c>
      <c r="T550" s="3">
        <v>0.0</v>
      </c>
      <c r="U550" s="3">
        <v>0.0</v>
      </c>
      <c r="V550" s="3">
        <v>0.0</v>
      </c>
      <c r="W550" s="3" t="s">
        <v>2108</v>
      </c>
      <c r="X550" s="3" t="s">
        <v>1438</v>
      </c>
      <c r="Y550" s="3" t="s">
        <v>2109</v>
      </c>
      <c r="Z550" s="3" t="s">
        <v>1431</v>
      </c>
      <c r="AA550" s="3" t="s">
        <v>1940</v>
      </c>
      <c r="AB550" s="3" t="s">
        <v>1594</v>
      </c>
      <c r="AC550" s="3" t="s">
        <v>1374</v>
      </c>
      <c r="AD550" s="3" t="s">
        <v>2110</v>
      </c>
    </row>
    <row r="551" ht="15.75" customHeight="1">
      <c r="A551" s="3">
        <v>1.73029E12</v>
      </c>
      <c r="B551" s="3">
        <v>10.0</v>
      </c>
      <c r="C551" s="3" t="s">
        <v>2111</v>
      </c>
      <c r="D551" s="3" t="s">
        <v>1369</v>
      </c>
      <c r="E551" s="3" t="s">
        <v>2111</v>
      </c>
      <c r="F551" s="3">
        <v>1.0</v>
      </c>
      <c r="G551" s="3">
        <v>0.0</v>
      </c>
      <c r="H551" s="3">
        <v>0.0</v>
      </c>
      <c r="I551" s="3">
        <v>0.0</v>
      </c>
      <c r="J551" s="3">
        <v>1.0</v>
      </c>
      <c r="K551" s="3">
        <v>1.0</v>
      </c>
      <c r="L551" s="3">
        <v>1.0</v>
      </c>
      <c r="M551" s="3">
        <v>1.0</v>
      </c>
      <c r="N551" s="3">
        <v>0.0</v>
      </c>
      <c r="O551" s="3">
        <v>1.0</v>
      </c>
      <c r="P551" s="3">
        <v>1.0</v>
      </c>
      <c r="Q551" s="3">
        <v>1.0</v>
      </c>
      <c r="R551" s="3">
        <v>0.0</v>
      </c>
      <c r="S551" s="3">
        <v>1.0</v>
      </c>
      <c r="T551" s="3">
        <v>0.0</v>
      </c>
      <c r="U551" s="3">
        <v>0.0</v>
      </c>
      <c r="V551" s="3">
        <v>1.0</v>
      </c>
      <c r="W551" s="3" t="s">
        <v>520</v>
      </c>
      <c r="X551" s="3" t="s">
        <v>2112</v>
      </c>
      <c r="Y551" s="3" t="s">
        <v>1869</v>
      </c>
      <c r="Z551" s="3" t="s">
        <v>1708</v>
      </c>
      <c r="AA551" s="3" t="s">
        <v>1432</v>
      </c>
      <c r="AB551" s="3" t="s">
        <v>1374</v>
      </c>
      <c r="AC551" s="3" t="s">
        <v>1391</v>
      </c>
      <c r="AD551" s="3" t="s">
        <v>1433</v>
      </c>
      <c r="AE551" s="3" t="s">
        <v>2113</v>
      </c>
      <c r="AF551" s="3">
        <v>0.168</v>
      </c>
      <c r="AG551" s="3">
        <v>1.191</v>
      </c>
      <c r="AH551" s="3">
        <v>0.324</v>
      </c>
      <c r="AJ551" s="3">
        <v>-5.303</v>
      </c>
      <c r="AK551" s="3" t="s">
        <v>2114</v>
      </c>
      <c r="AM551" s="3" t="s">
        <v>1436</v>
      </c>
    </row>
    <row r="552" ht="15.75" customHeight="1">
      <c r="A552" s="3">
        <v>1.73032E12</v>
      </c>
      <c r="B552" s="3">
        <v>13.0</v>
      </c>
      <c r="C552" s="3" t="s">
        <v>840</v>
      </c>
      <c r="D552" s="3" t="s">
        <v>1369</v>
      </c>
      <c r="E552" s="3" t="s">
        <v>840</v>
      </c>
      <c r="F552" s="3">
        <v>1.0</v>
      </c>
      <c r="G552" s="3">
        <v>1.0</v>
      </c>
      <c r="H552" s="3">
        <v>1.0</v>
      </c>
      <c r="I552" s="3">
        <v>1.0</v>
      </c>
      <c r="J552" s="3">
        <v>1.0</v>
      </c>
      <c r="K552" s="3">
        <v>1.0</v>
      </c>
      <c r="L552" s="3">
        <v>1.0</v>
      </c>
      <c r="M552" s="3">
        <v>1.0</v>
      </c>
      <c r="N552" s="3">
        <v>1.0</v>
      </c>
      <c r="O552" s="3">
        <v>1.0</v>
      </c>
      <c r="P552" s="3">
        <v>1.0</v>
      </c>
      <c r="Q552" s="3">
        <v>0.0</v>
      </c>
      <c r="R552" s="3">
        <v>0.0</v>
      </c>
      <c r="S552" s="3">
        <v>0.0</v>
      </c>
      <c r="T552" s="3">
        <v>1.0</v>
      </c>
      <c r="U552" s="3">
        <v>0.0</v>
      </c>
      <c r="V552" s="3">
        <v>1.0</v>
      </c>
      <c r="W552" s="3" t="s">
        <v>717</v>
      </c>
      <c r="X552" s="3" t="s">
        <v>1489</v>
      </c>
      <c r="Y552" s="3" t="s">
        <v>1490</v>
      </c>
      <c r="Z552" s="3" t="s">
        <v>1423</v>
      </c>
      <c r="AA552" s="3" t="s">
        <v>1491</v>
      </c>
      <c r="AB552" s="3" t="s">
        <v>1374</v>
      </c>
      <c r="AC552" s="3" t="s">
        <v>1451</v>
      </c>
      <c r="AD552" s="3" t="s">
        <v>1492</v>
      </c>
      <c r="AE552" s="3" t="s">
        <v>1493</v>
      </c>
      <c r="AF552" s="3">
        <v>0.056</v>
      </c>
      <c r="AG552" s="3">
        <v>0.253</v>
      </c>
      <c r="AH552" s="3">
        <v>0.372</v>
      </c>
      <c r="AI552" s="3">
        <v>-13.36</v>
      </c>
      <c r="AJ552" s="3">
        <v>8.33</v>
      </c>
      <c r="AK552" s="3" t="s">
        <v>1561</v>
      </c>
      <c r="AL552" s="3">
        <v>0.135</v>
      </c>
      <c r="AM552" s="3" t="s">
        <v>1495</v>
      </c>
    </row>
    <row r="553" ht="15.75" customHeight="1">
      <c r="A553" s="3">
        <v>1.73035E12</v>
      </c>
      <c r="B553" s="3">
        <v>14.0</v>
      </c>
      <c r="C553" s="3" t="s">
        <v>729</v>
      </c>
      <c r="D553" s="3" t="s">
        <v>1369</v>
      </c>
      <c r="E553" s="3" t="s">
        <v>729</v>
      </c>
      <c r="F553" s="3">
        <v>1.0</v>
      </c>
      <c r="G553" s="3">
        <v>1.0</v>
      </c>
      <c r="H553" s="3">
        <v>1.0</v>
      </c>
      <c r="I553" s="3">
        <v>1.0</v>
      </c>
      <c r="J553" s="3">
        <v>1.0</v>
      </c>
      <c r="K553" s="3">
        <v>1.0</v>
      </c>
      <c r="L553" s="3">
        <v>1.0</v>
      </c>
      <c r="M553" s="3">
        <v>1.0</v>
      </c>
      <c r="N553" s="3">
        <v>1.0</v>
      </c>
      <c r="O553" s="3">
        <v>1.0</v>
      </c>
      <c r="P553" s="3">
        <v>1.0</v>
      </c>
      <c r="Q553" s="3">
        <v>0.0</v>
      </c>
      <c r="R553" s="3">
        <v>0.0</v>
      </c>
      <c r="S553" s="3">
        <v>1.0</v>
      </c>
      <c r="T553" s="3">
        <v>1.0</v>
      </c>
      <c r="U553" s="3">
        <v>0.0</v>
      </c>
      <c r="V553" s="3">
        <v>1.0</v>
      </c>
      <c r="W553" s="3" t="s">
        <v>977</v>
      </c>
      <c r="X553" s="3" t="s">
        <v>1483</v>
      </c>
      <c r="Y553" s="3" t="s">
        <v>1484</v>
      </c>
      <c r="Z553" s="3" t="s">
        <v>1372</v>
      </c>
      <c r="AA553" s="3" t="s">
        <v>1373</v>
      </c>
      <c r="AB553" s="3" t="s">
        <v>1374</v>
      </c>
      <c r="AC553" s="3" t="s">
        <v>1374</v>
      </c>
      <c r="AD553" s="3" t="s">
        <v>1485</v>
      </c>
      <c r="AE553" s="3" t="s">
        <v>1486</v>
      </c>
      <c r="AF553" s="3">
        <v>0.017</v>
      </c>
      <c r="AG553" s="3">
        <v>0.29</v>
      </c>
      <c r="AH553" s="3">
        <v>0.4</v>
      </c>
      <c r="AI553" s="3">
        <v>0.0</v>
      </c>
      <c r="AJ553" s="3">
        <v>28.514</v>
      </c>
      <c r="AK553" s="3" t="s">
        <v>1487</v>
      </c>
      <c r="AL553" s="3">
        <v>0.0</v>
      </c>
      <c r="AM553" s="3" t="s">
        <v>1573</v>
      </c>
    </row>
    <row r="554" ht="15.75" customHeight="1">
      <c r="A554" s="3">
        <v>1.73039E12</v>
      </c>
      <c r="B554" s="3">
        <v>0.0</v>
      </c>
      <c r="C554" s="3" t="s">
        <v>2115</v>
      </c>
      <c r="D554" s="3" t="s">
        <v>1369</v>
      </c>
      <c r="E554" s="3" t="s">
        <v>2115</v>
      </c>
      <c r="F554" s="3">
        <v>0.0</v>
      </c>
      <c r="G554" s="3">
        <v>0.0</v>
      </c>
      <c r="H554" s="3">
        <v>0.0</v>
      </c>
      <c r="I554" s="3">
        <v>0.0</v>
      </c>
      <c r="J554" s="3">
        <v>0.0</v>
      </c>
      <c r="K554" s="3">
        <v>0.0</v>
      </c>
      <c r="L554" s="3">
        <v>0.0</v>
      </c>
      <c r="M554" s="3">
        <v>0.0</v>
      </c>
      <c r="N554" s="3">
        <v>0.0</v>
      </c>
      <c r="O554" s="3">
        <v>0.0</v>
      </c>
      <c r="P554" s="3">
        <v>0.0</v>
      </c>
      <c r="Q554" s="3">
        <v>0.0</v>
      </c>
      <c r="R554" s="3">
        <v>0.0</v>
      </c>
      <c r="S554" s="3">
        <v>0.0</v>
      </c>
      <c r="T554" s="3">
        <v>0.0</v>
      </c>
      <c r="U554" s="3">
        <v>0.0</v>
      </c>
      <c r="V554" s="3">
        <v>0.0</v>
      </c>
      <c r="W554" s="3" t="s">
        <v>2116</v>
      </c>
      <c r="X554" s="3" t="s">
        <v>1388</v>
      </c>
      <c r="Y554" s="3" t="s">
        <v>1389</v>
      </c>
      <c r="Z554" s="3" t="s">
        <v>1372</v>
      </c>
      <c r="AA554" s="3" t="s">
        <v>2117</v>
      </c>
      <c r="AB554" s="3" t="s">
        <v>1374</v>
      </c>
      <c r="AC554" s="3" t="s">
        <v>1374</v>
      </c>
      <c r="AD554" s="3" t="s">
        <v>1374</v>
      </c>
    </row>
    <row r="555" ht="15.75" customHeight="1">
      <c r="A555" s="3">
        <v>1.7304E12</v>
      </c>
      <c r="B555" s="3">
        <v>0.0</v>
      </c>
      <c r="C555" s="3" t="s">
        <v>2118</v>
      </c>
      <c r="D555" s="3" t="s">
        <v>1369</v>
      </c>
      <c r="E555" s="3" t="s">
        <v>2118</v>
      </c>
      <c r="F555" s="3">
        <v>0.0</v>
      </c>
      <c r="G555" s="3">
        <v>0.0</v>
      </c>
      <c r="H555" s="3">
        <v>0.0</v>
      </c>
      <c r="I555" s="3">
        <v>0.0</v>
      </c>
      <c r="J555" s="3">
        <v>0.0</v>
      </c>
      <c r="K555" s="3">
        <v>0.0</v>
      </c>
      <c r="L555" s="3">
        <v>0.0</v>
      </c>
      <c r="M555" s="3">
        <v>0.0</v>
      </c>
      <c r="N555" s="3">
        <v>0.0</v>
      </c>
      <c r="O555" s="3">
        <v>0.0</v>
      </c>
      <c r="P555" s="3">
        <v>0.0</v>
      </c>
      <c r="Q555" s="3">
        <v>0.0</v>
      </c>
      <c r="R555" s="3">
        <v>0.0</v>
      </c>
      <c r="S555" s="3">
        <v>0.0</v>
      </c>
      <c r="T555" s="3">
        <v>0.0</v>
      </c>
      <c r="U555" s="3">
        <v>0.0</v>
      </c>
      <c r="V555" s="3">
        <v>0.0</v>
      </c>
      <c r="X555" s="3" t="s">
        <v>2119</v>
      </c>
    </row>
    <row r="556" ht="15.75" customHeight="1">
      <c r="A556" s="3">
        <v>1.7304E12</v>
      </c>
      <c r="B556" s="3">
        <v>9.0</v>
      </c>
      <c r="C556" s="3" t="s">
        <v>116</v>
      </c>
      <c r="D556" s="3" t="s">
        <v>1369</v>
      </c>
      <c r="E556" s="3" t="s">
        <v>116</v>
      </c>
      <c r="F556" s="3">
        <v>1.0</v>
      </c>
      <c r="G556" s="3">
        <v>0.0</v>
      </c>
      <c r="H556" s="3">
        <v>0.0</v>
      </c>
      <c r="I556" s="3">
        <v>0.0</v>
      </c>
      <c r="J556" s="3">
        <v>1.0</v>
      </c>
      <c r="K556" s="3">
        <v>1.0</v>
      </c>
      <c r="L556" s="3">
        <v>1.0</v>
      </c>
      <c r="M556" s="3">
        <v>1.0</v>
      </c>
      <c r="N556" s="3">
        <v>0.0</v>
      </c>
      <c r="O556" s="3">
        <v>1.0</v>
      </c>
      <c r="P556" s="3">
        <v>1.0</v>
      </c>
      <c r="Q556" s="3">
        <v>0.0</v>
      </c>
      <c r="R556" s="3">
        <v>0.0</v>
      </c>
      <c r="S556" s="3">
        <v>1.0</v>
      </c>
      <c r="T556" s="3">
        <v>0.0</v>
      </c>
      <c r="U556" s="3">
        <v>0.0</v>
      </c>
      <c r="V556" s="3">
        <v>1.0</v>
      </c>
      <c r="W556" s="3" t="s">
        <v>774</v>
      </c>
      <c r="X556" s="3" t="s">
        <v>1806</v>
      </c>
      <c r="Y556" s="3" t="s">
        <v>2120</v>
      </c>
      <c r="Z556" s="3" t="s">
        <v>1708</v>
      </c>
      <c r="AA556" s="3" t="s">
        <v>1553</v>
      </c>
      <c r="AB556" s="3" t="s">
        <v>1374</v>
      </c>
      <c r="AC556" s="3" t="s">
        <v>1391</v>
      </c>
      <c r="AD556" s="3" t="s">
        <v>1554</v>
      </c>
      <c r="AE556" s="3" t="s">
        <v>1978</v>
      </c>
      <c r="AF556" s="3">
        <v>0.082</v>
      </c>
      <c r="AG556" s="3">
        <v>0.291</v>
      </c>
      <c r="AH556" s="3">
        <v>0.221</v>
      </c>
      <c r="AI556" s="3">
        <v>243.038</v>
      </c>
      <c r="AJ556" s="3">
        <v>-1.616</v>
      </c>
      <c r="AK556" s="3" t="s">
        <v>1810</v>
      </c>
      <c r="AL556" s="3">
        <v>0.253</v>
      </c>
      <c r="AM556" s="3" t="s">
        <v>1446</v>
      </c>
    </row>
    <row r="557" ht="15.75" customHeight="1">
      <c r="A557" s="3">
        <v>1.73038E12</v>
      </c>
      <c r="B557" s="3">
        <v>11.0</v>
      </c>
      <c r="C557" s="3" t="s">
        <v>283</v>
      </c>
      <c r="D557" s="3" t="s">
        <v>1369</v>
      </c>
      <c r="E557" s="3" t="s">
        <v>283</v>
      </c>
      <c r="F557" s="3">
        <v>1.0</v>
      </c>
      <c r="G557" s="3">
        <v>1.0</v>
      </c>
      <c r="H557" s="3">
        <v>1.0</v>
      </c>
      <c r="I557" s="3">
        <v>1.0</v>
      </c>
      <c r="J557" s="3">
        <v>1.0</v>
      </c>
      <c r="K557" s="3">
        <v>1.0</v>
      </c>
      <c r="L557" s="3">
        <v>1.0</v>
      </c>
      <c r="M557" s="3">
        <v>1.0</v>
      </c>
      <c r="N557" s="3">
        <v>0.0</v>
      </c>
      <c r="O557" s="3">
        <v>1.0</v>
      </c>
      <c r="P557" s="3">
        <v>1.0</v>
      </c>
      <c r="Q557" s="3">
        <v>0.0</v>
      </c>
      <c r="R557" s="3">
        <v>0.0</v>
      </c>
      <c r="S557" s="3">
        <v>0.0</v>
      </c>
      <c r="T557" s="3">
        <v>0.0</v>
      </c>
      <c r="U557" s="3">
        <v>0.0</v>
      </c>
      <c r="V557" s="3">
        <v>1.0</v>
      </c>
      <c r="W557" s="3" t="s">
        <v>2121</v>
      </c>
      <c r="X557" s="3" t="s">
        <v>1447</v>
      </c>
      <c r="Y557" s="3" t="s">
        <v>1448</v>
      </c>
      <c r="Z557" s="3" t="s">
        <v>1372</v>
      </c>
      <c r="AA557" s="3" t="s">
        <v>1450</v>
      </c>
      <c r="AB557" s="3" t="s">
        <v>1374</v>
      </c>
      <c r="AC557" s="3" t="s">
        <v>1451</v>
      </c>
      <c r="AD557" s="3" t="s">
        <v>1452</v>
      </c>
      <c r="AE557" s="3" t="s">
        <v>2122</v>
      </c>
      <c r="AF557" s="3">
        <v>0.033</v>
      </c>
      <c r="AG557" s="3">
        <v>0.217</v>
      </c>
      <c r="AH557" s="3">
        <v>0.375</v>
      </c>
      <c r="AI557" s="3">
        <v>48.391</v>
      </c>
      <c r="AJ557" s="3">
        <v>0.057</v>
      </c>
      <c r="AK557" s="3" t="s">
        <v>2123</v>
      </c>
      <c r="AL557" s="3">
        <v>0.176</v>
      </c>
      <c r="AM557" s="3" t="s">
        <v>1455</v>
      </c>
    </row>
    <row r="558" ht="15.75" customHeight="1">
      <c r="A558" s="3">
        <v>1.73031E12</v>
      </c>
      <c r="B558" s="3">
        <v>17.0</v>
      </c>
      <c r="C558" s="3" t="s">
        <v>532</v>
      </c>
      <c r="D558" s="3" t="s">
        <v>1369</v>
      </c>
      <c r="E558" s="3" t="s">
        <v>532</v>
      </c>
      <c r="F558" s="3">
        <v>1.0</v>
      </c>
      <c r="G558" s="3">
        <v>1.0</v>
      </c>
      <c r="H558" s="3">
        <v>1.0</v>
      </c>
      <c r="I558" s="3">
        <v>1.0</v>
      </c>
      <c r="J558" s="3">
        <v>1.0</v>
      </c>
      <c r="K558" s="3">
        <v>1.0</v>
      </c>
      <c r="L558" s="3">
        <v>1.0</v>
      </c>
      <c r="M558" s="3">
        <v>1.0</v>
      </c>
      <c r="N558" s="3">
        <v>1.0</v>
      </c>
      <c r="O558" s="3">
        <v>1.0</v>
      </c>
      <c r="P558" s="3">
        <v>1.0</v>
      </c>
      <c r="Q558" s="3">
        <v>1.0</v>
      </c>
      <c r="R558" s="3">
        <v>1.0</v>
      </c>
      <c r="S558" s="3">
        <v>1.0</v>
      </c>
      <c r="T558" s="3">
        <v>1.0</v>
      </c>
      <c r="U558" s="3">
        <v>1.0</v>
      </c>
      <c r="V558" s="3">
        <v>1.0</v>
      </c>
      <c r="W558" s="3" t="s">
        <v>1002</v>
      </c>
      <c r="X558" s="3" t="s">
        <v>1634</v>
      </c>
      <c r="Y558" s="3" t="s">
        <v>1635</v>
      </c>
      <c r="Z558" s="3" t="s">
        <v>1372</v>
      </c>
      <c r="AA558" s="3" t="s">
        <v>1636</v>
      </c>
      <c r="AB558" s="3" t="s">
        <v>1374</v>
      </c>
      <c r="AC558" s="3" t="s">
        <v>1391</v>
      </c>
      <c r="AD558" s="3" t="s">
        <v>1680</v>
      </c>
      <c r="AE558" s="3" t="s">
        <v>1637</v>
      </c>
      <c r="AF558" s="3">
        <v>0.046</v>
      </c>
      <c r="AG558" s="3">
        <v>1.441</v>
      </c>
      <c r="AH558" s="3">
        <v>0.298</v>
      </c>
      <c r="AI558" s="3">
        <v>221.674</v>
      </c>
      <c r="AJ558" s="3">
        <v>37.432</v>
      </c>
      <c r="AK558" s="3" t="s">
        <v>1681</v>
      </c>
      <c r="AL558" s="3">
        <v>0.08</v>
      </c>
      <c r="AM558" s="3" t="s">
        <v>1469</v>
      </c>
    </row>
    <row r="559" ht="15.75" customHeight="1">
      <c r="A559" s="3">
        <v>1.73036E12</v>
      </c>
      <c r="B559" s="3">
        <v>17.0</v>
      </c>
      <c r="C559" s="3" t="s">
        <v>541</v>
      </c>
      <c r="D559" s="3" t="s">
        <v>1369</v>
      </c>
      <c r="E559" s="3" t="s">
        <v>541</v>
      </c>
      <c r="F559" s="3">
        <v>1.0</v>
      </c>
      <c r="G559" s="3">
        <v>1.0</v>
      </c>
      <c r="H559" s="3">
        <v>1.0</v>
      </c>
      <c r="I559" s="3">
        <v>1.0</v>
      </c>
      <c r="J559" s="3">
        <v>1.0</v>
      </c>
      <c r="K559" s="3">
        <v>1.0</v>
      </c>
      <c r="L559" s="3">
        <v>1.0</v>
      </c>
      <c r="M559" s="3">
        <v>1.0</v>
      </c>
      <c r="N559" s="3">
        <v>1.0</v>
      </c>
      <c r="O559" s="3">
        <v>1.0</v>
      </c>
      <c r="P559" s="3">
        <v>1.0</v>
      </c>
      <c r="Q559" s="3">
        <v>1.0</v>
      </c>
      <c r="R559" s="3">
        <v>1.0</v>
      </c>
      <c r="S559" s="3">
        <v>1.0</v>
      </c>
      <c r="T559" s="3">
        <v>1.0</v>
      </c>
      <c r="U559" s="3">
        <v>1.0</v>
      </c>
      <c r="V559" s="3">
        <v>1.0</v>
      </c>
      <c r="W559" s="3" t="s">
        <v>1193</v>
      </c>
      <c r="X559" s="3" t="s">
        <v>1483</v>
      </c>
      <c r="Y559" s="3" t="s">
        <v>1484</v>
      </c>
      <c r="Z559" s="3" t="s">
        <v>1372</v>
      </c>
      <c r="AA559" s="3" t="s">
        <v>1373</v>
      </c>
      <c r="AB559" s="3" t="s">
        <v>1374</v>
      </c>
      <c r="AC559" s="3" t="s">
        <v>1374</v>
      </c>
      <c r="AD559" s="3" t="s">
        <v>1485</v>
      </c>
      <c r="AE559" s="3" t="s">
        <v>1486</v>
      </c>
      <c r="AF559" s="3">
        <v>0.017</v>
      </c>
      <c r="AG559" s="3">
        <v>0.29</v>
      </c>
      <c r="AH559" s="3" t="s">
        <v>1394</v>
      </c>
      <c r="AI559" s="3" t="s">
        <v>1394</v>
      </c>
      <c r="AJ559" s="3">
        <v>28.685</v>
      </c>
      <c r="AK559" s="3" t="s">
        <v>1572</v>
      </c>
      <c r="AL559" s="3" t="s">
        <v>1394</v>
      </c>
      <c r="AM559" s="3" t="s">
        <v>1573</v>
      </c>
    </row>
    <row r="560" ht="15.75" customHeight="1">
      <c r="A560" s="3">
        <v>1.73039E12</v>
      </c>
      <c r="B560" s="3">
        <v>0.0</v>
      </c>
      <c r="C560" s="3" t="s">
        <v>2124</v>
      </c>
      <c r="D560" s="3" t="s">
        <v>1369</v>
      </c>
      <c r="E560" s="3" t="s">
        <v>2124</v>
      </c>
      <c r="F560" s="3">
        <v>0.0</v>
      </c>
      <c r="G560" s="3">
        <v>0.0</v>
      </c>
      <c r="H560" s="3">
        <v>0.0</v>
      </c>
      <c r="I560" s="3">
        <v>0.0</v>
      </c>
      <c r="J560" s="3">
        <v>0.0</v>
      </c>
      <c r="K560" s="3">
        <v>0.0</v>
      </c>
      <c r="L560" s="3">
        <v>0.0</v>
      </c>
      <c r="M560" s="3">
        <v>0.0</v>
      </c>
      <c r="N560" s="3">
        <v>0.0</v>
      </c>
      <c r="O560" s="3">
        <v>0.0</v>
      </c>
      <c r="P560" s="3">
        <v>0.0</v>
      </c>
      <c r="Q560" s="3">
        <v>0.0</v>
      </c>
      <c r="R560" s="3">
        <v>0.0</v>
      </c>
      <c r="S560" s="3">
        <v>0.0</v>
      </c>
      <c r="T560" s="3">
        <v>0.0</v>
      </c>
      <c r="U560" s="3">
        <v>0.0</v>
      </c>
      <c r="V560" s="3">
        <v>0.0</v>
      </c>
      <c r="W560" s="3" t="s">
        <v>2125</v>
      </c>
      <c r="X560" s="3" t="s">
        <v>2126</v>
      </c>
      <c r="Y560" s="3" t="s">
        <v>2127</v>
      </c>
      <c r="Z560" s="3" t="s">
        <v>2128</v>
      </c>
      <c r="AA560" s="3" t="s">
        <v>2129</v>
      </c>
      <c r="AB560" s="3" t="s">
        <v>2130</v>
      </c>
      <c r="AC560" s="3" t="s">
        <v>2131</v>
      </c>
      <c r="AD560" s="3" t="s">
        <v>2132</v>
      </c>
      <c r="AE560" s="3" t="s">
        <v>2133</v>
      </c>
      <c r="AF560" s="3" t="s">
        <v>2134</v>
      </c>
      <c r="AG560" s="3" t="s">
        <v>2135</v>
      </c>
      <c r="AH560" s="3" t="s">
        <v>2136</v>
      </c>
      <c r="AI560" s="3" t="s">
        <v>2137</v>
      </c>
      <c r="AJ560" s="3" t="s">
        <v>2138</v>
      </c>
      <c r="AK560" s="3" t="s">
        <v>2139</v>
      </c>
      <c r="AL560" s="3" t="s">
        <v>2140</v>
      </c>
      <c r="AM560" s="3" t="s">
        <v>2141</v>
      </c>
    </row>
    <row r="561" ht="15.75" customHeight="1">
      <c r="A561" s="3">
        <v>1.73037E12</v>
      </c>
      <c r="B561" s="3">
        <v>0.0</v>
      </c>
      <c r="C561" s="3" t="s">
        <v>2142</v>
      </c>
      <c r="D561" s="3" t="s">
        <v>1369</v>
      </c>
      <c r="E561" s="3" t="s">
        <v>2142</v>
      </c>
      <c r="F561" s="3">
        <v>0.0</v>
      </c>
      <c r="G561" s="3">
        <v>0.0</v>
      </c>
      <c r="H561" s="3">
        <v>0.0</v>
      </c>
      <c r="I561" s="3">
        <v>0.0</v>
      </c>
      <c r="J561" s="3">
        <v>0.0</v>
      </c>
      <c r="K561" s="3">
        <v>0.0</v>
      </c>
      <c r="L561" s="3">
        <v>0.0</v>
      </c>
      <c r="M561" s="3">
        <v>0.0</v>
      </c>
      <c r="N561" s="3">
        <v>0.0</v>
      </c>
      <c r="O561" s="3">
        <v>0.0</v>
      </c>
      <c r="P561" s="3">
        <v>0.0</v>
      </c>
      <c r="Q561" s="3">
        <v>0.0</v>
      </c>
      <c r="R561" s="3">
        <v>0.0</v>
      </c>
      <c r="S561" s="3">
        <v>0.0</v>
      </c>
      <c r="T561" s="3">
        <v>0.0</v>
      </c>
      <c r="U561" s="3">
        <v>0.0</v>
      </c>
      <c r="V561" s="3">
        <v>0.0</v>
      </c>
      <c r="W561" s="3" t="s">
        <v>2143</v>
      </c>
      <c r="X561" s="3" t="s">
        <v>2144</v>
      </c>
      <c r="Y561" s="3" t="s">
        <v>2145</v>
      </c>
      <c r="Z561" s="3" t="s">
        <v>1725</v>
      </c>
      <c r="AA561" s="3" t="s">
        <v>2146</v>
      </c>
      <c r="AB561" s="3" t="s">
        <v>1374</v>
      </c>
      <c r="AE561" s="3" t="s">
        <v>2147</v>
      </c>
      <c r="AF561" s="3">
        <v>-0.1</v>
      </c>
      <c r="AG561" s="3">
        <v>-2.662</v>
      </c>
      <c r="AH561" s="3">
        <v>0.311</v>
      </c>
      <c r="AI561" s="3">
        <v>-1162.735</v>
      </c>
      <c r="AJ561" s="3">
        <v>1.3411051586875E-4</v>
      </c>
      <c r="AL561" s="3">
        <v>0.625</v>
      </c>
    </row>
    <row r="562" ht="15.75" customHeight="1">
      <c r="A562" s="3">
        <v>1.73039E12</v>
      </c>
      <c r="B562" s="3">
        <v>14.0</v>
      </c>
      <c r="C562" s="3" t="s">
        <v>976</v>
      </c>
      <c r="D562" s="3" t="s">
        <v>1369</v>
      </c>
      <c r="E562" s="3" t="s">
        <v>976</v>
      </c>
      <c r="F562" s="3">
        <v>1.0</v>
      </c>
      <c r="G562" s="3">
        <v>1.0</v>
      </c>
      <c r="H562" s="3">
        <v>1.0</v>
      </c>
      <c r="I562" s="3">
        <v>0.0</v>
      </c>
      <c r="J562" s="3">
        <v>1.0</v>
      </c>
      <c r="K562" s="3">
        <v>1.0</v>
      </c>
      <c r="L562" s="3">
        <v>1.0</v>
      </c>
      <c r="M562" s="3">
        <v>1.0</v>
      </c>
      <c r="N562" s="3">
        <v>1.0</v>
      </c>
      <c r="O562" s="3">
        <v>1.0</v>
      </c>
      <c r="P562" s="3">
        <v>1.0</v>
      </c>
      <c r="Q562" s="3">
        <v>0.0</v>
      </c>
      <c r="R562" s="3">
        <v>1.0</v>
      </c>
      <c r="S562" s="3">
        <v>1.0</v>
      </c>
      <c r="T562" s="3">
        <v>0.0</v>
      </c>
      <c r="U562" s="3">
        <v>1.0</v>
      </c>
      <c r="V562" s="3">
        <v>1.0</v>
      </c>
      <c r="W562" s="3" t="s">
        <v>282</v>
      </c>
      <c r="X562" s="3" t="s">
        <v>1489</v>
      </c>
      <c r="Y562" s="3" t="s">
        <v>1490</v>
      </c>
      <c r="Z562" s="3" t="s">
        <v>1708</v>
      </c>
      <c r="AA562" s="3" t="s">
        <v>1491</v>
      </c>
      <c r="AB562" s="3" t="s">
        <v>1374</v>
      </c>
      <c r="AC562" s="3" t="s">
        <v>1451</v>
      </c>
      <c r="AD562" s="3" t="s">
        <v>1492</v>
      </c>
      <c r="AE562" s="3" t="s">
        <v>1493</v>
      </c>
      <c r="AF562" s="3">
        <v>0.056</v>
      </c>
      <c r="AG562" s="3">
        <v>0.253</v>
      </c>
      <c r="AH562" s="3">
        <v>0.372</v>
      </c>
      <c r="AI562" s="3">
        <v>-13.377</v>
      </c>
      <c r="AJ562" s="3">
        <v>8.334</v>
      </c>
      <c r="AK562" s="3" t="s">
        <v>2148</v>
      </c>
      <c r="AL562" s="3">
        <v>0.135</v>
      </c>
      <c r="AM562" s="3" t="s">
        <v>1495</v>
      </c>
    </row>
    <row r="563" ht="15.75" customHeight="1">
      <c r="A563" s="3">
        <v>1.7303E12</v>
      </c>
      <c r="B563" s="3">
        <v>17.0</v>
      </c>
      <c r="C563" s="3" t="s">
        <v>2149</v>
      </c>
      <c r="D563" s="3" t="s">
        <v>1369</v>
      </c>
      <c r="E563" s="3" t="s">
        <v>2149</v>
      </c>
      <c r="F563" s="3">
        <v>1.0</v>
      </c>
      <c r="G563" s="3">
        <v>1.0</v>
      </c>
      <c r="H563" s="3">
        <v>1.0</v>
      </c>
      <c r="I563" s="3">
        <v>1.0</v>
      </c>
      <c r="J563" s="3">
        <v>1.0</v>
      </c>
      <c r="K563" s="3">
        <v>1.0</v>
      </c>
      <c r="L563" s="3">
        <v>1.0</v>
      </c>
      <c r="M563" s="3">
        <v>1.0</v>
      </c>
      <c r="N563" s="3">
        <v>1.0</v>
      </c>
      <c r="O563" s="3">
        <v>1.0</v>
      </c>
      <c r="P563" s="3">
        <v>1.0</v>
      </c>
      <c r="Q563" s="3">
        <v>1.0</v>
      </c>
      <c r="R563" s="3">
        <v>1.0</v>
      </c>
      <c r="S563" s="3">
        <v>1.0</v>
      </c>
      <c r="T563" s="3">
        <v>1.0</v>
      </c>
      <c r="U563" s="3">
        <v>1.0</v>
      </c>
      <c r="V563" s="3">
        <v>1.0</v>
      </c>
      <c r="W563" s="3" t="s">
        <v>1198</v>
      </c>
      <c r="X563" s="3" t="s">
        <v>1429</v>
      </c>
      <c r="Y563" s="3" t="s">
        <v>1430</v>
      </c>
      <c r="Z563" s="3" t="s">
        <v>1423</v>
      </c>
      <c r="AA563" s="3" t="s">
        <v>1432</v>
      </c>
      <c r="AB563" s="3" t="s">
        <v>1374</v>
      </c>
      <c r="AC563" s="3" t="s">
        <v>1391</v>
      </c>
      <c r="AD563" s="3" t="s">
        <v>1433</v>
      </c>
      <c r="AE563" s="3" t="s">
        <v>1434</v>
      </c>
      <c r="AF563" s="3">
        <v>0.169</v>
      </c>
      <c r="AG563" s="3">
        <v>1.193</v>
      </c>
      <c r="AH563" s="3">
        <v>0.312</v>
      </c>
      <c r="AI563" s="3">
        <v>9.892</v>
      </c>
      <c r="AJ563" s="3">
        <v>-5.069</v>
      </c>
      <c r="AK563" s="3" t="s">
        <v>1903</v>
      </c>
      <c r="AL563" s="3">
        <v>0.012</v>
      </c>
      <c r="AM563" s="3" t="s">
        <v>2150</v>
      </c>
    </row>
    <row r="564" ht="15.75" customHeight="1">
      <c r="A564" s="3">
        <v>1.73038E12</v>
      </c>
      <c r="B564" s="3">
        <v>4.0</v>
      </c>
      <c r="C564" s="3" t="s">
        <v>2151</v>
      </c>
      <c r="D564" s="3" t="s">
        <v>1369</v>
      </c>
      <c r="E564" s="3" t="s">
        <v>2151</v>
      </c>
      <c r="F564" s="3">
        <v>1.0</v>
      </c>
      <c r="G564" s="3">
        <v>0.0</v>
      </c>
      <c r="H564" s="3">
        <v>0.0</v>
      </c>
      <c r="I564" s="3">
        <v>0.0</v>
      </c>
      <c r="J564" s="3">
        <v>0.0</v>
      </c>
      <c r="K564" s="3">
        <v>1.0</v>
      </c>
      <c r="L564" s="3">
        <v>0.0</v>
      </c>
      <c r="M564" s="3">
        <v>1.0</v>
      </c>
      <c r="N564" s="3">
        <v>0.0</v>
      </c>
      <c r="O564" s="3">
        <v>0.0</v>
      </c>
      <c r="P564" s="3">
        <v>0.0</v>
      </c>
      <c r="Q564" s="3">
        <v>0.0</v>
      </c>
      <c r="R564" s="3">
        <v>0.0</v>
      </c>
      <c r="S564" s="3">
        <v>0.0</v>
      </c>
      <c r="T564" s="3">
        <v>0.0</v>
      </c>
      <c r="U564" s="3">
        <v>0.0</v>
      </c>
      <c r="V564" s="3">
        <v>1.0</v>
      </c>
      <c r="W564" s="3" t="s">
        <v>636</v>
      </c>
      <c r="X564" s="3" t="s">
        <v>2152</v>
      </c>
      <c r="Y564" s="3" t="s">
        <v>2153</v>
      </c>
      <c r="Z564" s="3" t="s">
        <v>1807</v>
      </c>
      <c r="AA564" s="3" t="s">
        <v>2154</v>
      </c>
      <c r="AB564" s="3" t="s">
        <v>1374</v>
      </c>
      <c r="AC564" s="3" t="s">
        <v>1391</v>
      </c>
      <c r="AD564" s="3" t="s">
        <v>1401</v>
      </c>
      <c r="AE564" s="3" t="s">
        <v>2155</v>
      </c>
      <c r="AF564" s="3">
        <v>-0.201</v>
      </c>
      <c r="AG564" s="3">
        <v>-1.96</v>
      </c>
      <c r="AH564" s="3">
        <v>0.191</v>
      </c>
      <c r="AI564" s="3">
        <v>0.0</v>
      </c>
      <c r="AJ564" s="3">
        <v>77.36</v>
      </c>
      <c r="AK564" s="3" t="s">
        <v>2156</v>
      </c>
    </row>
    <row r="565" ht="15.75" customHeight="1">
      <c r="A565" s="3">
        <v>1.7303E12</v>
      </c>
      <c r="B565" s="3">
        <v>5.0</v>
      </c>
      <c r="C565" s="3" t="s">
        <v>2157</v>
      </c>
      <c r="D565" s="3" t="s">
        <v>1369</v>
      </c>
      <c r="E565" s="3" t="s">
        <v>2157</v>
      </c>
      <c r="F565" s="3">
        <v>1.0</v>
      </c>
      <c r="G565" s="3">
        <v>0.0</v>
      </c>
      <c r="H565" s="3">
        <v>1.0</v>
      </c>
      <c r="I565" s="3">
        <v>0.0</v>
      </c>
      <c r="J565" s="3">
        <v>0.0</v>
      </c>
      <c r="K565" s="3">
        <v>1.0</v>
      </c>
      <c r="L565" s="3">
        <v>0.0</v>
      </c>
      <c r="M565" s="3">
        <v>1.0</v>
      </c>
      <c r="N565" s="3">
        <v>0.0</v>
      </c>
      <c r="O565" s="3">
        <v>0.0</v>
      </c>
      <c r="P565" s="3">
        <v>0.0</v>
      </c>
      <c r="Q565" s="3">
        <v>0.0</v>
      </c>
      <c r="R565" s="3">
        <v>0.0</v>
      </c>
      <c r="S565" s="3">
        <v>0.0</v>
      </c>
      <c r="T565" s="3">
        <v>1.0</v>
      </c>
      <c r="U565" s="3">
        <v>0.0</v>
      </c>
      <c r="V565" s="3">
        <v>0.0</v>
      </c>
      <c r="W565" s="3" t="s">
        <v>539</v>
      </c>
      <c r="X565" s="3" t="s">
        <v>2158</v>
      </c>
      <c r="Y565" s="3" t="s">
        <v>1456</v>
      </c>
      <c r="Z565" s="3" t="s">
        <v>1708</v>
      </c>
      <c r="AB565" s="3" t="s">
        <v>1374</v>
      </c>
      <c r="AC565" s="3" t="s">
        <v>1391</v>
      </c>
      <c r="AD565" s="3" t="s">
        <v>1392</v>
      </c>
      <c r="AE565" s="3" t="s">
        <v>2158</v>
      </c>
      <c r="AH565" s="3">
        <v>0.285</v>
      </c>
      <c r="AK565" s="3" t="s">
        <v>1640</v>
      </c>
      <c r="AM565" s="3" t="s">
        <v>2159</v>
      </c>
    </row>
    <row r="566" ht="15.75" customHeight="1">
      <c r="A566" s="3">
        <v>1.73031E12</v>
      </c>
      <c r="B566" s="3">
        <v>17.0</v>
      </c>
      <c r="C566" s="3" t="s">
        <v>787</v>
      </c>
      <c r="D566" s="3" t="s">
        <v>1369</v>
      </c>
      <c r="E566" s="3" t="s">
        <v>787</v>
      </c>
      <c r="F566" s="3">
        <v>1.0</v>
      </c>
      <c r="G566" s="3">
        <v>1.0</v>
      </c>
      <c r="H566" s="3">
        <v>1.0</v>
      </c>
      <c r="I566" s="3">
        <v>1.0</v>
      </c>
      <c r="J566" s="3">
        <v>1.0</v>
      </c>
      <c r="K566" s="3">
        <v>1.0</v>
      </c>
      <c r="L566" s="3">
        <v>1.0</v>
      </c>
      <c r="M566" s="3">
        <v>1.0</v>
      </c>
      <c r="N566" s="3">
        <v>1.0</v>
      </c>
      <c r="O566" s="3">
        <v>1.0</v>
      </c>
      <c r="P566" s="3">
        <v>1.0</v>
      </c>
      <c r="Q566" s="3">
        <v>1.0</v>
      </c>
      <c r="R566" s="3">
        <v>1.0</v>
      </c>
      <c r="S566" s="3">
        <v>1.0</v>
      </c>
      <c r="T566" s="3">
        <v>1.0</v>
      </c>
      <c r="U566" s="3">
        <v>1.0</v>
      </c>
      <c r="V566" s="3">
        <v>1.0</v>
      </c>
      <c r="W566" s="3" t="s">
        <v>1305</v>
      </c>
      <c r="X566" s="3" t="s">
        <v>1429</v>
      </c>
      <c r="Y566" s="3" t="s">
        <v>1430</v>
      </c>
      <c r="Z566" s="3" t="s">
        <v>1423</v>
      </c>
      <c r="AA566" s="3" t="s">
        <v>1432</v>
      </c>
      <c r="AB566" s="3" t="s">
        <v>1374</v>
      </c>
      <c r="AC566" s="3" t="s">
        <v>1391</v>
      </c>
      <c r="AD566" s="3" t="s">
        <v>1433</v>
      </c>
      <c r="AE566" s="3" t="s">
        <v>1434</v>
      </c>
      <c r="AF566" s="3">
        <v>0.168</v>
      </c>
      <c r="AG566" s="3">
        <v>1.189</v>
      </c>
      <c r="AH566" s="3">
        <v>0.326</v>
      </c>
      <c r="AI566" s="3">
        <v>111.628</v>
      </c>
      <c r="AJ566" s="3">
        <v>-4.896</v>
      </c>
      <c r="AK566" s="3" t="s">
        <v>1481</v>
      </c>
      <c r="AL566" s="3">
        <v>0.118</v>
      </c>
      <c r="AM566" s="3" t="s">
        <v>1436</v>
      </c>
    </row>
    <row r="567" ht="15.75" customHeight="1">
      <c r="A567" s="3">
        <v>1.73028E12</v>
      </c>
      <c r="B567" s="3">
        <v>17.0</v>
      </c>
      <c r="C567" s="3" t="s">
        <v>513</v>
      </c>
      <c r="D567" s="3" t="s">
        <v>1369</v>
      </c>
      <c r="E567" s="3" t="s">
        <v>513</v>
      </c>
      <c r="F567" s="3">
        <v>1.0</v>
      </c>
      <c r="G567" s="3">
        <v>1.0</v>
      </c>
      <c r="H567" s="3">
        <v>1.0</v>
      </c>
      <c r="I567" s="3">
        <v>1.0</v>
      </c>
      <c r="J567" s="3">
        <v>1.0</v>
      </c>
      <c r="K567" s="3">
        <v>1.0</v>
      </c>
      <c r="L567" s="3">
        <v>1.0</v>
      </c>
      <c r="M567" s="3">
        <v>1.0</v>
      </c>
      <c r="N567" s="3">
        <v>1.0</v>
      </c>
      <c r="O567" s="3">
        <v>1.0</v>
      </c>
      <c r="P567" s="3">
        <v>1.0</v>
      </c>
      <c r="Q567" s="3">
        <v>1.0</v>
      </c>
      <c r="R567" s="3">
        <v>1.0</v>
      </c>
      <c r="S567" s="3">
        <v>1.0</v>
      </c>
      <c r="T567" s="3">
        <v>1.0</v>
      </c>
      <c r="U567" s="3">
        <v>1.0</v>
      </c>
      <c r="V567" s="3">
        <v>1.0</v>
      </c>
      <c r="W567" s="3" t="s">
        <v>1280</v>
      </c>
      <c r="X567" s="3" t="s">
        <v>1578</v>
      </c>
      <c r="Y567" s="3" t="s">
        <v>1579</v>
      </c>
      <c r="Z567" s="3" t="s">
        <v>1449</v>
      </c>
      <c r="AA567" s="3" t="s">
        <v>1382</v>
      </c>
      <c r="AB567" s="3" t="s">
        <v>1374</v>
      </c>
      <c r="AC567" s="3" t="s">
        <v>1580</v>
      </c>
      <c r="AD567" s="3" t="s">
        <v>1581</v>
      </c>
      <c r="AE567" s="3" t="s">
        <v>1582</v>
      </c>
      <c r="AF567" s="3">
        <v>0.053</v>
      </c>
      <c r="AG567" s="3">
        <v>0.289</v>
      </c>
      <c r="AH567" s="3">
        <v>0.427</v>
      </c>
      <c r="AI567" s="3">
        <v>-80.095</v>
      </c>
      <c r="AJ567" s="3">
        <v>18.94</v>
      </c>
      <c r="AK567" s="3" t="s">
        <v>1583</v>
      </c>
      <c r="AL567" s="3">
        <v>0.13</v>
      </c>
      <c r="AM567" s="3" t="s">
        <v>1584</v>
      </c>
    </row>
    <row r="568" ht="15.75" customHeight="1">
      <c r="A568" s="3">
        <v>1.7304E12</v>
      </c>
      <c r="B568" s="3">
        <v>9.0</v>
      </c>
      <c r="C568" s="3" t="s">
        <v>773</v>
      </c>
      <c r="D568" s="3" t="s">
        <v>1369</v>
      </c>
      <c r="E568" s="3" t="s">
        <v>773</v>
      </c>
      <c r="F568" s="3">
        <v>1.0</v>
      </c>
      <c r="G568" s="3">
        <v>1.0</v>
      </c>
      <c r="H568" s="3">
        <v>0.0</v>
      </c>
      <c r="I568" s="3">
        <v>0.0</v>
      </c>
      <c r="J568" s="3">
        <v>1.0</v>
      </c>
      <c r="K568" s="3">
        <v>1.0</v>
      </c>
      <c r="L568" s="3">
        <v>1.0</v>
      </c>
      <c r="M568" s="3">
        <v>1.0</v>
      </c>
      <c r="N568" s="3">
        <v>1.0</v>
      </c>
      <c r="O568" s="3">
        <v>1.0</v>
      </c>
      <c r="P568" s="3">
        <v>1.0</v>
      </c>
      <c r="Q568" s="3">
        <v>0.0</v>
      </c>
      <c r="R568" s="3">
        <v>0.0</v>
      </c>
      <c r="S568" s="3">
        <v>0.0</v>
      </c>
      <c r="T568" s="3">
        <v>0.0</v>
      </c>
      <c r="U568" s="3">
        <v>0.0</v>
      </c>
      <c r="V568" s="3">
        <v>0.0</v>
      </c>
      <c r="W568" s="3" t="s">
        <v>458</v>
      </c>
      <c r="X568" s="3" t="s">
        <v>1590</v>
      </c>
      <c r="Y568" s="3" t="s">
        <v>2160</v>
      </c>
      <c r="Z568" s="3" t="s">
        <v>2068</v>
      </c>
      <c r="AA568" s="3" t="s">
        <v>1593</v>
      </c>
      <c r="AB568" s="3" t="s">
        <v>1374</v>
      </c>
      <c r="AC568" s="3" t="s">
        <v>1374</v>
      </c>
      <c r="AD568" s="3" t="s">
        <v>1625</v>
      </c>
      <c r="AE568" s="3" t="s">
        <v>1595</v>
      </c>
      <c r="AF568" s="3">
        <v>0.189</v>
      </c>
      <c r="AG568" s="3">
        <v>2.256</v>
      </c>
      <c r="AH568" s="3">
        <v>0.379</v>
      </c>
      <c r="AI568" s="3">
        <v>-46.164</v>
      </c>
      <c r="AJ568" s="3">
        <v>6.288</v>
      </c>
      <c r="AK568" s="3" t="s">
        <v>2160</v>
      </c>
      <c r="AL568" s="3">
        <v>-0.403</v>
      </c>
      <c r="AM568" s="3" t="s">
        <v>2161</v>
      </c>
    </row>
    <row r="569" ht="15.75" customHeight="1">
      <c r="A569" s="3">
        <v>1.73038E12</v>
      </c>
      <c r="B569" s="3">
        <v>17.0</v>
      </c>
      <c r="C569" s="3" t="s">
        <v>421</v>
      </c>
      <c r="D569" s="3" t="s">
        <v>1369</v>
      </c>
      <c r="E569" s="3" t="s">
        <v>421</v>
      </c>
      <c r="F569" s="3">
        <v>1.0</v>
      </c>
      <c r="G569" s="3">
        <v>1.0</v>
      </c>
      <c r="H569" s="3">
        <v>1.0</v>
      </c>
      <c r="I569" s="3">
        <v>1.0</v>
      </c>
      <c r="J569" s="3">
        <v>1.0</v>
      </c>
      <c r="K569" s="3">
        <v>1.0</v>
      </c>
      <c r="L569" s="3">
        <v>1.0</v>
      </c>
      <c r="M569" s="3">
        <v>1.0</v>
      </c>
      <c r="N569" s="3">
        <v>1.0</v>
      </c>
      <c r="O569" s="3">
        <v>1.0</v>
      </c>
      <c r="P569" s="3">
        <v>1.0</v>
      </c>
      <c r="Q569" s="3">
        <v>1.0</v>
      </c>
      <c r="R569" s="3">
        <v>1.0</v>
      </c>
      <c r="S569" s="3">
        <v>1.0</v>
      </c>
      <c r="T569" s="3">
        <v>1.0</v>
      </c>
      <c r="U569" s="3">
        <v>1.0</v>
      </c>
      <c r="V569" s="3">
        <v>1.0</v>
      </c>
      <c r="W569" s="3" t="s">
        <v>1185</v>
      </c>
      <c r="X569" s="3" t="s">
        <v>1421</v>
      </c>
      <c r="Y569" s="3" t="s">
        <v>1422</v>
      </c>
      <c r="Z569" s="3" t="s">
        <v>1423</v>
      </c>
      <c r="AA569" s="3" t="s">
        <v>1424</v>
      </c>
      <c r="AB569" s="3" t="s">
        <v>1374</v>
      </c>
      <c r="AC569" s="3" t="s">
        <v>1391</v>
      </c>
      <c r="AD569" s="3" t="s">
        <v>1425</v>
      </c>
      <c r="AE569" s="3" t="s">
        <v>1426</v>
      </c>
      <c r="AF569" s="3">
        <v>0.051</v>
      </c>
      <c r="AG569" s="3">
        <v>0.21</v>
      </c>
      <c r="AH569" s="3">
        <v>0.345</v>
      </c>
      <c r="AI569" s="3">
        <v>-29.371</v>
      </c>
      <c r="AJ569" s="3">
        <v>0.522</v>
      </c>
      <c r="AK569" s="3" t="s">
        <v>1427</v>
      </c>
      <c r="AL569" s="3">
        <v>0.189</v>
      </c>
      <c r="AM569" s="3" t="s">
        <v>1428</v>
      </c>
    </row>
    <row r="570" ht="15.75" customHeight="1">
      <c r="A570" s="3">
        <v>1.73036E12</v>
      </c>
      <c r="B570" s="3">
        <v>17.0</v>
      </c>
      <c r="C570" s="3" t="s">
        <v>324</v>
      </c>
      <c r="D570" s="3" t="s">
        <v>1369</v>
      </c>
      <c r="E570" s="3" t="s">
        <v>324</v>
      </c>
      <c r="F570" s="3">
        <v>1.0</v>
      </c>
      <c r="G570" s="3">
        <v>1.0</v>
      </c>
      <c r="H570" s="3">
        <v>1.0</v>
      </c>
      <c r="I570" s="3">
        <v>1.0</v>
      </c>
      <c r="J570" s="3">
        <v>1.0</v>
      </c>
      <c r="K570" s="3">
        <v>1.0</v>
      </c>
      <c r="L570" s="3">
        <v>1.0</v>
      </c>
      <c r="M570" s="3">
        <v>1.0</v>
      </c>
      <c r="N570" s="3">
        <v>1.0</v>
      </c>
      <c r="O570" s="3">
        <v>1.0</v>
      </c>
      <c r="P570" s="3">
        <v>1.0</v>
      </c>
      <c r="Q570" s="3">
        <v>1.0</v>
      </c>
      <c r="R570" s="3">
        <v>1.0</v>
      </c>
      <c r="S570" s="3">
        <v>1.0</v>
      </c>
      <c r="T570" s="3">
        <v>1.0</v>
      </c>
      <c r="U570" s="3">
        <v>1.0</v>
      </c>
      <c r="V570" s="3">
        <v>1.0</v>
      </c>
      <c r="W570" s="3" t="s">
        <v>1124</v>
      </c>
      <c r="X570" s="3" t="s">
        <v>1476</v>
      </c>
      <c r="Y570" s="3" t="s">
        <v>1477</v>
      </c>
      <c r="Z570" s="3" t="s">
        <v>1372</v>
      </c>
      <c r="AA570" s="3" t="s">
        <v>1415</v>
      </c>
      <c r="AB570" s="3" t="s">
        <v>1374</v>
      </c>
      <c r="AC570" s="3" t="s">
        <v>1374</v>
      </c>
      <c r="AD570" s="3" t="s">
        <v>1500</v>
      </c>
      <c r="AE570" s="3" t="s">
        <v>1479</v>
      </c>
      <c r="AF570" s="3">
        <v>0.033</v>
      </c>
      <c r="AG570" s="3">
        <v>0.657</v>
      </c>
      <c r="AH570" s="3" t="s">
        <v>1394</v>
      </c>
      <c r="AI570" s="3" t="s">
        <v>1394</v>
      </c>
      <c r="AJ570" s="3">
        <v>-11.763</v>
      </c>
      <c r="AK570" s="3" t="s">
        <v>1641</v>
      </c>
      <c r="AL570" s="3" t="s">
        <v>1394</v>
      </c>
      <c r="AM570" s="3" t="s">
        <v>1419</v>
      </c>
    </row>
    <row r="571" ht="15.75" customHeight="1">
      <c r="A571" s="3">
        <v>1.73031E12</v>
      </c>
      <c r="B571" s="3">
        <v>0.0</v>
      </c>
      <c r="C571" s="3" t="s">
        <v>2162</v>
      </c>
      <c r="D571" s="3" t="s">
        <v>1369</v>
      </c>
      <c r="E571" s="3" t="s">
        <v>2162</v>
      </c>
      <c r="F571" s="3">
        <v>0.0</v>
      </c>
      <c r="G571" s="3">
        <v>0.0</v>
      </c>
      <c r="H571" s="3">
        <v>0.0</v>
      </c>
      <c r="I571" s="3">
        <v>0.0</v>
      </c>
      <c r="J571" s="3">
        <v>0.0</v>
      </c>
      <c r="K571" s="3">
        <v>0.0</v>
      </c>
      <c r="L571" s="3">
        <v>0.0</v>
      </c>
      <c r="M571" s="3">
        <v>0.0</v>
      </c>
      <c r="N571" s="3">
        <v>0.0</v>
      </c>
      <c r="O571" s="3">
        <v>0.0</v>
      </c>
      <c r="P571" s="3">
        <v>0.0</v>
      </c>
      <c r="Q571" s="3">
        <v>0.0</v>
      </c>
      <c r="R571" s="3">
        <v>0.0</v>
      </c>
      <c r="S571" s="3">
        <v>0.0</v>
      </c>
      <c r="T571" s="3">
        <v>0.0</v>
      </c>
      <c r="U571" s="3">
        <v>0.0</v>
      </c>
      <c r="V571" s="3">
        <v>0.0</v>
      </c>
      <c r="W571" s="3" t="s">
        <v>2163</v>
      </c>
      <c r="X571" s="3" t="s">
        <v>2164</v>
      </c>
      <c r="Y571" s="3" t="s">
        <v>2165</v>
      </c>
      <c r="Z571" s="3" t="s">
        <v>1512</v>
      </c>
      <c r="AA571" s="3" t="s">
        <v>1382</v>
      </c>
      <c r="AB571" s="3" t="s">
        <v>1374</v>
      </c>
      <c r="AC571" s="3" t="s">
        <v>1451</v>
      </c>
      <c r="AD571" s="3" t="s">
        <v>1860</v>
      </c>
      <c r="AE571" s="3" t="s">
        <v>2166</v>
      </c>
      <c r="AF571" s="3">
        <v>-0.013</v>
      </c>
      <c r="AG571" s="3">
        <v>-0.028</v>
      </c>
      <c r="AH571" s="3">
        <v>0.45</v>
      </c>
      <c r="AI571" s="3" t="s">
        <v>1519</v>
      </c>
      <c r="AJ571" s="3">
        <v>-45.254</v>
      </c>
      <c r="AK571" s="3" t="s">
        <v>2167</v>
      </c>
      <c r="AL571" s="3">
        <v>0.542</v>
      </c>
      <c r="AM571" s="3" t="s">
        <v>2168</v>
      </c>
    </row>
    <row r="572" ht="15.75" customHeight="1">
      <c r="A572" s="3">
        <v>1.73036E12</v>
      </c>
      <c r="B572" s="3">
        <v>13.0</v>
      </c>
      <c r="C572" s="3" t="s">
        <v>716</v>
      </c>
      <c r="D572" s="3" t="s">
        <v>1369</v>
      </c>
      <c r="E572" s="3" t="s">
        <v>716</v>
      </c>
      <c r="F572" s="3">
        <v>1.0</v>
      </c>
      <c r="G572" s="3">
        <v>1.0</v>
      </c>
      <c r="H572" s="3">
        <v>1.0</v>
      </c>
      <c r="I572" s="3">
        <v>1.0</v>
      </c>
      <c r="J572" s="3">
        <v>1.0</v>
      </c>
      <c r="K572" s="3">
        <v>1.0</v>
      </c>
      <c r="L572" s="3">
        <v>1.0</v>
      </c>
      <c r="M572" s="3">
        <v>1.0</v>
      </c>
      <c r="N572" s="3">
        <v>1.0</v>
      </c>
      <c r="O572" s="3">
        <v>0.0</v>
      </c>
      <c r="P572" s="3">
        <v>1.0</v>
      </c>
      <c r="Q572" s="3">
        <v>0.0</v>
      </c>
      <c r="R572" s="3">
        <v>0.0</v>
      </c>
      <c r="S572" s="3">
        <v>1.0</v>
      </c>
      <c r="T572" s="3">
        <v>1.0</v>
      </c>
      <c r="U572" s="3">
        <v>0.0</v>
      </c>
      <c r="V572" s="3">
        <v>1.0</v>
      </c>
      <c r="W572" s="3" t="s">
        <v>831</v>
      </c>
      <c r="X572" s="3" t="s">
        <v>1578</v>
      </c>
      <c r="Y572" s="3" t="s">
        <v>1579</v>
      </c>
      <c r="Z572" s="3" t="s">
        <v>1372</v>
      </c>
      <c r="AA572" s="3" t="s">
        <v>1382</v>
      </c>
      <c r="AB572" s="3" t="s">
        <v>1374</v>
      </c>
      <c r="AC572" s="3" t="s">
        <v>1580</v>
      </c>
      <c r="AD572" s="3" t="s">
        <v>1581</v>
      </c>
      <c r="AE572" s="3" t="s">
        <v>1582</v>
      </c>
      <c r="AF572" s="3">
        <v>0.061</v>
      </c>
      <c r="AG572" s="3">
        <v>0.271</v>
      </c>
      <c r="AH572" s="3">
        <v>0.412</v>
      </c>
      <c r="AI572" s="3">
        <v>0.661</v>
      </c>
      <c r="AJ572" s="3">
        <v>18.743</v>
      </c>
      <c r="AK572" s="3" t="s">
        <v>2169</v>
      </c>
      <c r="AL572" s="3">
        <v>0.661</v>
      </c>
      <c r="AM572" s="3" t="s">
        <v>1584</v>
      </c>
    </row>
    <row r="573" ht="15.75" customHeight="1">
      <c r="A573" s="3">
        <v>1.7304E12</v>
      </c>
      <c r="B573" s="3">
        <v>16.0</v>
      </c>
      <c r="C573" s="3" t="s">
        <v>2170</v>
      </c>
      <c r="D573" s="3" t="s">
        <v>1369</v>
      </c>
      <c r="E573" s="3" t="s">
        <v>2170</v>
      </c>
      <c r="F573" s="3">
        <v>1.0</v>
      </c>
      <c r="G573" s="3">
        <v>1.0</v>
      </c>
      <c r="H573" s="3">
        <v>1.0</v>
      </c>
      <c r="I573" s="3">
        <v>1.0</v>
      </c>
      <c r="J573" s="3">
        <v>1.0</v>
      </c>
      <c r="K573" s="3">
        <v>1.0</v>
      </c>
      <c r="L573" s="3">
        <v>1.0</v>
      </c>
      <c r="M573" s="3">
        <v>1.0</v>
      </c>
      <c r="N573" s="3">
        <v>1.0</v>
      </c>
      <c r="O573" s="3">
        <v>1.0</v>
      </c>
      <c r="P573" s="3">
        <v>1.0</v>
      </c>
      <c r="Q573" s="3">
        <v>1.0</v>
      </c>
      <c r="R573" s="3">
        <v>1.0</v>
      </c>
      <c r="S573" s="3">
        <v>0.0</v>
      </c>
      <c r="T573" s="3">
        <v>1.0</v>
      </c>
      <c r="U573" s="3">
        <v>1.0</v>
      </c>
      <c r="V573" s="3">
        <v>1.0</v>
      </c>
      <c r="W573" s="3" t="s">
        <v>1082</v>
      </c>
      <c r="X573" s="3" t="s">
        <v>1438</v>
      </c>
      <c r="Y573" s="3" t="s">
        <v>1439</v>
      </c>
      <c r="Z573" s="3" t="s">
        <v>1372</v>
      </c>
      <c r="AA573" s="3" t="s">
        <v>1553</v>
      </c>
      <c r="AB573" s="3" t="s">
        <v>1374</v>
      </c>
      <c r="AC573" s="3" t="s">
        <v>1391</v>
      </c>
      <c r="AD573" s="3" t="s">
        <v>1554</v>
      </c>
      <c r="AE573" s="3" t="s">
        <v>1444</v>
      </c>
      <c r="AF573" s="3">
        <v>0.082</v>
      </c>
      <c r="AG573" s="3">
        <v>0.291</v>
      </c>
      <c r="AH573" s="3">
        <v>0.221</v>
      </c>
      <c r="AI573" s="3">
        <v>243.038</v>
      </c>
      <c r="AJ573" s="3">
        <v>-5.718</v>
      </c>
      <c r="AK573" s="3" t="s">
        <v>1555</v>
      </c>
      <c r="AL573" s="3">
        <v>0.253</v>
      </c>
      <c r="AM573" s="3" t="s">
        <v>1446</v>
      </c>
    </row>
    <row r="574" ht="15.75" customHeight="1">
      <c r="A574" s="3">
        <v>1.7304E12</v>
      </c>
      <c r="B574" s="3">
        <v>0.0</v>
      </c>
      <c r="C574" s="3" t="s">
        <v>2171</v>
      </c>
      <c r="D574" s="3" t="s">
        <v>1369</v>
      </c>
      <c r="E574" s="3" t="s">
        <v>2171</v>
      </c>
      <c r="F574" s="3">
        <v>0.0</v>
      </c>
      <c r="G574" s="3">
        <v>0.0</v>
      </c>
      <c r="H574" s="3">
        <v>0.0</v>
      </c>
      <c r="I574" s="3">
        <v>0.0</v>
      </c>
      <c r="J574" s="3">
        <v>0.0</v>
      </c>
      <c r="K574" s="3">
        <v>0.0</v>
      </c>
      <c r="L574" s="3">
        <v>0.0</v>
      </c>
      <c r="M574" s="3">
        <v>0.0</v>
      </c>
      <c r="N574" s="3">
        <v>0.0</v>
      </c>
      <c r="O574" s="3">
        <v>0.0</v>
      </c>
      <c r="P574" s="3">
        <v>0.0</v>
      </c>
      <c r="Q574" s="3">
        <v>0.0</v>
      </c>
      <c r="R574" s="3">
        <v>0.0</v>
      </c>
      <c r="S574" s="3">
        <v>0.0</v>
      </c>
      <c r="T574" s="3">
        <v>0.0</v>
      </c>
      <c r="U574" s="3">
        <v>0.0</v>
      </c>
      <c r="V574" s="3">
        <v>0.0</v>
      </c>
      <c r="W574" s="3" t="s">
        <v>2172</v>
      </c>
      <c r="X574" s="3" t="s">
        <v>2173</v>
      </c>
      <c r="Y574" s="3" t="s">
        <v>2174</v>
      </c>
      <c r="Z574" s="3" t="s">
        <v>1512</v>
      </c>
      <c r="AA574" s="3" t="s">
        <v>1910</v>
      </c>
      <c r="AB574" s="3" t="s">
        <v>1374</v>
      </c>
      <c r="AC574" s="3" t="s">
        <v>2175</v>
      </c>
      <c r="AD574" s="3" t="s">
        <v>1374</v>
      </c>
      <c r="AE574" s="3" t="s">
        <v>2176</v>
      </c>
    </row>
    <row r="575" ht="15.75" customHeight="1">
      <c r="A575" s="3">
        <v>1.73031E12</v>
      </c>
      <c r="B575" s="3">
        <v>17.0</v>
      </c>
      <c r="C575" s="3" t="s">
        <v>837</v>
      </c>
      <c r="D575" s="3" t="s">
        <v>1369</v>
      </c>
      <c r="E575" s="3" t="s">
        <v>837</v>
      </c>
      <c r="F575" s="3">
        <v>1.0</v>
      </c>
      <c r="G575" s="3">
        <v>1.0</v>
      </c>
      <c r="H575" s="3">
        <v>1.0</v>
      </c>
      <c r="I575" s="3">
        <v>1.0</v>
      </c>
      <c r="J575" s="3">
        <v>1.0</v>
      </c>
      <c r="K575" s="3">
        <v>1.0</v>
      </c>
      <c r="L575" s="3">
        <v>1.0</v>
      </c>
      <c r="M575" s="3">
        <v>1.0</v>
      </c>
      <c r="N575" s="3">
        <v>1.0</v>
      </c>
      <c r="O575" s="3">
        <v>1.0</v>
      </c>
      <c r="P575" s="3">
        <v>1.0</v>
      </c>
      <c r="Q575" s="3">
        <v>1.0</v>
      </c>
      <c r="R575" s="3">
        <v>1.0</v>
      </c>
      <c r="S575" s="3">
        <v>1.0</v>
      </c>
      <c r="T575" s="3">
        <v>1.0</v>
      </c>
      <c r="U575" s="3">
        <v>1.0</v>
      </c>
      <c r="V575" s="3">
        <v>1.0</v>
      </c>
      <c r="W575" s="3" t="s">
        <v>1108</v>
      </c>
      <c r="X575" s="3" t="s">
        <v>1379</v>
      </c>
      <c r="Y575" s="3" t="s">
        <v>1380</v>
      </c>
      <c r="Z575" s="3" t="s">
        <v>1372</v>
      </c>
      <c r="AA575" s="3" t="s">
        <v>1382</v>
      </c>
      <c r="AB575" s="3" t="s">
        <v>1374</v>
      </c>
      <c r="AC575" s="3" t="s">
        <v>1400</v>
      </c>
      <c r="AD575" s="3" t="s">
        <v>1425</v>
      </c>
      <c r="AE575" s="3" t="s">
        <v>1385</v>
      </c>
      <c r="AF575" s="3">
        <v>0.192</v>
      </c>
      <c r="AG575" s="3">
        <v>2.356</v>
      </c>
      <c r="AH575" s="3">
        <v>0.196</v>
      </c>
      <c r="AI575" s="3">
        <v>61.965</v>
      </c>
      <c r="AJ575" s="3">
        <v>-0.126</v>
      </c>
      <c r="AK575" s="3" t="s">
        <v>1857</v>
      </c>
      <c r="AL575" s="3">
        <v>0.193</v>
      </c>
      <c r="AM575" s="3" t="s">
        <v>1411</v>
      </c>
    </row>
    <row r="576" ht="15.75" customHeight="1">
      <c r="A576" s="3">
        <v>1.73039E12</v>
      </c>
      <c r="B576" s="3">
        <v>14.0</v>
      </c>
      <c r="C576" s="3" t="s">
        <v>281</v>
      </c>
      <c r="D576" s="3" t="s">
        <v>1369</v>
      </c>
      <c r="E576" s="3" t="s">
        <v>281</v>
      </c>
      <c r="F576" s="3">
        <v>1.0</v>
      </c>
      <c r="G576" s="3">
        <v>1.0</v>
      </c>
      <c r="H576" s="3">
        <v>1.0</v>
      </c>
      <c r="I576" s="3">
        <v>1.0</v>
      </c>
      <c r="J576" s="3">
        <v>1.0</v>
      </c>
      <c r="K576" s="3">
        <v>1.0</v>
      </c>
      <c r="L576" s="3">
        <v>1.0</v>
      </c>
      <c r="M576" s="3">
        <v>1.0</v>
      </c>
      <c r="N576" s="3">
        <v>1.0</v>
      </c>
      <c r="O576" s="3">
        <v>1.0</v>
      </c>
      <c r="P576" s="3">
        <v>1.0</v>
      </c>
      <c r="Q576" s="3">
        <v>0.0</v>
      </c>
      <c r="R576" s="3">
        <v>1.0</v>
      </c>
      <c r="S576" s="3">
        <v>0.0</v>
      </c>
      <c r="T576" s="3">
        <v>1.0</v>
      </c>
      <c r="U576" s="3">
        <v>0.0</v>
      </c>
      <c r="V576" s="3">
        <v>1.0</v>
      </c>
      <c r="W576" s="3" t="s">
        <v>579</v>
      </c>
      <c r="X576" s="3" t="s">
        <v>1483</v>
      </c>
      <c r="Y576" s="3" t="s">
        <v>1484</v>
      </c>
      <c r="Z576" s="3" t="s">
        <v>1372</v>
      </c>
      <c r="AA576" s="3" t="s">
        <v>1373</v>
      </c>
      <c r="AB576" s="3" t="s">
        <v>1374</v>
      </c>
      <c r="AC576" s="3" t="s">
        <v>1374</v>
      </c>
      <c r="AD576" s="3" t="s">
        <v>1485</v>
      </c>
      <c r="AE576" s="3" t="s">
        <v>1486</v>
      </c>
      <c r="AF576" s="3">
        <v>0.017</v>
      </c>
      <c r="AG576" s="3">
        <v>0.29</v>
      </c>
      <c r="AH576" s="3">
        <v>0.402</v>
      </c>
      <c r="AI576" s="3">
        <v>47.111</v>
      </c>
      <c r="AJ576" s="3">
        <v>3.57</v>
      </c>
      <c r="AK576" s="3" t="s">
        <v>1688</v>
      </c>
      <c r="AL576" s="3">
        <v>-0.245</v>
      </c>
      <c r="AM576" s="3" t="s">
        <v>1573</v>
      </c>
    </row>
    <row r="577" ht="15.75" customHeight="1">
      <c r="A577" s="3">
        <v>1.73038E12</v>
      </c>
      <c r="B577" s="3">
        <v>9.0</v>
      </c>
      <c r="C577" s="3" t="s">
        <v>374</v>
      </c>
      <c r="D577" s="3" t="s">
        <v>1369</v>
      </c>
      <c r="E577" s="3" t="s">
        <v>374</v>
      </c>
      <c r="F577" s="3">
        <v>1.0</v>
      </c>
      <c r="G577" s="3">
        <v>1.0</v>
      </c>
      <c r="H577" s="3">
        <v>1.0</v>
      </c>
      <c r="I577" s="3">
        <v>1.0</v>
      </c>
      <c r="J577" s="3">
        <v>1.0</v>
      </c>
      <c r="K577" s="3">
        <v>1.0</v>
      </c>
      <c r="L577" s="3">
        <v>0.0</v>
      </c>
      <c r="M577" s="3">
        <v>1.0</v>
      </c>
      <c r="N577" s="3">
        <v>1.0</v>
      </c>
      <c r="O577" s="3">
        <v>1.0</v>
      </c>
      <c r="P577" s="3">
        <v>0.0</v>
      </c>
      <c r="Q577" s="3">
        <v>0.0</v>
      </c>
      <c r="R577" s="3">
        <v>0.0</v>
      </c>
      <c r="S577" s="3">
        <v>0.0</v>
      </c>
      <c r="T577" s="3">
        <v>0.0</v>
      </c>
      <c r="U577" s="3">
        <v>0.0</v>
      </c>
      <c r="V577" s="3">
        <v>0.0</v>
      </c>
      <c r="W577" s="3" t="s">
        <v>547</v>
      </c>
      <c r="X577" s="3" t="s">
        <v>1590</v>
      </c>
      <c r="Y577" s="3" t="s">
        <v>1591</v>
      </c>
      <c r="Z577" s="3" t="s">
        <v>1372</v>
      </c>
      <c r="AA577" s="3" t="s">
        <v>1593</v>
      </c>
      <c r="AB577" s="3" t="s">
        <v>1374</v>
      </c>
      <c r="AC577" s="3" t="s">
        <v>1451</v>
      </c>
      <c r="AD577" s="3" t="s">
        <v>1625</v>
      </c>
      <c r="AE577" s="3" t="s">
        <v>1595</v>
      </c>
      <c r="AF577" s="3">
        <v>0.188</v>
      </c>
      <c r="AH577" s="3">
        <v>0.0</v>
      </c>
    </row>
    <row r="578" ht="15.75" customHeight="1">
      <c r="A578" s="3">
        <v>1.7298E12</v>
      </c>
      <c r="B578" s="3">
        <v>16.0</v>
      </c>
      <c r="C578" s="3" t="s">
        <v>293</v>
      </c>
      <c r="D578" s="3" t="s">
        <v>1369</v>
      </c>
      <c r="E578" s="3" t="s">
        <v>293</v>
      </c>
      <c r="F578" s="3">
        <v>1.0</v>
      </c>
      <c r="G578" s="3">
        <v>1.0</v>
      </c>
      <c r="H578" s="3">
        <v>1.0</v>
      </c>
      <c r="I578" s="3">
        <v>1.0</v>
      </c>
      <c r="J578" s="3">
        <v>1.0</v>
      </c>
      <c r="K578" s="3">
        <v>1.0</v>
      </c>
      <c r="L578" s="3">
        <v>1.0</v>
      </c>
      <c r="M578" s="3">
        <v>1.0</v>
      </c>
      <c r="N578" s="3">
        <v>1.0</v>
      </c>
      <c r="O578" s="3">
        <v>1.0</v>
      </c>
      <c r="P578" s="3">
        <v>1.0</v>
      </c>
      <c r="Q578" s="3">
        <v>1.0</v>
      </c>
      <c r="R578" s="3">
        <v>1.0</v>
      </c>
      <c r="S578" s="3">
        <v>0.0</v>
      </c>
      <c r="T578" s="3">
        <v>1.0</v>
      </c>
      <c r="U578" s="3">
        <v>1.0</v>
      </c>
      <c r="V578" s="3">
        <v>1.0</v>
      </c>
      <c r="W578" s="3" t="s">
        <v>1071</v>
      </c>
      <c r="X578" s="3" t="s">
        <v>1379</v>
      </c>
      <c r="Y578" s="3" t="s">
        <v>1380</v>
      </c>
      <c r="Z578" s="3" t="s">
        <v>1372</v>
      </c>
      <c r="AA578" s="3" t="s">
        <v>1382</v>
      </c>
      <c r="AB578" s="3" t="s">
        <v>1374</v>
      </c>
      <c r="AC578" s="3" t="s">
        <v>1400</v>
      </c>
      <c r="AD578" s="3" t="s">
        <v>1425</v>
      </c>
      <c r="AE578" s="3" t="s">
        <v>1385</v>
      </c>
      <c r="AF578" s="3">
        <v>0.191</v>
      </c>
      <c r="AG578" s="3">
        <v>2.34</v>
      </c>
      <c r="AH578" s="3">
        <v>0.198</v>
      </c>
      <c r="AI578" s="3">
        <v>64.131</v>
      </c>
      <c r="AJ578" s="3">
        <v>26.118</v>
      </c>
      <c r="AK578" s="3" t="s">
        <v>1503</v>
      </c>
      <c r="AL578" s="3">
        <v>0.189</v>
      </c>
      <c r="AM578" s="3" t="s">
        <v>1387</v>
      </c>
    </row>
    <row r="579" ht="15.75" customHeight="1">
      <c r="A579" s="3">
        <v>1.7304E12</v>
      </c>
      <c r="B579" s="3">
        <v>16.0</v>
      </c>
      <c r="C579" s="3" t="s">
        <v>263</v>
      </c>
      <c r="D579" s="3" t="s">
        <v>1369</v>
      </c>
      <c r="E579" s="3" t="s">
        <v>263</v>
      </c>
      <c r="F579" s="3">
        <v>1.0</v>
      </c>
      <c r="G579" s="3">
        <v>1.0</v>
      </c>
      <c r="H579" s="3">
        <v>1.0</v>
      </c>
      <c r="I579" s="3">
        <v>1.0</v>
      </c>
      <c r="J579" s="3">
        <v>1.0</v>
      </c>
      <c r="K579" s="3">
        <v>1.0</v>
      </c>
      <c r="L579" s="3">
        <v>1.0</v>
      </c>
      <c r="M579" s="3">
        <v>1.0</v>
      </c>
      <c r="N579" s="3">
        <v>1.0</v>
      </c>
      <c r="O579" s="3">
        <v>1.0</v>
      </c>
      <c r="P579" s="3">
        <v>1.0</v>
      </c>
      <c r="Q579" s="3">
        <v>1.0</v>
      </c>
      <c r="R579" s="3">
        <v>1.0</v>
      </c>
      <c r="S579" s="3">
        <v>1.0</v>
      </c>
      <c r="T579" s="3">
        <v>1.0</v>
      </c>
      <c r="U579" s="3">
        <v>1.0</v>
      </c>
      <c r="V579" s="3">
        <v>0.0</v>
      </c>
      <c r="W579" s="3" t="s">
        <v>2177</v>
      </c>
      <c r="X579" s="3" t="s">
        <v>1447</v>
      </c>
      <c r="Y579" s="3" t="s">
        <v>1448</v>
      </c>
      <c r="Z579" s="3" t="s">
        <v>1372</v>
      </c>
      <c r="AA579" s="3" t="s">
        <v>1450</v>
      </c>
      <c r="AB579" s="3" t="s">
        <v>1374</v>
      </c>
      <c r="AC579" s="3" t="s">
        <v>1451</v>
      </c>
      <c r="AD579" s="3" t="s">
        <v>1452</v>
      </c>
      <c r="AE579" s="3" t="s">
        <v>1453</v>
      </c>
      <c r="AF579" s="3">
        <v>0.033</v>
      </c>
      <c r="AG579" s="3">
        <v>0.217</v>
      </c>
      <c r="AH579" s="3">
        <v>0.374</v>
      </c>
      <c r="AI579" s="3">
        <v>48.583</v>
      </c>
      <c r="AJ579" s="3">
        <v>6.575</v>
      </c>
      <c r="AK579" s="3" t="s">
        <v>1599</v>
      </c>
      <c r="AL579" s="3">
        <v>0.176</v>
      </c>
      <c r="AM579" s="3" t="s">
        <v>2178</v>
      </c>
    </row>
    <row r="580" ht="15.75" customHeight="1">
      <c r="A580" s="3">
        <v>1.7303E12</v>
      </c>
      <c r="B580" s="3">
        <v>17.0</v>
      </c>
      <c r="C580" s="3" t="s">
        <v>609</v>
      </c>
      <c r="D580" s="3" t="s">
        <v>1369</v>
      </c>
      <c r="E580" s="3" t="s">
        <v>609</v>
      </c>
      <c r="F580" s="3">
        <v>1.0</v>
      </c>
      <c r="G580" s="3">
        <v>1.0</v>
      </c>
      <c r="H580" s="3">
        <v>1.0</v>
      </c>
      <c r="I580" s="3">
        <v>1.0</v>
      </c>
      <c r="J580" s="3">
        <v>1.0</v>
      </c>
      <c r="K580" s="3">
        <v>1.0</v>
      </c>
      <c r="L580" s="3">
        <v>1.0</v>
      </c>
      <c r="M580" s="3">
        <v>1.0</v>
      </c>
      <c r="N580" s="3">
        <v>1.0</v>
      </c>
      <c r="O580" s="3">
        <v>1.0</v>
      </c>
      <c r="P580" s="3">
        <v>1.0</v>
      </c>
      <c r="Q580" s="3">
        <v>1.0</v>
      </c>
      <c r="R580" s="3">
        <v>1.0</v>
      </c>
      <c r="S580" s="3">
        <v>1.0</v>
      </c>
      <c r="T580" s="3">
        <v>1.0</v>
      </c>
      <c r="U580" s="3">
        <v>1.0</v>
      </c>
      <c r="V580" s="3">
        <v>1.0</v>
      </c>
      <c r="W580" s="3" t="s">
        <v>996</v>
      </c>
      <c r="X580" s="3" t="s">
        <v>1388</v>
      </c>
      <c r="Y580" s="3" t="s">
        <v>1389</v>
      </c>
      <c r="Z580" s="3" t="s">
        <v>1372</v>
      </c>
      <c r="AA580" s="3" t="s">
        <v>1390</v>
      </c>
      <c r="AB580" s="3" t="s">
        <v>1374</v>
      </c>
      <c r="AC580" s="3" t="s">
        <v>1391</v>
      </c>
      <c r="AD580" s="3" t="s">
        <v>1392</v>
      </c>
      <c r="AE580" s="3" t="s">
        <v>1393</v>
      </c>
      <c r="AF580" s="3">
        <v>0.071</v>
      </c>
      <c r="AG580" s="3">
        <v>1.031</v>
      </c>
      <c r="AH580" s="3" t="s">
        <v>1394</v>
      </c>
      <c r="AI580" s="3" t="s">
        <v>1394</v>
      </c>
      <c r="AJ580" s="3">
        <v>13.721</v>
      </c>
      <c r="AK580" s="3" t="s">
        <v>1395</v>
      </c>
      <c r="AL580" s="3" t="s">
        <v>1394</v>
      </c>
      <c r="AM580" s="3" t="s">
        <v>1396</v>
      </c>
    </row>
    <row r="581" ht="15.75" customHeight="1">
      <c r="A581" s="3">
        <v>1.7304E12</v>
      </c>
      <c r="B581" s="3">
        <v>14.0</v>
      </c>
      <c r="C581" s="3" t="s">
        <v>86</v>
      </c>
      <c r="D581" s="3" t="s">
        <v>1369</v>
      </c>
      <c r="E581" s="3" t="s">
        <v>86</v>
      </c>
      <c r="F581" s="3">
        <v>1.0</v>
      </c>
      <c r="G581" s="3">
        <v>1.0</v>
      </c>
      <c r="H581" s="3">
        <v>1.0</v>
      </c>
      <c r="I581" s="3">
        <v>1.0</v>
      </c>
      <c r="J581" s="3">
        <v>1.0</v>
      </c>
      <c r="K581" s="3">
        <v>1.0</v>
      </c>
      <c r="L581" s="3">
        <v>1.0</v>
      </c>
      <c r="M581" s="3">
        <v>1.0</v>
      </c>
      <c r="N581" s="3">
        <v>1.0</v>
      </c>
      <c r="O581" s="3">
        <v>1.0</v>
      </c>
      <c r="P581" s="3">
        <v>0.0</v>
      </c>
      <c r="Q581" s="3">
        <v>1.0</v>
      </c>
      <c r="R581" s="3">
        <v>0.0</v>
      </c>
      <c r="S581" s="3">
        <v>0.0</v>
      </c>
      <c r="T581" s="3">
        <v>1.0</v>
      </c>
      <c r="U581" s="3">
        <v>1.0</v>
      </c>
      <c r="V581" s="3">
        <v>1.0</v>
      </c>
      <c r="W581" s="3" t="s">
        <v>529</v>
      </c>
      <c r="X581" s="3" t="s">
        <v>1370</v>
      </c>
      <c r="Y581" s="3" t="s">
        <v>1371</v>
      </c>
      <c r="Z581" s="3" t="s">
        <v>1372</v>
      </c>
      <c r="AA581" s="3" t="s">
        <v>1373</v>
      </c>
      <c r="AB581" s="3" t="s">
        <v>1374</v>
      </c>
      <c r="AC581" s="3" t="s">
        <v>1374</v>
      </c>
      <c r="AD581" s="3" t="s">
        <v>1375</v>
      </c>
      <c r="AE581" s="3" t="s">
        <v>1376</v>
      </c>
      <c r="AF581" s="3">
        <v>0.55</v>
      </c>
      <c r="AG581" s="3">
        <v>2.781</v>
      </c>
      <c r="AH581" s="3" t="s">
        <v>1394</v>
      </c>
      <c r="AI581" s="3">
        <v>48.679</v>
      </c>
      <c r="AJ581" s="3">
        <v>7.529</v>
      </c>
      <c r="AK581" s="3" t="s">
        <v>1377</v>
      </c>
      <c r="AL581" s="3">
        <v>0.111</v>
      </c>
      <c r="AM581" s="3" t="s">
        <v>1509</v>
      </c>
    </row>
    <row r="582" ht="15.75" customHeight="1">
      <c r="A582" s="3">
        <v>1.73031E12</v>
      </c>
      <c r="B582" s="3">
        <v>14.0</v>
      </c>
      <c r="C582" s="3" t="s">
        <v>622</v>
      </c>
      <c r="D582" s="3" t="s">
        <v>1369</v>
      </c>
      <c r="E582" s="3" t="s">
        <v>622</v>
      </c>
      <c r="F582" s="3">
        <v>1.0</v>
      </c>
      <c r="G582" s="3">
        <v>1.0</v>
      </c>
      <c r="H582" s="3">
        <v>1.0</v>
      </c>
      <c r="I582" s="3">
        <v>1.0</v>
      </c>
      <c r="J582" s="3">
        <v>1.0</v>
      </c>
      <c r="K582" s="3">
        <v>1.0</v>
      </c>
      <c r="L582" s="3">
        <v>1.0</v>
      </c>
      <c r="M582" s="3">
        <v>1.0</v>
      </c>
      <c r="N582" s="3">
        <v>1.0</v>
      </c>
      <c r="O582" s="3">
        <v>1.0</v>
      </c>
      <c r="P582" s="3">
        <v>1.0</v>
      </c>
      <c r="Q582" s="3">
        <v>0.0</v>
      </c>
      <c r="R582" s="3">
        <v>1.0</v>
      </c>
      <c r="S582" s="3">
        <v>0.0</v>
      </c>
      <c r="T582" s="3">
        <v>1.0</v>
      </c>
      <c r="U582" s="3">
        <v>1.0</v>
      </c>
      <c r="V582" s="3">
        <v>0.0</v>
      </c>
      <c r="W582" s="3" t="s">
        <v>63</v>
      </c>
      <c r="X582" s="3" t="s">
        <v>1529</v>
      </c>
      <c r="Y582" s="3" t="s">
        <v>1530</v>
      </c>
      <c r="Z582" s="3" t="s">
        <v>2179</v>
      </c>
      <c r="AA582" s="3" t="s">
        <v>1531</v>
      </c>
      <c r="AB582" s="3" t="s">
        <v>1374</v>
      </c>
      <c r="AC582" s="3" t="s">
        <v>1391</v>
      </c>
      <c r="AD582" s="3" t="s">
        <v>1532</v>
      </c>
      <c r="AE582" s="3" t="s">
        <v>1533</v>
      </c>
      <c r="AF582" s="3">
        <v>0.084</v>
      </c>
      <c r="AG582" s="3">
        <v>1.813</v>
      </c>
      <c r="AH582" s="3">
        <v>0.357</v>
      </c>
      <c r="AI582" s="3">
        <v>-860.276</v>
      </c>
      <c r="AJ582" s="3">
        <v>-3.578</v>
      </c>
      <c r="AK582" s="3" t="s">
        <v>1907</v>
      </c>
      <c r="AL582" s="3">
        <v>-0.045</v>
      </c>
    </row>
    <row r="583" ht="15.75" customHeight="1">
      <c r="A583" s="3">
        <v>1.73031E12</v>
      </c>
      <c r="B583" s="3">
        <v>17.0</v>
      </c>
      <c r="C583" s="3" t="s">
        <v>657</v>
      </c>
      <c r="D583" s="3" t="s">
        <v>1369</v>
      </c>
      <c r="E583" s="3" t="s">
        <v>657</v>
      </c>
      <c r="F583" s="3">
        <v>1.0</v>
      </c>
      <c r="G583" s="3">
        <v>1.0</v>
      </c>
      <c r="H583" s="3">
        <v>1.0</v>
      </c>
      <c r="I583" s="3">
        <v>1.0</v>
      </c>
      <c r="J583" s="3">
        <v>1.0</v>
      </c>
      <c r="K583" s="3">
        <v>1.0</v>
      </c>
      <c r="L583" s="3">
        <v>1.0</v>
      </c>
      <c r="M583" s="3">
        <v>1.0</v>
      </c>
      <c r="N583" s="3">
        <v>1.0</v>
      </c>
      <c r="O583" s="3">
        <v>1.0</v>
      </c>
      <c r="P583" s="3">
        <v>1.0</v>
      </c>
      <c r="Q583" s="3">
        <v>1.0</v>
      </c>
      <c r="R583" s="3">
        <v>1.0</v>
      </c>
      <c r="S583" s="3">
        <v>1.0</v>
      </c>
      <c r="T583" s="3">
        <v>1.0</v>
      </c>
      <c r="U583" s="3">
        <v>1.0</v>
      </c>
      <c r="V583" s="3">
        <v>1.0</v>
      </c>
      <c r="W583" s="3" t="s">
        <v>1222</v>
      </c>
      <c r="X583" s="3" t="s">
        <v>1563</v>
      </c>
      <c r="Y583" s="3" t="s">
        <v>1564</v>
      </c>
      <c r="Z583" s="3" t="s">
        <v>1449</v>
      </c>
      <c r="AA583" s="3" t="s">
        <v>1565</v>
      </c>
      <c r="AB583" s="3" t="s">
        <v>1374</v>
      </c>
      <c r="AC583" s="3" t="s">
        <v>1400</v>
      </c>
      <c r="AD583" s="3" t="s">
        <v>1566</v>
      </c>
      <c r="AE583" s="3" t="s">
        <v>1567</v>
      </c>
      <c r="AF583" s="3">
        <v>0.345</v>
      </c>
      <c r="AG583" s="3">
        <v>0.674</v>
      </c>
      <c r="AH583" s="3">
        <v>0.262</v>
      </c>
      <c r="AI583" s="3">
        <v>45.929</v>
      </c>
      <c r="AJ583" s="3">
        <v>2.342</v>
      </c>
      <c r="AL583" s="3">
        <v>0.067</v>
      </c>
      <c r="AM583" s="3" t="s">
        <v>1569</v>
      </c>
    </row>
    <row r="584" ht="15.75" customHeight="1">
      <c r="A584" s="3">
        <v>1.7304E12</v>
      </c>
      <c r="B584" s="3">
        <v>16.0</v>
      </c>
      <c r="C584" s="3" t="s">
        <v>620</v>
      </c>
      <c r="D584" s="3" t="s">
        <v>1369</v>
      </c>
      <c r="E584" s="3" t="s">
        <v>620</v>
      </c>
      <c r="F584" s="3">
        <v>1.0</v>
      </c>
      <c r="G584" s="3">
        <v>1.0</v>
      </c>
      <c r="H584" s="3">
        <v>1.0</v>
      </c>
      <c r="I584" s="3">
        <v>1.0</v>
      </c>
      <c r="J584" s="3">
        <v>1.0</v>
      </c>
      <c r="K584" s="3">
        <v>1.0</v>
      </c>
      <c r="L584" s="3">
        <v>1.0</v>
      </c>
      <c r="M584" s="3">
        <v>1.0</v>
      </c>
      <c r="N584" s="3">
        <v>1.0</v>
      </c>
      <c r="O584" s="3">
        <v>1.0</v>
      </c>
      <c r="P584" s="3">
        <v>1.0</v>
      </c>
      <c r="Q584" s="3">
        <v>1.0</v>
      </c>
      <c r="R584" s="3">
        <v>1.0</v>
      </c>
      <c r="S584" s="3">
        <v>0.0</v>
      </c>
      <c r="T584" s="3">
        <v>1.0</v>
      </c>
      <c r="U584" s="3">
        <v>1.0</v>
      </c>
      <c r="V584" s="3">
        <v>1.0</v>
      </c>
      <c r="W584" s="3" t="s">
        <v>1081</v>
      </c>
      <c r="X584" s="3" t="s">
        <v>1590</v>
      </c>
      <c r="Y584" s="3" t="s">
        <v>1591</v>
      </c>
      <c r="Z584" s="3" t="s">
        <v>1423</v>
      </c>
      <c r="AA584" s="3" t="s">
        <v>1593</v>
      </c>
      <c r="AB584" s="3" t="s">
        <v>1374</v>
      </c>
      <c r="AC584" s="3" t="s">
        <v>1374</v>
      </c>
      <c r="AD584" s="3" t="s">
        <v>1625</v>
      </c>
      <c r="AE584" s="3" t="s">
        <v>1595</v>
      </c>
      <c r="AF584" s="3">
        <v>0.19</v>
      </c>
      <c r="AG584" s="3">
        <v>2.258</v>
      </c>
      <c r="AH584" s="3" t="s">
        <v>1394</v>
      </c>
      <c r="AI584" s="3" t="s">
        <v>1394</v>
      </c>
      <c r="AJ584" s="3" t="s">
        <v>1394</v>
      </c>
      <c r="AK584" s="3" t="s">
        <v>1626</v>
      </c>
      <c r="AL584" s="3" t="s">
        <v>1394</v>
      </c>
      <c r="AM584" s="3" t="s">
        <v>1469</v>
      </c>
    </row>
    <row r="585" ht="15.75" customHeight="1">
      <c r="A585" s="3">
        <v>1.73023E12</v>
      </c>
      <c r="B585" s="3">
        <v>13.0</v>
      </c>
      <c r="C585" s="3" t="s">
        <v>961</v>
      </c>
      <c r="D585" s="3" t="s">
        <v>1369</v>
      </c>
      <c r="E585" s="3" t="s">
        <v>961</v>
      </c>
      <c r="F585" s="3">
        <v>1.0</v>
      </c>
      <c r="G585" s="3">
        <v>1.0</v>
      </c>
      <c r="H585" s="3">
        <v>1.0</v>
      </c>
      <c r="I585" s="3">
        <v>1.0</v>
      </c>
      <c r="J585" s="3">
        <v>1.0</v>
      </c>
      <c r="K585" s="3">
        <v>1.0</v>
      </c>
      <c r="L585" s="3">
        <v>1.0</v>
      </c>
      <c r="M585" s="3">
        <v>1.0</v>
      </c>
      <c r="N585" s="3">
        <v>1.0</v>
      </c>
      <c r="O585" s="3">
        <v>1.0</v>
      </c>
      <c r="P585" s="3">
        <v>1.0</v>
      </c>
      <c r="Q585" s="3">
        <v>0.0</v>
      </c>
      <c r="R585" s="3">
        <v>0.0</v>
      </c>
      <c r="S585" s="3">
        <v>0.0</v>
      </c>
      <c r="T585" s="3">
        <v>1.0</v>
      </c>
      <c r="U585" s="3">
        <v>0.0</v>
      </c>
      <c r="V585" s="3">
        <v>1.0</v>
      </c>
      <c r="W585" s="3" t="s">
        <v>381</v>
      </c>
      <c r="X585" s="3" t="s">
        <v>1370</v>
      </c>
      <c r="Y585" s="3" t="s">
        <v>1371</v>
      </c>
      <c r="Z585" s="3" t="s">
        <v>1449</v>
      </c>
      <c r="AA585" s="3" t="s">
        <v>2180</v>
      </c>
      <c r="AB585" s="3" t="s">
        <v>1374</v>
      </c>
      <c r="AC585" s="3" t="s">
        <v>1374</v>
      </c>
      <c r="AD585" s="3" t="s">
        <v>1375</v>
      </c>
      <c r="AE585" s="3" t="s">
        <v>1376</v>
      </c>
      <c r="AF585" s="3">
        <v>0.555</v>
      </c>
      <c r="AG585" s="3">
        <v>2.825</v>
      </c>
      <c r="AH585" s="3">
        <v>0.315</v>
      </c>
      <c r="AI585" s="3">
        <v>47.335</v>
      </c>
      <c r="AJ585" s="3">
        <v>6.903</v>
      </c>
      <c r="AK585" s="3" t="s">
        <v>1377</v>
      </c>
      <c r="AL585" s="3">
        <v>0.11</v>
      </c>
      <c r="AM585" s="3" t="s">
        <v>1509</v>
      </c>
    </row>
    <row r="586" ht="15.75" customHeight="1">
      <c r="A586" s="3">
        <v>1.73039E12</v>
      </c>
      <c r="B586" s="3">
        <v>16.0</v>
      </c>
      <c r="C586" s="3" t="s">
        <v>279</v>
      </c>
      <c r="D586" s="3" t="s">
        <v>1369</v>
      </c>
      <c r="E586" s="3" t="s">
        <v>279</v>
      </c>
      <c r="F586" s="3">
        <v>1.0</v>
      </c>
      <c r="G586" s="3">
        <v>1.0</v>
      </c>
      <c r="H586" s="3">
        <v>1.0</v>
      </c>
      <c r="I586" s="3">
        <v>1.0</v>
      </c>
      <c r="J586" s="3">
        <v>1.0</v>
      </c>
      <c r="K586" s="3">
        <v>1.0</v>
      </c>
      <c r="L586" s="3">
        <v>1.0</v>
      </c>
      <c r="M586" s="3">
        <v>1.0</v>
      </c>
      <c r="N586" s="3">
        <v>1.0</v>
      </c>
      <c r="O586" s="3">
        <v>1.0</v>
      </c>
      <c r="P586" s="3">
        <v>1.0</v>
      </c>
      <c r="Q586" s="3">
        <v>1.0</v>
      </c>
      <c r="R586" s="3">
        <v>1.0</v>
      </c>
      <c r="S586" s="3">
        <v>0.0</v>
      </c>
      <c r="T586" s="3">
        <v>1.0</v>
      </c>
      <c r="U586" s="3">
        <v>1.0</v>
      </c>
      <c r="V586" s="3">
        <v>1.0</v>
      </c>
      <c r="W586" s="3" t="s">
        <v>1226</v>
      </c>
      <c r="X586" s="3" t="s">
        <v>1563</v>
      </c>
      <c r="Y586" s="3" t="s">
        <v>1564</v>
      </c>
      <c r="Z586" s="3" t="s">
        <v>1372</v>
      </c>
      <c r="AA586" s="3" t="s">
        <v>1649</v>
      </c>
      <c r="AB586" s="3" t="s">
        <v>1374</v>
      </c>
      <c r="AC586" s="3" t="s">
        <v>1650</v>
      </c>
      <c r="AD586" s="3" t="s">
        <v>1566</v>
      </c>
      <c r="AE586" s="3" t="s">
        <v>1567</v>
      </c>
      <c r="AF586" s="3">
        <v>0.344</v>
      </c>
      <c r="AG586" s="3">
        <v>0.672</v>
      </c>
      <c r="AH586" s="3">
        <v>0.312</v>
      </c>
      <c r="AI586" s="3">
        <v>46.94</v>
      </c>
      <c r="AJ586" s="3">
        <v>-2.23</v>
      </c>
      <c r="AK586" s="3" t="s">
        <v>1651</v>
      </c>
      <c r="AL586" s="3">
        <v>0.051</v>
      </c>
      <c r="AM586" s="3" t="s">
        <v>1569</v>
      </c>
    </row>
    <row r="587" ht="15.75" customHeight="1">
      <c r="A587" s="3">
        <v>1.73039E12</v>
      </c>
      <c r="B587" s="3">
        <v>14.0</v>
      </c>
      <c r="C587" s="3" t="s">
        <v>748</v>
      </c>
      <c r="D587" s="3" t="s">
        <v>1369</v>
      </c>
      <c r="E587" s="3" t="s">
        <v>748</v>
      </c>
      <c r="F587" s="3">
        <v>1.0</v>
      </c>
      <c r="G587" s="3">
        <v>1.0</v>
      </c>
      <c r="H587" s="3">
        <v>1.0</v>
      </c>
      <c r="I587" s="3">
        <v>1.0</v>
      </c>
      <c r="J587" s="3">
        <v>1.0</v>
      </c>
      <c r="K587" s="3">
        <v>1.0</v>
      </c>
      <c r="L587" s="3">
        <v>1.0</v>
      </c>
      <c r="M587" s="3">
        <v>1.0</v>
      </c>
      <c r="N587" s="3">
        <v>1.0</v>
      </c>
      <c r="O587" s="3">
        <v>1.0</v>
      </c>
      <c r="P587" s="3">
        <v>1.0</v>
      </c>
      <c r="Q587" s="3">
        <v>0.0</v>
      </c>
      <c r="R587" s="3">
        <v>0.0</v>
      </c>
      <c r="S587" s="3">
        <v>1.0</v>
      </c>
      <c r="T587" s="3">
        <v>1.0</v>
      </c>
      <c r="U587" s="3">
        <v>0.0</v>
      </c>
      <c r="V587" s="3">
        <v>1.0</v>
      </c>
      <c r="W587" s="3" t="s">
        <v>99</v>
      </c>
      <c r="X587" s="3" t="s">
        <v>1634</v>
      </c>
      <c r="Y587" s="3" t="s">
        <v>1635</v>
      </c>
      <c r="Z587" s="3" t="s">
        <v>1372</v>
      </c>
      <c r="AA587" s="3" t="s">
        <v>1636</v>
      </c>
      <c r="AB587" s="3" t="s">
        <v>1374</v>
      </c>
      <c r="AC587" s="3" t="s">
        <v>1391</v>
      </c>
      <c r="AD587" s="3" t="s">
        <v>1680</v>
      </c>
      <c r="AE587" s="3" t="s">
        <v>1637</v>
      </c>
      <c r="AF587" s="3">
        <v>0.046</v>
      </c>
      <c r="AG587" s="3">
        <v>1.457</v>
      </c>
      <c r="AH587" s="3">
        <v>-0.299</v>
      </c>
      <c r="AI587" s="3">
        <v>222.251</v>
      </c>
      <c r="AJ587" s="3">
        <v>36.362</v>
      </c>
      <c r="AK587" s="3" t="s">
        <v>1681</v>
      </c>
      <c r="AL587" s="3">
        <v>0.078</v>
      </c>
      <c r="AM587" s="3" t="s">
        <v>1469</v>
      </c>
    </row>
    <row r="588" ht="15.75" customHeight="1">
      <c r="A588" s="3">
        <v>1.7304E12</v>
      </c>
      <c r="B588" s="3">
        <v>14.0</v>
      </c>
      <c r="C588" s="3" t="s">
        <v>98</v>
      </c>
      <c r="D588" s="3" t="s">
        <v>1369</v>
      </c>
      <c r="E588" s="3" t="s">
        <v>98</v>
      </c>
      <c r="F588" s="3">
        <v>1.0</v>
      </c>
      <c r="G588" s="3">
        <v>1.0</v>
      </c>
      <c r="H588" s="3">
        <v>1.0</v>
      </c>
      <c r="I588" s="3">
        <v>1.0</v>
      </c>
      <c r="J588" s="3">
        <v>1.0</v>
      </c>
      <c r="K588" s="3">
        <v>1.0</v>
      </c>
      <c r="L588" s="3">
        <v>1.0</v>
      </c>
      <c r="M588" s="3">
        <v>1.0</v>
      </c>
      <c r="N588" s="3">
        <v>1.0</v>
      </c>
      <c r="O588" s="3">
        <v>0.0</v>
      </c>
      <c r="P588" s="3">
        <v>0.0</v>
      </c>
      <c r="Q588" s="3">
        <v>1.0</v>
      </c>
      <c r="R588" s="3">
        <v>1.0</v>
      </c>
      <c r="S588" s="3">
        <v>0.0</v>
      </c>
      <c r="T588" s="3">
        <v>1.0</v>
      </c>
      <c r="U588" s="3">
        <v>1.0</v>
      </c>
      <c r="V588" s="3">
        <v>1.0</v>
      </c>
      <c r="W588" s="3" t="s">
        <v>906</v>
      </c>
      <c r="X588" s="3" t="s">
        <v>1429</v>
      </c>
      <c r="Y588" s="3" t="s">
        <v>1430</v>
      </c>
      <c r="Z588" s="3" t="s">
        <v>1423</v>
      </c>
      <c r="AA588" s="3" t="s">
        <v>1432</v>
      </c>
      <c r="AB588" s="3" t="s">
        <v>1374</v>
      </c>
      <c r="AC588" s="3" t="s">
        <v>1391</v>
      </c>
      <c r="AD588" s="3" t="s">
        <v>1433</v>
      </c>
      <c r="AE588" s="3" t="s">
        <v>1434</v>
      </c>
      <c r="AF588" s="3">
        <v>0.168</v>
      </c>
      <c r="AG588" s="3">
        <v>1.192</v>
      </c>
      <c r="AH588" s="3">
        <v>0.312</v>
      </c>
      <c r="AI588" s="3">
        <v>9.892</v>
      </c>
      <c r="AJ588" s="3">
        <v>-0.864</v>
      </c>
      <c r="AK588" s="3" t="s">
        <v>1903</v>
      </c>
      <c r="AL588" s="3">
        <v>0.012</v>
      </c>
      <c r="AM588" s="3" t="s">
        <v>2150</v>
      </c>
    </row>
    <row r="589" ht="15.75" customHeight="1">
      <c r="A589" s="3">
        <v>1.7304E12</v>
      </c>
      <c r="B589" s="3">
        <v>17.0</v>
      </c>
      <c r="C589" s="3" t="s">
        <v>348</v>
      </c>
      <c r="D589" s="3" t="s">
        <v>1369</v>
      </c>
      <c r="E589" s="3" t="s">
        <v>348</v>
      </c>
      <c r="F589" s="3">
        <v>1.0</v>
      </c>
      <c r="G589" s="3">
        <v>1.0</v>
      </c>
      <c r="H589" s="3">
        <v>1.0</v>
      </c>
      <c r="I589" s="3">
        <v>1.0</v>
      </c>
      <c r="J589" s="3">
        <v>1.0</v>
      </c>
      <c r="K589" s="3">
        <v>1.0</v>
      </c>
      <c r="L589" s="3">
        <v>1.0</v>
      </c>
      <c r="M589" s="3">
        <v>1.0</v>
      </c>
      <c r="N589" s="3">
        <v>1.0</v>
      </c>
      <c r="O589" s="3">
        <v>1.0</v>
      </c>
      <c r="P589" s="3">
        <v>1.0</v>
      </c>
      <c r="Q589" s="3">
        <v>1.0</v>
      </c>
      <c r="R589" s="3">
        <v>1.0</v>
      </c>
      <c r="S589" s="3">
        <v>1.0</v>
      </c>
      <c r="T589" s="3">
        <v>1.0</v>
      </c>
      <c r="U589" s="3">
        <v>1.0</v>
      </c>
      <c r="V589" s="3">
        <v>1.0</v>
      </c>
      <c r="W589" s="3" t="s">
        <v>1237</v>
      </c>
      <c r="X589" s="3" t="s">
        <v>1483</v>
      </c>
      <c r="Y589" s="3" t="s">
        <v>1484</v>
      </c>
      <c r="Z589" s="3" t="s">
        <v>1372</v>
      </c>
      <c r="AA589" s="3" t="s">
        <v>1373</v>
      </c>
      <c r="AB589" s="3" t="s">
        <v>1374</v>
      </c>
      <c r="AC589" s="3" t="s">
        <v>1374</v>
      </c>
      <c r="AD589" s="3" t="s">
        <v>1485</v>
      </c>
      <c r="AE589" s="3" t="s">
        <v>1486</v>
      </c>
      <c r="AF589" s="3">
        <v>0.017</v>
      </c>
      <c r="AG589" s="3">
        <v>0.284</v>
      </c>
      <c r="AH589" s="3">
        <v>0.403</v>
      </c>
      <c r="AI589" s="3">
        <v>47.024</v>
      </c>
      <c r="AJ589" s="3">
        <v>28.449</v>
      </c>
      <c r="AK589" s="3" t="s">
        <v>1688</v>
      </c>
      <c r="AL589" s="3">
        <v>-0.008</v>
      </c>
      <c r="AM589" s="3" t="s">
        <v>1573</v>
      </c>
    </row>
    <row r="590" ht="15.75" customHeight="1">
      <c r="A590" s="3">
        <v>1.73023E12</v>
      </c>
      <c r="B590" s="3">
        <v>13.0</v>
      </c>
      <c r="C590" s="3" t="s">
        <v>2181</v>
      </c>
      <c r="D590" s="3" t="s">
        <v>1369</v>
      </c>
      <c r="E590" s="3" t="s">
        <v>2181</v>
      </c>
      <c r="F590" s="3">
        <v>1.0</v>
      </c>
      <c r="G590" s="3">
        <v>1.0</v>
      </c>
      <c r="H590" s="3">
        <v>1.0</v>
      </c>
      <c r="I590" s="3">
        <v>1.0</v>
      </c>
      <c r="J590" s="3">
        <v>1.0</v>
      </c>
      <c r="K590" s="3">
        <v>1.0</v>
      </c>
      <c r="L590" s="3">
        <v>1.0</v>
      </c>
      <c r="M590" s="3">
        <v>1.0</v>
      </c>
      <c r="N590" s="3">
        <v>1.0</v>
      </c>
      <c r="O590" s="3">
        <v>1.0</v>
      </c>
      <c r="P590" s="3">
        <v>1.0</v>
      </c>
      <c r="Q590" s="3">
        <v>0.0</v>
      </c>
      <c r="R590" s="3">
        <v>0.0</v>
      </c>
      <c r="S590" s="3">
        <v>0.0</v>
      </c>
      <c r="T590" s="3">
        <v>1.0</v>
      </c>
      <c r="U590" s="3">
        <v>0.0</v>
      </c>
      <c r="V590" s="3">
        <v>1.0</v>
      </c>
      <c r="W590" s="3" t="s">
        <v>272</v>
      </c>
      <c r="X590" s="3" t="s">
        <v>1464</v>
      </c>
      <c r="Y590" s="3" t="s">
        <v>1465</v>
      </c>
      <c r="Z590" s="3" t="s">
        <v>1449</v>
      </c>
      <c r="AA590" s="3" t="s">
        <v>1373</v>
      </c>
      <c r="AB590" s="3" t="s">
        <v>1374</v>
      </c>
      <c r="AC590" s="3" t="s">
        <v>1391</v>
      </c>
      <c r="AD590" s="3" t="s">
        <v>1497</v>
      </c>
      <c r="AE590" s="3" t="s">
        <v>1467</v>
      </c>
      <c r="AF590" s="3">
        <v>0.2</v>
      </c>
      <c r="AG590" s="3">
        <v>2.431</v>
      </c>
      <c r="AH590" s="3">
        <v>0.309</v>
      </c>
      <c r="AI590" s="3">
        <v>12.82</v>
      </c>
      <c r="AJ590" s="3">
        <v>-3.783</v>
      </c>
      <c r="AK590" s="3" t="s">
        <v>2031</v>
      </c>
      <c r="AL590" s="3">
        <v>0.536</v>
      </c>
      <c r="AM590" s="3" t="s">
        <v>1469</v>
      </c>
    </row>
    <row r="591" ht="15.75" customHeight="1">
      <c r="A591" s="3">
        <v>1.7304E12</v>
      </c>
      <c r="B591" s="3">
        <v>12.0</v>
      </c>
      <c r="C591" s="3" t="s">
        <v>981</v>
      </c>
      <c r="D591" s="3" t="s">
        <v>1369</v>
      </c>
      <c r="E591" s="3" t="s">
        <v>981</v>
      </c>
      <c r="F591" s="3">
        <v>1.0</v>
      </c>
      <c r="G591" s="3">
        <v>1.0</v>
      </c>
      <c r="H591" s="3">
        <v>1.0</v>
      </c>
      <c r="I591" s="3">
        <v>1.0</v>
      </c>
      <c r="J591" s="3">
        <v>1.0</v>
      </c>
      <c r="K591" s="3">
        <v>1.0</v>
      </c>
      <c r="L591" s="3">
        <v>1.0</v>
      </c>
      <c r="M591" s="3">
        <v>1.0</v>
      </c>
      <c r="N591" s="3">
        <v>1.0</v>
      </c>
      <c r="O591" s="3">
        <v>1.0</v>
      </c>
      <c r="P591" s="3">
        <v>1.0</v>
      </c>
      <c r="Q591" s="3">
        <v>0.0</v>
      </c>
      <c r="R591" s="3">
        <v>0.0</v>
      </c>
      <c r="S591" s="3">
        <v>0.0</v>
      </c>
      <c r="T591" s="3">
        <v>0.0</v>
      </c>
      <c r="U591" s="3">
        <v>0.0</v>
      </c>
      <c r="V591" s="3">
        <v>1.0</v>
      </c>
      <c r="W591" s="3" t="s">
        <v>525</v>
      </c>
      <c r="X591" s="3" t="s">
        <v>1578</v>
      </c>
      <c r="Y591" s="3" t="s">
        <v>1579</v>
      </c>
      <c r="Z591" s="3" t="s">
        <v>1449</v>
      </c>
      <c r="AA591" s="3" t="s">
        <v>1382</v>
      </c>
      <c r="AB591" s="3" t="s">
        <v>1374</v>
      </c>
      <c r="AC591" s="3" t="s">
        <v>1678</v>
      </c>
      <c r="AD591" s="3" t="s">
        <v>1581</v>
      </c>
      <c r="AE591" s="3" t="s">
        <v>1582</v>
      </c>
      <c r="AF591" s="3">
        <v>0.05</v>
      </c>
      <c r="AG591" s="3">
        <v>0.272</v>
      </c>
      <c r="AH591" s="3">
        <v>0.386</v>
      </c>
      <c r="AI591" s="3">
        <v>-78.474</v>
      </c>
      <c r="AJ591" s="3">
        <v>18.718</v>
      </c>
      <c r="AK591" s="3" t="s">
        <v>2182</v>
      </c>
      <c r="AL591" s="3">
        <v>0.139</v>
      </c>
      <c r="AM591" s="3" t="s">
        <v>1584</v>
      </c>
    </row>
    <row r="592" ht="15.75" customHeight="1">
      <c r="A592" s="3">
        <v>1.73029E12</v>
      </c>
      <c r="B592" s="3">
        <v>14.0</v>
      </c>
      <c r="C592" s="3" t="s">
        <v>248</v>
      </c>
      <c r="D592" s="3" t="s">
        <v>1369</v>
      </c>
      <c r="E592" s="3" t="s">
        <v>248</v>
      </c>
      <c r="F592" s="3">
        <v>1.0</v>
      </c>
      <c r="G592" s="3">
        <v>1.0</v>
      </c>
      <c r="H592" s="3">
        <v>1.0</v>
      </c>
      <c r="I592" s="3">
        <v>1.0</v>
      </c>
      <c r="J592" s="3">
        <v>1.0</v>
      </c>
      <c r="K592" s="3">
        <v>1.0</v>
      </c>
      <c r="L592" s="3">
        <v>1.0</v>
      </c>
      <c r="M592" s="3">
        <v>1.0</v>
      </c>
      <c r="N592" s="3">
        <v>1.0</v>
      </c>
      <c r="O592" s="3">
        <v>1.0</v>
      </c>
      <c r="P592" s="3">
        <v>1.0</v>
      </c>
      <c r="Q592" s="3">
        <v>0.0</v>
      </c>
      <c r="R592" s="3">
        <v>0.0</v>
      </c>
      <c r="S592" s="3">
        <v>1.0</v>
      </c>
      <c r="T592" s="3">
        <v>1.0</v>
      </c>
      <c r="U592" s="3">
        <v>0.0</v>
      </c>
      <c r="V592" s="3">
        <v>1.0</v>
      </c>
      <c r="W592" s="3" t="s">
        <v>257</v>
      </c>
      <c r="X592" s="3" t="s">
        <v>1563</v>
      </c>
      <c r="Y592" s="3" t="s">
        <v>1564</v>
      </c>
      <c r="Z592" s="3" t="s">
        <v>1372</v>
      </c>
      <c r="AA592" s="3" t="s">
        <v>1565</v>
      </c>
      <c r="AB592" s="3" t="s">
        <v>1391</v>
      </c>
      <c r="AC592" s="3" t="s">
        <v>1400</v>
      </c>
      <c r="AD592" s="3" t="s">
        <v>1566</v>
      </c>
      <c r="AE592" s="3" t="s">
        <v>1567</v>
      </c>
      <c r="AF592" s="3">
        <v>0.345</v>
      </c>
      <c r="AG592" s="3">
        <v>0.674</v>
      </c>
      <c r="AH592" s="3">
        <v>0.605</v>
      </c>
      <c r="AI592" s="3">
        <v>45.914</v>
      </c>
      <c r="AJ592" s="3">
        <v>2.341</v>
      </c>
      <c r="AK592" s="3" t="s">
        <v>2183</v>
      </c>
      <c r="AL592" s="3">
        <v>0.067</v>
      </c>
      <c r="AM592" s="3" t="s">
        <v>1569</v>
      </c>
    </row>
    <row r="593" ht="15.75" customHeight="1">
      <c r="A593" s="3">
        <v>1.7301E12</v>
      </c>
      <c r="B593" s="3">
        <v>10.0</v>
      </c>
      <c r="C593" s="3" t="s">
        <v>521</v>
      </c>
      <c r="D593" s="3" t="s">
        <v>1369</v>
      </c>
      <c r="E593" s="3" t="s">
        <v>521</v>
      </c>
      <c r="F593" s="3">
        <v>1.0</v>
      </c>
      <c r="G593" s="3">
        <v>1.0</v>
      </c>
      <c r="H593" s="3">
        <v>1.0</v>
      </c>
      <c r="I593" s="3">
        <v>1.0</v>
      </c>
      <c r="J593" s="3">
        <v>1.0</v>
      </c>
      <c r="K593" s="3">
        <v>1.0</v>
      </c>
      <c r="L593" s="3">
        <v>0.0</v>
      </c>
      <c r="M593" s="3">
        <v>1.0</v>
      </c>
      <c r="N593" s="3">
        <v>1.0</v>
      </c>
      <c r="O593" s="3">
        <v>1.0</v>
      </c>
      <c r="P593" s="3">
        <v>1.0</v>
      </c>
      <c r="Q593" s="3">
        <v>0.0</v>
      </c>
      <c r="R593" s="3">
        <v>0.0</v>
      </c>
      <c r="S593" s="3">
        <v>0.0</v>
      </c>
      <c r="T593" s="3">
        <v>0.0</v>
      </c>
      <c r="U593" s="3">
        <v>0.0</v>
      </c>
      <c r="V593" s="3">
        <v>0.0</v>
      </c>
      <c r="W593" s="3" t="s">
        <v>556</v>
      </c>
      <c r="X593" s="3" t="s">
        <v>1563</v>
      </c>
      <c r="Y593" s="3" t="s">
        <v>1564</v>
      </c>
      <c r="Z593" s="3" t="s">
        <v>2184</v>
      </c>
      <c r="AA593" s="3" t="s">
        <v>1649</v>
      </c>
      <c r="AB593" s="3" t="s">
        <v>1374</v>
      </c>
      <c r="AD593" s="3" t="s">
        <v>2185</v>
      </c>
      <c r="AE593" s="3" t="s">
        <v>1567</v>
      </c>
      <c r="AF593" s="3">
        <v>0.344</v>
      </c>
      <c r="AG593" s="3">
        <v>0.671</v>
      </c>
    </row>
    <row r="594" ht="15.75" customHeight="1">
      <c r="A594" s="3">
        <v>1.73032E12</v>
      </c>
      <c r="B594" s="3">
        <v>0.0</v>
      </c>
      <c r="C594" s="3" t="s">
        <v>2186</v>
      </c>
      <c r="D594" s="3" t="s">
        <v>1369</v>
      </c>
      <c r="E594" s="3" t="s">
        <v>2186</v>
      </c>
      <c r="F594" s="3">
        <v>0.0</v>
      </c>
      <c r="G594" s="3">
        <v>0.0</v>
      </c>
      <c r="H594" s="3">
        <v>0.0</v>
      </c>
      <c r="I594" s="3">
        <v>0.0</v>
      </c>
      <c r="J594" s="3">
        <v>0.0</v>
      </c>
      <c r="K594" s="3">
        <v>0.0</v>
      </c>
      <c r="L594" s="3">
        <v>0.0</v>
      </c>
      <c r="M594" s="3">
        <v>0.0</v>
      </c>
      <c r="N594" s="3">
        <v>0.0</v>
      </c>
      <c r="O594" s="3">
        <v>0.0</v>
      </c>
      <c r="P594" s="3">
        <v>0.0</v>
      </c>
      <c r="Q594" s="3">
        <v>0.0</v>
      </c>
      <c r="R594" s="3">
        <v>0.0</v>
      </c>
      <c r="S594" s="3">
        <v>0.0</v>
      </c>
      <c r="T594" s="3">
        <v>0.0</v>
      </c>
      <c r="U594" s="3">
        <v>0.0</v>
      </c>
      <c r="V594" s="3">
        <v>0.0</v>
      </c>
      <c r="W594" s="3" t="s">
        <v>2187</v>
      </c>
    </row>
    <row r="595" ht="15.75" customHeight="1">
      <c r="A595" s="3">
        <v>1.73011E12</v>
      </c>
      <c r="B595" s="3">
        <v>13.0</v>
      </c>
      <c r="C595" s="3" t="s">
        <v>370</v>
      </c>
      <c r="D595" s="3" t="s">
        <v>1369</v>
      </c>
      <c r="E595" s="3" t="s">
        <v>370</v>
      </c>
      <c r="F595" s="3">
        <v>1.0</v>
      </c>
      <c r="G595" s="3">
        <v>1.0</v>
      </c>
      <c r="H595" s="3">
        <v>1.0</v>
      </c>
      <c r="I595" s="3">
        <v>1.0</v>
      </c>
      <c r="J595" s="3">
        <v>1.0</v>
      </c>
      <c r="K595" s="3">
        <v>1.0</v>
      </c>
      <c r="L595" s="3">
        <v>1.0</v>
      </c>
      <c r="M595" s="3">
        <v>1.0</v>
      </c>
      <c r="N595" s="3">
        <v>1.0</v>
      </c>
      <c r="O595" s="3">
        <v>1.0</v>
      </c>
      <c r="P595" s="3">
        <v>1.0</v>
      </c>
      <c r="Q595" s="3">
        <v>0.0</v>
      </c>
      <c r="R595" s="3">
        <v>0.0</v>
      </c>
      <c r="S595" s="3">
        <v>0.0</v>
      </c>
      <c r="T595" s="3">
        <v>1.0</v>
      </c>
      <c r="U595" s="3">
        <v>0.0</v>
      </c>
      <c r="V595" s="3">
        <v>1.0</v>
      </c>
      <c r="W595" s="3" t="s">
        <v>739</v>
      </c>
      <c r="X595" s="3" t="s">
        <v>1521</v>
      </c>
      <c r="Y595" s="3" t="s">
        <v>1522</v>
      </c>
      <c r="Z595" s="3" t="s">
        <v>1449</v>
      </c>
      <c r="AA595" s="3" t="s">
        <v>1523</v>
      </c>
      <c r="AB595" s="3" t="s">
        <v>1374</v>
      </c>
      <c r="AC595" s="3" t="s">
        <v>1374</v>
      </c>
      <c r="AD595" s="3" t="s">
        <v>1524</v>
      </c>
      <c r="AE595" s="3" t="s">
        <v>1525</v>
      </c>
      <c r="AF595" s="3">
        <v>0.028</v>
      </c>
      <c r="AG595" s="3">
        <v>0.067</v>
      </c>
      <c r="AH595" s="3">
        <v>0.429</v>
      </c>
      <c r="AI595" s="3">
        <v>1067.65</v>
      </c>
      <c r="AJ595" s="3">
        <v>-5.895</v>
      </c>
      <c r="AK595" s="3" t="s">
        <v>2188</v>
      </c>
      <c r="AL595" s="3">
        <v>-0.402</v>
      </c>
      <c r="AM595" s="3" t="s">
        <v>1527</v>
      </c>
    </row>
    <row r="596" ht="15.75" customHeight="1">
      <c r="A596" s="3">
        <v>1.73028E12</v>
      </c>
      <c r="B596" s="3">
        <v>17.0</v>
      </c>
      <c r="C596" s="3" t="s">
        <v>505</v>
      </c>
      <c r="D596" s="3" t="s">
        <v>1369</v>
      </c>
      <c r="E596" s="3" t="s">
        <v>505</v>
      </c>
      <c r="F596" s="3">
        <v>1.0</v>
      </c>
      <c r="G596" s="3">
        <v>1.0</v>
      </c>
      <c r="H596" s="3">
        <v>1.0</v>
      </c>
      <c r="I596" s="3">
        <v>1.0</v>
      </c>
      <c r="J596" s="3">
        <v>1.0</v>
      </c>
      <c r="K596" s="3">
        <v>1.0</v>
      </c>
      <c r="L596" s="3">
        <v>1.0</v>
      </c>
      <c r="M596" s="3">
        <v>1.0</v>
      </c>
      <c r="N596" s="3">
        <v>1.0</v>
      </c>
      <c r="O596" s="3">
        <v>1.0</v>
      </c>
      <c r="P596" s="3">
        <v>1.0</v>
      </c>
      <c r="Q596" s="3">
        <v>1.0</v>
      </c>
      <c r="R596" s="3">
        <v>1.0</v>
      </c>
      <c r="S596" s="3">
        <v>1.0</v>
      </c>
      <c r="T596" s="3">
        <v>1.0</v>
      </c>
      <c r="U596" s="3">
        <v>1.0</v>
      </c>
      <c r="V596" s="3">
        <v>1.0</v>
      </c>
      <c r="W596" s="3" t="s">
        <v>551</v>
      </c>
      <c r="X596" s="3" t="s">
        <v>1489</v>
      </c>
      <c r="Y596" s="3" t="s">
        <v>1490</v>
      </c>
      <c r="Z596" s="3" t="s">
        <v>1423</v>
      </c>
      <c r="AA596" s="3" t="s">
        <v>1491</v>
      </c>
      <c r="AB596" s="3" t="s">
        <v>1374</v>
      </c>
      <c r="AC596" s="3" t="s">
        <v>1451</v>
      </c>
      <c r="AD596" s="3" t="s">
        <v>1492</v>
      </c>
      <c r="AE596" s="3" t="s">
        <v>1493</v>
      </c>
      <c r="AF596" s="3">
        <v>0.056</v>
      </c>
      <c r="AG596" s="3">
        <v>0.253</v>
      </c>
      <c r="AH596" s="3" t="s">
        <v>1394</v>
      </c>
      <c r="AI596" s="3" t="s">
        <v>1394</v>
      </c>
      <c r="AJ596" s="3">
        <v>8.398</v>
      </c>
      <c r="AK596" s="3" t="s">
        <v>2081</v>
      </c>
      <c r="AL596" s="3" t="s">
        <v>1394</v>
      </c>
      <c r="AM596" s="3" t="s">
        <v>1495</v>
      </c>
    </row>
    <row r="597" ht="15.75" customHeight="1">
      <c r="A597" s="3">
        <v>1.7304E12</v>
      </c>
      <c r="B597" s="3">
        <v>15.0</v>
      </c>
      <c r="C597" s="3" t="s">
        <v>807</v>
      </c>
      <c r="D597" s="3" t="s">
        <v>1369</v>
      </c>
      <c r="E597" s="3" t="s">
        <v>807</v>
      </c>
      <c r="F597" s="3">
        <v>1.0</v>
      </c>
      <c r="G597" s="3">
        <v>1.0</v>
      </c>
      <c r="H597" s="3">
        <v>1.0</v>
      </c>
      <c r="I597" s="3">
        <v>1.0</v>
      </c>
      <c r="J597" s="3">
        <v>1.0</v>
      </c>
      <c r="K597" s="3">
        <v>1.0</v>
      </c>
      <c r="L597" s="3">
        <v>1.0</v>
      </c>
      <c r="M597" s="3">
        <v>1.0</v>
      </c>
      <c r="N597" s="3">
        <v>1.0</v>
      </c>
      <c r="O597" s="3">
        <v>0.0</v>
      </c>
      <c r="P597" s="3">
        <v>1.0</v>
      </c>
      <c r="Q597" s="3">
        <v>1.0</v>
      </c>
      <c r="R597" s="3">
        <v>1.0</v>
      </c>
      <c r="S597" s="3">
        <v>1.0</v>
      </c>
      <c r="T597" s="3">
        <v>0.0</v>
      </c>
      <c r="U597" s="3">
        <v>1.0</v>
      </c>
      <c r="V597" s="3">
        <v>1.0</v>
      </c>
      <c r="W597" s="3" t="s">
        <v>593</v>
      </c>
      <c r="X597" s="3" t="s">
        <v>1600</v>
      </c>
      <c r="Y597" s="3" t="s">
        <v>1601</v>
      </c>
      <c r="Z597" s="3" t="s">
        <v>1372</v>
      </c>
      <c r="AA597" s="3" t="s">
        <v>1407</v>
      </c>
      <c r="AB597" s="3" t="s">
        <v>1374</v>
      </c>
      <c r="AC597" s="3" t="s">
        <v>1400</v>
      </c>
      <c r="AD597" s="3" t="s">
        <v>1408</v>
      </c>
      <c r="AE597" s="3" t="s">
        <v>1602</v>
      </c>
      <c r="AF597" s="3">
        <v>0.041</v>
      </c>
      <c r="AG597" s="3">
        <v>0.102</v>
      </c>
      <c r="AH597" s="3" t="s">
        <v>1394</v>
      </c>
      <c r="AI597" s="3" t="s">
        <v>1394</v>
      </c>
      <c r="AJ597" s="3">
        <v>-0.489</v>
      </c>
      <c r="AK597" s="3" t="s">
        <v>1905</v>
      </c>
      <c r="AL597" s="3" t="s">
        <v>1394</v>
      </c>
      <c r="AM597" s="3" t="s">
        <v>1411</v>
      </c>
    </row>
    <row r="598" ht="15.75" customHeight="1">
      <c r="A598" s="3">
        <v>1.73037E12</v>
      </c>
      <c r="B598" s="3">
        <v>17.0</v>
      </c>
      <c r="C598" s="3" t="s">
        <v>842</v>
      </c>
      <c r="D598" s="3" t="s">
        <v>1369</v>
      </c>
      <c r="E598" s="3" t="s">
        <v>842</v>
      </c>
      <c r="F598" s="3">
        <v>1.0</v>
      </c>
      <c r="G598" s="3">
        <v>1.0</v>
      </c>
      <c r="H598" s="3">
        <v>1.0</v>
      </c>
      <c r="I598" s="3">
        <v>1.0</v>
      </c>
      <c r="J598" s="3">
        <v>1.0</v>
      </c>
      <c r="K598" s="3">
        <v>1.0</v>
      </c>
      <c r="L598" s="3">
        <v>1.0</v>
      </c>
      <c r="M598" s="3">
        <v>1.0</v>
      </c>
      <c r="N598" s="3">
        <v>1.0</v>
      </c>
      <c r="O598" s="3">
        <v>1.0</v>
      </c>
      <c r="P598" s="3">
        <v>1.0</v>
      </c>
      <c r="Q598" s="3">
        <v>1.0</v>
      </c>
      <c r="R598" s="3">
        <v>1.0</v>
      </c>
      <c r="S598" s="3">
        <v>1.0</v>
      </c>
      <c r="T598" s="3">
        <v>1.0</v>
      </c>
      <c r="U598" s="3">
        <v>1.0</v>
      </c>
      <c r="V598" s="3">
        <v>1.0</v>
      </c>
      <c r="W598" s="3" t="s">
        <v>1181</v>
      </c>
      <c r="X598" s="3" t="s">
        <v>1605</v>
      </c>
      <c r="Y598" s="3" t="s">
        <v>1654</v>
      </c>
      <c r="Z598" s="3" t="s">
        <v>1423</v>
      </c>
      <c r="AA598" s="3" t="s">
        <v>1382</v>
      </c>
      <c r="AB598" s="3" t="s">
        <v>1391</v>
      </c>
      <c r="AC598" s="3" t="s">
        <v>1374</v>
      </c>
      <c r="AD598" s="3" t="s">
        <v>1655</v>
      </c>
      <c r="AE598" s="3" t="s">
        <v>1656</v>
      </c>
      <c r="AF598" s="3">
        <v>0.065</v>
      </c>
      <c r="AG598" s="3">
        <v>1.477</v>
      </c>
      <c r="AH598" s="3">
        <v>0.312</v>
      </c>
      <c r="AI598" s="3">
        <v>-842.766</v>
      </c>
      <c r="AJ598" s="3">
        <v>40.853</v>
      </c>
      <c r="AK598" s="3" t="s">
        <v>1657</v>
      </c>
      <c r="AL598" s="3">
        <v>0.068</v>
      </c>
      <c r="AM598" s="3" t="s">
        <v>1608</v>
      </c>
    </row>
    <row r="599" ht="15.75" customHeight="1">
      <c r="A599" s="3">
        <v>1.73036E12</v>
      </c>
      <c r="B599" s="3">
        <v>17.0</v>
      </c>
      <c r="C599" s="3" t="s">
        <v>2189</v>
      </c>
      <c r="D599" s="3" t="s">
        <v>1369</v>
      </c>
      <c r="E599" s="3" t="s">
        <v>2189</v>
      </c>
      <c r="F599" s="3">
        <v>1.0</v>
      </c>
      <c r="G599" s="3">
        <v>1.0</v>
      </c>
      <c r="H599" s="3">
        <v>1.0</v>
      </c>
      <c r="I599" s="3">
        <v>1.0</v>
      </c>
      <c r="J599" s="3">
        <v>1.0</v>
      </c>
      <c r="K599" s="3">
        <v>1.0</v>
      </c>
      <c r="L599" s="3">
        <v>1.0</v>
      </c>
      <c r="M599" s="3">
        <v>1.0</v>
      </c>
      <c r="N599" s="3">
        <v>1.0</v>
      </c>
      <c r="O599" s="3">
        <v>1.0</v>
      </c>
      <c r="P599" s="3">
        <v>1.0</v>
      </c>
      <c r="Q599" s="3">
        <v>1.0</v>
      </c>
      <c r="R599" s="3">
        <v>1.0</v>
      </c>
      <c r="S599" s="3">
        <v>1.0</v>
      </c>
      <c r="T599" s="3">
        <v>1.0</v>
      </c>
      <c r="U599" s="3">
        <v>1.0</v>
      </c>
      <c r="V599" s="3">
        <v>1.0</v>
      </c>
      <c r="W599" s="3" t="s">
        <v>1299</v>
      </c>
      <c r="X599" s="3" t="s">
        <v>1634</v>
      </c>
      <c r="Y599" s="3" t="s">
        <v>1635</v>
      </c>
      <c r="Z599" s="3" t="s">
        <v>1449</v>
      </c>
      <c r="AA599" s="3" t="s">
        <v>1636</v>
      </c>
      <c r="AB599" s="3" t="s">
        <v>1374</v>
      </c>
      <c r="AC599" s="3" t="s">
        <v>1391</v>
      </c>
      <c r="AD599" s="3" t="s">
        <v>1375</v>
      </c>
      <c r="AE599" s="3" t="s">
        <v>1637</v>
      </c>
      <c r="AF599" s="3">
        <v>0.046</v>
      </c>
      <c r="AG599" s="3">
        <v>1.457</v>
      </c>
      <c r="AH599" s="3">
        <v>0.311</v>
      </c>
      <c r="AI599" s="3">
        <v>222.249</v>
      </c>
      <c r="AJ599" s="3">
        <v>36.356</v>
      </c>
      <c r="AK599" s="3" t="s">
        <v>1687</v>
      </c>
      <c r="AL599" s="3">
        <v>0.078</v>
      </c>
      <c r="AM599" s="3" t="s">
        <v>1469</v>
      </c>
    </row>
    <row r="600" ht="15.75" customHeight="1">
      <c r="A600" s="3">
        <v>1.73018E12</v>
      </c>
      <c r="B600" s="3">
        <v>16.0</v>
      </c>
      <c r="C600" s="3" t="s">
        <v>637</v>
      </c>
      <c r="D600" s="3" t="s">
        <v>1369</v>
      </c>
      <c r="E600" s="3" t="s">
        <v>637</v>
      </c>
      <c r="F600" s="3">
        <v>1.0</v>
      </c>
      <c r="G600" s="3">
        <v>1.0</v>
      </c>
      <c r="H600" s="3">
        <v>1.0</v>
      </c>
      <c r="I600" s="3">
        <v>1.0</v>
      </c>
      <c r="J600" s="3">
        <v>1.0</v>
      </c>
      <c r="K600" s="3">
        <v>1.0</v>
      </c>
      <c r="L600" s="3">
        <v>1.0</v>
      </c>
      <c r="M600" s="3">
        <v>1.0</v>
      </c>
      <c r="N600" s="3">
        <v>1.0</v>
      </c>
      <c r="O600" s="3">
        <v>1.0</v>
      </c>
      <c r="P600" s="3">
        <v>1.0</v>
      </c>
      <c r="Q600" s="3">
        <v>1.0</v>
      </c>
      <c r="R600" s="3">
        <v>1.0</v>
      </c>
      <c r="S600" s="3">
        <v>0.0</v>
      </c>
      <c r="T600" s="3">
        <v>1.0</v>
      </c>
      <c r="U600" s="3">
        <v>1.0</v>
      </c>
      <c r="V600" s="3">
        <v>1.0</v>
      </c>
      <c r="W600" s="3" t="s">
        <v>1089</v>
      </c>
      <c r="X600" s="3" t="s">
        <v>1470</v>
      </c>
      <c r="Y600" s="3" t="s">
        <v>1471</v>
      </c>
      <c r="Z600" s="3" t="s">
        <v>1372</v>
      </c>
      <c r="AA600" s="3" t="s">
        <v>1382</v>
      </c>
      <c r="AB600" s="3" t="s">
        <v>1374</v>
      </c>
      <c r="AC600" s="3" t="s">
        <v>1400</v>
      </c>
      <c r="AD600" s="3" t="s">
        <v>1472</v>
      </c>
      <c r="AE600" s="3" t="s">
        <v>1473</v>
      </c>
      <c r="AF600" s="3">
        <v>0.15</v>
      </c>
      <c r="AG600" s="3">
        <v>4.074</v>
      </c>
      <c r="AH600" s="3" t="s">
        <v>1394</v>
      </c>
      <c r="AI600" s="3" t="s">
        <v>1394</v>
      </c>
      <c r="AJ600" s="3">
        <v>10.796</v>
      </c>
      <c r="AK600" s="3" t="s">
        <v>1790</v>
      </c>
      <c r="AL600" s="3" t="s">
        <v>1394</v>
      </c>
      <c r="AM600" s="3" t="s">
        <v>1475</v>
      </c>
    </row>
    <row r="601" ht="15.75" customHeight="1">
      <c r="A601" s="3">
        <v>1.73029E12</v>
      </c>
      <c r="B601" s="3">
        <v>17.0</v>
      </c>
      <c r="C601" s="3" t="s">
        <v>297</v>
      </c>
      <c r="D601" s="3" t="s">
        <v>1369</v>
      </c>
      <c r="E601" s="3" t="s">
        <v>297</v>
      </c>
      <c r="F601" s="3">
        <v>1.0</v>
      </c>
      <c r="G601" s="3">
        <v>1.0</v>
      </c>
      <c r="H601" s="3">
        <v>1.0</v>
      </c>
      <c r="I601" s="3">
        <v>1.0</v>
      </c>
      <c r="J601" s="3">
        <v>1.0</v>
      </c>
      <c r="K601" s="3">
        <v>1.0</v>
      </c>
      <c r="L601" s="3">
        <v>1.0</v>
      </c>
      <c r="M601" s="3">
        <v>1.0</v>
      </c>
      <c r="N601" s="3">
        <v>1.0</v>
      </c>
      <c r="O601" s="3">
        <v>1.0</v>
      </c>
      <c r="P601" s="3">
        <v>1.0</v>
      </c>
      <c r="Q601" s="3">
        <v>1.0</v>
      </c>
      <c r="R601" s="3">
        <v>1.0</v>
      </c>
      <c r="S601" s="3">
        <v>1.0</v>
      </c>
      <c r="T601" s="3">
        <v>1.0</v>
      </c>
      <c r="U601" s="3">
        <v>1.0</v>
      </c>
      <c r="V601" s="3">
        <v>1.0</v>
      </c>
      <c r="W601" s="3" t="s">
        <v>1088</v>
      </c>
      <c r="X601" s="3" t="s">
        <v>1600</v>
      </c>
      <c r="Y601" s="3" t="s">
        <v>1601</v>
      </c>
      <c r="Z601" s="3" t="s">
        <v>1449</v>
      </c>
      <c r="AA601" s="3" t="s">
        <v>1407</v>
      </c>
      <c r="AB601" s="3" t="s">
        <v>1374</v>
      </c>
      <c r="AC601" s="3" t="s">
        <v>1400</v>
      </c>
      <c r="AD601" s="3" t="s">
        <v>1408</v>
      </c>
      <c r="AE601" s="3" t="s">
        <v>1602</v>
      </c>
      <c r="AF601" s="3">
        <v>0.034</v>
      </c>
      <c r="AG601" s="3">
        <v>0.1</v>
      </c>
      <c r="AH601" s="3" t="s">
        <v>1394</v>
      </c>
      <c r="AI601" s="3" t="s">
        <v>1394</v>
      </c>
      <c r="AJ601" s="3">
        <v>-0.417</v>
      </c>
      <c r="AK601" s="3" t="s">
        <v>1720</v>
      </c>
      <c r="AL601" s="3" t="s">
        <v>1394</v>
      </c>
      <c r="AM601" s="3" t="s">
        <v>1411</v>
      </c>
    </row>
    <row r="602" ht="15.75" customHeight="1">
      <c r="A602" s="3">
        <v>1.7304E12</v>
      </c>
      <c r="B602" s="3">
        <v>17.0</v>
      </c>
      <c r="C602" s="3" t="s">
        <v>88</v>
      </c>
      <c r="D602" s="3" t="s">
        <v>1369</v>
      </c>
      <c r="E602" s="3" t="s">
        <v>88</v>
      </c>
      <c r="F602" s="3">
        <v>1.0</v>
      </c>
      <c r="G602" s="3">
        <v>1.0</v>
      </c>
      <c r="H602" s="3">
        <v>1.0</v>
      </c>
      <c r="I602" s="3">
        <v>1.0</v>
      </c>
      <c r="J602" s="3">
        <v>1.0</v>
      </c>
      <c r="K602" s="3">
        <v>1.0</v>
      </c>
      <c r="L602" s="3">
        <v>1.0</v>
      </c>
      <c r="M602" s="3">
        <v>1.0</v>
      </c>
      <c r="N602" s="3">
        <v>1.0</v>
      </c>
      <c r="O602" s="3">
        <v>1.0</v>
      </c>
      <c r="P602" s="3">
        <v>1.0</v>
      </c>
      <c r="Q602" s="3">
        <v>1.0</v>
      </c>
      <c r="R602" s="3">
        <v>1.0</v>
      </c>
      <c r="S602" s="3">
        <v>1.0</v>
      </c>
      <c r="T602" s="3">
        <v>1.0</v>
      </c>
      <c r="U602" s="3">
        <v>1.0</v>
      </c>
      <c r="V602" s="3">
        <v>1.0</v>
      </c>
      <c r="W602" s="3" t="s">
        <v>1047</v>
      </c>
      <c r="X602" s="3" t="s">
        <v>1542</v>
      </c>
      <c r="Y602" s="3" t="s">
        <v>1543</v>
      </c>
      <c r="Z602" s="3" t="s">
        <v>1423</v>
      </c>
      <c r="AA602" s="3" t="s">
        <v>1544</v>
      </c>
      <c r="AB602" s="3" t="s">
        <v>1374</v>
      </c>
      <c r="AC602" s="3" t="s">
        <v>1451</v>
      </c>
      <c r="AD602" s="3" t="s">
        <v>1545</v>
      </c>
      <c r="AE602" s="3" t="s">
        <v>1546</v>
      </c>
      <c r="AF602" s="3">
        <v>0.035</v>
      </c>
      <c r="AG602" s="3">
        <v>0.068</v>
      </c>
      <c r="AH602" s="3">
        <v>0.261</v>
      </c>
      <c r="AI602" s="3">
        <v>54.174</v>
      </c>
      <c r="AJ602" s="3">
        <v>-10.884</v>
      </c>
      <c r="AK602" s="3" t="s">
        <v>1547</v>
      </c>
      <c r="AL602" s="3">
        <v>0.044</v>
      </c>
      <c r="AM602" s="3" t="s">
        <v>1548</v>
      </c>
    </row>
    <row r="603" ht="15.75" customHeight="1">
      <c r="A603" s="3">
        <v>1.73029E12</v>
      </c>
      <c r="B603" s="3">
        <v>16.0</v>
      </c>
      <c r="C603" s="3" t="s">
        <v>396</v>
      </c>
      <c r="D603" s="3" t="s">
        <v>1369</v>
      </c>
      <c r="E603" s="3" t="s">
        <v>396</v>
      </c>
      <c r="F603" s="3">
        <v>1.0</v>
      </c>
      <c r="G603" s="3">
        <v>1.0</v>
      </c>
      <c r="H603" s="3">
        <v>1.0</v>
      </c>
      <c r="I603" s="3">
        <v>1.0</v>
      </c>
      <c r="J603" s="3">
        <v>1.0</v>
      </c>
      <c r="K603" s="3">
        <v>1.0</v>
      </c>
      <c r="L603" s="3">
        <v>1.0</v>
      </c>
      <c r="M603" s="3">
        <v>1.0</v>
      </c>
      <c r="N603" s="3">
        <v>1.0</v>
      </c>
      <c r="O603" s="3">
        <v>1.0</v>
      </c>
      <c r="P603" s="3">
        <v>1.0</v>
      </c>
      <c r="Q603" s="3">
        <v>1.0</v>
      </c>
      <c r="R603" s="3">
        <v>1.0</v>
      </c>
      <c r="S603" s="3">
        <v>0.0</v>
      </c>
      <c r="T603" s="3">
        <v>1.0</v>
      </c>
      <c r="U603" s="3">
        <v>1.0</v>
      </c>
      <c r="V603" s="3">
        <v>1.0</v>
      </c>
      <c r="W603" s="3" t="s">
        <v>1232</v>
      </c>
      <c r="X603" s="3" t="s">
        <v>1388</v>
      </c>
      <c r="Y603" s="3" t="s">
        <v>1389</v>
      </c>
      <c r="Z603" s="3" t="s">
        <v>1372</v>
      </c>
      <c r="AA603" s="3" t="s">
        <v>1390</v>
      </c>
      <c r="AB603" s="3" t="s">
        <v>1374</v>
      </c>
      <c r="AC603" s="3" t="s">
        <v>1391</v>
      </c>
      <c r="AD603" s="3" t="s">
        <v>1392</v>
      </c>
      <c r="AE603" s="3" t="s">
        <v>1393</v>
      </c>
      <c r="AF603" s="3">
        <v>0.071</v>
      </c>
      <c r="AG603" s="3">
        <v>1.031</v>
      </c>
      <c r="AH603" s="3" t="s">
        <v>1394</v>
      </c>
      <c r="AI603" s="3" t="s">
        <v>1394</v>
      </c>
      <c r="AJ603" s="3" t="s">
        <v>1394</v>
      </c>
      <c r="AK603" s="3" t="s">
        <v>1395</v>
      </c>
      <c r="AL603" s="3" t="s">
        <v>1394</v>
      </c>
      <c r="AM603" s="3" t="s">
        <v>1396</v>
      </c>
    </row>
    <row r="604" ht="15.75" customHeight="1">
      <c r="A604" s="3">
        <v>1.7304E12</v>
      </c>
      <c r="B604" s="3">
        <v>0.0</v>
      </c>
      <c r="C604" s="3" t="s">
        <v>2190</v>
      </c>
      <c r="D604" s="3" t="s">
        <v>1369</v>
      </c>
      <c r="E604" s="3" t="s">
        <v>2190</v>
      </c>
      <c r="F604" s="3">
        <v>0.0</v>
      </c>
      <c r="G604" s="3">
        <v>0.0</v>
      </c>
      <c r="H604" s="3">
        <v>0.0</v>
      </c>
      <c r="I604" s="3">
        <v>0.0</v>
      </c>
      <c r="J604" s="3">
        <v>0.0</v>
      </c>
      <c r="K604" s="3">
        <v>0.0</v>
      </c>
      <c r="L604" s="3">
        <v>0.0</v>
      </c>
      <c r="M604" s="3">
        <v>0.0</v>
      </c>
      <c r="N604" s="3">
        <v>0.0</v>
      </c>
      <c r="O604" s="3">
        <v>0.0</v>
      </c>
      <c r="P604" s="3">
        <v>0.0</v>
      </c>
      <c r="Q604" s="3">
        <v>0.0</v>
      </c>
      <c r="R604" s="3">
        <v>0.0</v>
      </c>
      <c r="S604" s="3">
        <v>0.0</v>
      </c>
      <c r="T604" s="3">
        <v>0.0</v>
      </c>
      <c r="U604" s="3">
        <v>0.0</v>
      </c>
      <c r="V604" s="3">
        <v>0.0</v>
      </c>
      <c r="W604" s="3" t="s">
        <v>2191</v>
      </c>
    </row>
    <row r="605" ht="15.75" customHeight="1">
      <c r="A605" s="3">
        <v>1.72987E12</v>
      </c>
      <c r="B605" s="3">
        <v>11.0</v>
      </c>
      <c r="C605" s="3" t="s">
        <v>2192</v>
      </c>
      <c r="D605" s="3" t="s">
        <v>1369</v>
      </c>
      <c r="E605" s="3" t="s">
        <v>2192</v>
      </c>
      <c r="F605" s="3">
        <v>1.0</v>
      </c>
      <c r="G605" s="3">
        <v>1.0</v>
      </c>
      <c r="H605" s="3">
        <v>1.0</v>
      </c>
      <c r="I605" s="3">
        <v>1.0</v>
      </c>
      <c r="J605" s="3">
        <v>1.0</v>
      </c>
      <c r="K605" s="3">
        <v>1.0</v>
      </c>
      <c r="L605" s="3">
        <v>1.0</v>
      </c>
      <c r="M605" s="3">
        <v>1.0</v>
      </c>
      <c r="N605" s="3">
        <v>1.0</v>
      </c>
      <c r="O605" s="3">
        <v>1.0</v>
      </c>
      <c r="P605" s="3">
        <v>1.0</v>
      </c>
      <c r="Q605" s="3">
        <v>0.0</v>
      </c>
      <c r="R605" s="3">
        <v>0.0</v>
      </c>
      <c r="S605" s="3">
        <v>0.0</v>
      </c>
      <c r="T605" s="3">
        <v>0.0</v>
      </c>
      <c r="U605" s="3">
        <v>0.0</v>
      </c>
      <c r="V605" s="3">
        <v>0.0</v>
      </c>
      <c r="W605" s="3" t="s">
        <v>454</v>
      </c>
      <c r="X605" s="3" t="s">
        <v>1529</v>
      </c>
      <c r="Y605" s="3" t="s">
        <v>1530</v>
      </c>
      <c r="Z605" s="3" t="s">
        <v>1372</v>
      </c>
      <c r="AA605" s="3" t="s">
        <v>1531</v>
      </c>
      <c r="AB605" s="3" t="s">
        <v>1374</v>
      </c>
      <c r="AC605" s="3" t="s">
        <v>1374</v>
      </c>
      <c r="AD605" s="3" t="s">
        <v>2193</v>
      </c>
      <c r="AE605" s="3" t="s">
        <v>1533</v>
      </c>
      <c r="AF605" s="3">
        <v>0.084</v>
      </c>
      <c r="AG605" s="3">
        <v>1.802</v>
      </c>
      <c r="AH605" s="3">
        <v>0.359</v>
      </c>
      <c r="AI605" s="3">
        <v>-16.972</v>
      </c>
      <c r="AJ605" s="3">
        <v>-16.972</v>
      </c>
      <c r="AK605" s="3" t="s">
        <v>2194</v>
      </c>
      <c r="AL605" s="3">
        <v>-0.509</v>
      </c>
      <c r="AM605" s="3" t="s">
        <v>1919</v>
      </c>
    </row>
    <row r="606" ht="15.75" customHeight="1">
      <c r="A606" s="3">
        <v>1.7304E12</v>
      </c>
      <c r="B606" s="3">
        <v>0.0</v>
      </c>
      <c r="C606" s="3" t="s">
        <v>2195</v>
      </c>
      <c r="D606" s="3" t="s">
        <v>1369</v>
      </c>
      <c r="E606" s="3" t="s">
        <v>2195</v>
      </c>
      <c r="F606" s="3">
        <v>0.0</v>
      </c>
      <c r="G606" s="3">
        <v>0.0</v>
      </c>
      <c r="H606" s="3">
        <v>0.0</v>
      </c>
      <c r="I606" s="3">
        <v>0.0</v>
      </c>
      <c r="J606" s="3">
        <v>0.0</v>
      </c>
      <c r="K606" s="3">
        <v>0.0</v>
      </c>
      <c r="L606" s="3">
        <v>0.0</v>
      </c>
      <c r="M606" s="3">
        <v>0.0</v>
      </c>
      <c r="N606" s="3">
        <v>0.0</v>
      </c>
      <c r="O606" s="3">
        <v>0.0</v>
      </c>
      <c r="P606" s="3">
        <v>0.0</v>
      </c>
      <c r="Q606" s="3">
        <v>0.0</v>
      </c>
      <c r="R606" s="3">
        <v>0.0</v>
      </c>
      <c r="S606" s="3">
        <v>0.0</v>
      </c>
      <c r="T606" s="3">
        <v>0.0</v>
      </c>
      <c r="U606" s="3">
        <v>0.0</v>
      </c>
      <c r="V606" s="3">
        <v>0.0</v>
      </c>
      <c r="W606" s="3" t="s">
        <v>2196</v>
      </c>
      <c r="X606" s="3" t="s">
        <v>1483</v>
      </c>
      <c r="Y606" s="3" t="s">
        <v>1484</v>
      </c>
      <c r="Z606" s="3" t="s">
        <v>1449</v>
      </c>
      <c r="AA606" s="3" t="s">
        <v>1373</v>
      </c>
      <c r="AB606" s="3" t="s">
        <v>1374</v>
      </c>
      <c r="AC606" s="3" t="s">
        <v>1391</v>
      </c>
      <c r="AD606" s="3" t="s">
        <v>1485</v>
      </c>
      <c r="AE606" s="3" t="s">
        <v>1486</v>
      </c>
      <c r="AF606" s="3">
        <v>0.019</v>
      </c>
      <c r="AG606" s="3">
        <v>0.319</v>
      </c>
      <c r="AH606" s="3">
        <v>0.407</v>
      </c>
      <c r="AI606" s="3">
        <v>46.136</v>
      </c>
      <c r="AJ606" s="3">
        <v>25.696</v>
      </c>
      <c r="AK606" s="3" t="s">
        <v>2197</v>
      </c>
    </row>
    <row r="607" ht="15.75" customHeight="1">
      <c r="A607" s="3">
        <v>1.73036E12</v>
      </c>
      <c r="B607" s="3">
        <v>17.0</v>
      </c>
      <c r="C607" s="3" t="s">
        <v>218</v>
      </c>
      <c r="D607" s="3" t="s">
        <v>1369</v>
      </c>
      <c r="E607" s="3" t="s">
        <v>218</v>
      </c>
      <c r="F607" s="3">
        <v>1.0</v>
      </c>
      <c r="G607" s="3">
        <v>1.0</v>
      </c>
      <c r="H607" s="3">
        <v>1.0</v>
      </c>
      <c r="I607" s="3">
        <v>1.0</v>
      </c>
      <c r="J607" s="3">
        <v>1.0</v>
      </c>
      <c r="K607" s="3">
        <v>1.0</v>
      </c>
      <c r="L607" s="3">
        <v>1.0</v>
      </c>
      <c r="M607" s="3">
        <v>1.0</v>
      </c>
      <c r="N607" s="3">
        <v>1.0</v>
      </c>
      <c r="O607" s="3">
        <v>1.0</v>
      </c>
      <c r="P607" s="3">
        <v>1.0</v>
      </c>
      <c r="Q607" s="3">
        <v>1.0</v>
      </c>
      <c r="R607" s="3">
        <v>1.0</v>
      </c>
      <c r="S607" s="3">
        <v>1.0</v>
      </c>
      <c r="T607" s="3">
        <v>1.0</v>
      </c>
      <c r="U607" s="3">
        <v>1.0</v>
      </c>
      <c r="V607" s="3">
        <v>1.0</v>
      </c>
      <c r="W607" s="3" t="s">
        <v>1000</v>
      </c>
      <c r="X607" s="3" t="s">
        <v>1563</v>
      </c>
      <c r="Y607" s="3" t="s">
        <v>1564</v>
      </c>
      <c r="Z607" s="3" t="s">
        <v>1372</v>
      </c>
      <c r="AA607" s="3" t="s">
        <v>1649</v>
      </c>
      <c r="AB607" s="3" t="s">
        <v>1374</v>
      </c>
      <c r="AC607" s="3" t="s">
        <v>1650</v>
      </c>
      <c r="AD607" s="3" t="s">
        <v>1566</v>
      </c>
      <c r="AE607" s="3" t="s">
        <v>1567</v>
      </c>
      <c r="AF607" s="3">
        <v>0.344</v>
      </c>
      <c r="AG607" s="3">
        <v>0.672</v>
      </c>
      <c r="AH607" s="3">
        <v>0.312</v>
      </c>
      <c r="AI607" s="3">
        <v>46.94</v>
      </c>
      <c r="AJ607" s="3">
        <v>2.465</v>
      </c>
      <c r="AK607" s="3" t="s">
        <v>1651</v>
      </c>
      <c r="AL607" s="3">
        <v>0.051</v>
      </c>
      <c r="AM607" s="3" t="s">
        <v>1569</v>
      </c>
    </row>
    <row r="608" ht="15.75" customHeight="1">
      <c r="A608" s="3">
        <v>1.73038E12</v>
      </c>
      <c r="B608" s="3">
        <v>17.0</v>
      </c>
      <c r="C608" s="3" t="s">
        <v>589</v>
      </c>
      <c r="D608" s="3" t="s">
        <v>1369</v>
      </c>
      <c r="E608" s="3" t="s">
        <v>589</v>
      </c>
      <c r="F608" s="3">
        <v>1.0</v>
      </c>
      <c r="G608" s="3">
        <v>1.0</v>
      </c>
      <c r="H608" s="3">
        <v>1.0</v>
      </c>
      <c r="I608" s="3">
        <v>1.0</v>
      </c>
      <c r="J608" s="3">
        <v>1.0</v>
      </c>
      <c r="K608" s="3">
        <v>1.0</v>
      </c>
      <c r="L608" s="3">
        <v>1.0</v>
      </c>
      <c r="M608" s="3">
        <v>1.0</v>
      </c>
      <c r="N608" s="3">
        <v>1.0</v>
      </c>
      <c r="O608" s="3">
        <v>1.0</v>
      </c>
      <c r="P608" s="3">
        <v>1.0</v>
      </c>
      <c r="Q608" s="3">
        <v>1.0</v>
      </c>
      <c r="R608" s="3">
        <v>1.0</v>
      </c>
      <c r="S608" s="3">
        <v>1.0</v>
      </c>
      <c r="T608" s="3">
        <v>1.0</v>
      </c>
      <c r="U608" s="3">
        <v>1.0</v>
      </c>
      <c r="V608" s="3">
        <v>1.0</v>
      </c>
      <c r="W608" s="3" t="s">
        <v>1060</v>
      </c>
      <c r="X608" s="3" t="s">
        <v>1470</v>
      </c>
      <c r="Y608" s="3" t="s">
        <v>1660</v>
      </c>
      <c r="Z608" s="3" t="s">
        <v>1372</v>
      </c>
      <c r="AA608" s="3" t="s">
        <v>1382</v>
      </c>
      <c r="AB608" s="3" t="s">
        <v>1374</v>
      </c>
      <c r="AC608" s="3" t="s">
        <v>1391</v>
      </c>
      <c r="AD608" s="3" t="s">
        <v>1472</v>
      </c>
      <c r="AE608" s="3" t="s">
        <v>1473</v>
      </c>
      <c r="AF608" s="3">
        <v>0.151</v>
      </c>
      <c r="AG608" s="3">
        <v>4.105</v>
      </c>
      <c r="AH608" s="3" t="s">
        <v>1394</v>
      </c>
      <c r="AI608" s="3" t="s">
        <v>1394</v>
      </c>
      <c r="AJ608" s="3">
        <v>7.782</v>
      </c>
      <c r="AK608" s="3" t="s">
        <v>1474</v>
      </c>
      <c r="AL608" s="3" t="s">
        <v>1394</v>
      </c>
      <c r="AM608" s="3" t="s">
        <v>1661</v>
      </c>
    </row>
    <row r="609" ht="15.75" customHeight="1">
      <c r="A609" s="3">
        <v>1.73032E12</v>
      </c>
      <c r="B609" s="3">
        <v>12.0</v>
      </c>
      <c r="C609" s="3" t="s">
        <v>2198</v>
      </c>
      <c r="D609" s="3" t="s">
        <v>1369</v>
      </c>
      <c r="E609" s="3" t="s">
        <v>2198</v>
      </c>
      <c r="F609" s="3">
        <v>1.0</v>
      </c>
      <c r="G609" s="3">
        <v>1.0</v>
      </c>
      <c r="H609" s="3">
        <v>1.0</v>
      </c>
      <c r="I609" s="3">
        <v>1.0</v>
      </c>
      <c r="J609" s="3">
        <v>1.0</v>
      </c>
      <c r="K609" s="3">
        <v>1.0</v>
      </c>
      <c r="L609" s="3">
        <v>0.0</v>
      </c>
      <c r="M609" s="3">
        <v>1.0</v>
      </c>
      <c r="N609" s="3">
        <v>1.0</v>
      </c>
      <c r="O609" s="3">
        <v>1.0</v>
      </c>
      <c r="P609" s="3">
        <v>1.0</v>
      </c>
      <c r="Q609" s="3">
        <v>0.0</v>
      </c>
      <c r="R609" s="3">
        <v>0.0</v>
      </c>
      <c r="S609" s="3">
        <v>1.0</v>
      </c>
      <c r="T609" s="3">
        <v>1.0</v>
      </c>
      <c r="U609" s="3">
        <v>0.0</v>
      </c>
      <c r="V609" s="3">
        <v>0.0</v>
      </c>
      <c r="W609" s="3" t="s">
        <v>59</v>
      </c>
      <c r="X609" s="3" t="s">
        <v>1578</v>
      </c>
      <c r="Y609" s="3" t="s">
        <v>1579</v>
      </c>
      <c r="Z609" s="3" t="s">
        <v>1449</v>
      </c>
      <c r="AA609" s="3" t="s">
        <v>1382</v>
      </c>
      <c r="AB609" s="3" t="s">
        <v>1374</v>
      </c>
      <c r="AC609" s="3" t="s">
        <v>1374</v>
      </c>
      <c r="AD609" s="3" t="s">
        <v>1581</v>
      </c>
      <c r="AE609" s="3" t="s">
        <v>1582</v>
      </c>
      <c r="AF609" s="3">
        <v>0.05</v>
      </c>
      <c r="AG609" s="3">
        <v>0.271</v>
      </c>
      <c r="AH609" s="3">
        <v>0.425</v>
      </c>
      <c r="AI609" s="3">
        <v>-78.491</v>
      </c>
      <c r="AJ609" s="3">
        <v>18.742</v>
      </c>
      <c r="AK609" s="3" t="s">
        <v>1761</v>
      </c>
      <c r="AL609" s="3">
        <v>0.131</v>
      </c>
      <c r="AM609" s="3" t="s">
        <v>2199</v>
      </c>
    </row>
    <row r="610" ht="15.75" customHeight="1">
      <c r="A610" s="3">
        <v>1.7304E12</v>
      </c>
      <c r="B610" s="3">
        <v>13.0</v>
      </c>
      <c r="C610" s="3" t="s">
        <v>2200</v>
      </c>
      <c r="D610" s="3" t="s">
        <v>1369</v>
      </c>
      <c r="E610" s="3" t="s">
        <v>2200</v>
      </c>
      <c r="F610" s="3">
        <v>1.0</v>
      </c>
      <c r="G610" s="3">
        <v>1.0</v>
      </c>
      <c r="H610" s="3">
        <v>1.0</v>
      </c>
      <c r="I610" s="3">
        <v>1.0</v>
      </c>
      <c r="J610" s="3">
        <v>1.0</v>
      </c>
      <c r="K610" s="3">
        <v>1.0</v>
      </c>
      <c r="L610" s="3">
        <v>1.0</v>
      </c>
      <c r="M610" s="3">
        <v>1.0</v>
      </c>
      <c r="N610" s="3">
        <v>1.0</v>
      </c>
      <c r="O610" s="3">
        <v>1.0</v>
      </c>
      <c r="P610" s="3">
        <v>1.0</v>
      </c>
      <c r="Q610" s="3">
        <v>0.0</v>
      </c>
      <c r="R610" s="3">
        <v>0.0</v>
      </c>
      <c r="S610" s="3">
        <v>0.0</v>
      </c>
      <c r="T610" s="3">
        <v>1.0</v>
      </c>
      <c r="U610" s="3">
        <v>0.0</v>
      </c>
      <c r="V610" s="3">
        <v>1.0</v>
      </c>
      <c r="W610" s="3" t="s">
        <v>2201</v>
      </c>
      <c r="X610" s="3" t="s">
        <v>1429</v>
      </c>
      <c r="Y610" s="3" t="s">
        <v>1430</v>
      </c>
      <c r="Z610" s="3" t="s">
        <v>1423</v>
      </c>
      <c r="AA610" s="3" t="s">
        <v>1432</v>
      </c>
      <c r="AB610" s="3" t="s">
        <v>1374</v>
      </c>
      <c r="AC610" s="3" t="s">
        <v>1391</v>
      </c>
      <c r="AD610" s="3" t="s">
        <v>1433</v>
      </c>
      <c r="AE610" s="3" t="s">
        <v>1434</v>
      </c>
      <c r="AF610" s="3">
        <v>0.168</v>
      </c>
      <c r="AG610" s="3">
        <v>1.192</v>
      </c>
      <c r="AK610" s="3" t="s">
        <v>1903</v>
      </c>
      <c r="AL610" s="3">
        <v>0.113</v>
      </c>
      <c r="AM610" s="3" t="s">
        <v>1436</v>
      </c>
    </row>
    <row r="611" ht="15.75" customHeight="1">
      <c r="A611" s="3">
        <v>1.7304E12</v>
      </c>
      <c r="B611" s="3">
        <v>16.0</v>
      </c>
      <c r="C611" s="3" t="s">
        <v>437</v>
      </c>
      <c r="D611" s="3" t="s">
        <v>1369</v>
      </c>
      <c r="E611" s="3" t="s">
        <v>437</v>
      </c>
      <c r="F611" s="3">
        <v>1.0</v>
      </c>
      <c r="G611" s="3">
        <v>1.0</v>
      </c>
      <c r="H611" s="3">
        <v>1.0</v>
      </c>
      <c r="I611" s="3">
        <v>1.0</v>
      </c>
      <c r="J611" s="3">
        <v>1.0</v>
      </c>
      <c r="K611" s="3">
        <v>1.0</v>
      </c>
      <c r="L611" s="3">
        <v>1.0</v>
      </c>
      <c r="M611" s="3">
        <v>1.0</v>
      </c>
      <c r="N611" s="3">
        <v>1.0</v>
      </c>
      <c r="O611" s="3">
        <v>1.0</v>
      </c>
      <c r="P611" s="3">
        <v>1.0</v>
      </c>
      <c r="Q611" s="3">
        <v>0.0</v>
      </c>
      <c r="R611" s="3">
        <v>1.0</v>
      </c>
      <c r="S611" s="3">
        <v>1.0</v>
      </c>
      <c r="T611" s="3">
        <v>1.0</v>
      </c>
      <c r="U611" s="3">
        <v>1.0</v>
      </c>
      <c r="V611" s="3">
        <v>1.0</v>
      </c>
      <c r="W611" s="3" t="s">
        <v>1137</v>
      </c>
      <c r="X611" s="3" t="s">
        <v>1521</v>
      </c>
      <c r="Y611" s="3" t="s">
        <v>1522</v>
      </c>
      <c r="Z611" s="3" t="s">
        <v>1372</v>
      </c>
      <c r="AA611" s="3" t="s">
        <v>1523</v>
      </c>
      <c r="AB611" s="3" t="s">
        <v>1374</v>
      </c>
      <c r="AC611" s="3" t="s">
        <v>1374</v>
      </c>
      <c r="AD611" s="3" t="s">
        <v>1524</v>
      </c>
      <c r="AE611" s="3" t="s">
        <v>1525</v>
      </c>
      <c r="AF611" s="3">
        <v>0.029</v>
      </c>
      <c r="AG611" s="3">
        <v>0.068</v>
      </c>
      <c r="AH611" s="3">
        <v>0.446</v>
      </c>
      <c r="AI611" s="3">
        <v>1067.867</v>
      </c>
      <c r="AJ611" s="3">
        <v>1.614</v>
      </c>
      <c r="AK611" s="3" t="s">
        <v>1812</v>
      </c>
      <c r="AL611" s="3">
        <v>0.069</v>
      </c>
      <c r="AM611" s="3" t="s">
        <v>1527</v>
      </c>
    </row>
    <row r="612" ht="15.75" customHeight="1">
      <c r="A612" s="3">
        <v>1.73028E12</v>
      </c>
      <c r="B612" s="3">
        <v>16.0</v>
      </c>
      <c r="C612" s="3" t="s">
        <v>269</v>
      </c>
      <c r="D612" s="3" t="s">
        <v>1369</v>
      </c>
      <c r="E612" s="3" t="s">
        <v>269</v>
      </c>
      <c r="F612" s="3">
        <v>1.0</v>
      </c>
      <c r="G612" s="3">
        <v>1.0</v>
      </c>
      <c r="H612" s="3">
        <v>1.0</v>
      </c>
      <c r="I612" s="3">
        <v>1.0</v>
      </c>
      <c r="J612" s="3">
        <v>1.0</v>
      </c>
      <c r="K612" s="3">
        <v>1.0</v>
      </c>
      <c r="L612" s="3">
        <v>1.0</v>
      </c>
      <c r="M612" s="3">
        <v>1.0</v>
      </c>
      <c r="N612" s="3">
        <v>1.0</v>
      </c>
      <c r="O612" s="3">
        <v>1.0</v>
      </c>
      <c r="P612" s="3">
        <v>1.0</v>
      </c>
      <c r="Q612" s="3">
        <v>1.0</v>
      </c>
      <c r="R612" s="3">
        <v>1.0</v>
      </c>
      <c r="S612" s="3">
        <v>0.0</v>
      </c>
      <c r="T612" s="3">
        <v>1.0</v>
      </c>
      <c r="U612" s="3">
        <v>1.0</v>
      </c>
      <c r="V612" s="3">
        <v>1.0</v>
      </c>
      <c r="W612" s="3" t="s">
        <v>1154</v>
      </c>
      <c r="X612" s="3" t="s">
        <v>1600</v>
      </c>
      <c r="Y612" s="3" t="s">
        <v>1601</v>
      </c>
      <c r="Z612" s="3" t="s">
        <v>1449</v>
      </c>
      <c r="AA612" s="3" t="s">
        <v>1407</v>
      </c>
      <c r="AB612" s="3" t="s">
        <v>1374</v>
      </c>
      <c r="AC612" s="3" t="s">
        <v>1400</v>
      </c>
      <c r="AD612" s="3" t="s">
        <v>1408</v>
      </c>
      <c r="AE612" s="3" t="s">
        <v>1602</v>
      </c>
      <c r="AF612" s="3">
        <v>0.035</v>
      </c>
      <c r="AG612" s="3">
        <v>0.104</v>
      </c>
      <c r="AH612" s="3">
        <v>0.159</v>
      </c>
      <c r="AI612" s="3">
        <v>6.79</v>
      </c>
      <c r="AJ612" s="3">
        <v>-0.12</v>
      </c>
      <c r="AK612" s="3" t="s">
        <v>1603</v>
      </c>
      <c r="AL612" s="3">
        <v>0.23</v>
      </c>
      <c r="AM612" s="3" t="s">
        <v>1411</v>
      </c>
    </row>
    <row r="613" ht="15.75" customHeight="1">
      <c r="A613" s="3">
        <v>1.73027E12</v>
      </c>
      <c r="B613" s="3">
        <v>14.0</v>
      </c>
      <c r="C613" s="3" t="s">
        <v>256</v>
      </c>
      <c r="D613" s="3" t="s">
        <v>1369</v>
      </c>
      <c r="E613" s="3" t="s">
        <v>256</v>
      </c>
      <c r="F613" s="3">
        <v>1.0</v>
      </c>
      <c r="G613" s="3">
        <v>1.0</v>
      </c>
      <c r="H613" s="3">
        <v>1.0</v>
      </c>
      <c r="I613" s="3">
        <v>1.0</v>
      </c>
      <c r="J613" s="3">
        <v>1.0</v>
      </c>
      <c r="K613" s="3">
        <v>1.0</v>
      </c>
      <c r="L613" s="3">
        <v>1.0</v>
      </c>
      <c r="M613" s="3">
        <v>1.0</v>
      </c>
      <c r="N613" s="3">
        <v>0.0</v>
      </c>
      <c r="O613" s="3">
        <v>1.0</v>
      </c>
      <c r="P613" s="3">
        <v>1.0</v>
      </c>
      <c r="Q613" s="3">
        <v>1.0</v>
      </c>
      <c r="R613" s="3">
        <v>0.0</v>
      </c>
      <c r="S613" s="3">
        <v>0.0</v>
      </c>
      <c r="T613" s="3">
        <v>1.0</v>
      </c>
      <c r="U613" s="3">
        <v>1.0</v>
      </c>
      <c r="V613" s="3">
        <v>1.0</v>
      </c>
      <c r="W613" s="3" t="s">
        <v>262</v>
      </c>
      <c r="X613" s="3" t="s">
        <v>1476</v>
      </c>
      <c r="Y613" s="3" t="s">
        <v>1477</v>
      </c>
      <c r="Z613" s="3" t="s">
        <v>1449</v>
      </c>
      <c r="AA613" s="3" t="s">
        <v>1415</v>
      </c>
      <c r="AB613" s="3" t="s">
        <v>1374</v>
      </c>
      <c r="AC613" s="3" t="s">
        <v>1374</v>
      </c>
      <c r="AD613" s="3" t="s">
        <v>1500</v>
      </c>
      <c r="AE613" s="3" t="s">
        <v>2202</v>
      </c>
      <c r="AF613" s="3">
        <v>0.033</v>
      </c>
      <c r="AG613" s="3">
        <v>0.655</v>
      </c>
      <c r="AH613" s="3">
        <v>0.295</v>
      </c>
      <c r="AI613" s="3">
        <v>164.105</v>
      </c>
      <c r="AJ613" s="3">
        <v>-18.376</v>
      </c>
      <c r="AK613" s="3" t="s">
        <v>2203</v>
      </c>
      <c r="AL613" s="3">
        <v>0.063</v>
      </c>
      <c r="AM613" s="3" t="s">
        <v>1419</v>
      </c>
    </row>
    <row r="614" ht="15.75" customHeight="1">
      <c r="A614" s="3">
        <v>1.73031E12</v>
      </c>
      <c r="B614" s="3">
        <v>17.0</v>
      </c>
      <c r="C614" s="3" t="s">
        <v>875</v>
      </c>
      <c r="D614" s="3" t="s">
        <v>1369</v>
      </c>
      <c r="E614" s="3" t="s">
        <v>875</v>
      </c>
      <c r="F614" s="3">
        <v>1.0</v>
      </c>
      <c r="G614" s="3">
        <v>1.0</v>
      </c>
      <c r="H614" s="3">
        <v>1.0</v>
      </c>
      <c r="I614" s="3">
        <v>1.0</v>
      </c>
      <c r="J614" s="3">
        <v>1.0</v>
      </c>
      <c r="K614" s="3">
        <v>1.0</v>
      </c>
      <c r="L614" s="3">
        <v>1.0</v>
      </c>
      <c r="M614" s="3">
        <v>1.0</v>
      </c>
      <c r="N614" s="3">
        <v>1.0</v>
      </c>
      <c r="O614" s="3">
        <v>1.0</v>
      </c>
      <c r="P614" s="3">
        <v>1.0</v>
      </c>
      <c r="Q614" s="3">
        <v>1.0</v>
      </c>
      <c r="R614" s="3">
        <v>1.0</v>
      </c>
      <c r="S614" s="3">
        <v>1.0</v>
      </c>
      <c r="T614" s="3">
        <v>1.0</v>
      </c>
      <c r="U614" s="3">
        <v>1.0</v>
      </c>
      <c r="V614" s="3">
        <v>1.0</v>
      </c>
      <c r="W614" s="3" t="s">
        <v>1215</v>
      </c>
      <c r="X614" s="3" t="s">
        <v>1456</v>
      </c>
      <c r="Y614" s="3" t="s">
        <v>1457</v>
      </c>
      <c r="Z614" s="3" t="s">
        <v>1423</v>
      </c>
      <c r="AA614" s="3" t="s">
        <v>1458</v>
      </c>
      <c r="AB614" s="3" t="s">
        <v>1374</v>
      </c>
      <c r="AC614" s="3" t="s">
        <v>1374</v>
      </c>
      <c r="AD614" s="3" t="s">
        <v>1392</v>
      </c>
      <c r="AE614" s="3" t="s">
        <v>1459</v>
      </c>
      <c r="AF614" s="3">
        <v>0.075</v>
      </c>
      <c r="AG614" s="3">
        <v>0.602</v>
      </c>
      <c r="AH614" s="3">
        <v>0.287</v>
      </c>
      <c r="AI614" s="3">
        <v>109.784</v>
      </c>
      <c r="AJ614" s="3">
        <v>3.091</v>
      </c>
      <c r="AK614" s="3" t="s">
        <v>1463</v>
      </c>
      <c r="AL614" s="3">
        <v>0.076</v>
      </c>
      <c r="AM614" s="3" t="s">
        <v>1461</v>
      </c>
    </row>
    <row r="615" ht="15.75" customHeight="1">
      <c r="A615" s="3">
        <v>1.73035E12</v>
      </c>
      <c r="B615" s="3">
        <v>12.0</v>
      </c>
      <c r="C615" s="3" t="s">
        <v>2204</v>
      </c>
      <c r="D615" s="3" t="s">
        <v>1369</v>
      </c>
      <c r="E615" s="3" t="s">
        <v>2204</v>
      </c>
      <c r="F615" s="3">
        <v>1.0</v>
      </c>
      <c r="G615" s="3">
        <v>1.0</v>
      </c>
      <c r="H615" s="3">
        <v>1.0</v>
      </c>
      <c r="I615" s="3">
        <v>1.0</v>
      </c>
      <c r="J615" s="3">
        <v>1.0</v>
      </c>
      <c r="K615" s="3">
        <v>1.0</v>
      </c>
      <c r="L615" s="3">
        <v>1.0</v>
      </c>
      <c r="M615" s="3">
        <v>1.0</v>
      </c>
      <c r="N615" s="3">
        <v>1.0</v>
      </c>
      <c r="O615" s="3">
        <v>1.0</v>
      </c>
      <c r="P615" s="3">
        <v>1.0</v>
      </c>
      <c r="Q615" s="3">
        <v>0.0</v>
      </c>
      <c r="R615" s="3">
        <v>0.0</v>
      </c>
      <c r="S615" s="3">
        <v>0.0</v>
      </c>
      <c r="T615" s="3">
        <v>0.0</v>
      </c>
      <c r="U615" s="3">
        <v>0.0</v>
      </c>
      <c r="V615" s="3">
        <v>1.0</v>
      </c>
      <c r="W615" s="3" t="s">
        <v>391</v>
      </c>
      <c r="X615" s="3" t="s">
        <v>1388</v>
      </c>
      <c r="Y615" s="3" t="s">
        <v>1389</v>
      </c>
      <c r="AA615" s="3" t="s">
        <v>1390</v>
      </c>
      <c r="AB615" s="3" t="s">
        <v>1374</v>
      </c>
      <c r="AC615" s="3" t="s">
        <v>1391</v>
      </c>
      <c r="AD615" s="3" t="s">
        <v>1392</v>
      </c>
      <c r="AE615" s="3" t="s">
        <v>1393</v>
      </c>
      <c r="AF615" s="3">
        <v>0.071</v>
      </c>
      <c r="AG615" s="3">
        <v>1.031</v>
      </c>
      <c r="AI615" s="3" t="s">
        <v>1519</v>
      </c>
      <c r="AJ615" s="3">
        <v>0.047</v>
      </c>
      <c r="AK615" s="3" t="s">
        <v>2205</v>
      </c>
      <c r="AL615" s="3">
        <v>0.558</v>
      </c>
      <c r="AM615" s="3" t="s">
        <v>1396</v>
      </c>
    </row>
    <row r="616" ht="15.75" customHeight="1">
      <c r="A616" s="3">
        <v>1.72995E12</v>
      </c>
      <c r="B616" s="3">
        <v>16.0</v>
      </c>
      <c r="C616" s="3" t="s">
        <v>775</v>
      </c>
      <c r="D616" s="3" t="s">
        <v>1369</v>
      </c>
      <c r="E616" s="3" t="s">
        <v>775</v>
      </c>
      <c r="F616" s="3">
        <v>1.0</v>
      </c>
      <c r="G616" s="3">
        <v>1.0</v>
      </c>
      <c r="H616" s="3">
        <v>1.0</v>
      </c>
      <c r="I616" s="3">
        <v>1.0</v>
      </c>
      <c r="J616" s="3">
        <v>1.0</v>
      </c>
      <c r="K616" s="3">
        <v>1.0</v>
      </c>
      <c r="L616" s="3">
        <v>1.0</v>
      </c>
      <c r="M616" s="3">
        <v>1.0</v>
      </c>
      <c r="N616" s="3">
        <v>1.0</v>
      </c>
      <c r="O616" s="3">
        <v>1.0</v>
      </c>
      <c r="P616" s="3">
        <v>1.0</v>
      </c>
      <c r="Q616" s="3">
        <v>1.0</v>
      </c>
      <c r="R616" s="3">
        <v>1.0</v>
      </c>
      <c r="S616" s="3">
        <v>0.0</v>
      </c>
      <c r="T616" s="3">
        <v>1.0</v>
      </c>
      <c r="U616" s="3">
        <v>1.0</v>
      </c>
      <c r="V616" s="3">
        <v>1.0</v>
      </c>
      <c r="W616" s="3" t="s">
        <v>1084</v>
      </c>
      <c r="X616" s="3" t="s">
        <v>1413</v>
      </c>
      <c r="Y616" s="3" t="s">
        <v>1414</v>
      </c>
      <c r="Z616" s="3" t="s">
        <v>1449</v>
      </c>
      <c r="AA616" s="3" t="s">
        <v>1415</v>
      </c>
      <c r="AB616" s="3" t="s">
        <v>1374</v>
      </c>
      <c r="AC616" s="3" t="s">
        <v>1400</v>
      </c>
      <c r="AD616" s="3" t="s">
        <v>2206</v>
      </c>
      <c r="AE616" s="3" t="s">
        <v>1417</v>
      </c>
      <c r="AF616" s="3">
        <v>-0.005</v>
      </c>
      <c r="AG616" s="3">
        <v>-0.053</v>
      </c>
      <c r="AH616" s="3">
        <v>0.322</v>
      </c>
      <c r="AI616" s="3">
        <v>142.601</v>
      </c>
      <c r="AJ616" s="3">
        <v>-23.4</v>
      </c>
      <c r="AK616" s="3" t="s">
        <v>2207</v>
      </c>
      <c r="AL616" s="3">
        <v>0.073</v>
      </c>
      <c r="AM616" s="3" t="s">
        <v>1419</v>
      </c>
    </row>
    <row r="617" ht="15.75" customHeight="1">
      <c r="A617" s="3">
        <v>1.7303E12</v>
      </c>
      <c r="B617" s="3">
        <v>9.0</v>
      </c>
      <c r="C617" s="3" t="s">
        <v>546</v>
      </c>
      <c r="D617" s="3" t="s">
        <v>1369</v>
      </c>
      <c r="E617" s="3" t="s">
        <v>546</v>
      </c>
      <c r="F617" s="3">
        <v>1.0</v>
      </c>
      <c r="G617" s="3">
        <v>1.0</v>
      </c>
      <c r="H617" s="3">
        <v>1.0</v>
      </c>
      <c r="I617" s="3">
        <v>1.0</v>
      </c>
      <c r="J617" s="3">
        <v>1.0</v>
      </c>
      <c r="K617" s="3">
        <v>1.0</v>
      </c>
      <c r="L617" s="3">
        <v>0.0</v>
      </c>
      <c r="M617" s="3">
        <v>1.0</v>
      </c>
      <c r="N617" s="3">
        <v>0.0</v>
      </c>
      <c r="O617" s="3">
        <v>1.0</v>
      </c>
      <c r="P617" s="3">
        <v>1.0</v>
      </c>
      <c r="Q617" s="3">
        <v>0.0</v>
      </c>
      <c r="R617" s="3">
        <v>0.0</v>
      </c>
      <c r="S617" s="3">
        <v>0.0</v>
      </c>
      <c r="T617" s="3">
        <v>0.0</v>
      </c>
      <c r="U617" s="3">
        <v>0.0</v>
      </c>
      <c r="V617" s="3">
        <v>0.0</v>
      </c>
      <c r="W617" s="3" t="s">
        <v>215</v>
      </c>
      <c r="X617" s="3" t="s">
        <v>1413</v>
      </c>
      <c r="Y617" s="3" t="s">
        <v>1414</v>
      </c>
      <c r="AA617" s="3" t="s">
        <v>1415</v>
      </c>
      <c r="AB617" s="3" t="s">
        <v>1374</v>
      </c>
      <c r="AC617" s="3" t="s">
        <v>1820</v>
      </c>
      <c r="AD617" s="3" t="s">
        <v>1860</v>
      </c>
      <c r="AE617" s="3" t="s">
        <v>2208</v>
      </c>
      <c r="AF617" s="3">
        <v>-0.005</v>
      </c>
      <c r="AG617" s="3">
        <v>-0.054</v>
      </c>
    </row>
    <row r="618" ht="15.75" customHeight="1">
      <c r="A618" s="3">
        <v>1.7304E12</v>
      </c>
      <c r="B618" s="3">
        <v>6.0</v>
      </c>
      <c r="C618" s="3" t="s">
        <v>718</v>
      </c>
      <c r="D618" s="3" t="s">
        <v>1369</v>
      </c>
      <c r="E618" s="3" t="s">
        <v>718</v>
      </c>
      <c r="F618" s="3">
        <v>1.0</v>
      </c>
      <c r="G618" s="3">
        <v>1.0</v>
      </c>
      <c r="H618" s="3">
        <v>0.0</v>
      </c>
      <c r="I618" s="3">
        <v>0.0</v>
      </c>
      <c r="J618" s="3">
        <v>0.0</v>
      </c>
      <c r="K618" s="3">
        <v>1.0</v>
      </c>
      <c r="L618" s="3">
        <v>1.0</v>
      </c>
      <c r="M618" s="3">
        <v>0.0</v>
      </c>
      <c r="N618" s="3">
        <v>0.0</v>
      </c>
      <c r="O618" s="3">
        <v>0.0</v>
      </c>
      <c r="P618" s="3">
        <v>0.0</v>
      </c>
      <c r="Q618" s="3">
        <v>0.0</v>
      </c>
      <c r="R618" s="3">
        <v>1.0</v>
      </c>
      <c r="S618" s="3">
        <v>0.0</v>
      </c>
      <c r="T618" s="3">
        <v>0.0</v>
      </c>
      <c r="U618" s="3">
        <v>1.0</v>
      </c>
      <c r="V618" s="3">
        <v>0.0</v>
      </c>
      <c r="W618" s="3" t="s">
        <v>499</v>
      </c>
      <c r="X618" s="3" t="s">
        <v>1464</v>
      </c>
      <c r="Z618" s="3" t="s">
        <v>2209</v>
      </c>
      <c r="AB618" s="3" t="s">
        <v>1374</v>
      </c>
      <c r="AC618" s="3" t="s">
        <v>1391</v>
      </c>
      <c r="AE618" s="3" t="s">
        <v>1394</v>
      </c>
      <c r="AF618" s="3" t="s">
        <v>1394</v>
      </c>
      <c r="AG618" s="3" t="s">
        <v>1394</v>
      </c>
      <c r="AH618" s="3" t="s">
        <v>1394</v>
      </c>
      <c r="AI618" s="3" t="s">
        <v>1394</v>
      </c>
      <c r="AJ618" s="3" t="s">
        <v>1394</v>
      </c>
      <c r="AK618" s="3" t="s">
        <v>1394</v>
      </c>
      <c r="AL618" s="3" t="s">
        <v>1394</v>
      </c>
      <c r="AM618" s="3" t="s">
        <v>1394</v>
      </c>
    </row>
    <row r="619" ht="15.75" customHeight="1">
      <c r="A619" s="3">
        <v>1.7304E12</v>
      </c>
      <c r="B619" s="3">
        <v>12.0</v>
      </c>
      <c r="C619" s="3" t="s">
        <v>390</v>
      </c>
      <c r="D619" s="3" t="s">
        <v>1369</v>
      </c>
      <c r="E619" s="3" t="s">
        <v>390</v>
      </c>
      <c r="F619" s="3">
        <v>1.0</v>
      </c>
      <c r="G619" s="3">
        <v>1.0</v>
      </c>
      <c r="H619" s="3">
        <v>1.0</v>
      </c>
      <c r="I619" s="3">
        <v>1.0</v>
      </c>
      <c r="J619" s="3">
        <v>1.0</v>
      </c>
      <c r="K619" s="3">
        <v>1.0</v>
      </c>
      <c r="L619" s="3">
        <v>1.0</v>
      </c>
      <c r="M619" s="3">
        <v>1.0</v>
      </c>
      <c r="N619" s="3">
        <v>1.0</v>
      </c>
      <c r="O619" s="3">
        <v>1.0</v>
      </c>
      <c r="P619" s="3">
        <v>0.0</v>
      </c>
      <c r="Q619" s="3">
        <v>0.0</v>
      </c>
      <c r="R619" s="3">
        <v>0.0</v>
      </c>
      <c r="S619" s="3">
        <v>0.0</v>
      </c>
      <c r="T619" s="3">
        <v>1.0</v>
      </c>
      <c r="U619" s="3">
        <v>0.0</v>
      </c>
      <c r="V619" s="3">
        <v>1.0</v>
      </c>
      <c r="W619" s="3" t="s">
        <v>81</v>
      </c>
      <c r="X619" s="3" t="s">
        <v>1464</v>
      </c>
      <c r="Y619" s="3" t="s">
        <v>1465</v>
      </c>
      <c r="Z619" s="3" t="s">
        <v>1372</v>
      </c>
      <c r="AA619" s="3" t="s">
        <v>1373</v>
      </c>
      <c r="AB619" s="3" t="s">
        <v>1374</v>
      </c>
      <c r="AC619" s="3" t="s">
        <v>1391</v>
      </c>
      <c r="AD619" s="3" t="s">
        <v>1497</v>
      </c>
      <c r="AE619" s="3" t="s">
        <v>1467</v>
      </c>
      <c r="AF619" s="3">
        <v>0.203</v>
      </c>
      <c r="AG619" s="3">
        <v>2.5</v>
      </c>
      <c r="AH619" s="3">
        <v>0.311</v>
      </c>
      <c r="AJ619" s="3">
        <v>2.806</v>
      </c>
      <c r="AK619" s="3" t="s">
        <v>1549</v>
      </c>
      <c r="AL619" s="3">
        <v>0.598</v>
      </c>
      <c r="AM619" s="3" t="s">
        <v>1469</v>
      </c>
    </row>
    <row r="620" ht="15.75" customHeight="1">
      <c r="A620" s="3">
        <v>1.73038E12</v>
      </c>
      <c r="B620" s="3">
        <v>17.0</v>
      </c>
      <c r="C620" s="3" t="s">
        <v>684</v>
      </c>
      <c r="D620" s="3" t="s">
        <v>1369</v>
      </c>
      <c r="E620" s="3" t="s">
        <v>684</v>
      </c>
      <c r="F620" s="3">
        <v>1.0</v>
      </c>
      <c r="G620" s="3">
        <v>1.0</v>
      </c>
      <c r="H620" s="3">
        <v>1.0</v>
      </c>
      <c r="I620" s="3">
        <v>1.0</v>
      </c>
      <c r="J620" s="3">
        <v>1.0</v>
      </c>
      <c r="K620" s="3">
        <v>1.0</v>
      </c>
      <c r="L620" s="3">
        <v>1.0</v>
      </c>
      <c r="M620" s="3">
        <v>1.0</v>
      </c>
      <c r="N620" s="3">
        <v>1.0</v>
      </c>
      <c r="O620" s="3">
        <v>1.0</v>
      </c>
      <c r="P620" s="3">
        <v>1.0</v>
      </c>
      <c r="Q620" s="3">
        <v>1.0</v>
      </c>
      <c r="R620" s="3">
        <v>1.0</v>
      </c>
      <c r="S620" s="3">
        <v>1.0</v>
      </c>
      <c r="T620" s="3">
        <v>1.0</v>
      </c>
      <c r="U620" s="3">
        <v>1.0</v>
      </c>
      <c r="V620" s="3">
        <v>1.0</v>
      </c>
      <c r="W620" s="3" t="s">
        <v>1069</v>
      </c>
      <c r="X620" s="3" t="s">
        <v>1388</v>
      </c>
      <c r="Y620" s="3" t="s">
        <v>1389</v>
      </c>
      <c r="Z620" s="3" t="s">
        <v>1372</v>
      </c>
      <c r="AA620" s="3" t="s">
        <v>1390</v>
      </c>
      <c r="AB620" s="3" t="s">
        <v>1374</v>
      </c>
      <c r="AC620" s="3" t="s">
        <v>1391</v>
      </c>
      <c r="AD620" s="3" t="s">
        <v>1392</v>
      </c>
      <c r="AE620" s="3" t="s">
        <v>1393</v>
      </c>
      <c r="AF620" s="3">
        <v>0.072</v>
      </c>
      <c r="AG620" s="3">
        <v>1.042</v>
      </c>
      <c r="AH620" s="3">
        <v>0.322</v>
      </c>
      <c r="AI620" s="3">
        <v>289.869</v>
      </c>
      <c r="AJ620" s="3">
        <v>13.493</v>
      </c>
      <c r="AK620" s="3" t="s">
        <v>1685</v>
      </c>
      <c r="AL620" s="3">
        <v>0.1</v>
      </c>
      <c r="AM620" s="3" t="s">
        <v>1686</v>
      </c>
    </row>
    <row r="621" ht="15.75" customHeight="1">
      <c r="A621" s="3">
        <v>1.73039E12</v>
      </c>
      <c r="B621" s="3">
        <v>17.0</v>
      </c>
      <c r="C621" s="3" t="s">
        <v>618</v>
      </c>
      <c r="D621" s="3" t="s">
        <v>1369</v>
      </c>
      <c r="E621" s="3" t="s">
        <v>618</v>
      </c>
      <c r="F621" s="3">
        <v>1.0</v>
      </c>
      <c r="G621" s="3">
        <v>1.0</v>
      </c>
      <c r="H621" s="3">
        <v>1.0</v>
      </c>
      <c r="I621" s="3">
        <v>1.0</v>
      </c>
      <c r="J621" s="3">
        <v>1.0</v>
      </c>
      <c r="K621" s="3">
        <v>1.0</v>
      </c>
      <c r="L621" s="3">
        <v>1.0</v>
      </c>
      <c r="M621" s="3">
        <v>1.0</v>
      </c>
      <c r="N621" s="3">
        <v>1.0</v>
      </c>
      <c r="O621" s="3">
        <v>1.0</v>
      </c>
      <c r="P621" s="3">
        <v>1.0</v>
      </c>
      <c r="Q621" s="3">
        <v>1.0</v>
      </c>
      <c r="R621" s="3">
        <v>1.0</v>
      </c>
      <c r="S621" s="3">
        <v>1.0</v>
      </c>
      <c r="T621" s="3">
        <v>1.0</v>
      </c>
      <c r="U621" s="3">
        <v>1.0</v>
      </c>
      <c r="V621" s="3">
        <v>1.0</v>
      </c>
      <c r="W621" s="3" t="s">
        <v>1106</v>
      </c>
      <c r="X621" s="3" t="s">
        <v>1542</v>
      </c>
      <c r="Y621" s="3" t="s">
        <v>1543</v>
      </c>
      <c r="Z621" s="3" t="s">
        <v>1423</v>
      </c>
      <c r="AA621" s="3" t="s">
        <v>1544</v>
      </c>
      <c r="AB621" s="3" t="s">
        <v>1374</v>
      </c>
      <c r="AC621" s="3" t="s">
        <v>1451</v>
      </c>
      <c r="AD621" s="3" t="s">
        <v>1545</v>
      </c>
      <c r="AE621" s="3" t="s">
        <v>1546</v>
      </c>
      <c r="AF621" s="3">
        <v>0.035</v>
      </c>
      <c r="AG621" s="3">
        <v>0.068</v>
      </c>
      <c r="AH621" s="3" t="s">
        <v>1394</v>
      </c>
      <c r="AI621" s="3" t="s">
        <v>1394</v>
      </c>
      <c r="AJ621" s="3">
        <v>-10.883</v>
      </c>
      <c r="AK621" s="3" t="s">
        <v>1585</v>
      </c>
      <c r="AL621" s="3" t="s">
        <v>1394</v>
      </c>
      <c r="AM621" s="3" t="s">
        <v>1548</v>
      </c>
    </row>
    <row r="622" ht="15.75" customHeight="1">
      <c r="A622" s="3">
        <v>1.73022E12</v>
      </c>
      <c r="B622" s="3">
        <v>16.0</v>
      </c>
      <c r="C622" s="3" t="s">
        <v>805</v>
      </c>
      <c r="D622" s="3" t="s">
        <v>1369</v>
      </c>
      <c r="E622" s="3" t="s">
        <v>805</v>
      </c>
      <c r="F622" s="3">
        <v>1.0</v>
      </c>
      <c r="G622" s="3">
        <v>1.0</v>
      </c>
      <c r="H622" s="3">
        <v>1.0</v>
      </c>
      <c r="I622" s="3">
        <v>1.0</v>
      </c>
      <c r="J622" s="3">
        <v>1.0</v>
      </c>
      <c r="K622" s="3">
        <v>1.0</v>
      </c>
      <c r="L622" s="3">
        <v>1.0</v>
      </c>
      <c r="M622" s="3">
        <v>1.0</v>
      </c>
      <c r="N622" s="3">
        <v>1.0</v>
      </c>
      <c r="O622" s="3">
        <v>1.0</v>
      </c>
      <c r="P622" s="3">
        <v>1.0</v>
      </c>
      <c r="Q622" s="3">
        <v>1.0</v>
      </c>
      <c r="R622" s="3">
        <v>1.0</v>
      </c>
      <c r="S622" s="3">
        <v>0.0</v>
      </c>
      <c r="T622" s="3">
        <v>1.0</v>
      </c>
      <c r="U622" s="3">
        <v>1.0</v>
      </c>
      <c r="V622" s="3">
        <v>1.0</v>
      </c>
      <c r="W622" s="3" t="s">
        <v>1275</v>
      </c>
      <c r="X622" s="3" t="s">
        <v>1370</v>
      </c>
      <c r="Y622" s="3" t="s">
        <v>1371</v>
      </c>
      <c r="Z622" s="3" t="s">
        <v>1372</v>
      </c>
      <c r="AA622" s="3" t="s">
        <v>1373</v>
      </c>
      <c r="AB622" s="3" t="s">
        <v>1374</v>
      </c>
      <c r="AC622" s="3" t="s">
        <v>1374</v>
      </c>
      <c r="AD622" s="3" t="s">
        <v>1375</v>
      </c>
      <c r="AE622" s="3" t="s">
        <v>1376</v>
      </c>
      <c r="AF622" s="3">
        <v>0.55</v>
      </c>
      <c r="AG622" s="3">
        <v>2.781</v>
      </c>
      <c r="AH622" s="3">
        <v>0.315</v>
      </c>
      <c r="AI622" s="3">
        <v>48.679</v>
      </c>
      <c r="AJ622" s="3">
        <v>1.508</v>
      </c>
      <c r="AK622" s="3" t="s">
        <v>1377</v>
      </c>
      <c r="AL622" s="3">
        <v>0.111</v>
      </c>
      <c r="AM622" s="3" t="s">
        <v>1509</v>
      </c>
    </row>
    <row r="623" ht="15.75" customHeight="1">
      <c r="A623" s="3">
        <v>1.73037E12</v>
      </c>
      <c r="B623" s="3">
        <v>13.0</v>
      </c>
      <c r="C623" s="3" t="s">
        <v>2210</v>
      </c>
      <c r="D623" s="3" t="s">
        <v>1369</v>
      </c>
      <c r="E623" s="3" t="s">
        <v>2210</v>
      </c>
      <c r="F623" s="3">
        <v>1.0</v>
      </c>
      <c r="G623" s="3">
        <v>1.0</v>
      </c>
      <c r="H623" s="3">
        <v>1.0</v>
      </c>
      <c r="I623" s="3">
        <v>1.0</v>
      </c>
      <c r="J623" s="3">
        <v>1.0</v>
      </c>
      <c r="K623" s="3">
        <v>1.0</v>
      </c>
      <c r="L623" s="3">
        <v>1.0</v>
      </c>
      <c r="M623" s="3">
        <v>1.0</v>
      </c>
      <c r="N623" s="3">
        <v>1.0</v>
      </c>
      <c r="O623" s="3">
        <v>1.0</v>
      </c>
      <c r="P623" s="3">
        <v>1.0</v>
      </c>
      <c r="Q623" s="3">
        <v>0.0</v>
      </c>
      <c r="R623" s="3">
        <v>0.0</v>
      </c>
      <c r="S623" s="3">
        <v>1.0</v>
      </c>
      <c r="T623" s="3">
        <v>1.0</v>
      </c>
      <c r="U623" s="3">
        <v>0.0</v>
      </c>
      <c r="V623" s="3">
        <v>0.0</v>
      </c>
      <c r="W623" s="3" t="s">
        <v>142</v>
      </c>
      <c r="X623" s="3" t="s">
        <v>1521</v>
      </c>
      <c r="Y623" s="3" t="s">
        <v>1522</v>
      </c>
      <c r="Z623" s="3" t="s">
        <v>1372</v>
      </c>
      <c r="AA623" s="3" t="s">
        <v>1523</v>
      </c>
      <c r="AB623" s="3" t="s">
        <v>1374</v>
      </c>
      <c r="AC623" s="3" t="s">
        <v>1374</v>
      </c>
      <c r="AD623" s="3" t="s">
        <v>1524</v>
      </c>
      <c r="AE623" s="3" t="s">
        <v>1525</v>
      </c>
      <c r="AF623" s="3">
        <v>0.028</v>
      </c>
      <c r="AG623" s="3">
        <v>0.067</v>
      </c>
      <c r="AH623" s="3">
        <v>0.445</v>
      </c>
      <c r="AI623" s="3">
        <v>1082.275</v>
      </c>
      <c r="AJ623" s="3">
        <v>1.256</v>
      </c>
      <c r="AK623" s="3" t="s">
        <v>1812</v>
      </c>
      <c r="AL623" s="3" t="s">
        <v>1519</v>
      </c>
      <c r="AM623" s="3" t="s">
        <v>2211</v>
      </c>
    </row>
    <row r="624" ht="15.75" customHeight="1">
      <c r="A624" s="3">
        <v>1.7304E12</v>
      </c>
      <c r="B624" s="3">
        <v>0.0</v>
      </c>
      <c r="C624" s="3" t="s">
        <v>2212</v>
      </c>
      <c r="D624" s="3" t="s">
        <v>1369</v>
      </c>
      <c r="E624" s="3" t="s">
        <v>2212</v>
      </c>
      <c r="F624" s="3">
        <v>0.0</v>
      </c>
      <c r="G624" s="3">
        <v>0.0</v>
      </c>
      <c r="H624" s="3">
        <v>0.0</v>
      </c>
      <c r="I624" s="3">
        <v>0.0</v>
      </c>
      <c r="J624" s="3">
        <v>0.0</v>
      </c>
      <c r="K624" s="3">
        <v>0.0</v>
      </c>
      <c r="L624" s="3">
        <v>0.0</v>
      </c>
      <c r="M624" s="3">
        <v>0.0</v>
      </c>
      <c r="N624" s="3">
        <v>0.0</v>
      </c>
      <c r="O624" s="3">
        <v>0.0</v>
      </c>
      <c r="P624" s="3">
        <v>0.0</v>
      </c>
      <c r="Q624" s="3">
        <v>0.0</v>
      </c>
      <c r="R624" s="3">
        <v>0.0</v>
      </c>
      <c r="S624" s="3">
        <v>0.0</v>
      </c>
      <c r="T624" s="3">
        <v>0.0</v>
      </c>
      <c r="U624" s="3">
        <v>0.0</v>
      </c>
      <c r="V624" s="3">
        <v>0.0</v>
      </c>
      <c r="W624" s="3" t="s">
        <v>2213</v>
      </c>
      <c r="X624" s="3" t="s">
        <v>2214</v>
      </c>
      <c r="Y624" s="3" t="s">
        <v>2215</v>
      </c>
      <c r="Z624" s="3" t="s">
        <v>1708</v>
      </c>
      <c r="AA624" s="3" t="s">
        <v>1424</v>
      </c>
      <c r="AB624" s="3" t="s">
        <v>1374</v>
      </c>
      <c r="AC624" s="3" t="s">
        <v>1391</v>
      </c>
      <c r="AD624" s="3" t="s">
        <v>2216</v>
      </c>
      <c r="AE624" s="3" t="s">
        <v>2217</v>
      </c>
      <c r="AF624" s="3">
        <v>-0.054</v>
      </c>
      <c r="AG624" s="3">
        <v>-0.393</v>
      </c>
      <c r="AH624" s="3">
        <v>0.391</v>
      </c>
      <c r="AI624" s="3">
        <v>-146.5</v>
      </c>
      <c r="AJ624" s="3">
        <v>-1.58</v>
      </c>
      <c r="AK624" s="3" t="s">
        <v>2218</v>
      </c>
      <c r="AL624" s="3">
        <v>0.117</v>
      </c>
      <c r="AM624" s="3" t="s">
        <v>2219</v>
      </c>
    </row>
    <row r="625" ht="15.75" customHeight="1">
      <c r="A625" s="3">
        <v>1.73039E12</v>
      </c>
      <c r="B625" s="3">
        <v>17.0</v>
      </c>
      <c r="C625" s="3" t="s">
        <v>795</v>
      </c>
      <c r="D625" s="3" t="s">
        <v>1369</v>
      </c>
      <c r="E625" s="3" t="s">
        <v>795</v>
      </c>
      <c r="F625" s="3">
        <v>1.0</v>
      </c>
      <c r="G625" s="3">
        <v>1.0</v>
      </c>
      <c r="H625" s="3">
        <v>1.0</v>
      </c>
      <c r="I625" s="3">
        <v>1.0</v>
      </c>
      <c r="J625" s="3">
        <v>1.0</v>
      </c>
      <c r="K625" s="3">
        <v>1.0</v>
      </c>
      <c r="L625" s="3">
        <v>1.0</v>
      </c>
      <c r="M625" s="3">
        <v>1.0</v>
      </c>
      <c r="N625" s="3">
        <v>1.0</v>
      </c>
      <c r="O625" s="3">
        <v>1.0</v>
      </c>
      <c r="P625" s="3">
        <v>1.0</v>
      </c>
      <c r="Q625" s="3">
        <v>1.0</v>
      </c>
      <c r="R625" s="3">
        <v>1.0</v>
      </c>
      <c r="S625" s="3">
        <v>1.0</v>
      </c>
      <c r="T625" s="3">
        <v>1.0</v>
      </c>
      <c r="U625" s="3">
        <v>1.0</v>
      </c>
      <c r="V625" s="3">
        <v>1.0</v>
      </c>
      <c r="W625" s="3" t="s">
        <v>1225</v>
      </c>
      <c r="X625" s="3" t="s">
        <v>1379</v>
      </c>
      <c r="Y625" s="3" t="s">
        <v>1380</v>
      </c>
      <c r="Z625" s="3" t="s">
        <v>1372</v>
      </c>
      <c r="AA625" s="3" t="s">
        <v>1382</v>
      </c>
      <c r="AB625" s="3" t="s">
        <v>1374</v>
      </c>
      <c r="AC625" s="3" t="s">
        <v>1980</v>
      </c>
      <c r="AD625" s="3" t="s">
        <v>1384</v>
      </c>
      <c r="AE625" s="3" t="s">
        <v>1385</v>
      </c>
      <c r="AF625" s="3">
        <v>0.191</v>
      </c>
      <c r="AG625" s="3">
        <v>2.348</v>
      </c>
      <c r="AH625" s="3">
        <v>0.349</v>
      </c>
      <c r="AI625" s="3">
        <v>63.717</v>
      </c>
      <c r="AJ625" s="3">
        <v>0.303</v>
      </c>
      <c r="AK625" s="3" t="s">
        <v>2220</v>
      </c>
      <c r="AL625" s="3">
        <v>0.198</v>
      </c>
      <c r="AM625" s="3" t="s">
        <v>1387</v>
      </c>
    </row>
    <row r="626" ht="15.75" customHeight="1">
      <c r="A626" s="3">
        <v>1.73035E12</v>
      </c>
      <c r="B626" s="3">
        <v>17.0</v>
      </c>
      <c r="C626" s="3" t="s">
        <v>727</v>
      </c>
      <c r="D626" s="3" t="s">
        <v>1369</v>
      </c>
      <c r="E626" s="3" t="s">
        <v>727</v>
      </c>
      <c r="F626" s="3">
        <v>1.0</v>
      </c>
      <c r="G626" s="3">
        <v>1.0</v>
      </c>
      <c r="H626" s="3">
        <v>1.0</v>
      </c>
      <c r="I626" s="3">
        <v>1.0</v>
      </c>
      <c r="J626" s="3">
        <v>1.0</v>
      </c>
      <c r="K626" s="3">
        <v>1.0</v>
      </c>
      <c r="L626" s="3">
        <v>1.0</v>
      </c>
      <c r="M626" s="3">
        <v>1.0</v>
      </c>
      <c r="N626" s="3">
        <v>1.0</v>
      </c>
      <c r="O626" s="3">
        <v>1.0</v>
      </c>
      <c r="P626" s="3">
        <v>1.0</v>
      </c>
      <c r="Q626" s="3">
        <v>1.0</v>
      </c>
      <c r="R626" s="3">
        <v>1.0</v>
      </c>
      <c r="S626" s="3">
        <v>1.0</v>
      </c>
      <c r="T626" s="3">
        <v>1.0</v>
      </c>
      <c r="U626" s="3">
        <v>1.0</v>
      </c>
      <c r="V626" s="3">
        <v>1.0</v>
      </c>
      <c r="W626" s="3" t="s">
        <v>1284</v>
      </c>
      <c r="X626" s="3" t="s">
        <v>1456</v>
      </c>
      <c r="Y626" s="3" t="s">
        <v>1457</v>
      </c>
      <c r="Z626" s="3" t="s">
        <v>1423</v>
      </c>
      <c r="AA626" s="3" t="s">
        <v>1458</v>
      </c>
      <c r="AB626" s="3" t="s">
        <v>1374</v>
      </c>
      <c r="AC626" s="3" t="s">
        <v>1374</v>
      </c>
      <c r="AD626" s="3" t="s">
        <v>1392</v>
      </c>
      <c r="AE626" s="3" t="s">
        <v>1459</v>
      </c>
      <c r="AF626" s="3">
        <v>0.076</v>
      </c>
      <c r="AG626" s="3">
        <v>0.615</v>
      </c>
      <c r="AH626" s="3" t="s">
        <v>1394</v>
      </c>
      <c r="AI626" s="3" t="s">
        <v>1394</v>
      </c>
      <c r="AJ626" s="3">
        <v>3.044</v>
      </c>
      <c r="AK626" s="3" t="s">
        <v>1640</v>
      </c>
      <c r="AL626" s="3" t="s">
        <v>1394</v>
      </c>
      <c r="AM626" s="3" t="s">
        <v>1461</v>
      </c>
    </row>
    <row r="627" ht="15.75" customHeight="1">
      <c r="A627" s="3">
        <v>1.73018E12</v>
      </c>
      <c r="B627" s="3">
        <v>12.0</v>
      </c>
      <c r="C627" s="3" t="s">
        <v>449</v>
      </c>
      <c r="D627" s="3" t="s">
        <v>1369</v>
      </c>
      <c r="E627" s="3" t="s">
        <v>449</v>
      </c>
      <c r="F627" s="3">
        <v>1.0</v>
      </c>
      <c r="G627" s="3">
        <v>1.0</v>
      </c>
      <c r="H627" s="3">
        <v>1.0</v>
      </c>
      <c r="I627" s="3">
        <v>1.0</v>
      </c>
      <c r="J627" s="3">
        <v>1.0</v>
      </c>
      <c r="K627" s="3">
        <v>1.0</v>
      </c>
      <c r="L627" s="3">
        <v>1.0</v>
      </c>
      <c r="M627" s="3">
        <v>1.0</v>
      </c>
      <c r="N627" s="3">
        <v>1.0</v>
      </c>
      <c r="O627" s="3">
        <v>1.0</v>
      </c>
      <c r="P627" s="3">
        <v>1.0</v>
      </c>
      <c r="Q627" s="3">
        <v>0.0</v>
      </c>
      <c r="R627" s="3">
        <v>0.0</v>
      </c>
      <c r="S627" s="3">
        <v>0.0</v>
      </c>
      <c r="T627" s="3">
        <v>0.0</v>
      </c>
      <c r="U627" s="3">
        <v>0.0</v>
      </c>
      <c r="V627" s="3">
        <v>1.0</v>
      </c>
      <c r="W627" s="3" t="s">
        <v>467</v>
      </c>
      <c r="X627" s="3" t="s">
        <v>1421</v>
      </c>
      <c r="Y627" s="3" t="s">
        <v>1422</v>
      </c>
      <c r="Z627" s="3" t="s">
        <v>2221</v>
      </c>
      <c r="AA627" s="3" t="s">
        <v>1424</v>
      </c>
      <c r="AB627" s="3" t="s">
        <v>1374</v>
      </c>
      <c r="AC627" s="3" t="s">
        <v>1391</v>
      </c>
      <c r="AD627" s="3" t="s">
        <v>2222</v>
      </c>
      <c r="AE627" s="3" t="s">
        <v>1426</v>
      </c>
      <c r="AF627" s="3">
        <v>0.051</v>
      </c>
      <c r="AG627" s="3">
        <v>0.21</v>
      </c>
      <c r="AH627" s="3">
        <v>0.6</v>
      </c>
      <c r="AI627" s="3">
        <v>29.355</v>
      </c>
      <c r="AJ627" s="3">
        <v>0.524</v>
      </c>
      <c r="AK627" s="3" t="s">
        <v>2223</v>
      </c>
      <c r="AL627" s="3">
        <v>0.672</v>
      </c>
      <c r="AM627" s="3" t="s">
        <v>1428</v>
      </c>
    </row>
    <row r="628" ht="15.75" customHeight="1">
      <c r="A628" s="3">
        <v>1.7304E12</v>
      </c>
      <c r="B628" s="3">
        <v>0.0</v>
      </c>
      <c r="C628" s="3" t="s">
        <v>2224</v>
      </c>
      <c r="D628" s="3" t="s">
        <v>1369</v>
      </c>
      <c r="E628" s="3" t="s">
        <v>2224</v>
      </c>
      <c r="F628" s="3">
        <v>0.0</v>
      </c>
      <c r="G628" s="3">
        <v>0.0</v>
      </c>
      <c r="H628" s="3">
        <v>0.0</v>
      </c>
      <c r="I628" s="3">
        <v>0.0</v>
      </c>
      <c r="J628" s="3">
        <v>0.0</v>
      </c>
      <c r="K628" s="3">
        <v>0.0</v>
      </c>
      <c r="L628" s="3">
        <v>0.0</v>
      </c>
      <c r="M628" s="3">
        <v>0.0</v>
      </c>
      <c r="N628" s="3">
        <v>0.0</v>
      </c>
      <c r="O628" s="3">
        <v>0.0</v>
      </c>
      <c r="P628" s="3">
        <v>0.0</v>
      </c>
      <c r="Q628" s="3">
        <v>0.0</v>
      </c>
      <c r="R628" s="3">
        <v>0.0</v>
      </c>
      <c r="S628" s="3">
        <v>0.0</v>
      </c>
      <c r="T628" s="3">
        <v>0.0</v>
      </c>
      <c r="U628" s="3">
        <v>0.0</v>
      </c>
      <c r="V628" s="3">
        <v>0.0</v>
      </c>
      <c r="W628" s="3" t="s">
        <v>2225</v>
      </c>
      <c r="X628" s="3" t="s">
        <v>1421</v>
      </c>
      <c r="Y628" s="3" t="s">
        <v>1422</v>
      </c>
      <c r="Z628" s="3" t="s">
        <v>1423</v>
      </c>
      <c r="AA628" s="3" t="s">
        <v>1424</v>
      </c>
      <c r="AB628" s="3" t="s">
        <v>1374</v>
      </c>
      <c r="AC628" s="3" t="s">
        <v>1374</v>
      </c>
      <c r="AD628" s="3" t="s">
        <v>1425</v>
      </c>
      <c r="AE628" s="3" t="s">
        <v>1426</v>
      </c>
      <c r="AF628" s="3">
        <v>0.051</v>
      </c>
      <c r="AG628" s="3">
        <v>0.21</v>
      </c>
      <c r="AH628" s="3">
        <v>0.345</v>
      </c>
      <c r="AI628" s="3">
        <v>-29.371</v>
      </c>
      <c r="AJ628" s="3">
        <v>0.522</v>
      </c>
      <c r="AK628" s="3" t="s">
        <v>1427</v>
      </c>
      <c r="AL628" s="3">
        <v>0.189</v>
      </c>
      <c r="AM628" s="3" t="s">
        <v>1428</v>
      </c>
    </row>
    <row r="629" ht="15.75" customHeight="1">
      <c r="A629" s="3">
        <v>1.73039E12</v>
      </c>
      <c r="B629" s="3">
        <v>17.0</v>
      </c>
      <c r="C629" s="3" t="s">
        <v>131</v>
      </c>
      <c r="D629" s="3" t="s">
        <v>1369</v>
      </c>
      <c r="E629" s="3" t="s">
        <v>131</v>
      </c>
      <c r="F629" s="3">
        <v>1.0</v>
      </c>
      <c r="G629" s="3">
        <v>1.0</v>
      </c>
      <c r="H629" s="3">
        <v>1.0</v>
      </c>
      <c r="I629" s="3">
        <v>1.0</v>
      </c>
      <c r="J629" s="3">
        <v>1.0</v>
      </c>
      <c r="K629" s="3">
        <v>1.0</v>
      </c>
      <c r="L629" s="3">
        <v>1.0</v>
      </c>
      <c r="M629" s="3">
        <v>1.0</v>
      </c>
      <c r="N629" s="3">
        <v>1.0</v>
      </c>
      <c r="O629" s="3">
        <v>1.0</v>
      </c>
      <c r="P629" s="3">
        <v>1.0</v>
      </c>
      <c r="Q629" s="3">
        <v>1.0</v>
      </c>
      <c r="R629" s="3">
        <v>1.0</v>
      </c>
      <c r="S629" s="3">
        <v>1.0</v>
      </c>
      <c r="T629" s="3">
        <v>1.0</v>
      </c>
      <c r="U629" s="3">
        <v>1.0</v>
      </c>
      <c r="V629" s="3">
        <v>1.0</v>
      </c>
      <c r="W629" s="3" t="s">
        <v>1258</v>
      </c>
      <c r="X629" s="3" t="s">
        <v>1600</v>
      </c>
      <c r="Y629" s="3" t="s">
        <v>1601</v>
      </c>
      <c r="Z629" s="3" t="s">
        <v>1423</v>
      </c>
      <c r="AA629" s="3" t="s">
        <v>1407</v>
      </c>
      <c r="AB629" s="3" t="s">
        <v>1374</v>
      </c>
      <c r="AC629" s="3" t="s">
        <v>1400</v>
      </c>
      <c r="AD629" s="3" t="s">
        <v>1408</v>
      </c>
      <c r="AE629" s="3" t="s">
        <v>1602</v>
      </c>
      <c r="AF629" s="3">
        <v>0.035</v>
      </c>
      <c r="AG629" s="3">
        <v>0.103</v>
      </c>
      <c r="AH629" s="3" t="s">
        <v>1394</v>
      </c>
      <c r="AI629" s="3" t="s">
        <v>1394</v>
      </c>
      <c r="AJ629" s="3">
        <v>-0.351</v>
      </c>
      <c r="AK629" s="3" t="s">
        <v>2226</v>
      </c>
      <c r="AL629" s="3" t="s">
        <v>1394</v>
      </c>
      <c r="AM629" s="3" t="s">
        <v>1411</v>
      </c>
    </row>
    <row r="630" ht="15.75" customHeight="1">
      <c r="A630" s="3">
        <v>1.7303E12</v>
      </c>
      <c r="B630" s="3">
        <v>17.0</v>
      </c>
      <c r="C630" s="3" t="s">
        <v>235</v>
      </c>
      <c r="D630" s="3" t="s">
        <v>1369</v>
      </c>
      <c r="E630" s="3" t="s">
        <v>235</v>
      </c>
      <c r="F630" s="3">
        <v>1.0</v>
      </c>
      <c r="G630" s="3">
        <v>1.0</v>
      </c>
      <c r="H630" s="3">
        <v>1.0</v>
      </c>
      <c r="I630" s="3">
        <v>1.0</v>
      </c>
      <c r="J630" s="3">
        <v>1.0</v>
      </c>
      <c r="K630" s="3">
        <v>1.0</v>
      </c>
      <c r="L630" s="3">
        <v>1.0</v>
      </c>
      <c r="M630" s="3">
        <v>1.0</v>
      </c>
      <c r="N630" s="3">
        <v>1.0</v>
      </c>
      <c r="O630" s="3">
        <v>1.0</v>
      </c>
      <c r="P630" s="3">
        <v>1.0</v>
      </c>
      <c r="Q630" s="3">
        <v>1.0</v>
      </c>
      <c r="R630" s="3">
        <v>1.0</v>
      </c>
      <c r="S630" s="3">
        <v>1.0</v>
      </c>
      <c r="T630" s="3">
        <v>1.0</v>
      </c>
      <c r="U630" s="3">
        <v>1.0</v>
      </c>
      <c r="V630" s="3">
        <v>1.0</v>
      </c>
      <c r="W630" s="3" t="s">
        <v>1019</v>
      </c>
      <c r="X630" s="3" t="s">
        <v>1405</v>
      </c>
      <c r="Y630" s="3" t="s">
        <v>1406</v>
      </c>
      <c r="Z630" s="3" t="s">
        <v>1372</v>
      </c>
      <c r="AA630" s="3" t="s">
        <v>1407</v>
      </c>
      <c r="AB630" s="3" t="s">
        <v>1374</v>
      </c>
      <c r="AC630" s="3" t="s">
        <v>1400</v>
      </c>
      <c r="AD630" s="3" t="s">
        <v>1506</v>
      </c>
      <c r="AE630" s="3" t="s">
        <v>1409</v>
      </c>
      <c r="AF630" s="3">
        <v>-0.017</v>
      </c>
      <c r="AG630" s="3">
        <v>-0.049</v>
      </c>
      <c r="AH630" s="3">
        <v>0.16</v>
      </c>
      <c r="AI630" s="3">
        <v>-175.019</v>
      </c>
      <c r="AJ630" s="3">
        <v>11.873</v>
      </c>
      <c r="AK630" s="3" t="s">
        <v>1535</v>
      </c>
      <c r="AL630" s="3">
        <v>0.255</v>
      </c>
      <c r="AM630" s="3" t="s">
        <v>1411</v>
      </c>
    </row>
    <row r="631" ht="15.75" customHeight="1">
      <c r="A631" s="3">
        <v>1.73039E12</v>
      </c>
      <c r="B631" s="3">
        <v>16.0</v>
      </c>
      <c r="C631" s="3" t="s">
        <v>462</v>
      </c>
      <c r="D631" s="3" t="s">
        <v>1369</v>
      </c>
      <c r="E631" s="3" t="s">
        <v>462</v>
      </c>
      <c r="F631" s="3">
        <v>1.0</v>
      </c>
      <c r="G631" s="3">
        <v>1.0</v>
      </c>
      <c r="H631" s="3">
        <v>1.0</v>
      </c>
      <c r="I631" s="3">
        <v>1.0</v>
      </c>
      <c r="J631" s="3">
        <v>1.0</v>
      </c>
      <c r="K631" s="3">
        <v>1.0</v>
      </c>
      <c r="L631" s="3">
        <v>1.0</v>
      </c>
      <c r="M631" s="3">
        <v>1.0</v>
      </c>
      <c r="N631" s="3">
        <v>1.0</v>
      </c>
      <c r="O631" s="3">
        <v>1.0</v>
      </c>
      <c r="P631" s="3">
        <v>1.0</v>
      </c>
      <c r="Q631" s="3">
        <v>1.0</v>
      </c>
      <c r="R631" s="3">
        <v>1.0</v>
      </c>
      <c r="S631" s="3">
        <v>0.0</v>
      </c>
      <c r="T631" s="3">
        <v>1.0</v>
      </c>
      <c r="U631" s="3">
        <v>1.0</v>
      </c>
      <c r="V631" s="3">
        <v>1.0</v>
      </c>
      <c r="W631" s="3" t="s">
        <v>1288</v>
      </c>
      <c r="X631" s="3" t="s">
        <v>1447</v>
      </c>
      <c r="Y631" s="3" t="s">
        <v>1448</v>
      </c>
      <c r="Z631" s="3" t="s">
        <v>1372</v>
      </c>
      <c r="AA631" s="3" t="s">
        <v>1450</v>
      </c>
      <c r="AB631" s="3" t="s">
        <v>1374</v>
      </c>
      <c r="AC631" s="3" t="s">
        <v>1451</v>
      </c>
      <c r="AD631" s="3" t="s">
        <v>1452</v>
      </c>
      <c r="AE631" s="3" t="s">
        <v>1453</v>
      </c>
      <c r="AF631" s="3">
        <v>0.032</v>
      </c>
      <c r="AG631" s="3">
        <v>0.208</v>
      </c>
      <c r="AH631" s="3">
        <v>0.377</v>
      </c>
      <c r="AI631" s="3">
        <v>50.164</v>
      </c>
      <c r="AJ631" s="3">
        <v>6.798</v>
      </c>
      <c r="AK631" s="3" t="s">
        <v>1599</v>
      </c>
      <c r="AL631" s="3">
        <v>0.174</v>
      </c>
      <c r="AM631" s="3" t="s">
        <v>1455</v>
      </c>
    </row>
    <row r="632" ht="15.75" customHeight="1">
      <c r="A632" s="3">
        <v>1.73013E12</v>
      </c>
      <c r="B632" s="3">
        <v>13.0</v>
      </c>
      <c r="C632" s="3" t="s">
        <v>543</v>
      </c>
      <c r="D632" s="3" t="s">
        <v>1369</v>
      </c>
      <c r="E632" s="3" t="s">
        <v>543</v>
      </c>
      <c r="F632" s="3">
        <v>1.0</v>
      </c>
      <c r="G632" s="3">
        <v>1.0</v>
      </c>
      <c r="H632" s="3">
        <v>1.0</v>
      </c>
      <c r="I632" s="3">
        <v>0.0</v>
      </c>
      <c r="J632" s="3">
        <v>0.0</v>
      </c>
      <c r="K632" s="3">
        <v>0.0</v>
      </c>
      <c r="L632" s="3">
        <v>0.0</v>
      </c>
      <c r="M632" s="3">
        <v>1.0</v>
      </c>
      <c r="N632" s="3">
        <v>1.0</v>
      </c>
      <c r="O632" s="3">
        <v>1.0</v>
      </c>
      <c r="P632" s="3">
        <v>1.0</v>
      </c>
      <c r="Q632" s="3">
        <v>1.0</v>
      </c>
      <c r="R632" s="3">
        <v>1.0</v>
      </c>
      <c r="S632" s="3">
        <v>1.0</v>
      </c>
      <c r="T632" s="3">
        <v>1.0</v>
      </c>
      <c r="U632" s="3">
        <v>1.0</v>
      </c>
      <c r="V632" s="3">
        <v>1.0</v>
      </c>
      <c r="W632" s="3" t="s">
        <v>150</v>
      </c>
      <c r="X632" s="3" t="s">
        <v>1379</v>
      </c>
      <c r="Y632" s="3" t="s">
        <v>1380</v>
      </c>
      <c r="Z632" s="3" t="s">
        <v>2227</v>
      </c>
      <c r="AA632" s="3" t="s">
        <v>2228</v>
      </c>
      <c r="AB632" s="3" t="s">
        <v>1880</v>
      </c>
      <c r="AC632" s="3" t="s">
        <v>1391</v>
      </c>
      <c r="AD632" s="3" t="s">
        <v>1678</v>
      </c>
      <c r="AE632" s="3" t="s">
        <v>1385</v>
      </c>
      <c r="AF632" s="3">
        <v>0.191</v>
      </c>
      <c r="AG632" s="3">
        <v>2.341</v>
      </c>
      <c r="AH632" s="3">
        <v>0.197</v>
      </c>
      <c r="AI632" s="3">
        <v>63.775</v>
      </c>
      <c r="AJ632" s="3">
        <v>1.535</v>
      </c>
      <c r="AK632" s="3" t="s">
        <v>2229</v>
      </c>
      <c r="AL632" s="3">
        <v>0.191</v>
      </c>
      <c r="AM632" s="3" t="s">
        <v>1387</v>
      </c>
    </row>
    <row r="633" ht="15.75" customHeight="1">
      <c r="A633" s="3">
        <v>1.73018E12</v>
      </c>
      <c r="B633" s="3">
        <v>11.0</v>
      </c>
      <c r="C633" s="3" t="s">
        <v>2230</v>
      </c>
      <c r="D633" s="3" t="s">
        <v>1369</v>
      </c>
      <c r="E633" s="3" t="s">
        <v>2230</v>
      </c>
      <c r="F633" s="3">
        <v>1.0</v>
      </c>
      <c r="G633" s="3">
        <v>1.0</v>
      </c>
      <c r="H633" s="3">
        <v>1.0</v>
      </c>
      <c r="I633" s="3">
        <v>1.0</v>
      </c>
      <c r="J633" s="3">
        <v>1.0</v>
      </c>
      <c r="K633" s="3">
        <v>1.0</v>
      </c>
      <c r="L633" s="3">
        <v>1.0</v>
      </c>
      <c r="M633" s="3">
        <v>1.0</v>
      </c>
      <c r="N633" s="3">
        <v>1.0</v>
      </c>
      <c r="O633" s="3">
        <v>1.0</v>
      </c>
      <c r="P633" s="3">
        <v>0.0</v>
      </c>
      <c r="Q633" s="3">
        <v>0.0</v>
      </c>
      <c r="R633" s="3">
        <v>0.0</v>
      </c>
      <c r="S633" s="3">
        <v>0.0</v>
      </c>
      <c r="T633" s="3">
        <v>0.0</v>
      </c>
      <c r="U633" s="3">
        <v>0.0</v>
      </c>
      <c r="V633" s="3">
        <v>1.0</v>
      </c>
      <c r="W633" s="3" t="s">
        <v>945</v>
      </c>
      <c r="X633" s="3" t="s">
        <v>1388</v>
      </c>
      <c r="Y633" s="3" t="s">
        <v>1389</v>
      </c>
      <c r="AA633" s="3" t="s">
        <v>1390</v>
      </c>
      <c r="AB633" s="3" t="s">
        <v>1374</v>
      </c>
      <c r="AC633" s="3" t="s">
        <v>1391</v>
      </c>
      <c r="AD633" s="3" t="s">
        <v>1392</v>
      </c>
      <c r="AE633" s="3" t="s">
        <v>1393</v>
      </c>
      <c r="AF633" s="3">
        <v>0.071</v>
      </c>
      <c r="AG633" s="3">
        <v>1.025</v>
      </c>
      <c r="AH633" s="3">
        <v>0.317</v>
      </c>
      <c r="AJ633" s="3">
        <v>0.047</v>
      </c>
      <c r="AK633" s="3" t="s">
        <v>2231</v>
      </c>
      <c r="AM633" s="3" t="s">
        <v>1396</v>
      </c>
    </row>
    <row r="634" ht="15.75" customHeight="1">
      <c r="A634" s="3">
        <v>1.7304E12</v>
      </c>
      <c r="B634" s="3">
        <v>16.0</v>
      </c>
      <c r="C634" s="3" t="s">
        <v>365</v>
      </c>
      <c r="D634" s="3" t="s">
        <v>1369</v>
      </c>
      <c r="E634" s="3" t="s">
        <v>365</v>
      </c>
      <c r="F634" s="3">
        <v>1.0</v>
      </c>
      <c r="G634" s="3">
        <v>1.0</v>
      </c>
      <c r="H634" s="3">
        <v>1.0</v>
      </c>
      <c r="I634" s="3">
        <v>1.0</v>
      </c>
      <c r="J634" s="3">
        <v>1.0</v>
      </c>
      <c r="K634" s="3">
        <v>1.0</v>
      </c>
      <c r="L634" s="3">
        <v>1.0</v>
      </c>
      <c r="M634" s="3">
        <v>1.0</v>
      </c>
      <c r="N634" s="3">
        <v>1.0</v>
      </c>
      <c r="O634" s="3">
        <v>1.0</v>
      </c>
      <c r="P634" s="3">
        <v>1.0</v>
      </c>
      <c r="Q634" s="3">
        <v>1.0</v>
      </c>
      <c r="R634" s="3">
        <v>1.0</v>
      </c>
      <c r="S634" s="3">
        <v>1.0</v>
      </c>
      <c r="T634" s="3">
        <v>0.0</v>
      </c>
      <c r="U634" s="3">
        <v>1.0</v>
      </c>
      <c r="V634" s="3">
        <v>1.0</v>
      </c>
      <c r="W634" s="3" t="s">
        <v>1163</v>
      </c>
      <c r="X634" s="3" t="s">
        <v>1429</v>
      </c>
      <c r="Y634" s="3" t="s">
        <v>1430</v>
      </c>
      <c r="Z634" s="3" t="s">
        <v>1423</v>
      </c>
      <c r="AA634" s="3" t="s">
        <v>1432</v>
      </c>
      <c r="AB634" s="3" t="s">
        <v>1374</v>
      </c>
      <c r="AC634" s="3" t="s">
        <v>1374</v>
      </c>
      <c r="AD634" s="3" t="s">
        <v>1433</v>
      </c>
      <c r="AE634" s="3" t="s">
        <v>1434</v>
      </c>
      <c r="AF634" s="3">
        <v>0.168</v>
      </c>
      <c r="AG634" s="3">
        <v>1.192</v>
      </c>
      <c r="AH634" s="3">
        <v>0.345</v>
      </c>
      <c r="AI634" s="3" t="s">
        <v>1394</v>
      </c>
      <c r="AJ634" s="3">
        <v>-5.297</v>
      </c>
      <c r="AK634" s="3" t="s">
        <v>2232</v>
      </c>
      <c r="AL634" s="3" t="s">
        <v>1394</v>
      </c>
      <c r="AM634" s="3" t="s">
        <v>1436</v>
      </c>
    </row>
    <row r="635" ht="15.75" customHeight="1">
      <c r="A635" s="3">
        <v>1.72959E12</v>
      </c>
      <c r="B635" s="3">
        <v>0.0</v>
      </c>
      <c r="C635" s="3" t="s">
        <v>2233</v>
      </c>
      <c r="D635" s="3" t="s">
        <v>1369</v>
      </c>
      <c r="E635" s="3" t="s">
        <v>2233</v>
      </c>
      <c r="F635" s="3">
        <v>0.0</v>
      </c>
      <c r="G635" s="3">
        <v>0.0</v>
      </c>
      <c r="H635" s="3">
        <v>0.0</v>
      </c>
      <c r="I635" s="3">
        <v>0.0</v>
      </c>
      <c r="J635" s="3">
        <v>0.0</v>
      </c>
      <c r="K635" s="3">
        <v>0.0</v>
      </c>
      <c r="L635" s="3">
        <v>0.0</v>
      </c>
      <c r="M635" s="3">
        <v>0.0</v>
      </c>
      <c r="N635" s="3">
        <v>0.0</v>
      </c>
      <c r="O635" s="3">
        <v>0.0</v>
      </c>
      <c r="P635" s="3">
        <v>0.0</v>
      </c>
      <c r="Q635" s="3">
        <v>0.0</v>
      </c>
      <c r="R635" s="3">
        <v>0.0</v>
      </c>
      <c r="S635" s="3">
        <v>0.0</v>
      </c>
      <c r="T635" s="3">
        <v>0.0</v>
      </c>
      <c r="U635" s="3">
        <v>0.0</v>
      </c>
      <c r="V635" s="3">
        <v>0.0</v>
      </c>
      <c r="W635" s="3" t="s">
        <v>2234</v>
      </c>
      <c r="X635" s="3" t="s">
        <v>2235</v>
      </c>
      <c r="Y635" s="3" t="s">
        <v>2236</v>
      </c>
      <c r="Z635" s="3" t="s">
        <v>1766</v>
      </c>
      <c r="AA635" s="3" t="s">
        <v>2237</v>
      </c>
      <c r="AB635" s="3" t="s">
        <v>1374</v>
      </c>
      <c r="AC635" s="3" t="s">
        <v>1400</v>
      </c>
      <c r="AD635" s="3" t="s">
        <v>1594</v>
      </c>
      <c r="AE635" s="3" t="s">
        <v>2238</v>
      </c>
      <c r="AF635" s="3">
        <v>-0.134</v>
      </c>
      <c r="AG635" s="3">
        <v>-2.379</v>
      </c>
      <c r="AH635" s="3">
        <v>0.228</v>
      </c>
      <c r="AI635" s="3">
        <v>-695.468</v>
      </c>
      <c r="AJ635" s="3">
        <v>9.109</v>
      </c>
      <c r="AK635" s="3" t="s">
        <v>2239</v>
      </c>
      <c r="AL635" s="3">
        <v>0.105</v>
      </c>
      <c r="AM635" s="3" t="s">
        <v>2240</v>
      </c>
    </row>
    <row r="636" ht="15.75" customHeight="1">
      <c r="A636" s="3">
        <v>1.7304E12</v>
      </c>
      <c r="B636" s="3">
        <v>14.0</v>
      </c>
      <c r="C636" s="3" t="s">
        <v>584</v>
      </c>
      <c r="D636" s="3" t="s">
        <v>1369</v>
      </c>
      <c r="E636" s="3" t="s">
        <v>584</v>
      </c>
      <c r="F636" s="3">
        <v>1.0</v>
      </c>
      <c r="G636" s="3">
        <v>1.0</v>
      </c>
      <c r="H636" s="3">
        <v>1.0</v>
      </c>
      <c r="I636" s="3">
        <v>1.0</v>
      </c>
      <c r="J636" s="3">
        <v>1.0</v>
      </c>
      <c r="K636" s="3">
        <v>1.0</v>
      </c>
      <c r="L636" s="3">
        <v>1.0</v>
      </c>
      <c r="M636" s="3">
        <v>1.0</v>
      </c>
      <c r="N636" s="3">
        <v>1.0</v>
      </c>
      <c r="O636" s="3">
        <v>1.0</v>
      </c>
      <c r="P636" s="3">
        <v>1.0</v>
      </c>
      <c r="Q636" s="3">
        <v>0.0</v>
      </c>
      <c r="R636" s="3">
        <v>0.0</v>
      </c>
      <c r="S636" s="3">
        <v>1.0</v>
      </c>
      <c r="T636" s="3">
        <v>1.0</v>
      </c>
      <c r="U636" s="3">
        <v>0.0</v>
      </c>
      <c r="V636" s="3">
        <v>1.0</v>
      </c>
      <c r="W636" s="3" t="s">
        <v>73</v>
      </c>
      <c r="X636" s="3" t="s">
        <v>1542</v>
      </c>
      <c r="Y636" s="3" t="s">
        <v>1543</v>
      </c>
      <c r="Z636" s="3" t="s">
        <v>1423</v>
      </c>
      <c r="AA636" s="3" t="s">
        <v>1544</v>
      </c>
      <c r="AB636" s="3" t="s">
        <v>1374</v>
      </c>
      <c r="AC636" s="3" t="s">
        <v>1451</v>
      </c>
      <c r="AD636" s="3" t="s">
        <v>1545</v>
      </c>
      <c r="AE636" s="3" t="s">
        <v>1546</v>
      </c>
      <c r="AF636" s="3">
        <v>0.035</v>
      </c>
      <c r="AG636" s="3">
        <v>0.068</v>
      </c>
      <c r="AH636" s="3">
        <v>0.252</v>
      </c>
      <c r="AI636" s="3">
        <v>54.063</v>
      </c>
      <c r="AJ636" s="3">
        <v>-10.307</v>
      </c>
      <c r="AK636" s="3" t="s">
        <v>1604</v>
      </c>
      <c r="AL636" s="3">
        <v>0.042</v>
      </c>
      <c r="AM636" s="3" t="s">
        <v>1548</v>
      </c>
    </row>
    <row r="637" ht="15.75" customHeight="1">
      <c r="A637" s="3">
        <v>1.73037E12</v>
      </c>
      <c r="B637" s="3">
        <v>17.0</v>
      </c>
      <c r="C637" s="3" t="s">
        <v>692</v>
      </c>
      <c r="D637" s="3" t="s">
        <v>1369</v>
      </c>
      <c r="E637" s="3" t="s">
        <v>692</v>
      </c>
      <c r="F637" s="3">
        <v>1.0</v>
      </c>
      <c r="G637" s="3">
        <v>1.0</v>
      </c>
      <c r="H637" s="3">
        <v>1.0</v>
      </c>
      <c r="I637" s="3">
        <v>1.0</v>
      </c>
      <c r="J637" s="3">
        <v>1.0</v>
      </c>
      <c r="K637" s="3">
        <v>1.0</v>
      </c>
      <c r="L637" s="3">
        <v>1.0</v>
      </c>
      <c r="M637" s="3">
        <v>1.0</v>
      </c>
      <c r="N637" s="3">
        <v>1.0</v>
      </c>
      <c r="O637" s="3">
        <v>1.0</v>
      </c>
      <c r="P637" s="3">
        <v>1.0</v>
      </c>
      <c r="Q637" s="3">
        <v>1.0</v>
      </c>
      <c r="R637" s="3">
        <v>1.0</v>
      </c>
      <c r="S637" s="3">
        <v>1.0</v>
      </c>
      <c r="T637" s="3">
        <v>1.0</v>
      </c>
      <c r="U637" s="3">
        <v>1.0</v>
      </c>
      <c r="V637" s="3">
        <v>1.0</v>
      </c>
      <c r="W637" s="3" t="s">
        <v>1068</v>
      </c>
      <c r="X637" s="3" t="s">
        <v>1605</v>
      </c>
      <c r="Y637" s="3" t="s">
        <v>1772</v>
      </c>
      <c r="Z637" s="3" t="s">
        <v>1423</v>
      </c>
      <c r="AA637" s="3" t="s">
        <v>1382</v>
      </c>
      <c r="AB637" s="3" t="s">
        <v>1391</v>
      </c>
      <c r="AC637" s="3" t="s">
        <v>1374</v>
      </c>
      <c r="AD637" s="3" t="s">
        <v>1655</v>
      </c>
      <c r="AE637" s="3" t="s">
        <v>1656</v>
      </c>
      <c r="AF637" s="3">
        <v>0.065</v>
      </c>
      <c r="AG637" s="3">
        <v>1.458</v>
      </c>
      <c r="AH637" s="3">
        <v>0.309</v>
      </c>
      <c r="AI637" s="3">
        <v>-824.371</v>
      </c>
      <c r="AJ637" s="3">
        <v>40.199</v>
      </c>
      <c r="AK637" s="3" t="s">
        <v>1607</v>
      </c>
      <c r="AL637" s="3">
        <v>0.062</v>
      </c>
      <c r="AM637" s="3" t="s">
        <v>1608</v>
      </c>
    </row>
    <row r="638" ht="15.75" customHeight="1">
      <c r="A638" s="3">
        <v>1.73039E12</v>
      </c>
      <c r="B638" s="3">
        <v>8.0</v>
      </c>
      <c r="C638" s="3" t="s">
        <v>712</v>
      </c>
      <c r="D638" s="3" t="s">
        <v>1369</v>
      </c>
      <c r="E638" s="3" t="s">
        <v>712</v>
      </c>
      <c r="F638" s="3">
        <v>1.0</v>
      </c>
      <c r="G638" s="3">
        <v>1.0</v>
      </c>
      <c r="H638" s="3">
        <v>0.0</v>
      </c>
      <c r="I638" s="3">
        <v>0.0</v>
      </c>
      <c r="J638" s="3">
        <v>1.0</v>
      </c>
      <c r="K638" s="3">
        <v>1.0</v>
      </c>
      <c r="L638" s="3">
        <v>1.0</v>
      </c>
      <c r="M638" s="3">
        <v>1.0</v>
      </c>
      <c r="N638" s="3">
        <v>1.0</v>
      </c>
      <c r="O638" s="3">
        <v>0.0</v>
      </c>
      <c r="P638" s="3">
        <v>0.0</v>
      </c>
      <c r="Q638" s="3">
        <v>0.0</v>
      </c>
      <c r="R638" s="3">
        <v>0.0</v>
      </c>
      <c r="S638" s="3">
        <v>0.0</v>
      </c>
      <c r="T638" s="3">
        <v>0.0</v>
      </c>
      <c r="U638" s="3">
        <v>0.0</v>
      </c>
      <c r="V638" s="3">
        <v>1.0</v>
      </c>
      <c r="W638" s="3" t="s">
        <v>508</v>
      </c>
      <c r="X638" s="3" t="s">
        <v>1470</v>
      </c>
      <c r="Y638" s="3" t="s">
        <v>2241</v>
      </c>
      <c r="Z638" s="3" t="s">
        <v>2242</v>
      </c>
      <c r="AA638" s="3" t="s">
        <v>1382</v>
      </c>
      <c r="AB638" s="3" t="s">
        <v>1374</v>
      </c>
      <c r="AC638" s="3" t="s">
        <v>1400</v>
      </c>
      <c r="AD638" s="3" t="s">
        <v>1472</v>
      </c>
      <c r="AE638" s="3" t="s">
        <v>1473</v>
      </c>
      <c r="AF638" s="3">
        <v>0.1503</v>
      </c>
      <c r="AH638" s="3">
        <v>4.089</v>
      </c>
      <c r="AJ638" s="3">
        <v>0.01646</v>
      </c>
      <c r="AK638" s="3" t="s">
        <v>2243</v>
      </c>
      <c r="AM638" s="3" t="s">
        <v>1475</v>
      </c>
    </row>
    <row r="639" ht="15.75" customHeight="1">
      <c r="A639" s="3">
        <v>1.73039E12</v>
      </c>
      <c r="B639" s="3">
        <v>14.0</v>
      </c>
      <c r="C639" s="3" t="s">
        <v>2244</v>
      </c>
      <c r="D639" s="3" t="s">
        <v>1369</v>
      </c>
      <c r="E639" s="3" t="s">
        <v>2244</v>
      </c>
      <c r="F639" s="3">
        <v>1.0</v>
      </c>
      <c r="G639" s="3">
        <v>1.0</v>
      </c>
      <c r="H639" s="3">
        <v>1.0</v>
      </c>
      <c r="I639" s="3">
        <v>1.0</v>
      </c>
      <c r="J639" s="3">
        <v>1.0</v>
      </c>
      <c r="K639" s="3">
        <v>1.0</v>
      </c>
      <c r="L639" s="3">
        <v>1.0</v>
      </c>
      <c r="M639" s="3">
        <v>1.0</v>
      </c>
      <c r="N639" s="3">
        <v>1.0</v>
      </c>
      <c r="O639" s="3">
        <v>1.0</v>
      </c>
      <c r="P639" s="3">
        <v>1.0</v>
      </c>
      <c r="Q639" s="3">
        <v>0.0</v>
      </c>
      <c r="R639" s="3">
        <v>0.0</v>
      </c>
      <c r="S639" s="3">
        <v>1.0</v>
      </c>
      <c r="T639" s="3">
        <v>1.0</v>
      </c>
      <c r="U639" s="3">
        <v>0.0</v>
      </c>
      <c r="V639" s="3">
        <v>1.0</v>
      </c>
      <c r="W639" s="3" t="s">
        <v>484</v>
      </c>
      <c r="X639" s="3" t="s">
        <v>1563</v>
      </c>
      <c r="Y639" s="3" t="s">
        <v>1564</v>
      </c>
      <c r="Z639" s="3" t="s">
        <v>1372</v>
      </c>
      <c r="AA639" s="3" t="s">
        <v>1565</v>
      </c>
      <c r="AB639" s="3" t="s">
        <v>1374</v>
      </c>
      <c r="AC639" s="3" t="s">
        <v>1400</v>
      </c>
      <c r="AD639" s="3" t="s">
        <v>1566</v>
      </c>
      <c r="AE639" s="3" t="s">
        <v>1567</v>
      </c>
      <c r="AF639" s="3">
        <v>0.345</v>
      </c>
      <c r="AG639" s="3">
        <v>0.674</v>
      </c>
      <c r="AH639" s="3">
        <v>0.261</v>
      </c>
      <c r="AI639" s="3">
        <v>45.917</v>
      </c>
      <c r="AJ639" s="3">
        <v>2.342</v>
      </c>
      <c r="AK639" s="3" t="s">
        <v>1970</v>
      </c>
      <c r="AL639" s="3">
        <v>0.067</v>
      </c>
      <c r="AM639" s="3" t="s">
        <v>1569</v>
      </c>
    </row>
    <row r="640" ht="15.75" customHeight="1">
      <c r="A640" s="3">
        <v>1.73027E12</v>
      </c>
      <c r="B640" s="3">
        <v>17.0</v>
      </c>
      <c r="C640" s="3" t="s">
        <v>222</v>
      </c>
      <c r="D640" s="3" t="s">
        <v>1369</v>
      </c>
      <c r="E640" s="3" t="s">
        <v>222</v>
      </c>
      <c r="F640" s="3">
        <v>1.0</v>
      </c>
      <c r="G640" s="3">
        <v>1.0</v>
      </c>
      <c r="H640" s="3">
        <v>1.0</v>
      </c>
      <c r="I640" s="3">
        <v>1.0</v>
      </c>
      <c r="J640" s="3">
        <v>1.0</v>
      </c>
      <c r="K640" s="3">
        <v>1.0</v>
      </c>
      <c r="L640" s="3">
        <v>1.0</v>
      </c>
      <c r="M640" s="3">
        <v>1.0</v>
      </c>
      <c r="N640" s="3">
        <v>1.0</v>
      </c>
      <c r="O640" s="3">
        <v>1.0</v>
      </c>
      <c r="P640" s="3">
        <v>1.0</v>
      </c>
      <c r="Q640" s="3">
        <v>1.0</v>
      </c>
      <c r="R640" s="3">
        <v>1.0</v>
      </c>
      <c r="S640" s="3">
        <v>1.0</v>
      </c>
      <c r="T640" s="3">
        <v>1.0</v>
      </c>
      <c r="U640" s="3">
        <v>1.0</v>
      </c>
      <c r="V640" s="3">
        <v>1.0</v>
      </c>
      <c r="W640" s="3" t="s">
        <v>1220</v>
      </c>
      <c r="X640" s="3" t="s">
        <v>1483</v>
      </c>
      <c r="Y640" s="3" t="s">
        <v>1484</v>
      </c>
      <c r="Z640" s="3" t="s">
        <v>1372</v>
      </c>
      <c r="AA640" s="3" t="s">
        <v>1373</v>
      </c>
      <c r="AB640" s="3" t="s">
        <v>1374</v>
      </c>
      <c r="AC640" s="3" t="s">
        <v>1374</v>
      </c>
      <c r="AD640" s="3" t="s">
        <v>1485</v>
      </c>
      <c r="AE640" s="3" t="s">
        <v>1486</v>
      </c>
      <c r="AF640" s="3">
        <v>0.019</v>
      </c>
      <c r="AG640" s="3">
        <v>0.323</v>
      </c>
      <c r="AH640" s="3">
        <v>0.402</v>
      </c>
      <c r="AI640" s="3">
        <v>46.499</v>
      </c>
      <c r="AJ640" s="3">
        <v>29.135</v>
      </c>
      <c r="AK640" s="3" t="s">
        <v>1688</v>
      </c>
      <c r="AL640" s="3">
        <v>-0.003</v>
      </c>
      <c r="AM640" s="3" t="s">
        <v>1573</v>
      </c>
    </row>
    <row r="641" ht="15.75" customHeight="1">
      <c r="A641" s="3">
        <v>1.73031E12</v>
      </c>
      <c r="B641" s="3">
        <v>17.0</v>
      </c>
      <c r="C641" s="3" t="s">
        <v>699</v>
      </c>
      <c r="D641" s="3" t="s">
        <v>1369</v>
      </c>
      <c r="E641" s="3" t="s">
        <v>699</v>
      </c>
      <c r="F641" s="3">
        <v>1.0</v>
      </c>
      <c r="G641" s="3">
        <v>1.0</v>
      </c>
      <c r="H641" s="3">
        <v>1.0</v>
      </c>
      <c r="I641" s="3">
        <v>1.0</v>
      </c>
      <c r="J641" s="3">
        <v>1.0</v>
      </c>
      <c r="K641" s="3">
        <v>1.0</v>
      </c>
      <c r="L641" s="3">
        <v>1.0</v>
      </c>
      <c r="M641" s="3">
        <v>1.0</v>
      </c>
      <c r="N641" s="3">
        <v>1.0</v>
      </c>
      <c r="O641" s="3">
        <v>1.0</v>
      </c>
      <c r="P641" s="3">
        <v>1.0</v>
      </c>
      <c r="Q641" s="3">
        <v>1.0</v>
      </c>
      <c r="R641" s="3">
        <v>1.0</v>
      </c>
      <c r="S641" s="3">
        <v>1.0</v>
      </c>
      <c r="T641" s="3">
        <v>1.0</v>
      </c>
      <c r="U641" s="3">
        <v>1.0</v>
      </c>
      <c r="V641" s="3">
        <v>1.0</v>
      </c>
      <c r="W641" s="3" t="s">
        <v>1062</v>
      </c>
      <c r="X641" s="3" t="s">
        <v>1379</v>
      </c>
      <c r="Y641" s="3" t="s">
        <v>1380</v>
      </c>
      <c r="Z641" s="3" t="s">
        <v>1372</v>
      </c>
      <c r="AA641" s="3" t="s">
        <v>1382</v>
      </c>
      <c r="AB641" s="3" t="s">
        <v>1374</v>
      </c>
      <c r="AC641" s="3" t="s">
        <v>1400</v>
      </c>
      <c r="AD641" s="3" t="s">
        <v>1425</v>
      </c>
      <c r="AE641" s="3" t="s">
        <v>1385</v>
      </c>
      <c r="AF641" s="3">
        <v>0.191</v>
      </c>
      <c r="AG641" s="3">
        <v>2.347</v>
      </c>
      <c r="AH641" s="3">
        <v>0.189</v>
      </c>
      <c r="AI641" s="3">
        <v>63.698</v>
      </c>
      <c r="AJ641" s="3">
        <v>0.21</v>
      </c>
      <c r="AK641" s="3" t="s">
        <v>1691</v>
      </c>
      <c r="AL641" s="3">
        <v>0.198</v>
      </c>
      <c r="AM641" s="3" t="s">
        <v>1387</v>
      </c>
    </row>
    <row r="642" ht="15.75" customHeight="1">
      <c r="A642" s="3">
        <v>1.73029E12</v>
      </c>
      <c r="B642" s="3">
        <v>17.0</v>
      </c>
      <c r="C642" s="3" t="s">
        <v>750</v>
      </c>
      <c r="D642" s="3" t="s">
        <v>1369</v>
      </c>
      <c r="E642" s="3" t="s">
        <v>750</v>
      </c>
      <c r="F642" s="3">
        <v>1.0</v>
      </c>
      <c r="G642" s="3">
        <v>1.0</v>
      </c>
      <c r="H642" s="3">
        <v>1.0</v>
      </c>
      <c r="I642" s="3">
        <v>1.0</v>
      </c>
      <c r="J642" s="3">
        <v>1.0</v>
      </c>
      <c r="K642" s="3">
        <v>1.0</v>
      </c>
      <c r="L642" s="3">
        <v>1.0</v>
      </c>
      <c r="M642" s="3">
        <v>1.0</v>
      </c>
      <c r="N642" s="3">
        <v>1.0</v>
      </c>
      <c r="O642" s="3">
        <v>1.0</v>
      </c>
      <c r="P642" s="3">
        <v>1.0</v>
      </c>
      <c r="Q642" s="3">
        <v>1.0</v>
      </c>
      <c r="R642" s="3">
        <v>1.0</v>
      </c>
      <c r="S642" s="3">
        <v>1.0</v>
      </c>
      <c r="T642" s="3">
        <v>1.0</v>
      </c>
      <c r="U642" s="3">
        <v>1.0</v>
      </c>
      <c r="V642" s="3">
        <v>1.0</v>
      </c>
      <c r="W642" s="3" t="s">
        <v>1109</v>
      </c>
      <c r="X642" s="3" t="s">
        <v>1542</v>
      </c>
      <c r="Y642" s="3" t="s">
        <v>1543</v>
      </c>
      <c r="Z642" s="3" t="s">
        <v>1423</v>
      </c>
      <c r="AA642" s="3" t="s">
        <v>1544</v>
      </c>
      <c r="AB642" s="3" t="s">
        <v>1374</v>
      </c>
      <c r="AC642" s="3" t="s">
        <v>1451</v>
      </c>
      <c r="AD642" s="3" t="s">
        <v>1545</v>
      </c>
      <c r="AE642" s="3" t="s">
        <v>1546</v>
      </c>
      <c r="AF642" s="3">
        <v>0.035</v>
      </c>
      <c r="AG642" s="3">
        <v>0.068</v>
      </c>
      <c r="AH642" s="3">
        <v>0.252</v>
      </c>
      <c r="AI642" s="3">
        <v>52.566</v>
      </c>
      <c r="AJ642" s="3">
        <v>-10.435</v>
      </c>
      <c r="AK642" s="3" t="s">
        <v>1604</v>
      </c>
      <c r="AL642" s="3">
        <v>0.046</v>
      </c>
      <c r="AM642" s="3" t="s">
        <v>1548</v>
      </c>
    </row>
    <row r="643" ht="15.75" customHeight="1">
      <c r="A643" s="3">
        <v>1.7304E12</v>
      </c>
      <c r="B643" s="3">
        <v>17.0</v>
      </c>
      <c r="C643" s="3" t="s">
        <v>971</v>
      </c>
      <c r="D643" s="3" t="s">
        <v>1369</v>
      </c>
      <c r="E643" s="3" t="s">
        <v>971</v>
      </c>
      <c r="F643" s="3">
        <v>1.0</v>
      </c>
      <c r="G643" s="3">
        <v>1.0</v>
      </c>
      <c r="H643" s="3">
        <v>1.0</v>
      </c>
      <c r="I643" s="3">
        <v>1.0</v>
      </c>
      <c r="J643" s="3">
        <v>1.0</v>
      </c>
      <c r="K643" s="3">
        <v>1.0</v>
      </c>
      <c r="L643" s="3">
        <v>1.0</v>
      </c>
      <c r="M643" s="3">
        <v>1.0</v>
      </c>
      <c r="N643" s="3">
        <v>1.0</v>
      </c>
      <c r="O643" s="3">
        <v>1.0</v>
      </c>
      <c r="P643" s="3">
        <v>1.0</v>
      </c>
      <c r="Q643" s="3">
        <v>1.0</v>
      </c>
      <c r="R643" s="3">
        <v>1.0</v>
      </c>
      <c r="S643" s="3">
        <v>1.0</v>
      </c>
      <c r="T643" s="3">
        <v>1.0</v>
      </c>
      <c r="U643" s="3">
        <v>1.0</v>
      </c>
      <c r="V643" s="3">
        <v>1.0</v>
      </c>
      <c r="W643" s="3" t="s">
        <v>1096</v>
      </c>
      <c r="X643" s="3" t="s">
        <v>1521</v>
      </c>
      <c r="Y643" s="3" t="s">
        <v>1522</v>
      </c>
      <c r="Z643" s="3" t="s">
        <v>1372</v>
      </c>
      <c r="AA643" s="3" t="s">
        <v>1523</v>
      </c>
      <c r="AB643" s="3" t="s">
        <v>1374</v>
      </c>
      <c r="AC643" s="3" t="s">
        <v>1374</v>
      </c>
      <c r="AD643" s="3" t="s">
        <v>1524</v>
      </c>
      <c r="AE643" s="3" t="s">
        <v>1525</v>
      </c>
      <c r="AF643" s="3">
        <v>0.029</v>
      </c>
      <c r="AG643" s="3">
        <v>0.068</v>
      </c>
      <c r="AH643" s="3" t="s">
        <v>1394</v>
      </c>
      <c r="AI643" s="3" t="s">
        <v>1394</v>
      </c>
      <c r="AJ643" s="3">
        <v>1.996</v>
      </c>
      <c r="AK643" s="3" t="s">
        <v>1812</v>
      </c>
      <c r="AL643" s="3" t="s">
        <v>1394</v>
      </c>
      <c r="AM643" s="3" t="s">
        <v>1527</v>
      </c>
    </row>
    <row r="644" ht="15.75" customHeight="1">
      <c r="A644" s="3">
        <v>1.72995E12</v>
      </c>
      <c r="B644" s="3">
        <v>14.0</v>
      </c>
      <c r="C644" s="3" t="s">
        <v>2245</v>
      </c>
      <c r="D644" s="3" t="s">
        <v>1369</v>
      </c>
      <c r="E644" s="3" t="s">
        <v>2245</v>
      </c>
      <c r="F644" s="3">
        <v>1.0</v>
      </c>
      <c r="G644" s="3">
        <v>1.0</v>
      </c>
      <c r="H644" s="3">
        <v>1.0</v>
      </c>
      <c r="I644" s="3">
        <v>1.0</v>
      </c>
      <c r="J644" s="3">
        <v>1.0</v>
      </c>
      <c r="K644" s="3">
        <v>1.0</v>
      </c>
      <c r="L644" s="3">
        <v>1.0</v>
      </c>
      <c r="M644" s="3">
        <v>1.0</v>
      </c>
      <c r="N644" s="3">
        <v>1.0</v>
      </c>
      <c r="O644" s="3">
        <v>1.0</v>
      </c>
      <c r="P644" s="3">
        <v>1.0</v>
      </c>
      <c r="Q644" s="3">
        <v>1.0</v>
      </c>
      <c r="R644" s="3">
        <v>0.0</v>
      </c>
      <c r="S644" s="3">
        <v>0.0</v>
      </c>
      <c r="T644" s="3">
        <v>1.0</v>
      </c>
      <c r="U644" s="3">
        <v>0.0</v>
      </c>
      <c r="V644" s="3">
        <v>1.0</v>
      </c>
      <c r="W644" s="3" t="s">
        <v>948</v>
      </c>
      <c r="X644" s="3" t="s">
        <v>1421</v>
      </c>
      <c r="Y644" s="3" t="s">
        <v>1422</v>
      </c>
      <c r="Z644" s="3" t="s">
        <v>1423</v>
      </c>
      <c r="AA644" s="3" t="s">
        <v>1424</v>
      </c>
      <c r="AB644" s="3" t="s">
        <v>1374</v>
      </c>
      <c r="AC644" s="3" t="s">
        <v>1391</v>
      </c>
      <c r="AD644" s="3" t="s">
        <v>1425</v>
      </c>
      <c r="AE644" s="3" t="s">
        <v>1781</v>
      </c>
      <c r="AF644" s="3">
        <v>0.052</v>
      </c>
      <c r="AG644" s="3">
        <v>0.212</v>
      </c>
      <c r="AH644" s="3">
        <v>0.344</v>
      </c>
      <c r="AI644" s="3" t="s">
        <v>1519</v>
      </c>
      <c r="AJ644" s="3">
        <v>0.01</v>
      </c>
      <c r="AK644" s="3" t="s">
        <v>1427</v>
      </c>
      <c r="AL644" s="3" t="s">
        <v>1519</v>
      </c>
      <c r="AM644" s="3" t="s">
        <v>1428</v>
      </c>
    </row>
    <row r="645" ht="15.75" customHeight="1">
      <c r="A645" s="3">
        <v>1.73039E12</v>
      </c>
      <c r="B645" s="3">
        <v>3.0</v>
      </c>
      <c r="C645" s="3" t="s">
        <v>615</v>
      </c>
      <c r="D645" s="3" t="s">
        <v>1369</v>
      </c>
      <c r="E645" s="3" t="s">
        <v>615</v>
      </c>
      <c r="F645" s="3">
        <v>1.0</v>
      </c>
      <c r="G645" s="3">
        <v>0.0</v>
      </c>
      <c r="H645" s="3">
        <v>0.0</v>
      </c>
      <c r="I645" s="3">
        <v>0.0</v>
      </c>
      <c r="J645" s="3">
        <v>0.0</v>
      </c>
      <c r="K645" s="3">
        <v>1.0</v>
      </c>
      <c r="L645" s="3">
        <v>1.0</v>
      </c>
      <c r="M645" s="3">
        <v>0.0</v>
      </c>
      <c r="N645" s="3">
        <v>0.0</v>
      </c>
      <c r="O645" s="3">
        <v>0.0</v>
      </c>
      <c r="P645" s="3">
        <v>0.0</v>
      </c>
      <c r="Q645" s="3">
        <v>0.0</v>
      </c>
      <c r="R645" s="3">
        <v>0.0</v>
      </c>
      <c r="S645" s="3">
        <v>0.0</v>
      </c>
      <c r="T645" s="3">
        <v>0.0</v>
      </c>
      <c r="U645" s="3">
        <v>0.0</v>
      </c>
      <c r="V645" s="3">
        <v>0.0</v>
      </c>
      <c r="W645" s="3" t="s">
        <v>940</v>
      </c>
      <c r="X645" s="3" t="s">
        <v>1483</v>
      </c>
      <c r="Y645" s="3" t="s">
        <v>2246</v>
      </c>
      <c r="Z645" s="3" t="s">
        <v>2247</v>
      </c>
      <c r="AA645" s="3" t="s">
        <v>2248</v>
      </c>
      <c r="AB645" s="3" t="s">
        <v>1594</v>
      </c>
      <c r="AC645" s="3" t="s">
        <v>1391</v>
      </c>
      <c r="AD645" s="3" t="s">
        <v>1876</v>
      </c>
    </row>
    <row r="646" ht="15.75" customHeight="1">
      <c r="A646" s="3">
        <v>1.7304E12</v>
      </c>
      <c r="B646" s="3">
        <v>17.0</v>
      </c>
      <c r="C646" s="3" t="s">
        <v>930</v>
      </c>
      <c r="D646" s="3" t="s">
        <v>1369</v>
      </c>
      <c r="E646" s="3" t="s">
        <v>930</v>
      </c>
      <c r="F646" s="3">
        <v>1.0</v>
      </c>
      <c r="G646" s="3">
        <v>1.0</v>
      </c>
      <c r="H646" s="3">
        <v>1.0</v>
      </c>
      <c r="I646" s="3">
        <v>1.0</v>
      </c>
      <c r="J646" s="3">
        <v>1.0</v>
      </c>
      <c r="K646" s="3">
        <v>1.0</v>
      </c>
      <c r="L646" s="3">
        <v>1.0</v>
      </c>
      <c r="M646" s="3">
        <v>1.0</v>
      </c>
      <c r="N646" s="3">
        <v>1.0</v>
      </c>
      <c r="O646" s="3">
        <v>1.0</v>
      </c>
      <c r="P646" s="3">
        <v>1.0</v>
      </c>
      <c r="Q646" s="3">
        <v>1.0</v>
      </c>
      <c r="R646" s="3">
        <v>1.0</v>
      </c>
      <c r="S646" s="3">
        <v>1.0</v>
      </c>
      <c r="T646" s="3">
        <v>1.0</v>
      </c>
      <c r="U646" s="3">
        <v>1.0</v>
      </c>
      <c r="V646" s="3">
        <v>1.0</v>
      </c>
      <c r="W646" s="3" t="s">
        <v>1092</v>
      </c>
      <c r="X646" s="3" t="s">
        <v>1563</v>
      </c>
      <c r="Y646" s="3" t="s">
        <v>1564</v>
      </c>
      <c r="Z646" s="3" t="s">
        <v>1449</v>
      </c>
      <c r="AA646" s="3" t="s">
        <v>1565</v>
      </c>
      <c r="AB646" s="3" t="s">
        <v>1374</v>
      </c>
      <c r="AC646" s="3" t="s">
        <v>1400</v>
      </c>
      <c r="AD646" s="3" t="s">
        <v>1566</v>
      </c>
      <c r="AE646" s="3" t="s">
        <v>1567</v>
      </c>
      <c r="AF646" s="3">
        <v>0.345</v>
      </c>
      <c r="AG646" s="3">
        <v>0.674</v>
      </c>
      <c r="AH646" s="3">
        <v>0.262</v>
      </c>
      <c r="AI646" s="3">
        <v>45.899</v>
      </c>
      <c r="AJ646" s="3">
        <v>2.404</v>
      </c>
      <c r="AK646" s="3" t="s">
        <v>1568</v>
      </c>
      <c r="AL646" s="3">
        <v>0.066</v>
      </c>
      <c r="AM646" s="3" t="s">
        <v>1569</v>
      </c>
    </row>
    <row r="647" ht="15.75" customHeight="1">
      <c r="A647" s="3">
        <v>1.72999E12</v>
      </c>
      <c r="B647" s="3">
        <v>10.0</v>
      </c>
      <c r="C647" s="3" t="s">
        <v>737</v>
      </c>
      <c r="D647" s="3" t="s">
        <v>1369</v>
      </c>
      <c r="E647" s="3" t="s">
        <v>737</v>
      </c>
      <c r="F647" s="3">
        <v>1.0</v>
      </c>
      <c r="G647" s="3">
        <v>1.0</v>
      </c>
      <c r="H647" s="3">
        <v>1.0</v>
      </c>
      <c r="I647" s="3">
        <v>1.0</v>
      </c>
      <c r="J647" s="3">
        <v>1.0</v>
      </c>
      <c r="K647" s="3">
        <v>1.0</v>
      </c>
      <c r="L647" s="3">
        <v>1.0</v>
      </c>
      <c r="M647" s="3">
        <v>0.0</v>
      </c>
      <c r="N647" s="3">
        <v>1.0</v>
      </c>
      <c r="O647" s="3">
        <v>1.0</v>
      </c>
      <c r="P647" s="3">
        <v>1.0</v>
      </c>
      <c r="Q647" s="3">
        <v>0.0</v>
      </c>
      <c r="R647" s="3">
        <v>0.0</v>
      </c>
      <c r="S647" s="3">
        <v>0.0</v>
      </c>
      <c r="T647" s="3">
        <v>0.0</v>
      </c>
      <c r="U647" s="3">
        <v>0.0</v>
      </c>
      <c r="V647" s="3">
        <v>0.0</v>
      </c>
      <c r="W647" s="3" t="s">
        <v>123</v>
      </c>
      <c r="X647" s="3" t="s">
        <v>1447</v>
      </c>
      <c r="Y647" s="3" t="s">
        <v>1448</v>
      </c>
      <c r="Z647" s="3" t="s">
        <v>1372</v>
      </c>
      <c r="AA647" s="3" t="s">
        <v>1450</v>
      </c>
      <c r="AB647" s="3" t="s">
        <v>1374</v>
      </c>
      <c r="AC647" s="3" t="s">
        <v>1451</v>
      </c>
      <c r="AD647" s="3" t="s">
        <v>1539</v>
      </c>
      <c r="AE647" s="3" t="s">
        <v>1453</v>
      </c>
      <c r="AF647" s="3">
        <v>0.033</v>
      </c>
      <c r="AG647" s="3">
        <v>0.214</v>
      </c>
      <c r="AH647" s="3">
        <v>0.375</v>
      </c>
      <c r="AI647" s="3">
        <v>49.395</v>
      </c>
      <c r="AJ647" s="3">
        <v>0.002</v>
      </c>
      <c r="AL647" s="3">
        <v>0.173</v>
      </c>
      <c r="AM647" s="3" t="s">
        <v>2249</v>
      </c>
    </row>
    <row r="648" ht="15.75" customHeight="1">
      <c r="A648" s="3">
        <v>1.7303E12</v>
      </c>
      <c r="B648" s="3">
        <v>17.0</v>
      </c>
      <c r="C648" s="3" t="s">
        <v>970</v>
      </c>
      <c r="D648" s="3" t="s">
        <v>1369</v>
      </c>
      <c r="E648" s="3" t="s">
        <v>970</v>
      </c>
      <c r="F648" s="3">
        <v>1.0</v>
      </c>
      <c r="G648" s="3">
        <v>1.0</v>
      </c>
      <c r="H648" s="3">
        <v>1.0</v>
      </c>
      <c r="I648" s="3">
        <v>1.0</v>
      </c>
      <c r="J648" s="3">
        <v>1.0</v>
      </c>
      <c r="K648" s="3">
        <v>1.0</v>
      </c>
      <c r="L648" s="3">
        <v>1.0</v>
      </c>
      <c r="M648" s="3">
        <v>1.0</v>
      </c>
      <c r="N648" s="3">
        <v>1.0</v>
      </c>
      <c r="O648" s="3">
        <v>1.0</v>
      </c>
      <c r="P648" s="3">
        <v>1.0</v>
      </c>
      <c r="Q648" s="3">
        <v>1.0</v>
      </c>
      <c r="R648" s="3">
        <v>1.0</v>
      </c>
      <c r="S648" s="3">
        <v>1.0</v>
      </c>
      <c r="T648" s="3">
        <v>1.0</v>
      </c>
      <c r="U648" s="3">
        <v>1.0</v>
      </c>
      <c r="V648" s="3">
        <v>1.0</v>
      </c>
      <c r="W648" s="3" t="s">
        <v>558</v>
      </c>
      <c r="X648" s="3" t="s">
        <v>1483</v>
      </c>
      <c r="Y648" s="3" t="s">
        <v>1484</v>
      </c>
      <c r="Z648" s="3" t="s">
        <v>1449</v>
      </c>
      <c r="AA648" s="3" t="s">
        <v>1373</v>
      </c>
      <c r="AB648" s="3" t="s">
        <v>1374</v>
      </c>
      <c r="AC648" s="3" t="s">
        <v>1374</v>
      </c>
      <c r="AD648" s="3" t="s">
        <v>1524</v>
      </c>
      <c r="AE648" s="3" t="s">
        <v>1486</v>
      </c>
      <c r="AF648" s="3">
        <v>0.016</v>
      </c>
      <c r="AG648" s="3">
        <v>0.279</v>
      </c>
      <c r="AH648" s="3">
        <v>0.385</v>
      </c>
      <c r="AI648" s="3">
        <v>47.482</v>
      </c>
      <c r="AJ648" s="3">
        <v>24.602</v>
      </c>
      <c r="AK648" s="3" t="s">
        <v>2250</v>
      </c>
      <c r="AL648" s="3">
        <v>-0.012</v>
      </c>
      <c r="AM648" s="3" t="s">
        <v>1573</v>
      </c>
    </row>
    <row r="649" ht="15.75" customHeight="1">
      <c r="A649" s="3">
        <v>1.73028E12</v>
      </c>
      <c r="B649" s="3">
        <v>17.0</v>
      </c>
      <c r="C649" s="3" t="s">
        <v>234</v>
      </c>
      <c r="D649" s="3" t="s">
        <v>1369</v>
      </c>
      <c r="E649" s="3" t="s">
        <v>234</v>
      </c>
      <c r="F649" s="3">
        <v>1.0</v>
      </c>
      <c r="G649" s="3">
        <v>1.0</v>
      </c>
      <c r="H649" s="3">
        <v>1.0</v>
      </c>
      <c r="I649" s="3">
        <v>1.0</v>
      </c>
      <c r="J649" s="3">
        <v>1.0</v>
      </c>
      <c r="K649" s="3">
        <v>1.0</v>
      </c>
      <c r="L649" s="3">
        <v>1.0</v>
      </c>
      <c r="M649" s="3">
        <v>1.0</v>
      </c>
      <c r="N649" s="3">
        <v>1.0</v>
      </c>
      <c r="O649" s="3">
        <v>1.0</v>
      </c>
      <c r="P649" s="3">
        <v>1.0</v>
      </c>
      <c r="Q649" s="3">
        <v>1.0</v>
      </c>
      <c r="R649" s="3">
        <v>1.0</v>
      </c>
      <c r="S649" s="3">
        <v>1.0</v>
      </c>
      <c r="T649" s="3">
        <v>1.0</v>
      </c>
      <c r="U649" s="3">
        <v>1.0</v>
      </c>
      <c r="V649" s="3">
        <v>1.0</v>
      </c>
      <c r="W649" s="3" t="s">
        <v>1183</v>
      </c>
      <c r="X649" s="3" t="s">
        <v>1429</v>
      </c>
      <c r="Y649" s="3" t="s">
        <v>1430</v>
      </c>
      <c r="Z649" s="3" t="s">
        <v>1423</v>
      </c>
      <c r="AA649" s="3" t="s">
        <v>1432</v>
      </c>
      <c r="AB649" s="3" t="s">
        <v>1374</v>
      </c>
      <c r="AC649" s="3" t="s">
        <v>1391</v>
      </c>
      <c r="AD649" s="3" t="s">
        <v>1433</v>
      </c>
      <c r="AE649" s="3" t="s">
        <v>1434</v>
      </c>
      <c r="AF649" s="3">
        <v>0.168</v>
      </c>
      <c r="AG649" s="3">
        <v>1.189</v>
      </c>
      <c r="AH649" s="3">
        <v>0.324</v>
      </c>
      <c r="AI649" s="3">
        <v>111.378</v>
      </c>
      <c r="AJ649" s="3">
        <v>-4.718</v>
      </c>
      <c r="AK649" s="3" t="s">
        <v>1481</v>
      </c>
      <c r="AL649" s="3">
        <v>0.117</v>
      </c>
      <c r="AM649" s="3" t="s">
        <v>1436</v>
      </c>
    </row>
    <row r="650" ht="15.75" customHeight="1">
      <c r="A650" s="3">
        <v>1.72994E12</v>
      </c>
      <c r="B650" s="3">
        <v>13.0</v>
      </c>
      <c r="C650" s="3" t="s">
        <v>452</v>
      </c>
      <c r="D650" s="3" t="s">
        <v>1369</v>
      </c>
      <c r="E650" s="3" t="s">
        <v>452</v>
      </c>
      <c r="F650" s="3">
        <v>1.0</v>
      </c>
      <c r="G650" s="3">
        <v>1.0</v>
      </c>
      <c r="H650" s="3">
        <v>1.0</v>
      </c>
      <c r="I650" s="3">
        <v>1.0</v>
      </c>
      <c r="J650" s="3">
        <v>1.0</v>
      </c>
      <c r="K650" s="3">
        <v>1.0</v>
      </c>
      <c r="L650" s="3">
        <v>1.0</v>
      </c>
      <c r="M650" s="3">
        <v>1.0</v>
      </c>
      <c r="N650" s="3">
        <v>1.0</v>
      </c>
      <c r="O650" s="3">
        <v>1.0</v>
      </c>
      <c r="P650" s="3">
        <v>1.0</v>
      </c>
      <c r="Q650" s="3">
        <v>0.0</v>
      </c>
      <c r="R650" s="3">
        <v>0.0</v>
      </c>
      <c r="S650" s="3">
        <v>0.0</v>
      </c>
      <c r="T650" s="3">
        <v>1.0</v>
      </c>
      <c r="U650" s="3">
        <v>0.0</v>
      </c>
      <c r="V650" s="3">
        <v>1.0</v>
      </c>
      <c r="W650" s="3" t="s">
        <v>315</v>
      </c>
      <c r="X650" s="3" t="s">
        <v>1483</v>
      </c>
      <c r="Y650" s="3" t="s">
        <v>1484</v>
      </c>
      <c r="Z650" s="3" t="s">
        <v>1372</v>
      </c>
      <c r="AA650" s="3" t="s">
        <v>1373</v>
      </c>
      <c r="AB650" s="3" t="s">
        <v>1374</v>
      </c>
      <c r="AC650" s="3" t="s">
        <v>1374</v>
      </c>
      <c r="AD650" s="3" t="s">
        <v>1485</v>
      </c>
      <c r="AE650" s="3" t="s">
        <v>1486</v>
      </c>
      <c r="AF650" s="3">
        <v>0.016</v>
      </c>
      <c r="AG650" s="3">
        <v>0.263</v>
      </c>
      <c r="AH650" s="3">
        <v>0.408</v>
      </c>
      <c r="AI650" s="3">
        <v>47.081</v>
      </c>
      <c r="AJ650" s="3">
        <v>25.366</v>
      </c>
      <c r="AK650" s="3" t="s">
        <v>1659</v>
      </c>
      <c r="AL650" s="3">
        <v>-0.009</v>
      </c>
      <c r="AM650" s="3" t="s">
        <v>1573</v>
      </c>
    </row>
    <row r="651" ht="15.75" customHeight="1">
      <c r="A651" s="3">
        <v>1.7304E12</v>
      </c>
      <c r="B651" s="3">
        <v>17.0</v>
      </c>
      <c r="C651" s="3" t="s">
        <v>646</v>
      </c>
      <c r="D651" s="3" t="s">
        <v>1369</v>
      </c>
      <c r="E651" s="3" t="s">
        <v>646</v>
      </c>
      <c r="F651" s="3">
        <v>1.0</v>
      </c>
      <c r="G651" s="3">
        <v>1.0</v>
      </c>
      <c r="H651" s="3">
        <v>1.0</v>
      </c>
      <c r="I651" s="3">
        <v>1.0</v>
      </c>
      <c r="J651" s="3">
        <v>1.0</v>
      </c>
      <c r="K651" s="3">
        <v>1.0</v>
      </c>
      <c r="L651" s="3">
        <v>1.0</v>
      </c>
      <c r="M651" s="3">
        <v>1.0</v>
      </c>
      <c r="N651" s="3">
        <v>1.0</v>
      </c>
      <c r="O651" s="3">
        <v>1.0</v>
      </c>
      <c r="P651" s="3">
        <v>1.0</v>
      </c>
      <c r="Q651" s="3">
        <v>1.0</v>
      </c>
      <c r="R651" s="3">
        <v>1.0</v>
      </c>
      <c r="S651" s="3">
        <v>1.0</v>
      </c>
      <c r="T651" s="3">
        <v>1.0</v>
      </c>
      <c r="U651" s="3">
        <v>1.0</v>
      </c>
      <c r="V651" s="3">
        <v>1.0</v>
      </c>
      <c r="W651" s="3" t="s">
        <v>1063</v>
      </c>
      <c r="X651" s="3" t="s">
        <v>1388</v>
      </c>
      <c r="Y651" s="3" t="s">
        <v>1389</v>
      </c>
      <c r="Z651" s="3" t="s">
        <v>1372</v>
      </c>
      <c r="AA651" s="3" t="s">
        <v>1390</v>
      </c>
      <c r="AB651" s="3" t="s">
        <v>1374</v>
      </c>
      <c r="AC651" s="3" t="s">
        <v>1391</v>
      </c>
      <c r="AD651" s="3" t="s">
        <v>1392</v>
      </c>
      <c r="AE651" s="3" t="s">
        <v>1393</v>
      </c>
      <c r="AF651" s="3">
        <v>0.071</v>
      </c>
      <c r="AG651" s="3">
        <v>1.031</v>
      </c>
      <c r="AH651" s="3">
        <v>0.323</v>
      </c>
      <c r="AI651" s="3">
        <v>294.697</v>
      </c>
      <c r="AJ651" s="3">
        <v>13.732</v>
      </c>
      <c r="AK651" s="3" t="s">
        <v>1685</v>
      </c>
      <c r="AL651" s="3">
        <v>0.098</v>
      </c>
      <c r="AM651" s="3" t="s">
        <v>1396</v>
      </c>
    </row>
    <row r="652" ht="15.75" customHeight="1">
      <c r="A652" s="3">
        <v>1.73037E12</v>
      </c>
      <c r="B652" s="3">
        <v>17.0</v>
      </c>
      <c r="C652" s="3" t="s">
        <v>581</v>
      </c>
      <c r="D652" s="3" t="s">
        <v>1369</v>
      </c>
      <c r="E652" s="3" t="s">
        <v>581</v>
      </c>
      <c r="F652" s="3">
        <v>1.0</v>
      </c>
      <c r="G652" s="3">
        <v>1.0</v>
      </c>
      <c r="H652" s="3">
        <v>1.0</v>
      </c>
      <c r="I652" s="3">
        <v>1.0</v>
      </c>
      <c r="J652" s="3">
        <v>1.0</v>
      </c>
      <c r="K652" s="3">
        <v>1.0</v>
      </c>
      <c r="L652" s="3">
        <v>1.0</v>
      </c>
      <c r="M652" s="3">
        <v>1.0</v>
      </c>
      <c r="N652" s="3">
        <v>1.0</v>
      </c>
      <c r="O652" s="3">
        <v>1.0</v>
      </c>
      <c r="P652" s="3">
        <v>1.0</v>
      </c>
      <c r="Q652" s="3">
        <v>1.0</v>
      </c>
      <c r="R652" s="3">
        <v>1.0</v>
      </c>
      <c r="S652" s="3">
        <v>1.0</v>
      </c>
      <c r="T652" s="3">
        <v>1.0</v>
      </c>
      <c r="U652" s="3">
        <v>1.0</v>
      </c>
      <c r="V652" s="3">
        <v>1.0</v>
      </c>
      <c r="W652" s="3" t="s">
        <v>1208</v>
      </c>
      <c r="X652" s="3" t="s">
        <v>1429</v>
      </c>
      <c r="Y652" s="3" t="s">
        <v>1430</v>
      </c>
      <c r="Z652" s="3" t="s">
        <v>2251</v>
      </c>
      <c r="AA652" s="3" t="s">
        <v>1432</v>
      </c>
      <c r="AB652" s="3" t="s">
        <v>2252</v>
      </c>
      <c r="AC652" s="3" t="s">
        <v>1374</v>
      </c>
      <c r="AD652" s="3" t="s">
        <v>1433</v>
      </c>
      <c r="AE652" s="3" t="s">
        <v>1434</v>
      </c>
      <c r="AF652" s="3">
        <v>0.168</v>
      </c>
      <c r="AG652" s="3">
        <v>1.191</v>
      </c>
      <c r="AH652" s="3">
        <v>0.355</v>
      </c>
      <c r="AI652" s="3">
        <v>112.121</v>
      </c>
      <c r="AJ652" s="3">
        <v>-3.082</v>
      </c>
      <c r="AK652" s="3" t="s">
        <v>2253</v>
      </c>
      <c r="AL652" s="3">
        <v>0.0</v>
      </c>
      <c r="AM652" s="3" t="s">
        <v>1436</v>
      </c>
    </row>
    <row r="653" ht="15.75" customHeight="1">
      <c r="A653" s="3">
        <v>1.73039E12</v>
      </c>
      <c r="B653" s="3">
        <v>17.0</v>
      </c>
      <c r="C653" s="3" t="s">
        <v>331</v>
      </c>
      <c r="D653" s="3" t="s">
        <v>1369</v>
      </c>
      <c r="E653" s="3" t="s">
        <v>331</v>
      </c>
      <c r="F653" s="3">
        <v>1.0</v>
      </c>
      <c r="G653" s="3">
        <v>1.0</v>
      </c>
      <c r="H653" s="3">
        <v>1.0</v>
      </c>
      <c r="I653" s="3">
        <v>1.0</v>
      </c>
      <c r="J653" s="3">
        <v>1.0</v>
      </c>
      <c r="K653" s="3">
        <v>1.0</v>
      </c>
      <c r="L653" s="3">
        <v>1.0</v>
      </c>
      <c r="M653" s="3">
        <v>1.0</v>
      </c>
      <c r="N653" s="3">
        <v>1.0</v>
      </c>
      <c r="O653" s="3">
        <v>1.0</v>
      </c>
      <c r="P653" s="3">
        <v>1.0</v>
      </c>
      <c r="Q653" s="3">
        <v>1.0</v>
      </c>
      <c r="R653" s="3">
        <v>1.0</v>
      </c>
      <c r="S653" s="3">
        <v>1.0</v>
      </c>
      <c r="T653" s="3">
        <v>1.0</v>
      </c>
      <c r="U653" s="3">
        <v>1.0</v>
      </c>
      <c r="V653" s="3">
        <v>1.0</v>
      </c>
      <c r="W653" s="3" t="s">
        <v>1212</v>
      </c>
      <c r="X653" s="3" t="s">
        <v>1542</v>
      </c>
      <c r="Y653" s="3" t="s">
        <v>1543</v>
      </c>
      <c r="Z653" s="3" t="s">
        <v>1431</v>
      </c>
      <c r="AA653" s="3" t="s">
        <v>1544</v>
      </c>
      <c r="AB653" s="3" t="s">
        <v>1374</v>
      </c>
      <c r="AC653" s="3" t="s">
        <v>1451</v>
      </c>
      <c r="AD653" s="3" t="s">
        <v>1545</v>
      </c>
      <c r="AE653" s="3" t="s">
        <v>1546</v>
      </c>
      <c r="AF653" s="3">
        <v>0.035</v>
      </c>
      <c r="AG653" s="3">
        <v>0.068</v>
      </c>
      <c r="AH653" s="3">
        <v>0.251</v>
      </c>
      <c r="AI653" s="3">
        <v>53.873</v>
      </c>
      <c r="AJ653" s="3">
        <v>-10.884</v>
      </c>
      <c r="AK653" s="3" t="s">
        <v>1604</v>
      </c>
      <c r="AL653" s="3">
        <v>0.044</v>
      </c>
      <c r="AM653" s="3" t="s">
        <v>1548</v>
      </c>
    </row>
    <row r="654" ht="15.75" customHeight="1">
      <c r="A654" s="3">
        <v>1.7304E12</v>
      </c>
      <c r="B654" s="3">
        <v>0.0</v>
      </c>
      <c r="C654" s="3" t="s">
        <v>2254</v>
      </c>
      <c r="D654" s="3" t="s">
        <v>1369</v>
      </c>
      <c r="E654" s="3" t="s">
        <v>2254</v>
      </c>
      <c r="F654" s="3">
        <v>0.0</v>
      </c>
      <c r="G654" s="3">
        <v>0.0</v>
      </c>
      <c r="H654" s="3">
        <v>0.0</v>
      </c>
      <c r="I654" s="3">
        <v>0.0</v>
      </c>
      <c r="J654" s="3">
        <v>0.0</v>
      </c>
      <c r="K654" s="3">
        <v>0.0</v>
      </c>
      <c r="L654" s="3">
        <v>0.0</v>
      </c>
      <c r="M654" s="3">
        <v>0.0</v>
      </c>
      <c r="N654" s="3">
        <v>0.0</v>
      </c>
      <c r="O654" s="3">
        <v>0.0</v>
      </c>
      <c r="P654" s="3">
        <v>0.0</v>
      </c>
      <c r="Q654" s="3">
        <v>0.0</v>
      </c>
      <c r="R654" s="3">
        <v>0.0</v>
      </c>
      <c r="S654" s="3">
        <v>0.0</v>
      </c>
      <c r="T654" s="3">
        <v>0.0</v>
      </c>
      <c r="U654" s="3">
        <v>0.0</v>
      </c>
      <c r="V654" s="3">
        <v>0.0</v>
      </c>
      <c r="W654" s="3" t="s">
        <v>2255</v>
      </c>
      <c r="X654" s="3" t="s">
        <v>2256</v>
      </c>
      <c r="Y654" s="3" t="s">
        <v>2257</v>
      </c>
      <c r="Z654" s="3" t="s">
        <v>1708</v>
      </c>
      <c r="AA654" s="3" t="s">
        <v>2258</v>
      </c>
      <c r="AB654" s="3" t="s">
        <v>1374</v>
      </c>
      <c r="AC654" s="3" t="s">
        <v>1374</v>
      </c>
      <c r="AD654" s="3" t="s">
        <v>1581</v>
      </c>
      <c r="AE654" s="3" t="s">
        <v>1709</v>
      </c>
      <c r="AF654" s="3">
        <v>-0.131</v>
      </c>
      <c r="AG654" s="3">
        <v>-0.734</v>
      </c>
      <c r="AH654" s="3" t="s">
        <v>1394</v>
      </c>
      <c r="AI654" s="3" t="s">
        <v>1394</v>
      </c>
      <c r="AJ654" s="3">
        <v>25.184</v>
      </c>
      <c r="AK654" s="3" t="s">
        <v>2259</v>
      </c>
      <c r="AL654" s="3" t="s">
        <v>1394</v>
      </c>
      <c r="AM654" s="3" t="s">
        <v>2260</v>
      </c>
    </row>
    <row r="655" ht="15.75" customHeight="1">
      <c r="A655" s="3">
        <v>1.73037E12</v>
      </c>
      <c r="B655" s="3">
        <v>13.0</v>
      </c>
      <c r="C655" s="3" t="s">
        <v>965</v>
      </c>
      <c r="D655" s="3" t="s">
        <v>1369</v>
      </c>
      <c r="E655" s="3" t="s">
        <v>965</v>
      </c>
      <c r="F655" s="3">
        <v>1.0</v>
      </c>
      <c r="G655" s="3">
        <v>1.0</v>
      </c>
      <c r="H655" s="3">
        <v>1.0</v>
      </c>
      <c r="I655" s="3">
        <v>1.0</v>
      </c>
      <c r="J655" s="3">
        <v>1.0</v>
      </c>
      <c r="K655" s="3">
        <v>1.0</v>
      </c>
      <c r="L655" s="3">
        <v>1.0</v>
      </c>
      <c r="M655" s="3">
        <v>1.0</v>
      </c>
      <c r="N655" s="3">
        <v>1.0</v>
      </c>
      <c r="O655" s="3">
        <v>1.0</v>
      </c>
      <c r="P655" s="3">
        <v>1.0</v>
      </c>
      <c r="Q655" s="3">
        <v>0.0</v>
      </c>
      <c r="R655" s="3">
        <v>0.0</v>
      </c>
      <c r="S655" s="3">
        <v>0.0</v>
      </c>
      <c r="T655" s="3">
        <v>1.0</v>
      </c>
      <c r="U655" s="3">
        <v>0.0</v>
      </c>
      <c r="V655" s="3">
        <v>1.0</v>
      </c>
      <c r="W655" s="3" t="s">
        <v>436</v>
      </c>
      <c r="X655" s="3" t="s">
        <v>1542</v>
      </c>
      <c r="Y655" s="3" t="s">
        <v>1543</v>
      </c>
      <c r="Z655" s="3" t="s">
        <v>1431</v>
      </c>
      <c r="AA655" s="3" t="s">
        <v>1544</v>
      </c>
      <c r="AB655" s="3" t="s">
        <v>1374</v>
      </c>
      <c r="AC655" s="3" t="s">
        <v>1451</v>
      </c>
      <c r="AD655" s="3" t="s">
        <v>1545</v>
      </c>
      <c r="AE655" s="3" t="s">
        <v>1546</v>
      </c>
      <c r="AF655" s="3">
        <v>0.035</v>
      </c>
      <c r="AG655" s="3">
        <v>0.068</v>
      </c>
      <c r="AH655" s="3">
        <v>0.251</v>
      </c>
      <c r="AJ655" s="3">
        <v>-0.0594</v>
      </c>
      <c r="AK655" s="3" t="s">
        <v>1604</v>
      </c>
      <c r="AL655" s="3">
        <v>0.044</v>
      </c>
      <c r="AM655" s="3" t="s">
        <v>1548</v>
      </c>
    </row>
    <row r="656" ht="15.75" customHeight="1">
      <c r="A656" s="3">
        <v>1.73035E12</v>
      </c>
      <c r="B656" s="3">
        <v>11.0</v>
      </c>
      <c r="C656" s="3" t="s">
        <v>422</v>
      </c>
      <c r="D656" s="3" t="s">
        <v>1369</v>
      </c>
      <c r="E656" s="3" t="s">
        <v>422</v>
      </c>
      <c r="F656" s="3">
        <v>1.0</v>
      </c>
      <c r="G656" s="3">
        <v>1.0</v>
      </c>
      <c r="H656" s="3">
        <v>1.0</v>
      </c>
      <c r="I656" s="3">
        <v>0.0</v>
      </c>
      <c r="J656" s="3">
        <v>1.0</v>
      </c>
      <c r="K656" s="3">
        <v>1.0</v>
      </c>
      <c r="L656" s="3">
        <v>0.0</v>
      </c>
      <c r="M656" s="3">
        <v>1.0</v>
      </c>
      <c r="N656" s="3">
        <v>1.0</v>
      </c>
      <c r="O656" s="3">
        <v>0.0</v>
      </c>
      <c r="P656" s="3">
        <v>1.0</v>
      </c>
      <c r="Q656" s="3">
        <v>0.0</v>
      </c>
      <c r="R656" s="3">
        <v>0.0</v>
      </c>
      <c r="S656" s="3">
        <v>1.0</v>
      </c>
      <c r="T656" s="3">
        <v>1.0</v>
      </c>
      <c r="U656" s="3">
        <v>0.0</v>
      </c>
      <c r="V656" s="3">
        <v>1.0</v>
      </c>
      <c r="W656" s="3" t="s">
        <v>330</v>
      </c>
      <c r="X656" s="3" t="s">
        <v>1476</v>
      </c>
      <c r="Y656" s="3" t="s">
        <v>1477</v>
      </c>
      <c r="Z656" s="3" t="s">
        <v>1865</v>
      </c>
      <c r="AA656" s="3" t="s">
        <v>1415</v>
      </c>
      <c r="AB656" s="3" t="s">
        <v>1374</v>
      </c>
      <c r="AC656" s="3" t="s">
        <v>1508</v>
      </c>
      <c r="AD656" s="3" t="s">
        <v>1500</v>
      </c>
      <c r="AE656" s="3" t="s">
        <v>1479</v>
      </c>
      <c r="AF656" s="3">
        <v>0.032</v>
      </c>
      <c r="AG656" s="3">
        <v>0.656</v>
      </c>
      <c r="AH656" s="3">
        <v>0.279</v>
      </c>
      <c r="AI656" s="3">
        <v>149.651</v>
      </c>
      <c r="AJ656" s="3">
        <v>-10.176</v>
      </c>
      <c r="AK656" s="3" t="s">
        <v>2070</v>
      </c>
      <c r="AL656" s="3">
        <v>-0.28</v>
      </c>
      <c r="AM656" s="3" t="s">
        <v>1419</v>
      </c>
    </row>
    <row r="657" ht="15.75" customHeight="1">
      <c r="A657" s="3">
        <v>1.7304E12</v>
      </c>
      <c r="B657" s="3">
        <v>17.0</v>
      </c>
      <c r="C657" s="3" t="s">
        <v>494</v>
      </c>
      <c r="D657" s="3" t="s">
        <v>1369</v>
      </c>
      <c r="E657" s="3" t="s">
        <v>494</v>
      </c>
      <c r="F657" s="3">
        <v>1.0</v>
      </c>
      <c r="G657" s="3">
        <v>1.0</v>
      </c>
      <c r="H657" s="3">
        <v>1.0</v>
      </c>
      <c r="I657" s="3">
        <v>1.0</v>
      </c>
      <c r="J657" s="3">
        <v>1.0</v>
      </c>
      <c r="K657" s="3">
        <v>1.0</v>
      </c>
      <c r="L657" s="3">
        <v>1.0</v>
      </c>
      <c r="M657" s="3">
        <v>1.0</v>
      </c>
      <c r="N657" s="3">
        <v>1.0</v>
      </c>
      <c r="O657" s="3">
        <v>1.0</v>
      </c>
      <c r="P657" s="3">
        <v>1.0</v>
      </c>
      <c r="Q657" s="3">
        <v>1.0</v>
      </c>
      <c r="R657" s="3">
        <v>1.0</v>
      </c>
      <c r="S657" s="3">
        <v>1.0</v>
      </c>
      <c r="T657" s="3">
        <v>1.0</v>
      </c>
      <c r="U657" s="3">
        <v>1.0</v>
      </c>
      <c r="V657" s="3">
        <v>1.0</v>
      </c>
      <c r="W657" s="3" t="s">
        <v>1111</v>
      </c>
      <c r="X657" s="3" t="s">
        <v>1456</v>
      </c>
      <c r="Y657" s="3" t="s">
        <v>1457</v>
      </c>
      <c r="Z657" s="3" t="s">
        <v>1423</v>
      </c>
      <c r="AA657" s="3" t="s">
        <v>1458</v>
      </c>
      <c r="AB657" s="3" t="s">
        <v>1374</v>
      </c>
      <c r="AC657" s="3" t="s">
        <v>1374</v>
      </c>
      <c r="AD657" s="3" t="s">
        <v>1392</v>
      </c>
      <c r="AE657" s="3" t="s">
        <v>1459</v>
      </c>
      <c r="AF657" s="3">
        <v>0.074</v>
      </c>
      <c r="AG657" s="3">
        <v>0.605</v>
      </c>
      <c r="AH657" s="3" t="s">
        <v>1394</v>
      </c>
      <c r="AI657" s="3" t="s">
        <v>1394</v>
      </c>
      <c r="AJ657" s="3">
        <v>4.517</v>
      </c>
      <c r="AK657" s="3" t="s">
        <v>1463</v>
      </c>
      <c r="AL657" s="3" t="s">
        <v>1394</v>
      </c>
      <c r="AM657" s="3" t="s">
        <v>1461</v>
      </c>
    </row>
    <row r="658" ht="15.75" customHeight="1">
      <c r="A658" s="3">
        <v>1.73035E12</v>
      </c>
      <c r="B658" s="3">
        <v>17.0</v>
      </c>
      <c r="C658" s="3" t="s">
        <v>473</v>
      </c>
      <c r="D658" s="3" t="s">
        <v>1369</v>
      </c>
      <c r="E658" s="3" t="s">
        <v>473</v>
      </c>
      <c r="F658" s="3">
        <v>1.0</v>
      </c>
      <c r="G658" s="3">
        <v>1.0</v>
      </c>
      <c r="H658" s="3">
        <v>1.0</v>
      </c>
      <c r="I658" s="3">
        <v>1.0</v>
      </c>
      <c r="J658" s="3">
        <v>1.0</v>
      </c>
      <c r="K658" s="3">
        <v>1.0</v>
      </c>
      <c r="L658" s="3">
        <v>1.0</v>
      </c>
      <c r="M658" s="3">
        <v>1.0</v>
      </c>
      <c r="N658" s="3">
        <v>1.0</v>
      </c>
      <c r="O658" s="3">
        <v>1.0</v>
      </c>
      <c r="P658" s="3">
        <v>1.0</v>
      </c>
      <c r="Q658" s="3">
        <v>1.0</v>
      </c>
      <c r="R658" s="3">
        <v>1.0</v>
      </c>
      <c r="S658" s="3">
        <v>1.0</v>
      </c>
      <c r="T658" s="3">
        <v>1.0</v>
      </c>
      <c r="U658" s="3">
        <v>1.0</v>
      </c>
      <c r="V658" s="3">
        <v>1.0</v>
      </c>
      <c r="W658" s="3" t="s">
        <v>1176</v>
      </c>
      <c r="X658" s="3" t="s">
        <v>1590</v>
      </c>
      <c r="Y658" s="3" t="s">
        <v>1591</v>
      </c>
      <c r="Z658" s="3" t="s">
        <v>1423</v>
      </c>
      <c r="AA658" s="3" t="s">
        <v>1593</v>
      </c>
      <c r="AB658" s="3" t="s">
        <v>1374</v>
      </c>
      <c r="AC658" s="3" t="s">
        <v>1374</v>
      </c>
      <c r="AD658" s="3" t="s">
        <v>1625</v>
      </c>
      <c r="AE658" s="3" t="s">
        <v>1595</v>
      </c>
      <c r="AF658" s="3">
        <v>0.187</v>
      </c>
      <c r="AG658" s="3">
        <v>2.239</v>
      </c>
      <c r="AH658" s="3">
        <v>0.378</v>
      </c>
      <c r="AI658" s="3">
        <v>-46.491</v>
      </c>
      <c r="AJ658" s="3">
        <v>7.492</v>
      </c>
      <c r="AK658" s="3" t="s">
        <v>1674</v>
      </c>
      <c r="AL658" s="3">
        <v>0.053</v>
      </c>
      <c r="AM658" s="3" t="s">
        <v>1469</v>
      </c>
    </row>
    <row r="659" ht="15.75" customHeight="1">
      <c r="A659" s="3">
        <v>1.7304E12</v>
      </c>
      <c r="B659" s="3">
        <v>11.0</v>
      </c>
      <c r="C659" s="3" t="s">
        <v>329</v>
      </c>
      <c r="D659" s="3" t="s">
        <v>1369</v>
      </c>
      <c r="E659" s="3" t="s">
        <v>329</v>
      </c>
      <c r="F659" s="3">
        <v>1.0</v>
      </c>
      <c r="G659" s="3">
        <v>1.0</v>
      </c>
      <c r="H659" s="3">
        <v>1.0</v>
      </c>
      <c r="I659" s="3">
        <v>1.0</v>
      </c>
      <c r="J659" s="3">
        <v>1.0</v>
      </c>
      <c r="K659" s="3">
        <v>1.0</v>
      </c>
      <c r="L659" s="3">
        <v>1.0</v>
      </c>
      <c r="M659" s="3">
        <v>1.0</v>
      </c>
      <c r="N659" s="3">
        <v>1.0</v>
      </c>
      <c r="O659" s="3">
        <v>0.0</v>
      </c>
      <c r="P659" s="3">
        <v>0.0</v>
      </c>
      <c r="Q659" s="3">
        <v>0.0</v>
      </c>
      <c r="R659" s="3">
        <v>0.0</v>
      </c>
      <c r="S659" s="3">
        <v>0.0</v>
      </c>
      <c r="T659" s="3">
        <v>1.0</v>
      </c>
      <c r="U659" s="3">
        <v>0.0</v>
      </c>
      <c r="V659" s="3">
        <v>1.0</v>
      </c>
      <c r="W659" s="3" t="s">
        <v>783</v>
      </c>
      <c r="X659" s="3" t="s">
        <v>1456</v>
      </c>
      <c r="Y659" s="3" t="s">
        <v>1457</v>
      </c>
      <c r="Z659" s="3" t="s">
        <v>1423</v>
      </c>
      <c r="AA659" s="3" t="s">
        <v>1458</v>
      </c>
      <c r="AB659" s="3" t="s">
        <v>1374</v>
      </c>
      <c r="AC659" s="3" t="s">
        <v>1374</v>
      </c>
      <c r="AD659" s="3" t="s">
        <v>1392</v>
      </c>
      <c r="AE659" s="3" t="s">
        <v>1459</v>
      </c>
      <c r="AF659" s="3">
        <v>0.076</v>
      </c>
      <c r="AG659" s="3">
        <v>0.61</v>
      </c>
      <c r="AH659" s="3">
        <v>0.288</v>
      </c>
      <c r="AI659" s="3">
        <v>111.699</v>
      </c>
      <c r="AK659" s="3" t="s">
        <v>1463</v>
      </c>
      <c r="AL659" s="3">
        <v>-0.487</v>
      </c>
      <c r="AM659" s="3" t="s">
        <v>1461</v>
      </c>
    </row>
    <row r="660" ht="15.75" customHeight="1">
      <c r="A660" s="3">
        <v>1.73023E12</v>
      </c>
      <c r="B660" s="3">
        <v>13.0</v>
      </c>
      <c r="C660" s="3" t="s">
        <v>435</v>
      </c>
      <c r="D660" s="3" t="s">
        <v>1369</v>
      </c>
      <c r="E660" s="3" t="s">
        <v>435</v>
      </c>
      <c r="F660" s="3">
        <v>1.0</v>
      </c>
      <c r="G660" s="3">
        <v>1.0</v>
      </c>
      <c r="H660" s="3">
        <v>1.0</v>
      </c>
      <c r="I660" s="3">
        <v>1.0</v>
      </c>
      <c r="J660" s="3">
        <v>1.0</v>
      </c>
      <c r="K660" s="3">
        <v>1.0</v>
      </c>
      <c r="L660" s="3">
        <v>1.0</v>
      </c>
      <c r="M660" s="3">
        <v>1.0</v>
      </c>
      <c r="N660" s="3">
        <v>1.0</v>
      </c>
      <c r="O660" s="3">
        <v>1.0</v>
      </c>
      <c r="P660" s="3">
        <v>1.0</v>
      </c>
      <c r="Q660" s="3">
        <v>0.0</v>
      </c>
      <c r="R660" s="3">
        <v>0.0</v>
      </c>
      <c r="S660" s="3">
        <v>0.0</v>
      </c>
      <c r="T660" s="3">
        <v>1.0</v>
      </c>
      <c r="U660" s="3">
        <v>0.0</v>
      </c>
      <c r="V660" s="3">
        <v>1.0</v>
      </c>
      <c r="W660" s="3" t="s">
        <v>456</v>
      </c>
      <c r="X660" s="3" t="s">
        <v>1521</v>
      </c>
      <c r="Y660" s="3" t="s">
        <v>1522</v>
      </c>
      <c r="Z660" s="3" t="s">
        <v>1449</v>
      </c>
      <c r="AA660" s="3" t="s">
        <v>1523</v>
      </c>
      <c r="AB660" s="3" t="s">
        <v>1374</v>
      </c>
      <c r="AC660" s="3" t="s">
        <v>1451</v>
      </c>
      <c r="AD660" s="3" t="s">
        <v>1524</v>
      </c>
      <c r="AE660" s="3" t="s">
        <v>1525</v>
      </c>
      <c r="AF660" s="3">
        <v>0.028</v>
      </c>
      <c r="AG660" s="3">
        <v>0.067</v>
      </c>
      <c r="AH660" s="3">
        <v>0.413</v>
      </c>
      <c r="AI660" s="3">
        <v>1082.27</v>
      </c>
      <c r="AJ660" s="3">
        <v>0.002</v>
      </c>
      <c r="AK660" s="3" t="s">
        <v>1863</v>
      </c>
      <c r="AL660" s="3">
        <v>-0.196</v>
      </c>
      <c r="AM660" s="3" t="s">
        <v>1527</v>
      </c>
    </row>
    <row r="661" ht="15.75" customHeight="1">
      <c r="A661" s="3">
        <v>1.73038E12</v>
      </c>
      <c r="B661" s="3">
        <v>16.0</v>
      </c>
      <c r="C661" s="3" t="s">
        <v>673</v>
      </c>
      <c r="D661" s="3" t="s">
        <v>1369</v>
      </c>
      <c r="E661" s="3" t="s">
        <v>673</v>
      </c>
      <c r="F661" s="3">
        <v>1.0</v>
      </c>
      <c r="G661" s="3">
        <v>1.0</v>
      </c>
      <c r="H661" s="3">
        <v>1.0</v>
      </c>
      <c r="I661" s="3">
        <v>1.0</v>
      </c>
      <c r="J661" s="3">
        <v>1.0</v>
      </c>
      <c r="K661" s="3">
        <v>1.0</v>
      </c>
      <c r="L661" s="3">
        <v>1.0</v>
      </c>
      <c r="M661" s="3">
        <v>1.0</v>
      </c>
      <c r="N661" s="3">
        <v>1.0</v>
      </c>
      <c r="O661" s="3">
        <v>1.0</v>
      </c>
      <c r="P661" s="3">
        <v>1.0</v>
      </c>
      <c r="Q661" s="3">
        <v>1.0</v>
      </c>
      <c r="R661" s="3">
        <v>1.0</v>
      </c>
      <c r="S661" s="3">
        <v>1.0</v>
      </c>
      <c r="T661" s="3">
        <v>1.0</v>
      </c>
      <c r="U661" s="3">
        <v>0.0</v>
      </c>
      <c r="V661" s="3">
        <v>1.0</v>
      </c>
      <c r="W661" s="3" t="s">
        <v>1026</v>
      </c>
      <c r="X661" s="3" t="s">
        <v>1421</v>
      </c>
      <c r="Y661" s="3" t="s">
        <v>1422</v>
      </c>
      <c r="Z661" s="3" t="s">
        <v>1372</v>
      </c>
      <c r="AA661" s="3" t="s">
        <v>1424</v>
      </c>
      <c r="AB661" s="3" t="s">
        <v>1391</v>
      </c>
      <c r="AC661" s="3" t="s">
        <v>1391</v>
      </c>
      <c r="AD661" s="3" t="s">
        <v>1425</v>
      </c>
      <c r="AE661" s="3" t="s">
        <v>1781</v>
      </c>
      <c r="AF661" s="3">
        <v>0.052</v>
      </c>
      <c r="AG661" s="3">
        <v>0.212</v>
      </c>
      <c r="AH661" s="3">
        <v>0.389</v>
      </c>
      <c r="AI661" s="3">
        <v>-29.044</v>
      </c>
      <c r="AJ661" s="3">
        <v>0.528</v>
      </c>
      <c r="AK661" s="3" t="s">
        <v>2261</v>
      </c>
      <c r="AL661" s="3">
        <v>-0.672</v>
      </c>
      <c r="AM661" s="3" t="s">
        <v>1428</v>
      </c>
    </row>
    <row r="662" ht="15.75" customHeight="1">
      <c r="A662" s="3">
        <v>1.7304E12</v>
      </c>
      <c r="B662" s="3">
        <v>13.0</v>
      </c>
      <c r="C662" s="3" t="s">
        <v>2262</v>
      </c>
      <c r="D662" s="3" t="s">
        <v>1369</v>
      </c>
      <c r="E662" s="3" t="s">
        <v>2262</v>
      </c>
      <c r="F662" s="3">
        <v>1.0</v>
      </c>
      <c r="G662" s="3">
        <v>1.0</v>
      </c>
      <c r="H662" s="3">
        <v>1.0</v>
      </c>
      <c r="I662" s="3">
        <v>1.0</v>
      </c>
      <c r="J662" s="3">
        <v>1.0</v>
      </c>
      <c r="K662" s="3">
        <v>1.0</v>
      </c>
      <c r="L662" s="3">
        <v>1.0</v>
      </c>
      <c r="M662" s="3">
        <v>1.0</v>
      </c>
      <c r="N662" s="3">
        <v>1.0</v>
      </c>
      <c r="O662" s="3">
        <v>1.0</v>
      </c>
      <c r="P662" s="3">
        <v>1.0</v>
      </c>
      <c r="Q662" s="3">
        <v>0.0</v>
      </c>
      <c r="R662" s="3">
        <v>0.0</v>
      </c>
      <c r="S662" s="3">
        <v>1.0</v>
      </c>
      <c r="T662" s="3">
        <v>0.0</v>
      </c>
      <c r="U662" s="3">
        <v>0.0</v>
      </c>
      <c r="V662" s="3">
        <v>1.0</v>
      </c>
      <c r="W662" s="3" t="s">
        <v>245</v>
      </c>
      <c r="X662" s="3" t="s">
        <v>1405</v>
      </c>
      <c r="Y662" s="3" t="s">
        <v>1406</v>
      </c>
      <c r="Z662" s="3" t="s">
        <v>1449</v>
      </c>
      <c r="AA662" s="3" t="s">
        <v>1407</v>
      </c>
      <c r="AB662" s="3" t="s">
        <v>1374</v>
      </c>
      <c r="AC662" s="3" t="s">
        <v>1400</v>
      </c>
      <c r="AD662" s="3" t="s">
        <v>1506</v>
      </c>
      <c r="AE662" s="3" t="s">
        <v>1409</v>
      </c>
      <c r="AF662" s="3">
        <v>-0.018</v>
      </c>
      <c r="AG662" s="3">
        <v>-0.051</v>
      </c>
      <c r="AH662" s="3">
        <v>0.162</v>
      </c>
      <c r="AI662" s="3">
        <v>200.074</v>
      </c>
      <c r="AJ662" s="3">
        <v>11.906</v>
      </c>
      <c r="AK662" s="3" t="s">
        <v>2263</v>
      </c>
      <c r="AL662" s="3">
        <v>0.473</v>
      </c>
      <c r="AM662" s="3" t="s">
        <v>1411</v>
      </c>
    </row>
    <row r="663" ht="15.75" customHeight="1">
      <c r="A663" s="3">
        <v>1.7304E12</v>
      </c>
      <c r="B663" s="3">
        <v>0.0</v>
      </c>
      <c r="C663" s="3" t="s">
        <v>2264</v>
      </c>
      <c r="D663" s="3" t="s">
        <v>1369</v>
      </c>
      <c r="E663" s="3" t="s">
        <v>2264</v>
      </c>
      <c r="F663" s="3">
        <v>0.0</v>
      </c>
      <c r="G663" s="3">
        <v>0.0</v>
      </c>
      <c r="H663" s="3">
        <v>0.0</v>
      </c>
      <c r="I663" s="3">
        <v>0.0</v>
      </c>
      <c r="J663" s="3">
        <v>0.0</v>
      </c>
      <c r="K663" s="3">
        <v>0.0</v>
      </c>
      <c r="L663" s="3">
        <v>0.0</v>
      </c>
      <c r="M663" s="3">
        <v>0.0</v>
      </c>
      <c r="N663" s="3">
        <v>0.0</v>
      </c>
      <c r="O663" s="3">
        <v>0.0</v>
      </c>
      <c r="P663" s="3">
        <v>0.0</v>
      </c>
      <c r="Q663" s="3">
        <v>0.0</v>
      </c>
      <c r="R663" s="3">
        <v>0.0</v>
      </c>
      <c r="S663" s="3">
        <v>0.0</v>
      </c>
      <c r="T663" s="3">
        <v>0.0</v>
      </c>
      <c r="U663" s="3">
        <v>0.0</v>
      </c>
      <c r="V663" s="3">
        <v>0.0</v>
      </c>
      <c r="W663" s="3" t="s">
        <v>2265</v>
      </c>
      <c r="X663" s="3" t="s">
        <v>1489</v>
      </c>
    </row>
    <row r="664" ht="15.75" customHeight="1">
      <c r="A664" s="3">
        <v>1.73032E12</v>
      </c>
      <c r="B664" s="3">
        <v>17.0</v>
      </c>
      <c r="C664" s="3" t="s">
        <v>335</v>
      </c>
      <c r="D664" s="3" t="s">
        <v>1369</v>
      </c>
      <c r="E664" s="3" t="s">
        <v>335</v>
      </c>
      <c r="F664" s="3">
        <v>1.0</v>
      </c>
      <c r="G664" s="3">
        <v>1.0</v>
      </c>
      <c r="H664" s="3">
        <v>1.0</v>
      </c>
      <c r="I664" s="3">
        <v>1.0</v>
      </c>
      <c r="J664" s="3">
        <v>1.0</v>
      </c>
      <c r="K664" s="3">
        <v>1.0</v>
      </c>
      <c r="L664" s="3">
        <v>1.0</v>
      </c>
      <c r="M664" s="3">
        <v>1.0</v>
      </c>
      <c r="N664" s="3">
        <v>1.0</v>
      </c>
      <c r="O664" s="3">
        <v>1.0</v>
      </c>
      <c r="P664" s="3">
        <v>1.0</v>
      </c>
      <c r="Q664" s="3">
        <v>1.0</v>
      </c>
      <c r="R664" s="3">
        <v>1.0</v>
      </c>
      <c r="S664" s="3">
        <v>1.0</v>
      </c>
      <c r="T664" s="3">
        <v>1.0</v>
      </c>
      <c r="U664" s="3">
        <v>1.0</v>
      </c>
      <c r="V664" s="3">
        <v>1.0</v>
      </c>
      <c r="W664" s="3" t="s">
        <v>1151</v>
      </c>
      <c r="X664" s="3" t="s">
        <v>1464</v>
      </c>
      <c r="Y664" s="3" t="s">
        <v>1465</v>
      </c>
      <c r="Z664" s="3" t="s">
        <v>1372</v>
      </c>
      <c r="AA664" s="3" t="s">
        <v>1373</v>
      </c>
      <c r="AB664" s="3" t="s">
        <v>1374</v>
      </c>
      <c r="AC664" s="3" t="s">
        <v>1391</v>
      </c>
      <c r="AD664" s="3" t="s">
        <v>1497</v>
      </c>
      <c r="AE664" s="3" t="s">
        <v>1467</v>
      </c>
      <c r="AF664" s="3">
        <v>0.199</v>
      </c>
      <c r="AG664" s="3">
        <v>2.429</v>
      </c>
      <c r="AH664" s="3">
        <v>0.311</v>
      </c>
      <c r="AI664" s="3">
        <v>12.838</v>
      </c>
      <c r="AJ664" s="3">
        <v>-3.754</v>
      </c>
      <c r="AK664" s="3" t="s">
        <v>1536</v>
      </c>
      <c r="AL664" s="3">
        <v>0.081</v>
      </c>
      <c r="AM664" s="3" t="s">
        <v>1469</v>
      </c>
    </row>
    <row r="665" ht="15.75" customHeight="1">
      <c r="A665" s="3">
        <v>1.73038E12</v>
      </c>
      <c r="B665" s="3">
        <v>17.0</v>
      </c>
      <c r="C665" s="3" t="s">
        <v>368</v>
      </c>
      <c r="D665" s="3" t="s">
        <v>1369</v>
      </c>
      <c r="E665" s="3" t="s">
        <v>368</v>
      </c>
      <c r="F665" s="3">
        <v>1.0</v>
      </c>
      <c r="G665" s="3">
        <v>1.0</v>
      </c>
      <c r="H665" s="3">
        <v>1.0</v>
      </c>
      <c r="I665" s="3">
        <v>1.0</v>
      </c>
      <c r="J665" s="3">
        <v>1.0</v>
      </c>
      <c r="K665" s="3">
        <v>1.0</v>
      </c>
      <c r="L665" s="3">
        <v>1.0</v>
      </c>
      <c r="M665" s="3">
        <v>1.0</v>
      </c>
      <c r="N665" s="3">
        <v>1.0</v>
      </c>
      <c r="O665" s="3">
        <v>1.0</v>
      </c>
      <c r="P665" s="3">
        <v>1.0</v>
      </c>
      <c r="Q665" s="3">
        <v>1.0</v>
      </c>
      <c r="R665" s="3">
        <v>1.0</v>
      </c>
      <c r="S665" s="3">
        <v>1.0</v>
      </c>
      <c r="T665" s="3">
        <v>1.0</v>
      </c>
      <c r="U665" s="3">
        <v>1.0</v>
      </c>
      <c r="V665" s="3">
        <v>1.0</v>
      </c>
      <c r="W665" s="3" t="s">
        <v>1113</v>
      </c>
      <c r="X665" s="3" t="s">
        <v>1483</v>
      </c>
      <c r="Y665" s="3" t="s">
        <v>1484</v>
      </c>
      <c r="Z665" s="3" t="s">
        <v>1372</v>
      </c>
      <c r="AA665" s="3" t="s">
        <v>1373</v>
      </c>
      <c r="AB665" s="3" t="s">
        <v>1374</v>
      </c>
      <c r="AC665" s="3" t="s">
        <v>1374</v>
      </c>
      <c r="AD665" s="3" t="s">
        <v>1485</v>
      </c>
      <c r="AE665" s="3" t="s">
        <v>1486</v>
      </c>
      <c r="AF665" s="3">
        <v>0.017</v>
      </c>
      <c r="AG665" s="3">
        <v>0.29</v>
      </c>
      <c r="AH665" s="3">
        <v>0.403</v>
      </c>
      <c r="AI665" s="3">
        <v>47.111</v>
      </c>
      <c r="AJ665" s="3">
        <v>28.687</v>
      </c>
      <c r="AK665" s="3" t="s">
        <v>1688</v>
      </c>
      <c r="AL665" s="3">
        <v>-0.009</v>
      </c>
      <c r="AM665" s="3" t="s">
        <v>1573</v>
      </c>
    </row>
    <row r="666" ht="15.75" customHeight="1">
      <c r="A666" s="3">
        <v>1.7304E12</v>
      </c>
      <c r="B666" s="3">
        <v>16.0</v>
      </c>
      <c r="C666" s="3" t="s">
        <v>2266</v>
      </c>
      <c r="D666" s="3" t="s">
        <v>1369</v>
      </c>
      <c r="E666" s="3" t="s">
        <v>2266</v>
      </c>
      <c r="F666" s="3">
        <v>1.0</v>
      </c>
      <c r="G666" s="3">
        <v>1.0</v>
      </c>
      <c r="H666" s="3">
        <v>1.0</v>
      </c>
      <c r="I666" s="3">
        <v>1.0</v>
      </c>
      <c r="J666" s="3">
        <v>1.0</v>
      </c>
      <c r="K666" s="3">
        <v>1.0</v>
      </c>
      <c r="L666" s="3">
        <v>1.0</v>
      </c>
      <c r="M666" s="3">
        <v>1.0</v>
      </c>
      <c r="N666" s="3">
        <v>1.0</v>
      </c>
      <c r="O666" s="3">
        <v>1.0</v>
      </c>
      <c r="P666" s="3">
        <v>1.0</v>
      </c>
      <c r="Q666" s="3">
        <v>0.0</v>
      </c>
      <c r="R666" s="3">
        <v>1.0</v>
      </c>
      <c r="S666" s="3">
        <v>1.0</v>
      </c>
      <c r="T666" s="3">
        <v>1.0</v>
      </c>
      <c r="U666" s="3">
        <v>1.0</v>
      </c>
      <c r="V666" s="3">
        <v>1.0</v>
      </c>
      <c r="W666" s="3" t="s">
        <v>1240</v>
      </c>
      <c r="X666" s="3" t="s">
        <v>1521</v>
      </c>
      <c r="Y666" s="3" t="s">
        <v>1522</v>
      </c>
      <c r="Z666" s="3" t="s">
        <v>1372</v>
      </c>
      <c r="AA666" s="3" t="s">
        <v>1523</v>
      </c>
      <c r="AB666" s="3" t="s">
        <v>1374</v>
      </c>
      <c r="AC666" s="3" t="s">
        <v>1374</v>
      </c>
      <c r="AD666" s="3" t="s">
        <v>1524</v>
      </c>
      <c r="AE666" s="3" t="s">
        <v>1525</v>
      </c>
      <c r="AF666" s="3">
        <v>0.029</v>
      </c>
      <c r="AG666" s="3">
        <v>0.068</v>
      </c>
      <c r="AH666" s="3">
        <v>0.446</v>
      </c>
      <c r="AI666" s="3">
        <v>1082.745</v>
      </c>
      <c r="AJ666" s="3">
        <v>1.995</v>
      </c>
      <c r="AK666" s="3" t="s">
        <v>1812</v>
      </c>
      <c r="AL666" s="3">
        <v>0.061</v>
      </c>
      <c r="AM666" s="3" t="s">
        <v>1527</v>
      </c>
    </row>
    <row r="667" ht="15.75" customHeight="1">
      <c r="A667" s="3">
        <v>1.73039E12</v>
      </c>
      <c r="B667" s="3">
        <v>13.0</v>
      </c>
      <c r="C667" s="3" t="s">
        <v>721</v>
      </c>
      <c r="D667" s="3" t="s">
        <v>1369</v>
      </c>
      <c r="E667" s="3" t="s">
        <v>721</v>
      </c>
      <c r="F667" s="3">
        <v>1.0</v>
      </c>
      <c r="G667" s="3">
        <v>1.0</v>
      </c>
      <c r="H667" s="3">
        <v>1.0</v>
      </c>
      <c r="I667" s="3">
        <v>1.0</v>
      </c>
      <c r="J667" s="3">
        <v>1.0</v>
      </c>
      <c r="K667" s="3">
        <v>1.0</v>
      </c>
      <c r="L667" s="3">
        <v>1.0</v>
      </c>
      <c r="M667" s="3">
        <v>1.0</v>
      </c>
      <c r="N667" s="3">
        <v>1.0</v>
      </c>
      <c r="O667" s="3">
        <v>1.0</v>
      </c>
      <c r="P667" s="3">
        <v>1.0</v>
      </c>
      <c r="Q667" s="3">
        <v>0.0</v>
      </c>
      <c r="R667" s="3">
        <v>0.0</v>
      </c>
      <c r="S667" s="3">
        <v>1.0</v>
      </c>
      <c r="T667" s="3">
        <v>0.0</v>
      </c>
      <c r="U667" s="3">
        <v>0.0</v>
      </c>
      <c r="V667" s="3">
        <v>1.0</v>
      </c>
      <c r="W667" s="3" t="s">
        <v>308</v>
      </c>
      <c r="X667" s="3" t="s">
        <v>1634</v>
      </c>
      <c r="Y667" s="3" t="s">
        <v>1635</v>
      </c>
      <c r="Z667" s="3" t="s">
        <v>1372</v>
      </c>
      <c r="AA667" s="3" t="s">
        <v>1636</v>
      </c>
      <c r="AB667" s="3" t="s">
        <v>1391</v>
      </c>
      <c r="AC667" s="3" t="s">
        <v>1391</v>
      </c>
      <c r="AD667" s="3" t="s">
        <v>1580</v>
      </c>
      <c r="AE667" s="3" t="s">
        <v>1637</v>
      </c>
      <c r="AF667" s="3">
        <v>0.046</v>
      </c>
      <c r="AG667" s="3">
        <v>1.455</v>
      </c>
      <c r="AH667" s="3">
        <v>0.314</v>
      </c>
      <c r="AI667" s="3" t="s">
        <v>1519</v>
      </c>
      <c r="AJ667" s="3">
        <v>36.245</v>
      </c>
      <c r="AK667" s="3" t="s">
        <v>2267</v>
      </c>
      <c r="AL667" s="3">
        <v>0.598</v>
      </c>
      <c r="AM667" s="3" t="s">
        <v>1469</v>
      </c>
    </row>
    <row r="668" ht="15.75" customHeight="1">
      <c r="A668" s="3">
        <v>1.7304E12</v>
      </c>
      <c r="B668" s="3">
        <v>11.0</v>
      </c>
      <c r="C668" s="3" t="s">
        <v>782</v>
      </c>
      <c r="D668" s="3" t="s">
        <v>1369</v>
      </c>
      <c r="E668" s="3" t="s">
        <v>782</v>
      </c>
      <c r="F668" s="3">
        <v>1.0</v>
      </c>
      <c r="G668" s="3">
        <v>1.0</v>
      </c>
      <c r="H668" s="3">
        <v>1.0</v>
      </c>
      <c r="I668" s="3">
        <v>1.0</v>
      </c>
      <c r="J668" s="3">
        <v>1.0</v>
      </c>
      <c r="K668" s="3">
        <v>1.0</v>
      </c>
      <c r="L668" s="3">
        <v>1.0</v>
      </c>
      <c r="M668" s="3">
        <v>1.0</v>
      </c>
      <c r="N668" s="3">
        <v>1.0</v>
      </c>
      <c r="O668" s="3">
        <v>0.0</v>
      </c>
      <c r="P668" s="3">
        <v>0.0</v>
      </c>
      <c r="Q668" s="3">
        <v>0.0</v>
      </c>
      <c r="R668" s="3">
        <v>0.0</v>
      </c>
      <c r="S668" s="3">
        <v>0.0</v>
      </c>
      <c r="T668" s="3">
        <v>1.0</v>
      </c>
      <c r="U668" s="3">
        <v>0.0</v>
      </c>
      <c r="V668" s="3">
        <v>1.0</v>
      </c>
      <c r="W668" s="3" t="s">
        <v>780</v>
      </c>
      <c r="X668" s="3" t="s">
        <v>1605</v>
      </c>
      <c r="Y668" s="3" t="s">
        <v>1772</v>
      </c>
      <c r="Z668" s="3" t="s">
        <v>1423</v>
      </c>
      <c r="AA668" s="3" t="s">
        <v>1382</v>
      </c>
      <c r="AB668" s="3" t="s">
        <v>1391</v>
      </c>
      <c r="AC668" s="3" t="s">
        <v>1374</v>
      </c>
      <c r="AD668" s="3" t="s">
        <v>1655</v>
      </c>
      <c r="AE668" s="3" t="s">
        <v>1656</v>
      </c>
      <c r="AF668" s="3">
        <v>0.066</v>
      </c>
      <c r="AG668" s="3">
        <v>1.51</v>
      </c>
      <c r="AH668" s="3">
        <v>0.989</v>
      </c>
      <c r="AI668" s="3">
        <v>-833.267</v>
      </c>
      <c r="AK668" s="3" t="s">
        <v>1607</v>
      </c>
      <c r="AL668" s="3">
        <v>0.06</v>
      </c>
      <c r="AM668" s="3" t="s">
        <v>1608</v>
      </c>
    </row>
    <row r="669" ht="15.75" customHeight="1">
      <c r="A669" s="3">
        <v>1.7304E12</v>
      </c>
      <c r="B669" s="3">
        <v>10.0</v>
      </c>
      <c r="C669" s="3" t="s">
        <v>2268</v>
      </c>
      <c r="D669" s="3" t="s">
        <v>1369</v>
      </c>
      <c r="E669" s="3" t="s">
        <v>2268</v>
      </c>
      <c r="F669" s="3">
        <v>1.0</v>
      </c>
      <c r="G669" s="3">
        <v>1.0</v>
      </c>
      <c r="H669" s="3">
        <v>1.0</v>
      </c>
      <c r="I669" s="3">
        <v>1.0</v>
      </c>
      <c r="J669" s="3">
        <v>1.0</v>
      </c>
      <c r="K669" s="3">
        <v>1.0</v>
      </c>
      <c r="L669" s="3">
        <v>1.0</v>
      </c>
      <c r="M669" s="3">
        <v>1.0</v>
      </c>
      <c r="N669" s="3">
        <v>1.0</v>
      </c>
      <c r="O669" s="3">
        <v>1.0</v>
      </c>
      <c r="P669" s="3">
        <v>0.0</v>
      </c>
      <c r="Q669" s="3">
        <v>0.0</v>
      </c>
      <c r="R669" s="3">
        <v>0.0</v>
      </c>
      <c r="S669" s="3">
        <v>0.0</v>
      </c>
      <c r="T669" s="3">
        <v>0.0</v>
      </c>
      <c r="U669" s="3">
        <v>0.0</v>
      </c>
      <c r="V669" s="3">
        <v>0.0</v>
      </c>
      <c r="W669" s="3" t="s">
        <v>229</v>
      </c>
      <c r="X669" s="3" t="s">
        <v>1529</v>
      </c>
      <c r="Y669" s="3" t="s">
        <v>1530</v>
      </c>
      <c r="Z669" s="3" t="s">
        <v>1372</v>
      </c>
      <c r="AA669" s="3" t="s">
        <v>1531</v>
      </c>
      <c r="AB669" s="3" t="s">
        <v>1374</v>
      </c>
      <c r="AC669" s="3" t="s">
        <v>1391</v>
      </c>
      <c r="AD669" s="3" t="s">
        <v>1532</v>
      </c>
      <c r="AE669" s="3" t="s">
        <v>1533</v>
      </c>
      <c r="AF669" s="3">
        <v>0.084</v>
      </c>
    </row>
    <row r="670" ht="15.75" customHeight="1">
      <c r="A670" s="3">
        <v>1.7303E12</v>
      </c>
      <c r="B670" s="3">
        <v>17.0</v>
      </c>
      <c r="C670" s="3" t="s">
        <v>591</v>
      </c>
      <c r="D670" s="3" t="s">
        <v>1369</v>
      </c>
      <c r="E670" s="3" t="s">
        <v>591</v>
      </c>
      <c r="F670" s="3">
        <v>1.0</v>
      </c>
      <c r="G670" s="3">
        <v>1.0</v>
      </c>
      <c r="H670" s="3">
        <v>1.0</v>
      </c>
      <c r="I670" s="3">
        <v>1.0</v>
      </c>
      <c r="J670" s="3">
        <v>1.0</v>
      </c>
      <c r="K670" s="3">
        <v>1.0</v>
      </c>
      <c r="L670" s="3">
        <v>1.0</v>
      </c>
      <c r="M670" s="3">
        <v>1.0</v>
      </c>
      <c r="N670" s="3">
        <v>1.0</v>
      </c>
      <c r="O670" s="3">
        <v>1.0</v>
      </c>
      <c r="P670" s="3">
        <v>1.0</v>
      </c>
      <c r="Q670" s="3">
        <v>1.0</v>
      </c>
      <c r="R670" s="3">
        <v>1.0</v>
      </c>
      <c r="S670" s="3">
        <v>1.0</v>
      </c>
      <c r="T670" s="3">
        <v>1.0</v>
      </c>
      <c r="U670" s="3">
        <v>1.0</v>
      </c>
      <c r="V670" s="3">
        <v>1.0</v>
      </c>
      <c r="W670" s="3" t="s">
        <v>1125</v>
      </c>
      <c r="X670" s="3" t="s">
        <v>1470</v>
      </c>
      <c r="Y670" s="3" t="s">
        <v>1660</v>
      </c>
      <c r="Z670" s="3" t="s">
        <v>1372</v>
      </c>
      <c r="AA670" s="3" t="s">
        <v>1382</v>
      </c>
      <c r="AB670" s="3" t="s">
        <v>1374</v>
      </c>
      <c r="AC670" s="3" t="s">
        <v>1400</v>
      </c>
      <c r="AD670" s="3" t="s">
        <v>1472</v>
      </c>
      <c r="AE670" s="3" t="s">
        <v>1473</v>
      </c>
      <c r="AF670" s="3">
        <v>0.151</v>
      </c>
      <c r="AG670" s="3">
        <v>4.104</v>
      </c>
      <c r="AH670" s="3" t="s">
        <v>1394</v>
      </c>
      <c r="AI670" s="3" t="s">
        <v>1394</v>
      </c>
      <c r="AJ670" s="3">
        <v>7.786</v>
      </c>
      <c r="AK670" s="3" t="s">
        <v>1474</v>
      </c>
      <c r="AL670" s="3" t="s">
        <v>1394</v>
      </c>
      <c r="AM670" s="3" t="s">
        <v>1661</v>
      </c>
    </row>
    <row r="671" ht="15.75" customHeight="1">
      <c r="A671" s="3">
        <v>1.72962E12</v>
      </c>
      <c r="B671" s="3">
        <v>9.0</v>
      </c>
      <c r="C671" s="3" t="s">
        <v>214</v>
      </c>
      <c r="D671" s="3" t="s">
        <v>1369</v>
      </c>
      <c r="E671" s="3" t="s">
        <v>214</v>
      </c>
      <c r="F671" s="3">
        <v>1.0</v>
      </c>
      <c r="G671" s="3">
        <v>0.0</v>
      </c>
      <c r="H671" s="3">
        <v>0.0</v>
      </c>
      <c r="I671" s="3">
        <v>0.0</v>
      </c>
      <c r="J671" s="3">
        <v>1.0</v>
      </c>
      <c r="K671" s="3">
        <v>1.0</v>
      </c>
      <c r="L671" s="3">
        <v>1.0</v>
      </c>
      <c r="M671" s="3">
        <v>1.0</v>
      </c>
      <c r="N671" s="3">
        <v>0.0</v>
      </c>
      <c r="O671" s="3">
        <v>1.0</v>
      </c>
      <c r="P671" s="3">
        <v>1.0</v>
      </c>
      <c r="Q671" s="3">
        <v>0.0</v>
      </c>
      <c r="R671" s="3">
        <v>1.0</v>
      </c>
      <c r="S671" s="3">
        <v>0.0</v>
      </c>
      <c r="T671" s="3">
        <v>0.0</v>
      </c>
      <c r="U671" s="3">
        <v>1.0</v>
      </c>
      <c r="V671" s="3">
        <v>0.0</v>
      </c>
      <c r="W671" s="3" t="s">
        <v>893</v>
      </c>
      <c r="X671" s="3" t="s">
        <v>2269</v>
      </c>
      <c r="Y671" s="3" t="s">
        <v>2270</v>
      </c>
      <c r="Z671" s="3" t="s">
        <v>1708</v>
      </c>
      <c r="AA671" s="3" t="s">
        <v>1593</v>
      </c>
      <c r="AB671" s="3" t="s">
        <v>1374</v>
      </c>
      <c r="AC671" s="3" t="s">
        <v>1374</v>
      </c>
      <c r="AD671" s="3" t="s">
        <v>1625</v>
      </c>
      <c r="AE671" s="3" t="s">
        <v>2271</v>
      </c>
      <c r="AF671" s="3">
        <v>0.188</v>
      </c>
      <c r="AG671" s="3">
        <v>2.242</v>
      </c>
      <c r="AH671" s="3">
        <v>0.409</v>
      </c>
      <c r="AI671" s="3">
        <v>-46.243</v>
      </c>
      <c r="AJ671" s="3">
        <v>1.008</v>
      </c>
      <c r="AK671" s="3" t="s">
        <v>2272</v>
      </c>
      <c r="AL671" s="3">
        <v>0.06</v>
      </c>
      <c r="AM671" s="3">
        <v>3.0</v>
      </c>
    </row>
    <row r="672" ht="15.75" customHeight="1">
      <c r="A672" s="3">
        <v>1.73038E12</v>
      </c>
      <c r="B672" s="3">
        <v>10.0</v>
      </c>
      <c r="C672" s="3" t="s">
        <v>959</v>
      </c>
      <c r="D672" s="3" t="s">
        <v>1369</v>
      </c>
      <c r="E672" s="3" t="s">
        <v>959</v>
      </c>
      <c r="F672" s="3">
        <v>1.0</v>
      </c>
      <c r="G672" s="3">
        <v>1.0</v>
      </c>
      <c r="H672" s="3">
        <v>1.0</v>
      </c>
      <c r="I672" s="3">
        <v>1.0</v>
      </c>
      <c r="J672" s="3">
        <v>1.0</v>
      </c>
      <c r="K672" s="3">
        <v>1.0</v>
      </c>
      <c r="L672" s="3">
        <v>1.0</v>
      </c>
      <c r="M672" s="3">
        <v>1.0</v>
      </c>
      <c r="N672" s="3">
        <v>1.0</v>
      </c>
      <c r="O672" s="3">
        <v>0.0</v>
      </c>
      <c r="P672" s="3">
        <v>0.0</v>
      </c>
      <c r="Q672" s="3">
        <v>0.0</v>
      </c>
      <c r="R672" s="3">
        <v>0.0</v>
      </c>
      <c r="S672" s="3">
        <v>0.0</v>
      </c>
      <c r="T672" s="3">
        <v>1.0</v>
      </c>
      <c r="U672" s="3">
        <v>0.0</v>
      </c>
      <c r="V672" s="3">
        <v>0.0</v>
      </c>
      <c r="W672" s="3" t="s">
        <v>266</v>
      </c>
      <c r="X672" s="3" t="s">
        <v>1388</v>
      </c>
      <c r="Y672" s="3" t="s">
        <v>1389</v>
      </c>
      <c r="Z672" s="3" t="s">
        <v>1372</v>
      </c>
      <c r="AA672" s="3" t="s">
        <v>1390</v>
      </c>
      <c r="AB672" s="3" t="s">
        <v>1374</v>
      </c>
      <c r="AC672" s="3" t="s">
        <v>1391</v>
      </c>
      <c r="AD672" s="3" t="s">
        <v>1392</v>
      </c>
      <c r="AE672" s="3" t="s">
        <v>1393</v>
      </c>
      <c r="AF672" s="3">
        <v>0.072</v>
      </c>
      <c r="AG672" s="3">
        <v>0.1042</v>
      </c>
      <c r="AH672" s="3">
        <v>322.0</v>
      </c>
      <c r="AI672" s="3">
        <v>292.591</v>
      </c>
      <c r="AJ672" s="3">
        <v>13.492</v>
      </c>
      <c r="AK672" s="3" t="s">
        <v>1685</v>
      </c>
      <c r="AL672" s="3">
        <v>0.094</v>
      </c>
      <c r="AM672" s="3" t="s">
        <v>2273</v>
      </c>
    </row>
    <row r="673" ht="15.75" customHeight="1">
      <c r="A673" s="3">
        <v>1.73038E12</v>
      </c>
      <c r="B673" s="3">
        <v>0.0</v>
      </c>
      <c r="C673" s="3" t="s">
        <v>2274</v>
      </c>
      <c r="D673" s="3" t="s">
        <v>1369</v>
      </c>
      <c r="E673" s="3" t="s">
        <v>2274</v>
      </c>
      <c r="F673" s="3">
        <v>0.0</v>
      </c>
      <c r="G673" s="3">
        <v>0.0</v>
      </c>
      <c r="H673" s="3">
        <v>0.0</v>
      </c>
      <c r="I673" s="3">
        <v>0.0</v>
      </c>
      <c r="J673" s="3">
        <v>0.0</v>
      </c>
      <c r="K673" s="3">
        <v>0.0</v>
      </c>
      <c r="L673" s="3">
        <v>0.0</v>
      </c>
      <c r="M673" s="3">
        <v>0.0</v>
      </c>
      <c r="N673" s="3">
        <v>0.0</v>
      </c>
      <c r="O673" s="3">
        <v>0.0</v>
      </c>
      <c r="P673" s="3">
        <v>0.0</v>
      </c>
      <c r="Q673" s="3">
        <v>0.0</v>
      </c>
      <c r="R673" s="3">
        <v>0.0</v>
      </c>
      <c r="S673" s="3">
        <v>0.0</v>
      </c>
      <c r="T673" s="3">
        <v>0.0</v>
      </c>
      <c r="U673" s="3">
        <v>0.0</v>
      </c>
      <c r="V673" s="3">
        <v>0.0</v>
      </c>
      <c r="W673" s="3" t="s">
        <v>2275</v>
      </c>
      <c r="X673" s="3" t="s">
        <v>2276</v>
      </c>
      <c r="Y673" s="3" t="s">
        <v>2277</v>
      </c>
      <c r="Z673" s="3" t="s">
        <v>2278</v>
      </c>
      <c r="AA673" s="3" t="s">
        <v>1910</v>
      </c>
      <c r="AB673" s="3" t="s">
        <v>1374</v>
      </c>
      <c r="AC673" s="3" t="s">
        <v>1391</v>
      </c>
      <c r="AD673" s="3" t="s">
        <v>1451</v>
      </c>
      <c r="AE673" s="3" t="s">
        <v>2279</v>
      </c>
      <c r="AG673" s="3">
        <v>0.635</v>
      </c>
      <c r="AH673" s="3">
        <v>0.742</v>
      </c>
      <c r="AI673" s="3">
        <v>1.673</v>
      </c>
      <c r="AJ673" s="3">
        <v>2.165</v>
      </c>
      <c r="AK673" s="3" t="s">
        <v>2280</v>
      </c>
      <c r="AL673" s="3">
        <v>0.197</v>
      </c>
      <c r="AM673" s="3" t="s">
        <v>2281</v>
      </c>
    </row>
    <row r="674" ht="15.75" customHeight="1">
      <c r="A674" s="3">
        <v>1.73039E12</v>
      </c>
      <c r="B674" s="3">
        <v>17.0</v>
      </c>
      <c r="C674" s="3" t="s">
        <v>768</v>
      </c>
      <c r="D674" s="3" t="s">
        <v>1369</v>
      </c>
      <c r="E674" s="3" t="s">
        <v>768</v>
      </c>
      <c r="F674" s="3">
        <v>1.0</v>
      </c>
      <c r="G674" s="3">
        <v>1.0</v>
      </c>
      <c r="H674" s="3">
        <v>1.0</v>
      </c>
      <c r="I674" s="3">
        <v>1.0</v>
      </c>
      <c r="J674" s="3">
        <v>1.0</v>
      </c>
      <c r="K674" s="3">
        <v>1.0</v>
      </c>
      <c r="L674" s="3">
        <v>1.0</v>
      </c>
      <c r="M674" s="3">
        <v>1.0</v>
      </c>
      <c r="N674" s="3">
        <v>1.0</v>
      </c>
      <c r="O674" s="3">
        <v>1.0</v>
      </c>
      <c r="P674" s="3">
        <v>1.0</v>
      </c>
      <c r="Q674" s="3">
        <v>1.0</v>
      </c>
      <c r="R674" s="3">
        <v>1.0</v>
      </c>
      <c r="S674" s="3">
        <v>1.0</v>
      </c>
      <c r="T674" s="3">
        <v>1.0</v>
      </c>
      <c r="U674" s="3">
        <v>1.0</v>
      </c>
      <c r="V674" s="3">
        <v>1.0</v>
      </c>
      <c r="W674" s="3" t="s">
        <v>1204</v>
      </c>
      <c r="X674" s="3" t="s">
        <v>1542</v>
      </c>
      <c r="Y674" s="3" t="s">
        <v>1543</v>
      </c>
      <c r="Z674" s="3" t="s">
        <v>1423</v>
      </c>
      <c r="AA674" s="3" t="s">
        <v>1544</v>
      </c>
      <c r="AB674" s="3" t="s">
        <v>1374</v>
      </c>
      <c r="AC674" s="3" t="s">
        <v>1451</v>
      </c>
      <c r="AD674" s="3" t="s">
        <v>1545</v>
      </c>
      <c r="AE674" s="3" t="s">
        <v>1546</v>
      </c>
      <c r="AF674" s="3">
        <v>0.035</v>
      </c>
      <c r="AG674" s="3">
        <v>0.068</v>
      </c>
      <c r="AH674" s="3">
        <v>0.22</v>
      </c>
      <c r="AI674" s="3" t="s">
        <v>1394</v>
      </c>
      <c r="AJ674" s="3">
        <v>-10.884</v>
      </c>
      <c r="AK674" s="3" t="s">
        <v>1624</v>
      </c>
      <c r="AL674" s="3" t="s">
        <v>1394</v>
      </c>
      <c r="AM674" s="3" t="s">
        <v>1548</v>
      </c>
    </row>
    <row r="675" ht="15.75" customHeight="1">
      <c r="A675" s="3">
        <v>1.7304E12</v>
      </c>
      <c r="B675" s="3">
        <v>12.0</v>
      </c>
      <c r="C675" s="3" t="s">
        <v>466</v>
      </c>
      <c r="D675" s="3" t="s">
        <v>1369</v>
      </c>
      <c r="E675" s="3" t="s">
        <v>466</v>
      </c>
      <c r="F675" s="3">
        <v>1.0</v>
      </c>
      <c r="G675" s="3">
        <v>1.0</v>
      </c>
      <c r="H675" s="3">
        <v>1.0</v>
      </c>
      <c r="I675" s="3">
        <v>0.0</v>
      </c>
      <c r="J675" s="3">
        <v>1.0</v>
      </c>
      <c r="K675" s="3">
        <v>1.0</v>
      </c>
      <c r="L675" s="3">
        <v>1.0</v>
      </c>
      <c r="M675" s="3">
        <v>1.0</v>
      </c>
      <c r="N675" s="3">
        <v>1.0</v>
      </c>
      <c r="O675" s="3">
        <v>1.0</v>
      </c>
      <c r="P675" s="3">
        <v>0.0</v>
      </c>
      <c r="Q675" s="3">
        <v>0.0</v>
      </c>
      <c r="R675" s="3">
        <v>0.0</v>
      </c>
      <c r="S675" s="3">
        <v>0.0</v>
      </c>
      <c r="T675" s="3">
        <v>1.0</v>
      </c>
      <c r="U675" s="3">
        <v>1.0</v>
      </c>
      <c r="V675" s="3">
        <v>1.0</v>
      </c>
      <c r="W675" s="3" t="s">
        <v>317</v>
      </c>
      <c r="X675" s="3" t="s">
        <v>1600</v>
      </c>
      <c r="Y675" s="3" t="s">
        <v>1601</v>
      </c>
      <c r="Z675" s="3" t="s">
        <v>2282</v>
      </c>
      <c r="AA675" s="3" t="s">
        <v>1407</v>
      </c>
      <c r="AB675" s="3" t="s">
        <v>1374</v>
      </c>
      <c r="AC675" s="3" t="s">
        <v>1400</v>
      </c>
      <c r="AD675" s="3" t="s">
        <v>1408</v>
      </c>
      <c r="AE675" s="3" t="s">
        <v>1602</v>
      </c>
      <c r="AF675" s="3">
        <v>0.032</v>
      </c>
      <c r="AG675" s="3">
        <v>0.101</v>
      </c>
      <c r="AH675" s="3">
        <v>0.171</v>
      </c>
      <c r="AI675" s="3">
        <v>7.992</v>
      </c>
      <c r="AJ675" s="3">
        <v>-0.158</v>
      </c>
      <c r="AK675" s="3" t="s">
        <v>1890</v>
      </c>
      <c r="AL675" s="3">
        <v>0.215</v>
      </c>
      <c r="AM675" s="3" t="s">
        <v>1411</v>
      </c>
    </row>
    <row r="676" ht="15.75" customHeight="1">
      <c r="A676" s="3">
        <v>1.73032E12</v>
      </c>
      <c r="B676" s="3">
        <v>12.0</v>
      </c>
      <c r="C676" s="3" t="s">
        <v>316</v>
      </c>
      <c r="D676" s="3" t="s">
        <v>1369</v>
      </c>
      <c r="E676" s="3" t="s">
        <v>316</v>
      </c>
      <c r="F676" s="3">
        <v>1.0</v>
      </c>
      <c r="G676" s="3">
        <v>1.0</v>
      </c>
      <c r="H676" s="3">
        <v>1.0</v>
      </c>
      <c r="I676" s="3">
        <v>1.0</v>
      </c>
      <c r="J676" s="3">
        <v>1.0</v>
      </c>
      <c r="K676" s="3">
        <v>1.0</v>
      </c>
      <c r="L676" s="3">
        <v>1.0</v>
      </c>
      <c r="M676" s="3">
        <v>1.0</v>
      </c>
      <c r="N676" s="3">
        <v>1.0</v>
      </c>
      <c r="O676" s="3">
        <v>1.0</v>
      </c>
      <c r="P676" s="3">
        <v>1.0</v>
      </c>
      <c r="Q676" s="3">
        <v>0.0</v>
      </c>
      <c r="R676" s="3">
        <v>0.0</v>
      </c>
      <c r="S676" s="3">
        <v>0.0</v>
      </c>
      <c r="T676" s="3">
        <v>0.0</v>
      </c>
      <c r="U676" s="3">
        <v>0.0</v>
      </c>
      <c r="V676" s="3">
        <v>1.0</v>
      </c>
      <c r="W676" s="3" t="s">
        <v>61</v>
      </c>
      <c r="X676" s="3" t="s">
        <v>1600</v>
      </c>
      <c r="Y676" s="3" t="s">
        <v>1601</v>
      </c>
      <c r="Z676" s="3" t="s">
        <v>1449</v>
      </c>
      <c r="AA676" s="3" t="s">
        <v>1407</v>
      </c>
      <c r="AB676" s="3" t="s">
        <v>1374</v>
      </c>
      <c r="AC676" s="3" t="s">
        <v>1400</v>
      </c>
      <c r="AD676" s="3" t="s">
        <v>1408</v>
      </c>
      <c r="AE676" s="3" t="s">
        <v>1602</v>
      </c>
      <c r="AF676" s="3">
        <v>0.034</v>
      </c>
      <c r="AG676" s="3">
        <v>0.1</v>
      </c>
      <c r="AH676" s="3">
        <v>0.19</v>
      </c>
      <c r="AI676" s="3">
        <v>130.331</v>
      </c>
      <c r="AJ676" s="3">
        <v>0.402</v>
      </c>
      <c r="AK676" s="3" t="s">
        <v>2283</v>
      </c>
      <c r="AL676" s="3">
        <v>0.596</v>
      </c>
      <c r="AM676" s="3" t="s">
        <v>1411</v>
      </c>
    </row>
    <row r="677" ht="15.75" customHeight="1">
      <c r="A677" s="3">
        <v>1.73031E12</v>
      </c>
      <c r="B677" s="3">
        <v>17.0</v>
      </c>
      <c r="C677" s="3" t="s">
        <v>916</v>
      </c>
      <c r="D677" s="3" t="s">
        <v>1369</v>
      </c>
      <c r="E677" s="3" t="s">
        <v>916</v>
      </c>
      <c r="F677" s="3">
        <v>1.0</v>
      </c>
      <c r="G677" s="3">
        <v>1.0</v>
      </c>
      <c r="H677" s="3">
        <v>1.0</v>
      </c>
      <c r="I677" s="3">
        <v>1.0</v>
      </c>
      <c r="J677" s="3">
        <v>1.0</v>
      </c>
      <c r="K677" s="3">
        <v>1.0</v>
      </c>
      <c r="L677" s="3">
        <v>1.0</v>
      </c>
      <c r="M677" s="3">
        <v>1.0</v>
      </c>
      <c r="N677" s="3">
        <v>1.0</v>
      </c>
      <c r="O677" s="3">
        <v>1.0</v>
      </c>
      <c r="P677" s="3">
        <v>1.0</v>
      </c>
      <c r="Q677" s="3">
        <v>1.0</v>
      </c>
      <c r="R677" s="3">
        <v>1.0</v>
      </c>
      <c r="S677" s="3">
        <v>1.0</v>
      </c>
      <c r="T677" s="3">
        <v>1.0</v>
      </c>
      <c r="U677" s="3">
        <v>1.0</v>
      </c>
      <c r="V677" s="3">
        <v>1.0</v>
      </c>
      <c r="W677" s="3" t="s">
        <v>1272</v>
      </c>
      <c r="X677" s="3" t="s">
        <v>1388</v>
      </c>
      <c r="Y677" s="3" t="s">
        <v>1389</v>
      </c>
      <c r="Z677" s="3" t="s">
        <v>1372</v>
      </c>
      <c r="AA677" s="3" t="s">
        <v>1390</v>
      </c>
      <c r="AB677" s="3" t="s">
        <v>1374</v>
      </c>
      <c r="AC677" s="3" t="s">
        <v>1391</v>
      </c>
      <c r="AD677" s="3" t="s">
        <v>1392</v>
      </c>
      <c r="AE677" s="3" t="s">
        <v>1393</v>
      </c>
      <c r="AF677" s="3">
        <v>0.071</v>
      </c>
      <c r="AG677" s="3">
        <v>1.031</v>
      </c>
      <c r="AH677" s="3">
        <v>0.335</v>
      </c>
      <c r="AI677" s="3">
        <v>294.676</v>
      </c>
      <c r="AJ677" s="3">
        <v>13.719</v>
      </c>
      <c r="AK677" s="3" t="s">
        <v>1917</v>
      </c>
      <c r="AL677" s="3">
        <v>0.098</v>
      </c>
      <c r="AM677" s="3" t="s">
        <v>1396</v>
      </c>
    </row>
    <row r="678" ht="15.75" customHeight="1">
      <c r="A678" s="3">
        <v>1.7303E12</v>
      </c>
      <c r="B678" s="3">
        <v>17.0</v>
      </c>
      <c r="C678" s="3" t="s">
        <v>426</v>
      </c>
      <c r="D678" s="3" t="s">
        <v>1369</v>
      </c>
      <c r="E678" s="3" t="s">
        <v>426</v>
      </c>
      <c r="F678" s="3">
        <v>1.0</v>
      </c>
      <c r="G678" s="3">
        <v>1.0</v>
      </c>
      <c r="H678" s="3">
        <v>1.0</v>
      </c>
      <c r="I678" s="3">
        <v>1.0</v>
      </c>
      <c r="J678" s="3">
        <v>1.0</v>
      </c>
      <c r="K678" s="3">
        <v>1.0</v>
      </c>
      <c r="L678" s="3">
        <v>1.0</v>
      </c>
      <c r="M678" s="3">
        <v>1.0</v>
      </c>
      <c r="N678" s="3">
        <v>1.0</v>
      </c>
      <c r="O678" s="3">
        <v>1.0</v>
      </c>
      <c r="P678" s="3">
        <v>1.0</v>
      </c>
      <c r="Q678" s="3">
        <v>1.0</v>
      </c>
      <c r="R678" s="3">
        <v>1.0</v>
      </c>
      <c r="S678" s="3">
        <v>1.0</v>
      </c>
      <c r="T678" s="3">
        <v>1.0</v>
      </c>
      <c r="U678" s="3">
        <v>1.0</v>
      </c>
      <c r="V678" s="3">
        <v>1.0</v>
      </c>
      <c r="W678" s="3" t="s">
        <v>1267</v>
      </c>
      <c r="X678" s="3" t="s">
        <v>1447</v>
      </c>
      <c r="Y678" s="3" t="s">
        <v>1448</v>
      </c>
      <c r="Z678" s="3" t="s">
        <v>1372</v>
      </c>
      <c r="AA678" s="3" t="s">
        <v>1450</v>
      </c>
      <c r="AB678" s="3" t="s">
        <v>1374</v>
      </c>
      <c r="AC678" s="3" t="s">
        <v>1451</v>
      </c>
      <c r="AD678" s="3" t="s">
        <v>1452</v>
      </c>
      <c r="AE678" s="3" t="s">
        <v>1453</v>
      </c>
      <c r="AF678" s="3">
        <v>0.035</v>
      </c>
      <c r="AG678" s="3">
        <v>0.227</v>
      </c>
      <c r="AH678" s="3" t="s">
        <v>1394</v>
      </c>
      <c r="AI678" s="3" t="s">
        <v>1394</v>
      </c>
      <c r="AJ678" s="3">
        <v>6.706</v>
      </c>
      <c r="AK678" s="3" t="s">
        <v>1599</v>
      </c>
      <c r="AL678" s="3" t="s">
        <v>1394</v>
      </c>
      <c r="AM678" s="3" t="s">
        <v>1455</v>
      </c>
    </row>
    <row r="679" ht="15.75" customHeight="1">
      <c r="A679" s="3">
        <v>1.73029E12</v>
      </c>
      <c r="B679" s="3">
        <v>17.0</v>
      </c>
      <c r="C679" s="3" t="s">
        <v>100</v>
      </c>
      <c r="D679" s="3" t="s">
        <v>1369</v>
      </c>
      <c r="E679" s="3" t="s">
        <v>100</v>
      </c>
      <c r="F679" s="3">
        <v>1.0</v>
      </c>
      <c r="G679" s="3">
        <v>1.0</v>
      </c>
      <c r="H679" s="3">
        <v>1.0</v>
      </c>
      <c r="I679" s="3">
        <v>1.0</v>
      </c>
      <c r="J679" s="3">
        <v>1.0</v>
      </c>
      <c r="K679" s="3">
        <v>1.0</v>
      </c>
      <c r="L679" s="3">
        <v>1.0</v>
      </c>
      <c r="M679" s="3">
        <v>1.0</v>
      </c>
      <c r="N679" s="3">
        <v>1.0</v>
      </c>
      <c r="O679" s="3">
        <v>1.0</v>
      </c>
      <c r="P679" s="3">
        <v>1.0</v>
      </c>
      <c r="Q679" s="3">
        <v>1.0</v>
      </c>
      <c r="R679" s="3">
        <v>1.0</v>
      </c>
      <c r="S679" s="3">
        <v>1.0</v>
      </c>
      <c r="T679" s="3">
        <v>1.0</v>
      </c>
      <c r="U679" s="3">
        <v>1.0</v>
      </c>
      <c r="V679" s="3">
        <v>1.0</v>
      </c>
      <c r="W679" s="3" t="s">
        <v>1149</v>
      </c>
      <c r="X679" s="3" t="s">
        <v>1634</v>
      </c>
      <c r="Y679" s="3" t="s">
        <v>1635</v>
      </c>
      <c r="Z679" s="3" t="s">
        <v>1372</v>
      </c>
      <c r="AA679" s="3" t="s">
        <v>1814</v>
      </c>
      <c r="AB679" s="3" t="s">
        <v>1374</v>
      </c>
      <c r="AC679" s="3" t="s">
        <v>1391</v>
      </c>
      <c r="AD679" s="3" t="s">
        <v>1680</v>
      </c>
      <c r="AE679" s="3" t="s">
        <v>1637</v>
      </c>
      <c r="AF679" s="3">
        <v>0.046</v>
      </c>
      <c r="AG679" s="3">
        <v>1.45</v>
      </c>
      <c r="AH679" s="3">
        <v>0.304</v>
      </c>
      <c r="AI679" s="3">
        <v>221.429</v>
      </c>
      <c r="AJ679" s="3">
        <v>37.022</v>
      </c>
      <c r="AK679" s="3" t="s">
        <v>1828</v>
      </c>
      <c r="AL679" s="3">
        <v>0.077</v>
      </c>
      <c r="AM679" s="3" t="s">
        <v>1469</v>
      </c>
    </row>
    <row r="680" ht="15.75" customHeight="1">
      <c r="A680" s="3">
        <v>1.7303E12</v>
      </c>
      <c r="B680" s="3">
        <v>17.0</v>
      </c>
      <c r="C680" s="3" t="s">
        <v>820</v>
      </c>
      <c r="D680" s="3" t="s">
        <v>1369</v>
      </c>
      <c r="E680" s="3" t="s">
        <v>820</v>
      </c>
      <c r="F680" s="3">
        <v>1.0</v>
      </c>
      <c r="G680" s="3">
        <v>1.0</v>
      </c>
      <c r="H680" s="3">
        <v>1.0</v>
      </c>
      <c r="I680" s="3">
        <v>1.0</v>
      </c>
      <c r="J680" s="3">
        <v>1.0</v>
      </c>
      <c r="K680" s="3">
        <v>1.0</v>
      </c>
      <c r="L680" s="3">
        <v>1.0</v>
      </c>
      <c r="M680" s="3">
        <v>1.0</v>
      </c>
      <c r="N680" s="3">
        <v>1.0</v>
      </c>
      <c r="O680" s="3">
        <v>1.0</v>
      </c>
      <c r="P680" s="3">
        <v>1.0</v>
      </c>
      <c r="Q680" s="3">
        <v>1.0</v>
      </c>
      <c r="R680" s="3">
        <v>1.0</v>
      </c>
      <c r="S680" s="3">
        <v>1.0</v>
      </c>
      <c r="T680" s="3">
        <v>1.0</v>
      </c>
      <c r="U680" s="3">
        <v>1.0</v>
      </c>
      <c r="V680" s="3">
        <v>1.0</v>
      </c>
      <c r="W680" s="3" t="s">
        <v>1006</v>
      </c>
      <c r="X680" s="3" t="s">
        <v>1379</v>
      </c>
      <c r="Y680" s="3" t="s">
        <v>1380</v>
      </c>
      <c r="Z680" s="3" t="s">
        <v>1372</v>
      </c>
      <c r="AA680" s="3" t="s">
        <v>1382</v>
      </c>
      <c r="AB680" s="3" t="s">
        <v>1374</v>
      </c>
      <c r="AC680" s="3" t="s">
        <v>1400</v>
      </c>
      <c r="AD680" s="3" t="s">
        <v>1425</v>
      </c>
      <c r="AE680" s="3" t="s">
        <v>1385</v>
      </c>
      <c r="AF680" s="3">
        <v>0.191</v>
      </c>
      <c r="AG680" s="3">
        <v>2.348</v>
      </c>
      <c r="AH680" s="3">
        <v>0.197</v>
      </c>
      <c r="AI680" s="3">
        <v>64.499</v>
      </c>
      <c r="AJ680" s="3">
        <v>0.269</v>
      </c>
      <c r="AK680" s="3" t="s">
        <v>1857</v>
      </c>
      <c r="AL680" s="3">
        <v>0.192</v>
      </c>
      <c r="AM680" s="3" t="s">
        <v>1387</v>
      </c>
    </row>
    <row r="681" ht="15.75" customHeight="1">
      <c r="A681" s="3">
        <v>1.7304E12</v>
      </c>
      <c r="B681" s="3">
        <v>12.0</v>
      </c>
      <c r="C681" s="3" t="s">
        <v>814</v>
      </c>
      <c r="D681" s="3" t="s">
        <v>1369</v>
      </c>
      <c r="E681" s="3" t="s">
        <v>814</v>
      </c>
      <c r="F681" s="3">
        <v>1.0</v>
      </c>
      <c r="G681" s="3">
        <v>1.0</v>
      </c>
      <c r="H681" s="3">
        <v>1.0</v>
      </c>
      <c r="I681" s="3">
        <v>1.0</v>
      </c>
      <c r="J681" s="3">
        <v>1.0</v>
      </c>
      <c r="K681" s="3">
        <v>1.0</v>
      </c>
      <c r="L681" s="3">
        <v>1.0</v>
      </c>
      <c r="M681" s="3">
        <v>1.0</v>
      </c>
      <c r="N681" s="3">
        <v>1.0</v>
      </c>
      <c r="O681" s="3">
        <v>1.0</v>
      </c>
      <c r="P681" s="3">
        <v>1.0</v>
      </c>
      <c r="Q681" s="3">
        <v>0.0</v>
      </c>
      <c r="R681" s="3">
        <v>0.0</v>
      </c>
      <c r="S681" s="3">
        <v>0.0</v>
      </c>
      <c r="T681" s="3">
        <v>0.0</v>
      </c>
      <c r="U681" s="3">
        <v>0.0</v>
      </c>
      <c r="V681" s="3">
        <v>1.0</v>
      </c>
      <c r="W681" s="3" t="s">
        <v>588</v>
      </c>
      <c r="X681" s="3" t="s">
        <v>1447</v>
      </c>
      <c r="Y681" s="3" t="s">
        <v>1448</v>
      </c>
      <c r="Z681" s="3" t="s">
        <v>1449</v>
      </c>
      <c r="AA681" s="3" t="s">
        <v>1450</v>
      </c>
      <c r="AB681" s="3" t="s">
        <v>1374</v>
      </c>
      <c r="AC681" s="3" t="s">
        <v>1451</v>
      </c>
      <c r="AD681" s="3" t="s">
        <v>1452</v>
      </c>
      <c r="AE681" s="3" t="s">
        <v>1453</v>
      </c>
      <c r="AF681" s="3">
        <v>0.033</v>
      </c>
      <c r="AG681" s="3">
        <v>0.217</v>
      </c>
      <c r="AH681" s="3">
        <v>0.374</v>
      </c>
      <c r="AI681" s="3">
        <v>48.73</v>
      </c>
      <c r="AK681" s="3" t="s">
        <v>2284</v>
      </c>
      <c r="AL681" s="3">
        <v>0.181</v>
      </c>
      <c r="AM681" s="3" t="s">
        <v>1455</v>
      </c>
    </row>
    <row r="682" ht="15.75" customHeight="1">
      <c r="A682" s="3">
        <v>1.73036E12</v>
      </c>
      <c r="B682" s="3">
        <v>0.0</v>
      </c>
      <c r="C682" s="3" t="s">
        <v>2285</v>
      </c>
      <c r="D682" s="3" t="s">
        <v>1369</v>
      </c>
      <c r="E682" s="3" t="s">
        <v>2285</v>
      </c>
      <c r="F682" s="3">
        <v>0.0</v>
      </c>
      <c r="G682" s="3">
        <v>0.0</v>
      </c>
      <c r="H682" s="3">
        <v>0.0</v>
      </c>
      <c r="I682" s="3">
        <v>0.0</v>
      </c>
      <c r="J682" s="3">
        <v>0.0</v>
      </c>
      <c r="K682" s="3">
        <v>0.0</v>
      </c>
      <c r="L682" s="3">
        <v>0.0</v>
      </c>
      <c r="M682" s="3">
        <v>0.0</v>
      </c>
      <c r="N682" s="3">
        <v>0.0</v>
      </c>
      <c r="O682" s="3">
        <v>0.0</v>
      </c>
      <c r="P682" s="3">
        <v>0.0</v>
      </c>
      <c r="Q682" s="3">
        <v>0.0</v>
      </c>
      <c r="R682" s="3">
        <v>0.0</v>
      </c>
      <c r="S682" s="3">
        <v>0.0</v>
      </c>
      <c r="T682" s="3">
        <v>0.0</v>
      </c>
      <c r="U682" s="3">
        <v>0.0</v>
      </c>
      <c r="V682" s="3">
        <v>0.0</v>
      </c>
      <c r="X682" s="3" t="s">
        <v>1563</v>
      </c>
      <c r="Y682" s="3" t="s">
        <v>1564</v>
      </c>
      <c r="Z682" s="3" t="s">
        <v>1372</v>
      </c>
      <c r="AA682" s="3" t="s">
        <v>2013</v>
      </c>
      <c r="AB682" s="3" t="s">
        <v>1391</v>
      </c>
      <c r="AC682" s="3" t="s">
        <v>1391</v>
      </c>
      <c r="AD682" s="3" t="s">
        <v>1524</v>
      </c>
      <c r="AE682" s="3" t="s">
        <v>1837</v>
      </c>
      <c r="AF682" s="3">
        <v>0.345</v>
      </c>
      <c r="AG682" s="3">
        <v>0.674</v>
      </c>
      <c r="AJ682" s="3">
        <v>0.0</v>
      </c>
      <c r="AK682" s="3" t="s">
        <v>2286</v>
      </c>
      <c r="AL682" s="3">
        <v>0.0</v>
      </c>
    </row>
    <row r="683" ht="15.75" customHeight="1">
      <c r="A683" s="3">
        <v>1.73033E12</v>
      </c>
      <c r="B683" s="3">
        <v>14.0</v>
      </c>
      <c r="C683" s="3" t="s">
        <v>2287</v>
      </c>
      <c r="D683" s="3" t="s">
        <v>1369</v>
      </c>
      <c r="E683" s="3" t="s">
        <v>2287</v>
      </c>
      <c r="F683" s="3">
        <v>1.0</v>
      </c>
      <c r="G683" s="3">
        <v>1.0</v>
      </c>
      <c r="H683" s="3">
        <v>1.0</v>
      </c>
      <c r="I683" s="3">
        <v>1.0</v>
      </c>
      <c r="J683" s="3">
        <v>1.0</v>
      </c>
      <c r="K683" s="3">
        <v>1.0</v>
      </c>
      <c r="L683" s="3">
        <v>1.0</v>
      </c>
      <c r="M683" s="3">
        <v>1.0</v>
      </c>
      <c r="N683" s="3">
        <v>1.0</v>
      </c>
      <c r="O683" s="3">
        <v>1.0</v>
      </c>
      <c r="P683" s="3">
        <v>1.0</v>
      </c>
      <c r="Q683" s="3">
        <v>0.0</v>
      </c>
      <c r="R683" s="3">
        <v>0.0</v>
      </c>
      <c r="S683" s="3">
        <v>1.0</v>
      </c>
      <c r="T683" s="3">
        <v>1.0</v>
      </c>
      <c r="U683" s="3">
        <v>0.0</v>
      </c>
      <c r="V683" s="3">
        <v>1.0</v>
      </c>
      <c r="W683" s="3" t="s">
        <v>121</v>
      </c>
      <c r="X683" s="3" t="s">
        <v>1483</v>
      </c>
      <c r="Y683" s="3" t="s">
        <v>1484</v>
      </c>
      <c r="Z683" s="3" t="s">
        <v>1372</v>
      </c>
      <c r="AA683" s="3" t="s">
        <v>1373</v>
      </c>
      <c r="AB683" s="3" t="s">
        <v>1374</v>
      </c>
      <c r="AC683" s="3" t="s">
        <v>1374</v>
      </c>
      <c r="AD683" s="3" t="s">
        <v>1485</v>
      </c>
      <c r="AE683" s="3" t="s">
        <v>1486</v>
      </c>
      <c r="AF683" s="3">
        <v>0.017</v>
      </c>
      <c r="AG683" s="3">
        <v>0.29</v>
      </c>
      <c r="AH683" s="3">
        <v>0.404</v>
      </c>
      <c r="AI683" s="3">
        <v>47.114</v>
      </c>
      <c r="AJ683" s="3">
        <v>28.68</v>
      </c>
      <c r="AK683" s="3" t="s">
        <v>1572</v>
      </c>
      <c r="AL683" s="3">
        <v>-0.009</v>
      </c>
      <c r="AM683" s="3" t="s">
        <v>1573</v>
      </c>
    </row>
    <row r="684" ht="15.75" customHeight="1">
      <c r="A684" s="3">
        <v>1.72979E12</v>
      </c>
      <c r="B684" s="3">
        <v>16.0</v>
      </c>
      <c r="C684" s="3" t="s">
        <v>661</v>
      </c>
      <c r="D684" s="3" t="s">
        <v>1369</v>
      </c>
      <c r="E684" s="3" t="s">
        <v>661</v>
      </c>
      <c r="F684" s="3">
        <v>1.0</v>
      </c>
      <c r="G684" s="3">
        <v>1.0</v>
      </c>
      <c r="H684" s="3">
        <v>1.0</v>
      </c>
      <c r="I684" s="3">
        <v>1.0</v>
      </c>
      <c r="J684" s="3">
        <v>1.0</v>
      </c>
      <c r="K684" s="3">
        <v>1.0</v>
      </c>
      <c r="L684" s="3">
        <v>1.0</v>
      </c>
      <c r="M684" s="3">
        <v>1.0</v>
      </c>
      <c r="N684" s="3">
        <v>1.0</v>
      </c>
      <c r="O684" s="3">
        <v>1.0</v>
      </c>
      <c r="P684" s="3">
        <v>1.0</v>
      </c>
      <c r="Q684" s="3">
        <v>1.0</v>
      </c>
      <c r="R684" s="3">
        <v>1.0</v>
      </c>
      <c r="S684" s="3">
        <v>0.0</v>
      </c>
      <c r="T684" s="3">
        <v>1.0</v>
      </c>
      <c r="U684" s="3">
        <v>1.0</v>
      </c>
      <c r="V684" s="3">
        <v>1.0</v>
      </c>
      <c r="W684" s="3" t="s">
        <v>1132</v>
      </c>
      <c r="X684" s="3" t="s">
        <v>1413</v>
      </c>
      <c r="Y684" s="3" t="s">
        <v>1414</v>
      </c>
      <c r="Z684" s="3" t="s">
        <v>1449</v>
      </c>
      <c r="AA684" s="3" t="s">
        <v>1415</v>
      </c>
      <c r="AB684" s="3" t="s">
        <v>1374</v>
      </c>
      <c r="AC684" s="3" t="s">
        <v>1632</v>
      </c>
      <c r="AD684" s="3" t="s">
        <v>1416</v>
      </c>
      <c r="AE684" s="3" t="s">
        <v>1417</v>
      </c>
      <c r="AF684" s="3">
        <v>-0.005</v>
      </c>
      <c r="AG684" s="3">
        <v>-0.054</v>
      </c>
      <c r="AH684" s="3" t="s">
        <v>1394</v>
      </c>
      <c r="AI684" s="3" t="s">
        <v>1394</v>
      </c>
      <c r="AJ684" s="3">
        <v>-42.241</v>
      </c>
      <c r="AK684" s="3" t="s">
        <v>2288</v>
      </c>
      <c r="AL684" s="3" t="s">
        <v>1394</v>
      </c>
      <c r="AM684" s="3" t="s">
        <v>1419</v>
      </c>
    </row>
    <row r="685" ht="15.75" customHeight="1">
      <c r="A685" s="3">
        <v>1.7304E12</v>
      </c>
      <c r="B685" s="3">
        <v>9.0</v>
      </c>
      <c r="C685" s="3" t="s">
        <v>973</v>
      </c>
      <c r="D685" s="3" t="s">
        <v>1369</v>
      </c>
      <c r="E685" s="3" t="s">
        <v>973</v>
      </c>
      <c r="F685" s="3">
        <v>1.0</v>
      </c>
      <c r="G685" s="3">
        <v>1.0</v>
      </c>
      <c r="H685" s="3">
        <v>0.0</v>
      </c>
      <c r="I685" s="3">
        <v>1.0</v>
      </c>
      <c r="J685" s="3">
        <v>1.0</v>
      </c>
      <c r="K685" s="3">
        <v>1.0</v>
      </c>
      <c r="L685" s="3">
        <v>1.0</v>
      </c>
      <c r="M685" s="3">
        <v>1.0</v>
      </c>
      <c r="N685" s="3">
        <v>0.0</v>
      </c>
      <c r="O685" s="3">
        <v>0.0</v>
      </c>
      <c r="P685" s="3">
        <v>0.0</v>
      </c>
      <c r="Q685" s="3">
        <v>1.0</v>
      </c>
      <c r="R685" s="3">
        <v>0.0</v>
      </c>
      <c r="S685" s="3">
        <v>0.0</v>
      </c>
      <c r="T685" s="3">
        <v>1.0</v>
      </c>
      <c r="U685" s="3">
        <v>0.0</v>
      </c>
      <c r="V685" s="3">
        <v>0.0</v>
      </c>
      <c r="W685" s="3" t="s">
        <v>166</v>
      </c>
      <c r="X685" s="3" t="s">
        <v>1590</v>
      </c>
      <c r="Y685" s="3" t="s">
        <v>1394</v>
      </c>
      <c r="Z685" s="3" t="s">
        <v>1423</v>
      </c>
      <c r="AA685" s="3" t="s">
        <v>1593</v>
      </c>
      <c r="AB685" s="3" t="s">
        <v>1374</v>
      </c>
      <c r="AC685" s="3" t="s">
        <v>1374</v>
      </c>
      <c r="AD685" s="3" t="s">
        <v>1625</v>
      </c>
      <c r="AE685" s="3" t="s">
        <v>1595</v>
      </c>
      <c r="AF685" s="3">
        <v>0.188</v>
      </c>
      <c r="AG685" s="3">
        <v>2.242</v>
      </c>
      <c r="AH685" s="3">
        <v>0.38</v>
      </c>
      <c r="AI685" s="3">
        <v>-45.901</v>
      </c>
      <c r="AJ685" s="3">
        <v>7.35</v>
      </c>
      <c r="AK685" s="3" t="s">
        <v>1626</v>
      </c>
      <c r="AL685" s="3">
        <v>-0.409</v>
      </c>
    </row>
    <row r="686" ht="15.75" customHeight="1">
      <c r="A686" s="3">
        <v>1.73039E12</v>
      </c>
      <c r="B686" s="3">
        <v>12.0</v>
      </c>
      <c r="C686" s="3" t="s">
        <v>2289</v>
      </c>
      <c r="D686" s="3" t="s">
        <v>1369</v>
      </c>
      <c r="E686" s="3" t="s">
        <v>2289</v>
      </c>
      <c r="F686" s="3">
        <v>1.0</v>
      </c>
      <c r="G686" s="3">
        <v>1.0</v>
      </c>
      <c r="H686" s="3">
        <v>1.0</v>
      </c>
      <c r="I686" s="3">
        <v>1.0</v>
      </c>
      <c r="J686" s="3">
        <v>1.0</v>
      </c>
      <c r="K686" s="3">
        <v>1.0</v>
      </c>
      <c r="L686" s="3">
        <v>1.0</v>
      </c>
      <c r="M686" s="3">
        <v>1.0</v>
      </c>
      <c r="N686" s="3">
        <v>1.0</v>
      </c>
      <c r="O686" s="3">
        <v>1.0</v>
      </c>
      <c r="P686" s="3">
        <v>1.0</v>
      </c>
      <c r="Q686" s="3">
        <v>0.0</v>
      </c>
      <c r="R686" s="3">
        <v>0.0</v>
      </c>
      <c r="S686" s="3">
        <v>0.0</v>
      </c>
      <c r="T686" s="3">
        <v>1.0</v>
      </c>
      <c r="U686" s="3">
        <v>0.0</v>
      </c>
      <c r="V686" s="3">
        <v>0.0</v>
      </c>
      <c r="W686" s="3" t="s">
        <v>938</v>
      </c>
      <c r="X686" s="3" t="s">
        <v>1529</v>
      </c>
      <c r="Y686" s="3" t="s">
        <v>1530</v>
      </c>
      <c r="Z686" s="3" t="s">
        <v>1449</v>
      </c>
      <c r="AA686" s="3" t="s">
        <v>1531</v>
      </c>
      <c r="AB686" s="3" t="s">
        <v>1374</v>
      </c>
      <c r="AC686" s="3" t="s">
        <v>1391</v>
      </c>
      <c r="AD686" s="3" t="s">
        <v>1532</v>
      </c>
      <c r="AE686" s="3" t="s">
        <v>1533</v>
      </c>
      <c r="AF686" s="3">
        <v>0.084</v>
      </c>
      <c r="AG686" s="3">
        <v>1.813</v>
      </c>
      <c r="AH686" s="3">
        <v>0.359</v>
      </c>
      <c r="AI686" s="3">
        <v>-860.283</v>
      </c>
      <c r="AJ686" s="3">
        <v>-4.916</v>
      </c>
      <c r="AK686" s="3" t="s">
        <v>1630</v>
      </c>
      <c r="AL686" s="3">
        <v>-0.045</v>
      </c>
      <c r="AM686" s="3" t="s">
        <v>1919</v>
      </c>
    </row>
    <row r="687" ht="15.75" customHeight="1">
      <c r="A687" s="3">
        <v>1.73037E12</v>
      </c>
      <c r="B687" s="3">
        <v>13.0</v>
      </c>
      <c r="C687" s="3" t="s">
        <v>307</v>
      </c>
      <c r="D687" s="3" t="s">
        <v>1369</v>
      </c>
      <c r="E687" s="3" t="s">
        <v>307</v>
      </c>
      <c r="F687" s="3">
        <v>1.0</v>
      </c>
      <c r="G687" s="3">
        <v>1.0</v>
      </c>
      <c r="H687" s="3">
        <v>1.0</v>
      </c>
      <c r="I687" s="3">
        <v>1.0</v>
      </c>
      <c r="J687" s="3">
        <v>1.0</v>
      </c>
      <c r="K687" s="3">
        <v>1.0</v>
      </c>
      <c r="L687" s="3">
        <v>1.0</v>
      </c>
      <c r="M687" s="3">
        <v>1.0</v>
      </c>
      <c r="N687" s="3">
        <v>1.0</v>
      </c>
      <c r="O687" s="3">
        <v>1.0</v>
      </c>
      <c r="P687" s="3">
        <v>1.0</v>
      </c>
      <c r="Q687" s="3">
        <v>0.0</v>
      </c>
      <c r="R687" s="3">
        <v>0.0</v>
      </c>
      <c r="S687" s="3">
        <v>0.0</v>
      </c>
      <c r="T687" s="3">
        <v>1.0</v>
      </c>
      <c r="U687" s="3">
        <v>0.0</v>
      </c>
      <c r="V687" s="3">
        <v>1.0</v>
      </c>
      <c r="W687" s="3" t="s">
        <v>488</v>
      </c>
      <c r="X687" s="3" t="s">
        <v>1379</v>
      </c>
      <c r="Y687" s="3" t="s">
        <v>1380</v>
      </c>
      <c r="Z687" s="3" t="s">
        <v>1372</v>
      </c>
      <c r="AA687" s="3" t="s">
        <v>1382</v>
      </c>
      <c r="AB687" s="3" t="s">
        <v>1374</v>
      </c>
      <c r="AC687" s="3" t="s">
        <v>1400</v>
      </c>
      <c r="AD687" s="3" t="s">
        <v>1425</v>
      </c>
      <c r="AE687" s="3" t="s">
        <v>1385</v>
      </c>
      <c r="AF687" s="3">
        <v>0.191</v>
      </c>
      <c r="AG687" s="3">
        <v>2.348</v>
      </c>
      <c r="AH687" s="3">
        <v>0.197</v>
      </c>
      <c r="AI687" s="3">
        <v>64.516</v>
      </c>
      <c r="AJ687" s="3">
        <v>0.27</v>
      </c>
      <c r="AK687" s="3" t="s">
        <v>1503</v>
      </c>
      <c r="AL687" s="3">
        <v>0.192</v>
      </c>
      <c r="AM687" s="3" t="s">
        <v>1387</v>
      </c>
    </row>
    <row r="688" ht="15.75" customHeight="1">
      <c r="A688" s="3">
        <v>1.73036E12</v>
      </c>
      <c r="B688" s="3">
        <v>17.0</v>
      </c>
      <c r="C688" s="3" t="s">
        <v>602</v>
      </c>
      <c r="D688" s="3" t="s">
        <v>1369</v>
      </c>
      <c r="E688" s="3" t="s">
        <v>602</v>
      </c>
      <c r="F688" s="3">
        <v>1.0</v>
      </c>
      <c r="G688" s="3">
        <v>1.0</v>
      </c>
      <c r="H688" s="3">
        <v>1.0</v>
      </c>
      <c r="I688" s="3">
        <v>1.0</v>
      </c>
      <c r="J688" s="3">
        <v>1.0</v>
      </c>
      <c r="K688" s="3">
        <v>1.0</v>
      </c>
      <c r="L688" s="3">
        <v>1.0</v>
      </c>
      <c r="M688" s="3">
        <v>1.0</v>
      </c>
      <c r="N688" s="3">
        <v>1.0</v>
      </c>
      <c r="O688" s="3">
        <v>1.0</v>
      </c>
      <c r="P688" s="3">
        <v>1.0</v>
      </c>
      <c r="Q688" s="3">
        <v>1.0</v>
      </c>
      <c r="R688" s="3">
        <v>1.0</v>
      </c>
      <c r="S688" s="3">
        <v>1.0</v>
      </c>
      <c r="T688" s="3">
        <v>1.0</v>
      </c>
      <c r="U688" s="3">
        <v>1.0</v>
      </c>
      <c r="V688" s="3">
        <v>1.0</v>
      </c>
      <c r="W688" s="3" t="s">
        <v>1256</v>
      </c>
      <c r="X688" s="3" t="s">
        <v>1429</v>
      </c>
      <c r="Y688" s="3" t="s">
        <v>1430</v>
      </c>
      <c r="Z688" s="3" t="s">
        <v>1423</v>
      </c>
      <c r="AA688" s="3" t="s">
        <v>1432</v>
      </c>
      <c r="AB688" s="3" t="s">
        <v>1374</v>
      </c>
      <c r="AC688" s="3" t="s">
        <v>1391</v>
      </c>
      <c r="AD688" s="3" t="s">
        <v>1433</v>
      </c>
      <c r="AE688" s="3" t="s">
        <v>1434</v>
      </c>
      <c r="AF688" s="3">
        <v>0.168</v>
      </c>
      <c r="AG688" s="3">
        <v>1.191</v>
      </c>
      <c r="AH688" s="3">
        <v>0.324</v>
      </c>
      <c r="AI688" s="3">
        <v>112.121</v>
      </c>
      <c r="AJ688" s="3">
        <v>-5.304</v>
      </c>
      <c r="AK688" s="3" t="s">
        <v>1481</v>
      </c>
      <c r="AL688" s="3">
        <v>0.113</v>
      </c>
      <c r="AM688" s="3" t="s">
        <v>1436</v>
      </c>
    </row>
    <row r="689" ht="15.75" customHeight="1">
      <c r="A689" s="3">
        <v>1.7304E12</v>
      </c>
      <c r="B689" s="3">
        <v>16.0</v>
      </c>
      <c r="C689" s="3" t="s">
        <v>708</v>
      </c>
      <c r="D689" s="3" t="s">
        <v>1369</v>
      </c>
      <c r="E689" s="3" t="s">
        <v>708</v>
      </c>
      <c r="F689" s="3">
        <v>1.0</v>
      </c>
      <c r="G689" s="3">
        <v>1.0</v>
      </c>
      <c r="H689" s="3">
        <v>1.0</v>
      </c>
      <c r="I689" s="3">
        <v>1.0</v>
      </c>
      <c r="J689" s="3">
        <v>1.0</v>
      </c>
      <c r="K689" s="3">
        <v>1.0</v>
      </c>
      <c r="L689" s="3">
        <v>1.0</v>
      </c>
      <c r="M689" s="3">
        <v>1.0</v>
      </c>
      <c r="N689" s="3">
        <v>1.0</v>
      </c>
      <c r="O689" s="3">
        <v>1.0</v>
      </c>
      <c r="P689" s="3">
        <v>1.0</v>
      </c>
      <c r="Q689" s="3">
        <v>1.0</v>
      </c>
      <c r="R689" s="3">
        <v>1.0</v>
      </c>
      <c r="S689" s="3">
        <v>0.0</v>
      </c>
      <c r="T689" s="3">
        <v>1.0</v>
      </c>
      <c r="U689" s="3">
        <v>1.0</v>
      </c>
      <c r="V689" s="3">
        <v>1.0</v>
      </c>
      <c r="W689" s="3" t="s">
        <v>1052</v>
      </c>
      <c r="X689" s="3" t="s">
        <v>1476</v>
      </c>
      <c r="Y689" s="3" t="s">
        <v>1477</v>
      </c>
      <c r="Z689" s="3" t="s">
        <v>1449</v>
      </c>
      <c r="AA689" s="3" t="s">
        <v>1415</v>
      </c>
      <c r="AB689" s="3" t="s">
        <v>1374</v>
      </c>
      <c r="AC689" s="3" t="s">
        <v>1374</v>
      </c>
      <c r="AD689" s="3" t="s">
        <v>1500</v>
      </c>
      <c r="AE689" s="3" t="s">
        <v>1479</v>
      </c>
      <c r="AF689" s="3">
        <v>0.033</v>
      </c>
      <c r="AG689" s="3">
        <v>0.656</v>
      </c>
      <c r="AH689" s="3" t="s">
        <v>1394</v>
      </c>
      <c r="AI689" s="3" t="s">
        <v>1394</v>
      </c>
      <c r="AJ689" s="3">
        <v>-11.763</v>
      </c>
      <c r="AK689" s="3" t="s">
        <v>1550</v>
      </c>
      <c r="AL689" s="3" t="s">
        <v>1394</v>
      </c>
      <c r="AM689" s="3" t="s">
        <v>1419</v>
      </c>
    </row>
    <row r="690" ht="15.75" customHeight="1">
      <c r="A690" s="3">
        <v>1.73036E12</v>
      </c>
      <c r="B690" s="3">
        <v>7.0</v>
      </c>
      <c r="C690" s="3" t="s">
        <v>710</v>
      </c>
      <c r="D690" s="3" t="s">
        <v>1369</v>
      </c>
      <c r="E690" s="3" t="s">
        <v>710</v>
      </c>
      <c r="F690" s="3">
        <v>1.0</v>
      </c>
      <c r="G690" s="3">
        <v>0.0</v>
      </c>
      <c r="H690" s="3">
        <v>1.0</v>
      </c>
      <c r="I690" s="3">
        <v>1.0</v>
      </c>
      <c r="J690" s="3">
        <v>1.0</v>
      </c>
      <c r="K690" s="3">
        <v>1.0</v>
      </c>
      <c r="L690" s="3">
        <v>0.0</v>
      </c>
      <c r="M690" s="3">
        <v>1.0</v>
      </c>
      <c r="N690" s="3">
        <v>0.0</v>
      </c>
      <c r="O690" s="3">
        <v>0.0</v>
      </c>
      <c r="P690" s="3">
        <v>0.0</v>
      </c>
      <c r="Q690" s="3">
        <v>0.0</v>
      </c>
      <c r="R690" s="3">
        <v>0.0</v>
      </c>
      <c r="S690" s="3">
        <v>0.0</v>
      </c>
      <c r="T690" s="3">
        <v>0.0</v>
      </c>
      <c r="U690" s="3">
        <v>0.0</v>
      </c>
      <c r="V690" s="3">
        <v>1.0</v>
      </c>
      <c r="W690" s="3" t="s">
        <v>217</v>
      </c>
      <c r="X690" s="3" t="s">
        <v>2290</v>
      </c>
      <c r="Y690" s="3" t="s">
        <v>2291</v>
      </c>
      <c r="Z690" s="3" t="s">
        <v>1372</v>
      </c>
      <c r="AA690" s="3" t="s">
        <v>1373</v>
      </c>
      <c r="AB690" s="3" t="s">
        <v>1374</v>
      </c>
      <c r="AC690" s="3" t="s">
        <v>1391</v>
      </c>
      <c r="AD690" s="3" t="s">
        <v>1485</v>
      </c>
      <c r="AE690" s="3" t="s">
        <v>2292</v>
      </c>
      <c r="AF690" s="3">
        <v>0.045</v>
      </c>
      <c r="AG690" s="3">
        <v>0.281</v>
      </c>
      <c r="AH690" s="3">
        <v>0.388</v>
      </c>
      <c r="AI690" s="3" t="s">
        <v>1519</v>
      </c>
      <c r="AJ690" s="3">
        <v>5.77</v>
      </c>
      <c r="AK690" s="3" t="s">
        <v>2293</v>
      </c>
      <c r="AL690" s="3">
        <v>0.014</v>
      </c>
      <c r="AM690" s="3" t="s">
        <v>1573</v>
      </c>
    </row>
    <row r="691" ht="15.75" customHeight="1">
      <c r="A691" s="3">
        <v>1.73038E12</v>
      </c>
      <c r="B691" s="3">
        <v>15.0</v>
      </c>
      <c r="C691" s="3" t="s">
        <v>592</v>
      </c>
      <c r="D691" s="3" t="s">
        <v>1369</v>
      </c>
      <c r="E691" s="3" t="s">
        <v>592</v>
      </c>
      <c r="F691" s="3">
        <v>1.0</v>
      </c>
      <c r="G691" s="3">
        <v>1.0</v>
      </c>
      <c r="H691" s="3">
        <v>1.0</v>
      </c>
      <c r="I691" s="3">
        <v>1.0</v>
      </c>
      <c r="J691" s="3">
        <v>1.0</v>
      </c>
      <c r="K691" s="3">
        <v>1.0</v>
      </c>
      <c r="L691" s="3">
        <v>1.0</v>
      </c>
      <c r="M691" s="3">
        <v>1.0</v>
      </c>
      <c r="N691" s="3">
        <v>1.0</v>
      </c>
      <c r="O691" s="3">
        <v>1.0</v>
      </c>
      <c r="P691" s="3">
        <v>1.0</v>
      </c>
      <c r="Q691" s="3">
        <v>1.0</v>
      </c>
      <c r="R691" s="3">
        <v>1.0</v>
      </c>
      <c r="S691" s="3">
        <v>0.0</v>
      </c>
      <c r="T691" s="3">
        <v>0.0</v>
      </c>
      <c r="U691" s="3">
        <v>1.0</v>
      </c>
      <c r="V691" s="3">
        <v>1.0</v>
      </c>
      <c r="W691" s="3" t="s">
        <v>836</v>
      </c>
      <c r="X691" s="3" t="s">
        <v>1456</v>
      </c>
      <c r="Y691" s="3" t="s">
        <v>1457</v>
      </c>
      <c r="Z691" s="3" t="s">
        <v>1431</v>
      </c>
      <c r="AA691" s="3" t="s">
        <v>1458</v>
      </c>
      <c r="AB691" s="3" t="s">
        <v>1374</v>
      </c>
      <c r="AC691" s="3" t="s">
        <v>1539</v>
      </c>
      <c r="AD691" s="3" t="s">
        <v>1642</v>
      </c>
      <c r="AE691" s="3" t="s">
        <v>1459</v>
      </c>
      <c r="AF691" s="3">
        <v>0.077</v>
      </c>
      <c r="AG691" s="3">
        <v>0.617</v>
      </c>
      <c r="AH691" s="3" t="s">
        <v>1394</v>
      </c>
      <c r="AI691" s="3" t="s">
        <v>1394</v>
      </c>
      <c r="AJ691" s="3" t="s">
        <v>1394</v>
      </c>
      <c r="AK691" s="3" t="s">
        <v>1394</v>
      </c>
      <c r="AL691" s="3" t="s">
        <v>1394</v>
      </c>
      <c r="AM691" s="3" t="s">
        <v>1461</v>
      </c>
    </row>
    <row r="692" ht="15.75" customHeight="1">
      <c r="A692" s="3">
        <v>1.73037E12</v>
      </c>
      <c r="B692" s="3">
        <v>13.0</v>
      </c>
      <c r="C692" s="3" t="s">
        <v>857</v>
      </c>
      <c r="D692" s="3" t="s">
        <v>1369</v>
      </c>
      <c r="E692" s="3" t="s">
        <v>857</v>
      </c>
      <c r="F692" s="3">
        <v>1.0</v>
      </c>
      <c r="G692" s="3">
        <v>1.0</v>
      </c>
      <c r="H692" s="3">
        <v>1.0</v>
      </c>
      <c r="I692" s="3">
        <v>1.0</v>
      </c>
      <c r="J692" s="3">
        <v>1.0</v>
      </c>
      <c r="K692" s="3">
        <v>1.0</v>
      </c>
      <c r="L692" s="3">
        <v>1.0</v>
      </c>
      <c r="M692" s="3">
        <v>1.0</v>
      </c>
      <c r="N692" s="3">
        <v>1.0</v>
      </c>
      <c r="O692" s="3">
        <v>1.0</v>
      </c>
      <c r="P692" s="3">
        <v>1.0</v>
      </c>
      <c r="Q692" s="3">
        <v>0.0</v>
      </c>
      <c r="R692" s="3">
        <v>0.0</v>
      </c>
      <c r="S692" s="3">
        <v>1.0</v>
      </c>
      <c r="T692" s="3">
        <v>1.0</v>
      </c>
      <c r="U692" s="3">
        <v>0.0</v>
      </c>
      <c r="V692" s="3">
        <v>0.0</v>
      </c>
      <c r="W692" s="3" t="s">
        <v>255</v>
      </c>
      <c r="X692" s="3" t="s">
        <v>1529</v>
      </c>
      <c r="Y692" s="3" t="s">
        <v>1530</v>
      </c>
      <c r="Z692" s="3" t="s">
        <v>1372</v>
      </c>
      <c r="AA692" s="3" t="s">
        <v>1531</v>
      </c>
      <c r="AB692" s="3" t="s">
        <v>1374</v>
      </c>
      <c r="AC692" s="3" t="s">
        <v>1391</v>
      </c>
      <c r="AD692" s="3" t="s">
        <v>1532</v>
      </c>
      <c r="AE692" s="3" t="s">
        <v>1533</v>
      </c>
      <c r="AF692" s="3">
        <v>0.083</v>
      </c>
      <c r="AG692" s="3">
        <v>1.798</v>
      </c>
      <c r="AH692" s="3">
        <v>0.393</v>
      </c>
      <c r="AI692" s="3" t="s">
        <v>1519</v>
      </c>
      <c r="AJ692" s="3">
        <v>-16.6</v>
      </c>
      <c r="AK692" s="3" t="s">
        <v>2294</v>
      </c>
      <c r="AL692" s="3">
        <v>0.474</v>
      </c>
      <c r="AM692" s="3" t="s">
        <v>1682</v>
      </c>
    </row>
    <row r="693" ht="15.75" customHeight="1">
      <c r="A693" s="3">
        <v>1.73038E12</v>
      </c>
      <c r="B693" s="3">
        <v>17.0</v>
      </c>
      <c r="C693" s="3" t="s">
        <v>2295</v>
      </c>
      <c r="D693" s="3" t="s">
        <v>1369</v>
      </c>
      <c r="E693" s="3" t="s">
        <v>2295</v>
      </c>
      <c r="F693" s="3">
        <v>1.0</v>
      </c>
      <c r="G693" s="3">
        <v>1.0</v>
      </c>
      <c r="H693" s="3">
        <v>1.0</v>
      </c>
      <c r="I693" s="3">
        <v>1.0</v>
      </c>
      <c r="J693" s="3">
        <v>1.0</v>
      </c>
      <c r="K693" s="3">
        <v>1.0</v>
      </c>
      <c r="L693" s="3">
        <v>1.0</v>
      </c>
      <c r="M693" s="3">
        <v>1.0</v>
      </c>
      <c r="N693" s="3">
        <v>1.0</v>
      </c>
      <c r="O693" s="3">
        <v>1.0</v>
      </c>
      <c r="P693" s="3">
        <v>1.0</v>
      </c>
      <c r="Q693" s="3">
        <v>1.0</v>
      </c>
      <c r="R693" s="3">
        <v>1.0</v>
      </c>
      <c r="S693" s="3">
        <v>1.0</v>
      </c>
      <c r="T693" s="3">
        <v>1.0</v>
      </c>
      <c r="U693" s="3">
        <v>1.0</v>
      </c>
      <c r="V693" s="3">
        <v>1.0</v>
      </c>
      <c r="W693" s="3" t="s">
        <v>1219</v>
      </c>
      <c r="X693" s="3" t="s">
        <v>1590</v>
      </c>
      <c r="Y693" s="3" t="s">
        <v>1591</v>
      </c>
      <c r="Z693" s="3" t="s">
        <v>1423</v>
      </c>
      <c r="AA693" s="3" t="s">
        <v>1593</v>
      </c>
      <c r="AB693" s="3" t="s">
        <v>1374</v>
      </c>
      <c r="AC693" s="3" t="s">
        <v>1374</v>
      </c>
      <c r="AD693" s="3" t="s">
        <v>1625</v>
      </c>
      <c r="AE693" s="3" t="s">
        <v>1595</v>
      </c>
      <c r="AF693" s="3">
        <v>0.188</v>
      </c>
      <c r="AG693" s="3">
        <v>2.243</v>
      </c>
      <c r="AH693" s="3">
        <v>0.38</v>
      </c>
      <c r="AI693" s="3">
        <v>-45.901</v>
      </c>
      <c r="AJ693" s="3">
        <v>7.352</v>
      </c>
      <c r="AK693" s="3" t="s">
        <v>1626</v>
      </c>
      <c r="AL693" s="3">
        <v>0.048</v>
      </c>
      <c r="AM693" s="3" t="s">
        <v>1469</v>
      </c>
    </row>
    <row r="694" ht="15.75" customHeight="1">
      <c r="A694" s="3">
        <v>1.73031E12</v>
      </c>
      <c r="B694" s="3">
        <v>17.0</v>
      </c>
      <c r="C694" s="3" t="s">
        <v>2296</v>
      </c>
      <c r="D694" s="3" t="s">
        <v>1369</v>
      </c>
      <c r="E694" s="3" t="s">
        <v>2296</v>
      </c>
      <c r="F694" s="3">
        <v>1.0</v>
      </c>
      <c r="G694" s="3">
        <v>1.0</v>
      </c>
      <c r="H694" s="3">
        <v>1.0</v>
      </c>
      <c r="I694" s="3">
        <v>1.0</v>
      </c>
      <c r="J694" s="3">
        <v>1.0</v>
      </c>
      <c r="K694" s="3">
        <v>1.0</v>
      </c>
      <c r="L694" s="3">
        <v>1.0</v>
      </c>
      <c r="M694" s="3">
        <v>1.0</v>
      </c>
      <c r="N694" s="3">
        <v>1.0</v>
      </c>
      <c r="O694" s="3">
        <v>1.0</v>
      </c>
      <c r="P694" s="3">
        <v>1.0</v>
      </c>
      <c r="Q694" s="3">
        <v>1.0</v>
      </c>
      <c r="R694" s="3">
        <v>1.0</v>
      </c>
      <c r="S694" s="3">
        <v>1.0</v>
      </c>
      <c r="T694" s="3">
        <v>1.0</v>
      </c>
      <c r="U694" s="3">
        <v>1.0</v>
      </c>
      <c r="V694" s="3">
        <v>1.0</v>
      </c>
      <c r="W694" s="3" t="s">
        <v>1289</v>
      </c>
      <c r="X694" s="3" t="s">
        <v>1542</v>
      </c>
      <c r="Y694" s="3" t="s">
        <v>1543</v>
      </c>
      <c r="Z694" s="3" t="s">
        <v>1423</v>
      </c>
      <c r="AA694" s="3" t="s">
        <v>1544</v>
      </c>
      <c r="AB694" s="3" t="s">
        <v>1374</v>
      </c>
      <c r="AC694" s="3" t="s">
        <v>1451</v>
      </c>
      <c r="AD694" s="3" t="s">
        <v>1545</v>
      </c>
      <c r="AE694" s="3" t="s">
        <v>1546</v>
      </c>
      <c r="AF694" s="3">
        <v>0.035</v>
      </c>
      <c r="AG694" s="3">
        <v>0.068</v>
      </c>
      <c r="AH694" s="3">
        <v>0.261</v>
      </c>
      <c r="AI694" s="3">
        <v>54.093</v>
      </c>
      <c r="AJ694" s="3">
        <v>-10.882</v>
      </c>
      <c r="AK694" s="3" t="s">
        <v>1547</v>
      </c>
      <c r="AL694" s="3">
        <v>0.044</v>
      </c>
      <c r="AM694" s="3" t="s">
        <v>1548</v>
      </c>
    </row>
    <row r="695" ht="15.75" customHeight="1">
      <c r="A695" s="3">
        <v>1.73031E12</v>
      </c>
      <c r="B695" s="3">
        <v>8.0</v>
      </c>
      <c r="C695" s="3" t="s">
        <v>2297</v>
      </c>
      <c r="D695" s="3" t="s">
        <v>1369</v>
      </c>
      <c r="E695" s="3" t="s">
        <v>2297</v>
      </c>
      <c r="F695" s="3">
        <v>1.0</v>
      </c>
      <c r="G695" s="3">
        <v>1.0</v>
      </c>
      <c r="H695" s="3">
        <v>1.0</v>
      </c>
      <c r="I695" s="3">
        <v>1.0</v>
      </c>
      <c r="J695" s="3">
        <v>0.0</v>
      </c>
      <c r="K695" s="3">
        <v>1.0</v>
      </c>
      <c r="L695" s="3">
        <v>0.0</v>
      </c>
      <c r="M695" s="3">
        <v>1.0</v>
      </c>
      <c r="N695" s="3">
        <v>1.0</v>
      </c>
      <c r="O695" s="3">
        <v>0.0</v>
      </c>
      <c r="P695" s="3">
        <v>0.0</v>
      </c>
      <c r="Q695" s="3">
        <v>0.0</v>
      </c>
      <c r="R695" s="3">
        <v>0.0</v>
      </c>
      <c r="S695" s="3">
        <v>0.0</v>
      </c>
      <c r="T695" s="3">
        <v>0.0</v>
      </c>
      <c r="U695" s="3">
        <v>0.0</v>
      </c>
      <c r="V695" s="3">
        <v>1.0</v>
      </c>
      <c r="W695" s="3" t="s">
        <v>486</v>
      </c>
      <c r="X695" s="3" t="s">
        <v>1447</v>
      </c>
      <c r="Y695" s="3" t="s">
        <v>1447</v>
      </c>
      <c r="Z695" s="3" t="s">
        <v>1449</v>
      </c>
      <c r="AA695" s="3" t="s">
        <v>1373</v>
      </c>
      <c r="AB695" s="3" t="s">
        <v>1374</v>
      </c>
      <c r="AC695" s="3" t="s">
        <v>1451</v>
      </c>
      <c r="AD695" s="3" t="s">
        <v>1675</v>
      </c>
      <c r="AE695" s="3" t="s">
        <v>1447</v>
      </c>
      <c r="AF695" s="3">
        <v>0.033</v>
      </c>
      <c r="AH695" s="3">
        <v>0.393</v>
      </c>
    </row>
    <row r="696" ht="15.75" customHeight="1">
      <c r="A696" s="3">
        <v>1.7304E12</v>
      </c>
      <c r="B696" s="3">
        <v>0.0</v>
      </c>
      <c r="C696" s="3" t="s">
        <v>2298</v>
      </c>
      <c r="D696" s="3" t="s">
        <v>1369</v>
      </c>
      <c r="E696" s="3" t="s">
        <v>2298</v>
      </c>
      <c r="F696" s="3">
        <v>0.0</v>
      </c>
      <c r="G696" s="3">
        <v>0.0</v>
      </c>
      <c r="H696" s="3">
        <v>0.0</v>
      </c>
      <c r="I696" s="3">
        <v>0.0</v>
      </c>
      <c r="J696" s="3">
        <v>0.0</v>
      </c>
      <c r="K696" s="3">
        <v>0.0</v>
      </c>
      <c r="L696" s="3">
        <v>0.0</v>
      </c>
      <c r="M696" s="3">
        <v>0.0</v>
      </c>
      <c r="N696" s="3">
        <v>0.0</v>
      </c>
      <c r="O696" s="3">
        <v>0.0</v>
      </c>
      <c r="P696" s="3">
        <v>0.0</v>
      </c>
      <c r="Q696" s="3">
        <v>0.0</v>
      </c>
      <c r="R696" s="3">
        <v>0.0</v>
      </c>
      <c r="S696" s="3">
        <v>0.0</v>
      </c>
      <c r="T696" s="3">
        <v>0.0</v>
      </c>
      <c r="U696" s="3">
        <v>0.0</v>
      </c>
      <c r="V696" s="3">
        <v>0.0</v>
      </c>
      <c r="W696" s="3" t="s">
        <v>2299</v>
      </c>
      <c r="X696" s="3" t="s">
        <v>1398</v>
      </c>
      <c r="Y696" s="3" t="s">
        <v>1399</v>
      </c>
      <c r="Z696" s="3" t="s">
        <v>2300</v>
      </c>
      <c r="AA696" s="3" t="s">
        <v>1748</v>
      </c>
      <c r="AB696" s="3" t="s">
        <v>1880</v>
      </c>
      <c r="AC696" s="3" t="s">
        <v>1391</v>
      </c>
      <c r="AD696" s="3" t="s">
        <v>1786</v>
      </c>
      <c r="AE696" s="3" t="s">
        <v>2301</v>
      </c>
      <c r="AF696" s="3">
        <v>0.006</v>
      </c>
      <c r="AG696" s="3">
        <v>0.07</v>
      </c>
      <c r="AH696" s="3">
        <v>0.173</v>
      </c>
      <c r="AI696" s="3" t="s">
        <v>2302</v>
      </c>
      <c r="AJ696" s="3" t="s">
        <v>2302</v>
      </c>
      <c r="AL696" s="3" t="s">
        <v>2302</v>
      </c>
      <c r="AM696" s="3" t="s">
        <v>1404</v>
      </c>
    </row>
    <row r="697" ht="15.75" customHeight="1">
      <c r="A697" s="3">
        <v>1.73037E12</v>
      </c>
      <c r="B697" s="3">
        <v>0.0</v>
      </c>
      <c r="C697" s="3" t="s">
        <v>2303</v>
      </c>
      <c r="D697" s="3" t="s">
        <v>1369</v>
      </c>
      <c r="E697" s="3" t="s">
        <v>2303</v>
      </c>
      <c r="F697" s="3">
        <v>0.0</v>
      </c>
      <c r="G697" s="3">
        <v>0.0</v>
      </c>
      <c r="H697" s="3">
        <v>0.0</v>
      </c>
      <c r="I697" s="3">
        <v>0.0</v>
      </c>
      <c r="J697" s="3">
        <v>0.0</v>
      </c>
      <c r="K697" s="3">
        <v>0.0</v>
      </c>
      <c r="L697" s="3">
        <v>0.0</v>
      </c>
      <c r="M697" s="3">
        <v>0.0</v>
      </c>
      <c r="N697" s="3">
        <v>0.0</v>
      </c>
      <c r="O697" s="3">
        <v>0.0</v>
      </c>
      <c r="P697" s="3">
        <v>0.0</v>
      </c>
      <c r="Q697" s="3">
        <v>0.0</v>
      </c>
      <c r="R697" s="3">
        <v>0.0</v>
      </c>
      <c r="S697" s="3">
        <v>0.0</v>
      </c>
      <c r="T697" s="3">
        <v>0.0</v>
      </c>
      <c r="U697" s="3">
        <v>0.0</v>
      </c>
      <c r="V697" s="3">
        <v>0.0</v>
      </c>
      <c r="W697" s="3" t="s">
        <v>2304</v>
      </c>
      <c r="X697" s="3" t="s">
        <v>2305</v>
      </c>
      <c r="Y697" s="3" t="s">
        <v>2306</v>
      </c>
      <c r="Z697" s="3" t="s">
        <v>1449</v>
      </c>
      <c r="AA697" s="3" t="s">
        <v>1523</v>
      </c>
      <c r="AB697" s="3" t="s">
        <v>1374</v>
      </c>
      <c r="AC697" s="3" t="s">
        <v>1632</v>
      </c>
      <c r="AD697" s="3" t="s">
        <v>1632</v>
      </c>
    </row>
    <row r="698" ht="15.75" customHeight="1">
      <c r="A698" s="3">
        <v>1.73039E12</v>
      </c>
      <c r="B698" s="3">
        <v>17.0</v>
      </c>
      <c r="C698" s="3" t="s">
        <v>835</v>
      </c>
      <c r="D698" s="3" t="s">
        <v>1369</v>
      </c>
      <c r="E698" s="3" t="s">
        <v>835</v>
      </c>
      <c r="F698" s="3">
        <v>1.0</v>
      </c>
      <c r="G698" s="3">
        <v>1.0</v>
      </c>
      <c r="H698" s="3">
        <v>1.0</v>
      </c>
      <c r="I698" s="3">
        <v>1.0</v>
      </c>
      <c r="J698" s="3">
        <v>1.0</v>
      </c>
      <c r="K698" s="3">
        <v>1.0</v>
      </c>
      <c r="L698" s="3">
        <v>1.0</v>
      </c>
      <c r="M698" s="3">
        <v>1.0</v>
      </c>
      <c r="N698" s="3">
        <v>1.0</v>
      </c>
      <c r="O698" s="3">
        <v>1.0</v>
      </c>
      <c r="P698" s="3">
        <v>1.0</v>
      </c>
      <c r="Q698" s="3">
        <v>1.0</v>
      </c>
      <c r="R698" s="3">
        <v>1.0</v>
      </c>
      <c r="S698" s="3">
        <v>1.0</v>
      </c>
      <c r="T698" s="3">
        <v>1.0</v>
      </c>
      <c r="U698" s="3">
        <v>1.0</v>
      </c>
      <c r="V698" s="3">
        <v>1.0</v>
      </c>
      <c r="W698" s="3" t="s">
        <v>1216</v>
      </c>
      <c r="X698" s="3" t="s">
        <v>1447</v>
      </c>
      <c r="Y698" s="3" t="s">
        <v>1448</v>
      </c>
      <c r="Z698" s="3" t="s">
        <v>1372</v>
      </c>
      <c r="AA698" s="3" t="s">
        <v>1450</v>
      </c>
      <c r="AB698" s="3" t="s">
        <v>1374</v>
      </c>
      <c r="AC698" s="3" t="s">
        <v>1451</v>
      </c>
      <c r="AD698" s="3" t="s">
        <v>1675</v>
      </c>
      <c r="AE698" s="3" t="s">
        <v>1453</v>
      </c>
      <c r="AF698" s="3">
        <v>0.033</v>
      </c>
      <c r="AG698" s="3">
        <v>0.217</v>
      </c>
      <c r="AH698" s="3">
        <v>0.399</v>
      </c>
      <c r="AI698" s="3">
        <v>48.585</v>
      </c>
      <c r="AJ698" s="3">
        <v>6.574</v>
      </c>
      <c r="AK698" s="3" t="s">
        <v>2307</v>
      </c>
      <c r="AL698" s="3">
        <v>0.176</v>
      </c>
      <c r="AM698" s="3" t="s">
        <v>1455</v>
      </c>
    </row>
    <row r="699" ht="15.75" customHeight="1">
      <c r="A699" s="3">
        <v>1.73038E12</v>
      </c>
      <c r="B699" s="3">
        <v>14.0</v>
      </c>
      <c r="C699" s="3" t="s">
        <v>2308</v>
      </c>
      <c r="D699" s="3" t="s">
        <v>1369</v>
      </c>
      <c r="E699" s="3" t="s">
        <v>2308</v>
      </c>
      <c r="F699" s="3">
        <v>1.0</v>
      </c>
      <c r="G699" s="3">
        <v>1.0</v>
      </c>
      <c r="H699" s="3">
        <v>1.0</v>
      </c>
      <c r="I699" s="3">
        <v>1.0</v>
      </c>
      <c r="J699" s="3">
        <v>1.0</v>
      </c>
      <c r="K699" s="3">
        <v>1.0</v>
      </c>
      <c r="L699" s="3">
        <v>1.0</v>
      </c>
      <c r="M699" s="3">
        <v>1.0</v>
      </c>
      <c r="N699" s="3">
        <v>1.0</v>
      </c>
      <c r="O699" s="3">
        <v>1.0</v>
      </c>
      <c r="P699" s="3">
        <v>1.0</v>
      </c>
      <c r="Q699" s="3">
        <v>0.0</v>
      </c>
      <c r="R699" s="3">
        <v>0.0</v>
      </c>
      <c r="S699" s="3">
        <v>1.0</v>
      </c>
      <c r="T699" s="3">
        <v>1.0</v>
      </c>
      <c r="U699" s="3">
        <v>0.0</v>
      </c>
      <c r="V699" s="3">
        <v>1.0</v>
      </c>
      <c r="W699" s="3" t="s">
        <v>1103</v>
      </c>
      <c r="X699" s="3" t="s">
        <v>1464</v>
      </c>
      <c r="Y699" s="3" t="s">
        <v>1465</v>
      </c>
      <c r="Z699" s="3" t="s">
        <v>1449</v>
      </c>
      <c r="AA699" s="3" t="s">
        <v>1373</v>
      </c>
      <c r="AB699" s="3" t="s">
        <v>1374</v>
      </c>
      <c r="AC699" s="3" t="s">
        <v>1391</v>
      </c>
      <c r="AD699" s="3" t="s">
        <v>1497</v>
      </c>
      <c r="AE699" s="3" t="s">
        <v>1467</v>
      </c>
      <c r="AF699" s="3">
        <v>0.203</v>
      </c>
      <c r="AG699" s="3">
        <v>2.499</v>
      </c>
      <c r="AH699" s="3">
        <v>0.324</v>
      </c>
      <c r="AI699" s="3">
        <v>12.953</v>
      </c>
      <c r="AJ699" s="3">
        <v>-3.779</v>
      </c>
      <c r="AK699" s="3" t="s">
        <v>2309</v>
      </c>
      <c r="AL699" s="3">
        <v>-0.535</v>
      </c>
      <c r="AM699" s="3" t="s">
        <v>1469</v>
      </c>
    </row>
    <row r="700" ht="15.75" customHeight="1">
      <c r="A700" s="3">
        <v>1.73039E12</v>
      </c>
      <c r="B700" s="3">
        <v>0.0</v>
      </c>
      <c r="C700" s="3" t="s">
        <v>2310</v>
      </c>
      <c r="D700" s="3" t="s">
        <v>1369</v>
      </c>
      <c r="E700" s="3" t="s">
        <v>2310</v>
      </c>
      <c r="F700" s="3">
        <v>0.0</v>
      </c>
      <c r="G700" s="3">
        <v>0.0</v>
      </c>
      <c r="H700" s="3">
        <v>0.0</v>
      </c>
      <c r="I700" s="3">
        <v>0.0</v>
      </c>
      <c r="J700" s="3">
        <v>0.0</v>
      </c>
      <c r="K700" s="3">
        <v>0.0</v>
      </c>
      <c r="L700" s="3">
        <v>0.0</v>
      </c>
      <c r="M700" s="3">
        <v>0.0</v>
      </c>
      <c r="N700" s="3">
        <v>0.0</v>
      </c>
      <c r="O700" s="3">
        <v>0.0</v>
      </c>
      <c r="P700" s="3">
        <v>0.0</v>
      </c>
      <c r="Q700" s="3">
        <v>0.0</v>
      </c>
      <c r="R700" s="3">
        <v>0.0</v>
      </c>
      <c r="S700" s="3">
        <v>0.0</v>
      </c>
      <c r="T700" s="3">
        <v>0.0</v>
      </c>
      <c r="U700" s="3">
        <v>0.0</v>
      </c>
      <c r="V700" s="3">
        <v>0.0</v>
      </c>
      <c r="W700" s="3" t="s">
        <v>2311</v>
      </c>
      <c r="X700" s="3" t="s">
        <v>2312</v>
      </c>
      <c r="Y700" s="3" t="s">
        <v>2313</v>
      </c>
      <c r="Z700" s="3" t="s">
        <v>1807</v>
      </c>
      <c r="AA700" s="3" t="s">
        <v>1373</v>
      </c>
      <c r="AB700" s="3" t="s">
        <v>1374</v>
      </c>
      <c r="AM700" s="3" t="s">
        <v>2314</v>
      </c>
    </row>
    <row r="701" ht="15.75" customHeight="1">
      <c r="A701" s="3">
        <v>1.73031E12</v>
      </c>
      <c r="B701" s="3">
        <v>17.0</v>
      </c>
      <c r="C701" s="3" t="s">
        <v>757</v>
      </c>
      <c r="D701" s="3" t="s">
        <v>1369</v>
      </c>
      <c r="E701" s="3" t="s">
        <v>757</v>
      </c>
      <c r="F701" s="3">
        <v>1.0</v>
      </c>
      <c r="G701" s="3">
        <v>1.0</v>
      </c>
      <c r="H701" s="3">
        <v>1.0</v>
      </c>
      <c r="I701" s="3">
        <v>1.0</v>
      </c>
      <c r="J701" s="3">
        <v>1.0</v>
      </c>
      <c r="K701" s="3">
        <v>1.0</v>
      </c>
      <c r="L701" s="3">
        <v>1.0</v>
      </c>
      <c r="M701" s="3">
        <v>1.0</v>
      </c>
      <c r="N701" s="3">
        <v>1.0</v>
      </c>
      <c r="O701" s="3">
        <v>1.0</v>
      </c>
      <c r="P701" s="3">
        <v>1.0</v>
      </c>
      <c r="Q701" s="3">
        <v>1.0</v>
      </c>
      <c r="R701" s="3">
        <v>1.0</v>
      </c>
      <c r="S701" s="3">
        <v>1.0</v>
      </c>
      <c r="T701" s="3">
        <v>1.0</v>
      </c>
      <c r="U701" s="3">
        <v>1.0</v>
      </c>
      <c r="V701" s="3">
        <v>1.0</v>
      </c>
      <c r="W701" s="3" t="s">
        <v>1297</v>
      </c>
      <c r="X701" s="3" t="s">
        <v>1529</v>
      </c>
      <c r="Y701" s="3" t="s">
        <v>1530</v>
      </c>
      <c r="Z701" s="3" t="s">
        <v>1372</v>
      </c>
      <c r="AA701" s="3" t="s">
        <v>1531</v>
      </c>
      <c r="AB701" s="3" t="s">
        <v>1374</v>
      </c>
      <c r="AC701" s="3" t="s">
        <v>1391</v>
      </c>
      <c r="AD701" s="3" t="s">
        <v>1532</v>
      </c>
      <c r="AE701" s="3" t="s">
        <v>1533</v>
      </c>
      <c r="AF701" s="3">
        <v>0.084</v>
      </c>
      <c r="AG701" s="3">
        <v>1.813</v>
      </c>
      <c r="AH701" s="3" t="s">
        <v>1394</v>
      </c>
      <c r="AI701" s="3">
        <v>-854.551</v>
      </c>
      <c r="AJ701" s="3">
        <v>-16.578</v>
      </c>
      <c r="AK701" s="3" t="s">
        <v>1630</v>
      </c>
      <c r="AL701" s="3">
        <v>-0.05</v>
      </c>
      <c r="AM701" s="3" t="s">
        <v>1631</v>
      </c>
    </row>
    <row r="702" ht="15.75" customHeight="1">
      <c r="A702" s="3">
        <v>1.73039E12</v>
      </c>
      <c r="B702" s="3">
        <v>13.0</v>
      </c>
      <c r="C702" s="3" t="s">
        <v>254</v>
      </c>
      <c r="D702" s="3" t="s">
        <v>1369</v>
      </c>
      <c r="E702" s="3" t="s">
        <v>254</v>
      </c>
      <c r="F702" s="3">
        <v>1.0</v>
      </c>
      <c r="G702" s="3">
        <v>1.0</v>
      </c>
      <c r="H702" s="3">
        <v>1.0</v>
      </c>
      <c r="I702" s="3">
        <v>1.0</v>
      </c>
      <c r="J702" s="3">
        <v>1.0</v>
      </c>
      <c r="K702" s="3">
        <v>1.0</v>
      </c>
      <c r="L702" s="3">
        <v>1.0</v>
      </c>
      <c r="M702" s="3">
        <v>1.0</v>
      </c>
      <c r="N702" s="3">
        <v>1.0</v>
      </c>
      <c r="O702" s="3">
        <v>1.0</v>
      </c>
      <c r="P702" s="3">
        <v>1.0</v>
      </c>
      <c r="Q702" s="3">
        <v>0.0</v>
      </c>
      <c r="R702" s="3">
        <v>0.0</v>
      </c>
      <c r="S702" s="3">
        <v>1.0</v>
      </c>
      <c r="T702" s="3">
        <v>0.0</v>
      </c>
      <c r="U702" s="3">
        <v>0.0</v>
      </c>
      <c r="V702" s="3">
        <v>1.0</v>
      </c>
      <c r="W702" s="3" t="s">
        <v>274</v>
      </c>
      <c r="X702" s="3" t="s">
        <v>1388</v>
      </c>
      <c r="Y702" s="3" t="s">
        <v>1389</v>
      </c>
      <c r="Z702" s="3" t="s">
        <v>1423</v>
      </c>
      <c r="AA702" s="3" t="s">
        <v>1390</v>
      </c>
      <c r="AB702" s="3" t="s">
        <v>1374</v>
      </c>
      <c r="AC702" s="3" t="s">
        <v>1374</v>
      </c>
      <c r="AD702" s="3" t="s">
        <v>1392</v>
      </c>
      <c r="AE702" s="3" t="s">
        <v>1393</v>
      </c>
      <c r="AF702" s="3">
        <v>0.071</v>
      </c>
      <c r="AG702" s="3">
        <v>1.031</v>
      </c>
      <c r="AH702" s="3">
        <v>0.341</v>
      </c>
      <c r="AI702" s="3" t="s">
        <v>1519</v>
      </c>
      <c r="AJ702" s="3">
        <v>13.733</v>
      </c>
      <c r="AK702" s="3" t="s">
        <v>2315</v>
      </c>
      <c r="AL702" s="3" t="s">
        <v>1519</v>
      </c>
      <c r="AM702" s="3" t="s">
        <v>1396</v>
      </c>
    </row>
    <row r="703" ht="15.75" customHeight="1">
      <c r="A703" s="3">
        <v>1.7304E12</v>
      </c>
      <c r="B703" s="3">
        <v>17.0</v>
      </c>
      <c r="C703" s="3" t="s">
        <v>460</v>
      </c>
      <c r="D703" s="3" t="s">
        <v>1369</v>
      </c>
      <c r="E703" s="3" t="s">
        <v>460</v>
      </c>
      <c r="F703" s="3">
        <v>1.0</v>
      </c>
      <c r="G703" s="3">
        <v>1.0</v>
      </c>
      <c r="H703" s="3">
        <v>1.0</v>
      </c>
      <c r="I703" s="3">
        <v>1.0</v>
      </c>
      <c r="J703" s="3">
        <v>1.0</v>
      </c>
      <c r="K703" s="3">
        <v>1.0</v>
      </c>
      <c r="L703" s="3">
        <v>1.0</v>
      </c>
      <c r="M703" s="3">
        <v>1.0</v>
      </c>
      <c r="N703" s="3">
        <v>1.0</v>
      </c>
      <c r="O703" s="3">
        <v>1.0</v>
      </c>
      <c r="P703" s="3">
        <v>1.0</v>
      </c>
      <c r="Q703" s="3">
        <v>1.0</v>
      </c>
      <c r="R703" s="3">
        <v>1.0</v>
      </c>
      <c r="S703" s="3">
        <v>1.0</v>
      </c>
      <c r="T703" s="3">
        <v>1.0</v>
      </c>
      <c r="U703" s="3">
        <v>1.0</v>
      </c>
      <c r="V703" s="3">
        <v>1.0</v>
      </c>
      <c r="W703" s="3" t="s">
        <v>1268</v>
      </c>
      <c r="X703" s="3" t="s">
        <v>1542</v>
      </c>
      <c r="Y703" s="3" t="s">
        <v>1543</v>
      </c>
      <c r="Z703" s="3" t="s">
        <v>1423</v>
      </c>
      <c r="AA703" s="3" t="s">
        <v>1544</v>
      </c>
      <c r="AB703" s="3" t="s">
        <v>1374</v>
      </c>
      <c r="AC703" s="3" t="s">
        <v>1451</v>
      </c>
      <c r="AD703" s="3" t="s">
        <v>1545</v>
      </c>
      <c r="AE703" s="3" t="s">
        <v>1546</v>
      </c>
      <c r="AF703" s="3">
        <v>0.035</v>
      </c>
      <c r="AG703" s="3">
        <v>0.068</v>
      </c>
      <c r="AH703" s="3">
        <v>0.252</v>
      </c>
      <c r="AI703" s="3">
        <v>54.063</v>
      </c>
      <c r="AJ703" s="3">
        <v>-10.304</v>
      </c>
      <c r="AK703" s="3" t="s">
        <v>1604</v>
      </c>
      <c r="AL703" s="3">
        <v>0.042</v>
      </c>
      <c r="AM703" s="3" t="s">
        <v>1548</v>
      </c>
    </row>
    <row r="704" ht="15.75" customHeight="1">
      <c r="A704" s="3">
        <v>1.73028E12</v>
      </c>
      <c r="B704" s="3">
        <v>17.0</v>
      </c>
      <c r="C704" s="3" t="s">
        <v>694</v>
      </c>
      <c r="D704" s="3" t="s">
        <v>1369</v>
      </c>
      <c r="E704" s="3" t="s">
        <v>694</v>
      </c>
      <c r="F704" s="3">
        <v>1.0</v>
      </c>
      <c r="G704" s="3">
        <v>1.0</v>
      </c>
      <c r="H704" s="3">
        <v>1.0</v>
      </c>
      <c r="I704" s="3">
        <v>1.0</v>
      </c>
      <c r="J704" s="3">
        <v>1.0</v>
      </c>
      <c r="K704" s="3">
        <v>1.0</v>
      </c>
      <c r="L704" s="3">
        <v>1.0</v>
      </c>
      <c r="M704" s="3">
        <v>1.0</v>
      </c>
      <c r="N704" s="3">
        <v>1.0</v>
      </c>
      <c r="O704" s="3">
        <v>1.0</v>
      </c>
      <c r="P704" s="3">
        <v>1.0</v>
      </c>
      <c r="Q704" s="3">
        <v>1.0</v>
      </c>
      <c r="R704" s="3">
        <v>1.0</v>
      </c>
      <c r="S704" s="3">
        <v>1.0</v>
      </c>
      <c r="T704" s="3">
        <v>1.0</v>
      </c>
      <c r="U704" s="3">
        <v>1.0</v>
      </c>
      <c r="V704" s="3">
        <v>1.0</v>
      </c>
      <c r="W704" s="3" t="s">
        <v>1162</v>
      </c>
      <c r="X704" s="3" t="s">
        <v>1398</v>
      </c>
      <c r="Y704" s="3" t="s">
        <v>1399</v>
      </c>
      <c r="Z704" s="3" t="s">
        <v>1372</v>
      </c>
      <c r="AA704" s="3" t="s">
        <v>1373</v>
      </c>
      <c r="AB704" s="3" t="s">
        <v>1374</v>
      </c>
      <c r="AC704" s="3" t="s">
        <v>1400</v>
      </c>
      <c r="AD704" s="3" t="s">
        <v>1401</v>
      </c>
      <c r="AE704" s="3" t="s">
        <v>1402</v>
      </c>
      <c r="AF704" s="3">
        <v>0.006</v>
      </c>
      <c r="AG704" s="3">
        <v>0.07</v>
      </c>
      <c r="AH704" s="3" t="s">
        <v>1394</v>
      </c>
      <c r="AI704" s="3" t="s">
        <v>1394</v>
      </c>
      <c r="AJ704" s="3">
        <v>8.391</v>
      </c>
      <c r="AK704" s="3" t="s">
        <v>2316</v>
      </c>
      <c r="AL704" s="3" t="s">
        <v>1394</v>
      </c>
      <c r="AM704" s="3" t="s">
        <v>1404</v>
      </c>
    </row>
    <row r="705" ht="15.75" customHeight="1">
      <c r="A705" s="3">
        <v>1.73031E12</v>
      </c>
      <c r="B705" s="3">
        <v>17.0</v>
      </c>
      <c r="C705" s="3" t="s">
        <v>183</v>
      </c>
      <c r="D705" s="3" t="s">
        <v>1369</v>
      </c>
      <c r="E705" s="3" t="s">
        <v>183</v>
      </c>
      <c r="F705" s="3">
        <v>1.0</v>
      </c>
      <c r="G705" s="3">
        <v>1.0</v>
      </c>
      <c r="H705" s="3">
        <v>1.0</v>
      </c>
      <c r="I705" s="3">
        <v>1.0</v>
      </c>
      <c r="J705" s="3">
        <v>1.0</v>
      </c>
      <c r="K705" s="3">
        <v>1.0</v>
      </c>
      <c r="L705" s="3">
        <v>1.0</v>
      </c>
      <c r="M705" s="3">
        <v>1.0</v>
      </c>
      <c r="N705" s="3">
        <v>1.0</v>
      </c>
      <c r="O705" s="3">
        <v>1.0</v>
      </c>
      <c r="P705" s="3">
        <v>1.0</v>
      </c>
      <c r="Q705" s="3">
        <v>1.0</v>
      </c>
      <c r="R705" s="3">
        <v>1.0</v>
      </c>
      <c r="S705" s="3">
        <v>1.0</v>
      </c>
      <c r="T705" s="3">
        <v>1.0</v>
      </c>
      <c r="U705" s="3">
        <v>1.0</v>
      </c>
      <c r="V705" s="3">
        <v>1.0</v>
      </c>
      <c r="W705" s="3" t="s">
        <v>1247</v>
      </c>
      <c r="X705" s="3" t="s">
        <v>1447</v>
      </c>
      <c r="Y705" s="3" t="s">
        <v>1448</v>
      </c>
      <c r="Z705" s="3" t="s">
        <v>1372</v>
      </c>
      <c r="AA705" s="3" t="s">
        <v>1450</v>
      </c>
      <c r="AB705" s="3" t="s">
        <v>1374</v>
      </c>
      <c r="AC705" s="3" t="s">
        <v>1451</v>
      </c>
      <c r="AD705" s="3" t="s">
        <v>1675</v>
      </c>
      <c r="AE705" s="3" t="s">
        <v>1453</v>
      </c>
      <c r="AF705" s="3">
        <v>0.033</v>
      </c>
      <c r="AG705" s="3">
        <v>0.217</v>
      </c>
      <c r="AH705" s="3">
        <v>0.388</v>
      </c>
      <c r="AI705" s="3">
        <v>48.592</v>
      </c>
      <c r="AJ705" s="3">
        <v>6.567</v>
      </c>
      <c r="AK705" s="3" t="s">
        <v>1789</v>
      </c>
      <c r="AL705" s="3">
        <v>0.176</v>
      </c>
      <c r="AM705" s="3" t="s">
        <v>1455</v>
      </c>
    </row>
    <row r="706" ht="15.75" customHeight="1">
      <c r="A706" s="3">
        <v>1.73035E12</v>
      </c>
      <c r="B706" s="3">
        <v>17.0</v>
      </c>
      <c r="C706" s="3" t="s">
        <v>786</v>
      </c>
      <c r="D706" s="3" t="s">
        <v>1369</v>
      </c>
      <c r="E706" s="3" t="s">
        <v>786</v>
      </c>
      <c r="F706" s="3">
        <v>1.0</v>
      </c>
      <c r="G706" s="3">
        <v>1.0</v>
      </c>
      <c r="H706" s="3">
        <v>1.0</v>
      </c>
      <c r="I706" s="3">
        <v>1.0</v>
      </c>
      <c r="J706" s="3">
        <v>1.0</v>
      </c>
      <c r="K706" s="3">
        <v>1.0</v>
      </c>
      <c r="L706" s="3">
        <v>1.0</v>
      </c>
      <c r="M706" s="3">
        <v>1.0</v>
      </c>
      <c r="N706" s="3">
        <v>1.0</v>
      </c>
      <c r="O706" s="3">
        <v>1.0</v>
      </c>
      <c r="P706" s="3">
        <v>1.0</v>
      </c>
      <c r="Q706" s="3">
        <v>1.0</v>
      </c>
      <c r="R706" s="3">
        <v>1.0</v>
      </c>
      <c r="S706" s="3">
        <v>1.0</v>
      </c>
      <c r="T706" s="3">
        <v>1.0</v>
      </c>
      <c r="U706" s="3">
        <v>1.0</v>
      </c>
      <c r="V706" s="3">
        <v>1.0</v>
      </c>
      <c r="W706" s="3" t="s">
        <v>1043</v>
      </c>
      <c r="X706" s="3" t="s">
        <v>1464</v>
      </c>
      <c r="Y706" s="3" t="s">
        <v>1465</v>
      </c>
      <c r="Z706" s="3" t="s">
        <v>1372</v>
      </c>
      <c r="AA706" s="3" t="s">
        <v>1373</v>
      </c>
      <c r="AB706" s="3" t="s">
        <v>1374</v>
      </c>
      <c r="AC706" s="3" t="s">
        <v>1391</v>
      </c>
      <c r="AD706" s="3" t="s">
        <v>1497</v>
      </c>
      <c r="AE706" s="3" t="s">
        <v>1467</v>
      </c>
      <c r="AF706" s="3">
        <v>0.204</v>
      </c>
      <c r="AG706" s="3">
        <v>2.51</v>
      </c>
      <c r="AH706" s="3">
        <v>0.311</v>
      </c>
      <c r="AI706" s="3">
        <v>13.226</v>
      </c>
      <c r="AJ706" s="3">
        <v>-3.774</v>
      </c>
      <c r="AK706" s="3" t="s">
        <v>1549</v>
      </c>
      <c r="AL706" s="3">
        <v>0.081</v>
      </c>
      <c r="AM706" s="3" t="s">
        <v>1469</v>
      </c>
    </row>
    <row r="707" ht="15.75" customHeight="1">
      <c r="A707" s="3">
        <v>1.73037E12</v>
      </c>
      <c r="B707" s="3">
        <v>13.0</v>
      </c>
      <c r="C707" s="3" t="s">
        <v>2317</v>
      </c>
      <c r="D707" s="3" t="s">
        <v>1369</v>
      </c>
      <c r="E707" s="3" t="s">
        <v>2317</v>
      </c>
      <c r="F707" s="3">
        <v>1.0</v>
      </c>
      <c r="G707" s="3">
        <v>1.0</v>
      </c>
      <c r="H707" s="3">
        <v>1.0</v>
      </c>
      <c r="I707" s="3">
        <v>0.0</v>
      </c>
      <c r="J707" s="3">
        <v>1.0</v>
      </c>
      <c r="K707" s="3">
        <v>1.0</v>
      </c>
      <c r="L707" s="3">
        <v>1.0</v>
      </c>
      <c r="M707" s="3">
        <v>1.0</v>
      </c>
      <c r="N707" s="3">
        <v>1.0</v>
      </c>
      <c r="O707" s="3">
        <v>1.0</v>
      </c>
      <c r="P707" s="3">
        <v>1.0</v>
      </c>
      <c r="Q707" s="3">
        <v>0.0</v>
      </c>
      <c r="R707" s="3">
        <v>0.0</v>
      </c>
      <c r="S707" s="3">
        <v>1.0</v>
      </c>
      <c r="T707" s="3">
        <v>1.0</v>
      </c>
      <c r="U707" s="3">
        <v>0.0</v>
      </c>
      <c r="V707" s="3">
        <v>1.0</v>
      </c>
      <c r="W707" s="3" t="s">
        <v>259</v>
      </c>
      <c r="X707" s="3" t="s">
        <v>1438</v>
      </c>
      <c r="Y707" s="3" t="s">
        <v>1439</v>
      </c>
      <c r="Z707" s="3" t="s">
        <v>1449</v>
      </c>
      <c r="AA707" s="3" t="s">
        <v>2318</v>
      </c>
      <c r="AB707" s="3" t="s">
        <v>1374</v>
      </c>
      <c r="AC707" s="3" t="s">
        <v>1391</v>
      </c>
      <c r="AD707" s="3" t="s">
        <v>1554</v>
      </c>
      <c r="AE707" s="3" t="s">
        <v>1444</v>
      </c>
      <c r="AF707" s="3">
        <v>0.081</v>
      </c>
      <c r="AG707" s="3">
        <v>0.285</v>
      </c>
      <c r="AH707" s="3">
        <v>0.221</v>
      </c>
      <c r="AI707" s="3">
        <v>241.674</v>
      </c>
      <c r="AJ707" s="3">
        <v>-1.665</v>
      </c>
      <c r="AK707" s="3" t="s">
        <v>1555</v>
      </c>
      <c r="AL707" s="3">
        <v>0.255</v>
      </c>
      <c r="AM707" s="3" t="s">
        <v>1446</v>
      </c>
    </row>
    <row r="708" ht="15.75" customHeight="1">
      <c r="A708" s="3">
        <v>1.73037E12</v>
      </c>
      <c r="B708" s="3">
        <v>14.0</v>
      </c>
      <c r="C708" s="3" t="s">
        <v>312</v>
      </c>
      <c r="D708" s="3" t="s">
        <v>1369</v>
      </c>
      <c r="E708" s="3" t="s">
        <v>312</v>
      </c>
      <c r="F708" s="3">
        <v>1.0</v>
      </c>
      <c r="G708" s="3">
        <v>1.0</v>
      </c>
      <c r="H708" s="3">
        <v>1.0</v>
      </c>
      <c r="I708" s="3">
        <v>1.0</v>
      </c>
      <c r="J708" s="3">
        <v>1.0</v>
      </c>
      <c r="K708" s="3">
        <v>1.0</v>
      </c>
      <c r="L708" s="3">
        <v>1.0</v>
      </c>
      <c r="M708" s="3">
        <v>1.0</v>
      </c>
      <c r="N708" s="3">
        <v>1.0</v>
      </c>
      <c r="O708" s="3">
        <v>1.0</v>
      </c>
      <c r="P708" s="3">
        <v>1.0</v>
      </c>
      <c r="Q708" s="3">
        <v>0.0</v>
      </c>
      <c r="R708" s="3">
        <v>0.0</v>
      </c>
      <c r="S708" s="3">
        <v>1.0</v>
      </c>
      <c r="T708" s="3">
        <v>1.0</v>
      </c>
      <c r="U708" s="3">
        <v>0.0</v>
      </c>
      <c r="V708" s="3">
        <v>1.0</v>
      </c>
      <c r="W708" s="3" t="s">
        <v>527</v>
      </c>
      <c r="X708" s="3" t="s">
        <v>1542</v>
      </c>
      <c r="Y708" s="3" t="s">
        <v>1543</v>
      </c>
      <c r="Z708" s="3" t="s">
        <v>1423</v>
      </c>
      <c r="AA708" s="3" t="s">
        <v>1544</v>
      </c>
      <c r="AB708" s="3" t="s">
        <v>1374</v>
      </c>
      <c r="AC708" s="3" t="s">
        <v>1451</v>
      </c>
      <c r="AD708" s="3" t="s">
        <v>1545</v>
      </c>
      <c r="AE708" s="3" t="s">
        <v>1546</v>
      </c>
      <c r="AF708" s="3">
        <v>0.035</v>
      </c>
      <c r="AG708" s="3">
        <v>0.068</v>
      </c>
      <c r="AJ708" s="3">
        <v>-10.885</v>
      </c>
      <c r="AK708" s="3" t="s">
        <v>1604</v>
      </c>
      <c r="AM708" s="3" t="s">
        <v>1548</v>
      </c>
    </row>
    <row r="709" ht="15.75" customHeight="1">
      <c r="A709" s="3">
        <v>1.73037E12</v>
      </c>
      <c r="B709" s="3">
        <v>0.0</v>
      </c>
      <c r="C709" s="3" t="s">
        <v>2319</v>
      </c>
      <c r="D709" s="3" t="s">
        <v>1369</v>
      </c>
      <c r="E709" s="3" t="s">
        <v>2319</v>
      </c>
      <c r="F709" s="3">
        <v>0.0</v>
      </c>
      <c r="G709" s="3">
        <v>0.0</v>
      </c>
      <c r="H709" s="3">
        <v>0.0</v>
      </c>
      <c r="I709" s="3">
        <v>0.0</v>
      </c>
      <c r="J709" s="3">
        <v>0.0</v>
      </c>
      <c r="K709" s="3">
        <v>0.0</v>
      </c>
      <c r="L709" s="3">
        <v>0.0</v>
      </c>
      <c r="M709" s="3">
        <v>0.0</v>
      </c>
      <c r="N709" s="3">
        <v>0.0</v>
      </c>
      <c r="O709" s="3">
        <v>0.0</v>
      </c>
      <c r="P709" s="3">
        <v>0.0</v>
      </c>
      <c r="Q709" s="3">
        <v>0.0</v>
      </c>
      <c r="R709" s="3">
        <v>0.0</v>
      </c>
      <c r="S709" s="3">
        <v>0.0</v>
      </c>
      <c r="T709" s="3">
        <v>0.0</v>
      </c>
      <c r="U709" s="3">
        <v>0.0</v>
      </c>
      <c r="V709" s="3">
        <v>0.0</v>
      </c>
      <c r="X709" s="3" t="s">
        <v>2320</v>
      </c>
      <c r="Y709" s="3" t="s">
        <v>2321</v>
      </c>
      <c r="Z709" s="3" t="s">
        <v>1512</v>
      </c>
      <c r="AA709" s="3" t="s">
        <v>2322</v>
      </c>
      <c r="AB709" s="3" t="s">
        <v>1374</v>
      </c>
      <c r="AC709" s="3" t="s">
        <v>1451</v>
      </c>
      <c r="AD709" s="3" t="s">
        <v>1392</v>
      </c>
      <c r="AE709" s="3" t="s">
        <v>2323</v>
      </c>
    </row>
    <row r="710" ht="15.75" customHeight="1">
      <c r="A710" s="3">
        <v>1.73037E12</v>
      </c>
      <c r="B710" s="3">
        <v>10.0</v>
      </c>
      <c r="C710" s="3" t="s">
        <v>2324</v>
      </c>
      <c r="D710" s="3" t="s">
        <v>1369</v>
      </c>
      <c r="E710" s="3" t="s">
        <v>2324</v>
      </c>
      <c r="F710" s="3">
        <v>1.0</v>
      </c>
      <c r="G710" s="3">
        <v>1.0</v>
      </c>
      <c r="H710" s="3">
        <v>1.0</v>
      </c>
      <c r="I710" s="3">
        <v>1.0</v>
      </c>
      <c r="J710" s="3">
        <v>1.0</v>
      </c>
      <c r="K710" s="3">
        <v>1.0</v>
      </c>
      <c r="L710" s="3">
        <v>0.0</v>
      </c>
      <c r="M710" s="3">
        <v>1.0</v>
      </c>
      <c r="N710" s="3">
        <v>1.0</v>
      </c>
      <c r="O710" s="3">
        <v>1.0</v>
      </c>
      <c r="P710" s="3">
        <v>1.0</v>
      </c>
      <c r="Q710" s="3">
        <v>0.0</v>
      </c>
      <c r="R710" s="3">
        <v>0.0</v>
      </c>
      <c r="S710" s="3">
        <v>0.0</v>
      </c>
      <c r="T710" s="3">
        <v>0.0</v>
      </c>
      <c r="U710" s="3">
        <v>0.0</v>
      </c>
      <c r="V710" s="3">
        <v>0.0</v>
      </c>
      <c r="W710" s="3" t="s">
        <v>242</v>
      </c>
      <c r="X710" s="3" t="s">
        <v>1590</v>
      </c>
      <c r="Y710" s="3" t="s">
        <v>1591</v>
      </c>
      <c r="Z710" s="3" t="s">
        <v>1449</v>
      </c>
      <c r="AA710" s="3" t="s">
        <v>1593</v>
      </c>
      <c r="AB710" s="3" t="s">
        <v>1391</v>
      </c>
      <c r="AC710" s="3" t="s">
        <v>1845</v>
      </c>
      <c r="AD710" s="3" t="s">
        <v>2063</v>
      </c>
      <c r="AE710" s="3" t="s">
        <v>1595</v>
      </c>
      <c r="AF710" s="3">
        <v>0.187</v>
      </c>
      <c r="AG710" s="3">
        <v>2.239</v>
      </c>
      <c r="AH710" s="3">
        <v>0.356</v>
      </c>
      <c r="AI710" s="3">
        <v>-47.086</v>
      </c>
      <c r="AJ710" s="3">
        <v>7.879</v>
      </c>
      <c r="AK710" s="3" t="s">
        <v>2325</v>
      </c>
      <c r="AL710" s="3">
        <v>0.053</v>
      </c>
      <c r="AM710" s="3" t="s">
        <v>2326</v>
      </c>
    </row>
    <row r="711" ht="15.75" customHeight="1">
      <c r="A711" s="3">
        <v>1.7303E12</v>
      </c>
      <c r="B711" s="3">
        <v>13.0</v>
      </c>
      <c r="C711" s="3" t="s">
        <v>258</v>
      </c>
      <c r="D711" s="3" t="s">
        <v>1369</v>
      </c>
      <c r="E711" s="3" t="s">
        <v>258</v>
      </c>
      <c r="F711" s="3">
        <v>1.0</v>
      </c>
      <c r="G711" s="3">
        <v>1.0</v>
      </c>
      <c r="H711" s="3">
        <v>1.0</v>
      </c>
      <c r="I711" s="3">
        <v>0.0</v>
      </c>
      <c r="J711" s="3">
        <v>1.0</v>
      </c>
      <c r="K711" s="3">
        <v>1.0</v>
      </c>
      <c r="L711" s="3">
        <v>1.0</v>
      </c>
      <c r="M711" s="3">
        <v>1.0</v>
      </c>
      <c r="N711" s="3">
        <v>1.0</v>
      </c>
      <c r="O711" s="3">
        <v>1.0</v>
      </c>
      <c r="P711" s="3">
        <v>1.0</v>
      </c>
      <c r="Q711" s="3">
        <v>0.0</v>
      </c>
      <c r="R711" s="3">
        <v>0.0</v>
      </c>
      <c r="S711" s="3">
        <v>1.0</v>
      </c>
      <c r="T711" s="3">
        <v>1.0</v>
      </c>
      <c r="U711" s="3">
        <v>0.0</v>
      </c>
      <c r="V711" s="3">
        <v>1.0</v>
      </c>
      <c r="W711" s="3" t="s">
        <v>741</v>
      </c>
      <c r="X711" s="3" t="s">
        <v>1600</v>
      </c>
      <c r="Y711" s="3" t="s">
        <v>1601</v>
      </c>
      <c r="Z711" s="3" t="s">
        <v>1865</v>
      </c>
      <c r="AA711" s="3" t="s">
        <v>1407</v>
      </c>
      <c r="AB711" s="3" t="s">
        <v>1374</v>
      </c>
      <c r="AC711" s="3" t="s">
        <v>1400</v>
      </c>
      <c r="AD711" s="3" t="s">
        <v>1408</v>
      </c>
      <c r="AE711" s="3" t="s">
        <v>1602</v>
      </c>
      <c r="AF711" s="3">
        <v>0.034</v>
      </c>
      <c r="AG711" s="3">
        <v>0.1</v>
      </c>
      <c r="AH711" s="3">
        <v>0.171</v>
      </c>
      <c r="AI711" s="3">
        <v>8.142</v>
      </c>
      <c r="AJ711" s="3">
        <v>-0.388</v>
      </c>
      <c r="AK711" s="3" t="s">
        <v>1646</v>
      </c>
      <c r="AL711" s="3">
        <v>0.222</v>
      </c>
      <c r="AM711" s="3" t="s">
        <v>1411</v>
      </c>
    </row>
    <row r="712" ht="15.75" customHeight="1">
      <c r="A712" s="3">
        <v>1.73038E12</v>
      </c>
      <c r="B712" s="3">
        <v>17.0</v>
      </c>
      <c r="C712" s="3" t="s">
        <v>189</v>
      </c>
      <c r="D712" s="3" t="s">
        <v>1369</v>
      </c>
      <c r="E712" s="3" t="s">
        <v>189</v>
      </c>
      <c r="F712" s="3">
        <v>1.0</v>
      </c>
      <c r="G712" s="3">
        <v>1.0</v>
      </c>
      <c r="H712" s="3">
        <v>1.0</v>
      </c>
      <c r="I712" s="3">
        <v>1.0</v>
      </c>
      <c r="J712" s="3">
        <v>1.0</v>
      </c>
      <c r="K712" s="3">
        <v>1.0</v>
      </c>
      <c r="L712" s="3">
        <v>1.0</v>
      </c>
      <c r="M712" s="3">
        <v>1.0</v>
      </c>
      <c r="N712" s="3">
        <v>1.0</v>
      </c>
      <c r="O712" s="3">
        <v>1.0</v>
      </c>
      <c r="P712" s="3">
        <v>1.0</v>
      </c>
      <c r="Q712" s="3">
        <v>1.0</v>
      </c>
      <c r="R712" s="3">
        <v>1.0</v>
      </c>
      <c r="S712" s="3">
        <v>1.0</v>
      </c>
      <c r="T712" s="3">
        <v>1.0</v>
      </c>
      <c r="U712" s="3">
        <v>1.0</v>
      </c>
      <c r="V712" s="3">
        <v>1.0</v>
      </c>
      <c r="W712" s="3" t="s">
        <v>1169</v>
      </c>
      <c r="X712" s="3" t="s">
        <v>1578</v>
      </c>
      <c r="Y712" s="3" t="s">
        <v>1579</v>
      </c>
      <c r="Z712" s="3" t="s">
        <v>1372</v>
      </c>
      <c r="AA712" s="3" t="s">
        <v>1382</v>
      </c>
      <c r="AB712" s="3" t="s">
        <v>1374</v>
      </c>
      <c r="AC712" s="3" t="s">
        <v>1580</v>
      </c>
      <c r="AD712" s="3" t="s">
        <v>1581</v>
      </c>
      <c r="AE712" s="3" t="s">
        <v>1582</v>
      </c>
      <c r="AF712" s="3">
        <v>0.051</v>
      </c>
      <c r="AG712" s="3">
        <v>0.281</v>
      </c>
      <c r="AH712" s="3">
        <v>0.434</v>
      </c>
      <c r="AI712" s="3">
        <v>-79.136</v>
      </c>
      <c r="AJ712" s="3">
        <v>18.645</v>
      </c>
      <c r="AK712" s="3" t="s">
        <v>2327</v>
      </c>
      <c r="AL712" s="3">
        <v>0.133</v>
      </c>
      <c r="AM712" s="3" t="s">
        <v>1584</v>
      </c>
    </row>
    <row r="713" ht="15.75" customHeight="1">
      <c r="A713" s="3">
        <v>1.73039E12</v>
      </c>
      <c r="B713" s="3">
        <v>13.0</v>
      </c>
      <c r="C713" s="3" t="s">
        <v>980</v>
      </c>
      <c r="D713" s="3" t="s">
        <v>1369</v>
      </c>
      <c r="E713" s="3" t="s">
        <v>980</v>
      </c>
      <c r="F713" s="3">
        <v>1.0</v>
      </c>
      <c r="G713" s="3">
        <v>1.0</v>
      </c>
      <c r="H713" s="3">
        <v>1.0</v>
      </c>
      <c r="I713" s="3">
        <v>1.0</v>
      </c>
      <c r="J713" s="3">
        <v>1.0</v>
      </c>
      <c r="K713" s="3">
        <v>1.0</v>
      </c>
      <c r="L713" s="3">
        <v>1.0</v>
      </c>
      <c r="M713" s="3">
        <v>1.0</v>
      </c>
      <c r="N713" s="3">
        <v>1.0</v>
      </c>
      <c r="O713" s="3">
        <v>1.0</v>
      </c>
      <c r="P713" s="3">
        <v>1.0</v>
      </c>
      <c r="Q713" s="3">
        <v>1.0</v>
      </c>
      <c r="R713" s="3">
        <v>0.0</v>
      </c>
      <c r="S713" s="3">
        <v>0.0</v>
      </c>
      <c r="T713" s="3">
        <v>1.0</v>
      </c>
      <c r="U713" s="3">
        <v>0.0</v>
      </c>
      <c r="V713" s="3">
        <v>0.0</v>
      </c>
      <c r="W713" s="3" t="s">
        <v>97</v>
      </c>
      <c r="X713" s="3" t="s">
        <v>1438</v>
      </c>
      <c r="Y713" s="3" t="s">
        <v>1439</v>
      </c>
      <c r="Z713" s="3" t="s">
        <v>1372</v>
      </c>
      <c r="AA713" s="3" t="s">
        <v>1553</v>
      </c>
      <c r="AB713" s="3" t="s">
        <v>1374</v>
      </c>
      <c r="AC713" s="3" t="s">
        <v>1391</v>
      </c>
      <c r="AD713" s="3" t="s">
        <v>1554</v>
      </c>
      <c r="AE713" s="3" t="s">
        <v>1444</v>
      </c>
      <c r="AF713" s="3">
        <v>0.082</v>
      </c>
      <c r="AG713" s="3">
        <v>0.291</v>
      </c>
      <c r="AH713" s="3">
        <v>0.221</v>
      </c>
      <c r="AI713" s="3">
        <v>20.655</v>
      </c>
      <c r="AJ713" s="3">
        <v>0.052</v>
      </c>
      <c r="AK713" s="3" t="s">
        <v>1555</v>
      </c>
      <c r="AL713" s="3">
        <v>0.015</v>
      </c>
      <c r="AM713" s="3" t="s">
        <v>1404</v>
      </c>
    </row>
    <row r="714" ht="15.75" customHeight="1">
      <c r="A714" s="3">
        <v>1.7303E12</v>
      </c>
      <c r="B714" s="3">
        <v>17.0</v>
      </c>
      <c r="C714" s="3" t="s">
        <v>176</v>
      </c>
      <c r="D714" s="3" t="s">
        <v>1369</v>
      </c>
      <c r="E714" s="3" t="s">
        <v>176</v>
      </c>
      <c r="F714" s="3">
        <v>1.0</v>
      </c>
      <c r="G714" s="3">
        <v>1.0</v>
      </c>
      <c r="H714" s="3">
        <v>1.0</v>
      </c>
      <c r="I714" s="3">
        <v>1.0</v>
      </c>
      <c r="J714" s="3">
        <v>1.0</v>
      </c>
      <c r="K714" s="3">
        <v>1.0</v>
      </c>
      <c r="L714" s="3">
        <v>1.0</v>
      </c>
      <c r="M714" s="3">
        <v>1.0</v>
      </c>
      <c r="N714" s="3">
        <v>1.0</v>
      </c>
      <c r="O714" s="3">
        <v>1.0</v>
      </c>
      <c r="P714" s="3">
        <v>1.0</v>
      </c>
      <c r="Q714" s="3">
        <v>1.0</v>
      </c>
      <c r="R714" s="3">
        <v>1.0</v>
      </c>
      <c r="S714" s="3">
        <v>1.0</v>
      </c>
      <c r="T714" s="3">
        <v>1.0</v>
      </c>
      <c r="U714" s="3">
        <v>1.0</v>
      </c>
      <c r="V714" s="3">
        <v>1.0</v>
      </c>
      <c r="W714" s="3" t="s">
        <v>1046</v>
      </c>
      <c r="X714" s="3" t="s">
        <v>1851</v>
      </c>
      <c r="Y714" s="3" t="s">
        <v>1465</v>
      </c>
      <c r="Z714" s="3" t="s">
        <v>1449</v>
      </c>
      <c r="AA714" s="3" t="s">
        <v>1373</v>
      </c>
      <c r="AB714" s="3" t="s">
        <v>1374</v>
      </c>
      <c r="AC714" s="3" t="s">
        <v>1391</v>
      </c>
      <c r="AD714" s="3" t="s">
        <v>1497</v>
      </c>
      <c r="AE714" s="3" t="s">
        <v>1467</v>
      </c>
      <c r="AF714" s="3">
        <v>0.199</v>
      </c>
      <c r="AG714" s="3">
        <v>2.42</v>
      </c>
      <c r="AH714" s="3">
        <v>0.311</v>
      </c>
      <c r="AI714" s="3">
        <v>13.292</v>
      </c>
      <c r="AJ714" s="3">
        <v>-3.916</v>
      </c>
      <c r="AK714" s="3" t="s">
        <v>1536</v>
      </c>
      <c r="AL714" s="3">
        <v>0.095</v>
      </c>
      <c r="AM714" s="3" t="s">
        <v>1469</v>
      </c>
    </row>
    <row r="715" ht="15.75" customHeight="1">
      <c r="A715" s="3">
        <v>1.73028E12</v>
      </c>
      <c r="B715" s="3">
        <v>17.0</v>
      </c>
      <c r="C715" s="3" t="s">
        <v>672</v>
      </c>
      <c r="D715" s="3" t="s">
        <v>1369</v>
      </c>
      <c r="E715" s="3" t="s">
        <v>672</v>
      </c>
      <c r="F715" s="3">
        <v>1.0</v>
      </c>
      <c r="G715" s="3">
        <v>1.0</v>
      </c>
      <c r="H715" s="3">
        <v>1.0</v>
      </c>
      <c r="I715" s="3">
        <v>1.0</v>
      </c>
      <c r="J715" s="3">
        <v>1.0</v>
      </c>
      <c r="K715" s="3">
        <v>1.0</v>
      </c>
      <c r="L715" s="3">
        <v>1.0</v>
      </c>
      <c r="M715" s="3">
        <v>1.0</v>
      </c>
      <c r="N715" s="3">
        <v>1.0</v>
      </c>
      <c r="O715" s="3">
        <v>1.0</v>
      </c>
      <c r="P715" s="3">
        <v>1.0</v>
      </c>
      <c r="Q715" s="3">
        <v>1.0</v>
      </c>
      <c r="R715" s="3">
        <v>1.0</v>
      </c>
      <c r="S715" s="3">
        <v>1.0</v>
      </c>
      <c r="T715" s="3">
        <v>1.0</v>
      </c>
      <c r="U715" s="3">
        <v>1.0</v>
      </c>
      <c r="V715" s="3">
        <v>1.0</v>
      </c>
      <c r="W715" s="3" t="s">
        <v>1040</v>
      </c>
      <c r="X715" s="3" t="s">
        <v>1476</v>
      </c>
      <c r="Y715" s="3" t="s">
        <v>1477</v>
      </c>
      <c r="Z715" s="3" t="s">
        <v>1372</v>
      </c>
      <c r="AA715" s="3" t="s">
        <v>1415</v>
      </c>
      <c r="AB715" s="3" t="s">
        <v>1374</v>
      </c>
      <c r="AC715" s="3" t="s">
        <v>1374</v>
      </c>
      <c r="AD715" s="3" t="s">
        <v>1500</v>
      </c>
      <c r="AE715" s="3" t="s">
        <v>1479</v>
      </c>
      <c r="AF715" s="3">
        <v>0.033</v>
      </c>
      <c r="AG715" s="3">
        <v>0.657</v>
      </c>
      <c r="AH715" s="3" t="s">
        <v>1394</v>
      </c>
      <c r="AI715" s="3" t="s">
        <v>1394</v>
      </c>
      <c r="AJ715" s="3">
        <v>-12.115</v>
      </c>
      <c r="AK715" s="3" t="s">
        <v>1550</v>
      </c>
      <c r="AL715" s="3" t="s">
        <v>1394</v>
      </c>
      <c r="AM715" s="3" t="s">
        <v>1419</v>
      </c>
    </row>
    <row r="716" ht="15.75" customHeight="1">
      <c r="A716" s="3">
        <v>1.7304E12</v>
      </c>
      <c r="B716" s="3">
        <v>7.0</v>
      </c>
      <c r="C716" s="3" t="s">
        <v>698</v>
      </c>
      <c r="D716" s="3" t="s">
        <v>1369</v>
      </c>
      <c r="E716" s="3" t="s">
        <v>698</v>
      </c>
      <c r="F716" s="3">
        <v>1.0</v>
      </c>
      <c r="G716" s="3">
        <v>0.0</v>
      </c>
      <c r="H716" s="3">
        <v>0.0</v>
      </c>
      <c r="I716" s="3">
        <v>0.0</v>
      </c>
      <c r="J716" s="3">
        <v>1.0</v>
      </c>
      <c r="K716" s="3">
        <v>1.0</v>
      </c>
      <c r="L716" s="3">
        <v>1.0</v>
      </c>
      <c r="M716" s="3">
        <v>1.0</v>
      </c>
      <c r="N716" s="3">
        <v>0.0</v>
      </c>
      <c r="O716" s="3">
        <v>1.0</v>
      </c>
      <c r="P716" s="3">
        <v>1.0</v>
      </c>
      <c r="Q716" s="3">
        <v>0.0</v>
      </c>
      <c r="R716" s="3">
        <v>0.0</v>
      </c>
      <c r="S716" s="3">
        <v>0.0</v>
      </c>
      <c r="T716" s="3">
        <v>0.0</v>
      </c>
      <c r="U716" s="3">
        <v>0.0</v>
      </c>
      <c r="V716" s="3">
        <v>0.0</v>
      </c>
      <c r="W716" s="3" t="s">
        <v>111</v>
      </c>
      <c r="X716" s="3" t="s">
        <v>2276</v>
      </c>
      <c r="Y716" s="3" t="s">
        <v>2328</v>
      </c>
      <c r="Z716" s="3" t="s">
        <v>1725</v>
      </c>
      <c r="AA716" s="3" t="s">
        <v>1382</v>
      </c>
      <c r="AB716" s="3" t="s">
        <v>1391</v>
      </c>
      <c r="AC716" s="3" t="s">
        <v>1374</v>
      </c>
      <c r="AD716" s="3" t="s">
        <v>1655</v>
      </c>
      <c r="AE716" s="3" t="s">
        <v>2073</v>
      </c>
      <c r="AF716" s="3">
        <v>0.065</v>
      </c>
      <c r="AG716" s="3">
        <v>1.477</v>
      </c>
      <c r="AH716" s="3">
        <v>0.312</v>
      </c>
      <c r="AK716" s="3" t="s">
        <v>2329</v>
      </c>
    </row>
    <row r="717" ht="15.75" customHeight="1">
      <c r="A717" s="3">
        <v>1.7304E12</v>
      </c>
      <c r="B717" s="3">
        <v>11.0</v>
      </c>
      <c r="C717" s="3" t="s">
        <v>779</v>
      </c>
      <c r="D717" s="3" t="s">
        <v>1369</v>
      </c>
      <c r="E717" s="3" t="s">
        <v>779</v>
      </c>
      <c r="F717" s="3">
        <v>1.0</v>
      </c>
      <c r="G717" s="3">
        <v>1.0</v>
      </c>
      <c r="H717" s="3">
        <v>1.0</v>
      </c>
      <c r="I717" s="3">
        <v>1.0</v>
      </c>
      <c r="J717" s="3">
        <v>1.0</v>
      </c>
      <c r="K717" s="3">
        <v>1.0</v>
      </c>
      <c r="L717" s="3">
        <v>1.0</v>
      </c>
      <c r="M717" s="3">
        <v>1.0</v>
      </c>
      <c r="N717" s="3">
        <v>1.0</v>
      </c>
      <c r="O717" s="3">
        <v>0.0</v>
      </c>
      <c r="P717" s="3">
        <v>1.0</v>
      </c>
      <c r="Q717" s="3">
        <v>0.0</v>
      </c>
      <c r="R717" s="3">
        <v>0.0</v>
      </c>
      <c r="S717" s="3">
        <v>0.0</v>
      </c>
      <c r="T717" s="3">
        <v>0.0</v>
      </c>
      <c r="U717" s="3">
        <v>0.0</v>
      </c>
      <c r="V717" s="3">
        <v>1.0</v>
      </c>
      <c r="W717" s="3" t="s">
        <v>926</v>
      </c>
      <c r="X717" s="3" t="s">
        <v>1379</v>
      </c>
      <c r="Y717" s="3" t="s">
        <v>1380</v>
      </c>
      <c r="Z717" s="3" t="s">
        <v>1449</v>
      </c>
      <c r="AA717" s="3" t="s">
        <v>1382</v>
      </c>
      <c r="AB717" s="3" t="s">
        <v>1374</v>
      </c>
      <c r="AC717" s="3" t="s">
        <v>1400</v>
      </c>
      <c r="AD717" s="3" t="s">
        <v>1425</v>
      </c>
      <c r="AE717" s="3" t="s">
        <v>1385</v>
      </c>
      <c r="AF717" s="3">
        <v>0.194</v>
      </c>
      <c r="AG717" s="3">
        <v>2.349</v>
      </c>
      <c r="AJ717" s="3">
        <v>4.279</v>
      </c>
      <c r="AK717" s="3" t="s">
        <v>2330</v>
      </c>
      <c r="AM717" s="3" t="s">
        <v>1387</v>
      </c>
    </row>
    <row r="718" ht="15.75" customHeight="1">
      <c r="A718" s="3">
        <v>1.73028E12</v>
      </c>
      <c r="B718" s="3">
        <v>13.0</v>
      </c>
      <c r="C718" s="3" t="s">
        <v>96</v>
      </c>
      <c r="D718" s="3" t="s">
        <v>1369</v>
      </c>
      <c r="E718" s="3" t="s">
        <v>96</v>
      </c>
      <c r="F718" s="3">
        <v>1.0</v>
      </c>
      <c r="G718" s="3">
        <v>1.0</v>
      </c>
      <c r="H718" s="3">
        <v>1.0</v>
      </c>
      <c r="I718" s="3">
        <v>1.0</v>
      </c>
      <c r="J718" s="3">
        <v>1.0</v>
      </c>
      <c r="K718" s="3">
        <v>1.0</v>
      </c>
      <c r="L718" s="3">
        <v>1.0</v>
      </c>
      <c r="M718" s="3">
        <v>1.0</v>
      </c>
      <c r="N718" s="3">
        <v>1.0</v>
      </c>
      <c r="O718" s="3">
        <v>1.0</v>
      </c>
      <c r="P718" s="3">
        <v>1.0</v>
      </c>
      <c r="Q718" s="3">
        <v>0.0</v>
      </c>
      <c r="R718" s="3">
        <v>0.0</v>
      </c>
      <c r="S718" s="3">
        <v>0.0</v>
      </c>
      <c r="T718" s="3">
        <v>1.0</v>
      </c>
      <c r="U718" s="3">
        <v>0.0</v>
      </c>
      <c r="V718" s="3">
        <v>1.0</v>
      </c>
      <c r="W718" s="3" t="s">
        <v>570</v>
      </c>
      <c r="X718" s="3" t="s">
        <v>1388</v>
      </c>
      <c r="Y718" s="3" t="s">
        <v>1389</v>
      </c>
      <c r="Z718" s="3" t="s">
        <v>1372</v>
      </c>
      <c r="AA718" s="3" t="s">
        <v>1390</v>
      </c>
      <c r="AB718" s="3" t="s">
        <v>1374</v>
      </c>
      <c r="AC718" s="3" t="s">
        <v>1391</v>
      </c>
      <c r="AD718" s="3" t="s">
        <v>1392</v>
      </c>
      <c r="AE718" s="3" t="s">
        <v>1393</v>
      </c>
      <c r="AF718" s="3">
        <v>0.071</v>
      </c>
      <c r="AG718" s="3">
        <v>1.028</v>
      </c>
      <c r="AH718" s="3">
        <v>0.332</v>
      </c>
      <c r="AI718" s="3">
        <v>298.217</v>
      </c>
      <c r="AJ718" s="3">
        <v>1.618</v>
      </c>
      <c r="AK718" s="3" t="s">
        <v>1917</v>
      </c>
      <c r="AL718" s="3">
        <v>0.089</v>
      </c>
      <c r="AM718" s="3" t="s">
        <v>1396</v>
      </c>
    </row>
    <row r="719" ht="15.75" customHeight="1">
      <c r="A719" s="3">
        <v>1.73037E12</v>
      </c>
      <c r="B719" s="3">
        <v>16.0</v>
      </c>
      <c r="C719" s="3" t="s">
        <v>730</v>
      </c>
      <c r="D719" s="3" t="s">
        <v>1369</v>
      </c>
      <c r="E719" s="3" t="s">
        <v>730</v>
      </c>
      <c r="F719" s="3">
        <v>1.0</v>
      </c>
      <c r="G719" s="3">
        <v>1.0</v>
      </c>
      <c r="H719" s="3">
        <v>1.0</v>
      </c>
      <c r="I719" s="3">
        <v>1.0</v>
      </c>
      <c r="J719" s="3">
        <v>1.0</v>
      </c>
      <c r="K719" s="3">
        <v>1.0</v>
      </c>
      <c r="L719" s="3">
        <v>1.0</v>
      </c>
      <c r="M719" s="3">
        <v>1.0</v>
      </c>
      <c r="N719" s="3">
        <v>1.0</v>
      </c>
      <c r="O719" s="3">
        <v>1.0</v>
      </c>
      <c r="P719" s="3">
        <v>1.0</v>
      </c>
      <c r="Q719" s="3">
        <v>0.0</v>
      </c>
      <c r="R719" s="3">
        <v>1.0</v>
      </c>
      <c r="S719" s="3">
        <v>1.0</v>
      </c>
      <c r="T719" s="3">
        <v>1.0</v>
      </c>
      <c r="U719" s="3">
        <v>1.0</v>
      </c>
      <c r="V719" s="3">
        <v>1.0</v>
      </c>
      <c r="W719" s="3" t="s">
        <v>1251</v>
      </c>
      <c r="X719" s="3" t="s">
        <v>1578</v>
      </c>
      <c r="Y719" s="3" t="s">
        <v>1579</v>
      </c>
      <c r="Z719" s="3" t="s">
        <v>1423</v>
      </c>
      <c r="AA719" s="3" t="s">
        <v>1382</v>
      </c>
      <c r="AB719" s="3" t="s">
        <v>1374</v>
      </c>
      <c r="AC719" s="3" t="s">
        <v>1580</v>
      </c>
      <c r="AD719" s="3" t="s">
        <v>1581</v>
      </c>
      <c r="AE719" s="3" t="s">
        <v>1582</v>
      </c>
      <c r="AF719" s="3">
        <v>0.05</v>
      </c>
      <c r="AG719" s="3">
        <v>0.271</v>
      </c>
      <c r="AH719" s="3">
        <v>0.415</v>
      </c>
      <c r="AI719" s="3" t="s">
        <v>1394</v>
      </c>
      <c r="AJ719" s="3">
        <v>18.743</v>
      </c>
      <c r="AK719" s="3" t="s">
        <v>1753</v>
      </c>
      <c r="AL719" s="3" t="s">
        <v>1394</v>
      </c>
      <c r="AM719" s="3" t="s">
        <v>1584</v>
      </c>
    </row>
    <row r="720" ht="15.75" customHeight="1">
      <c r="A720" s="3">
        <v>1.7304E12</v>
      </c>
      <c r="B720" s="3">
        <v>11.0</v>
      </c>
      <c r="C720" s="3" t="s">
        <v>925</v>
      </c>
      <c r="D720" s="3" t="s">
        <v>1369</v>
      </c>
      <c r="E720" s="3" t="s">
        <v>925</v>
      </c>
      <c r="F720" s="3">
        <v>1.0</v>
      </c>
      <c r="G720" s="3">
        <v>1.0</v>
      </c>
      <c r="H720" s="3">
        <v>1.0</v>
      </c>
      <c r="I720" s="3">
        <v>1.0</v>
      </c>
      <c r="J720" s="3">
        <v>1.0</v>
      </c>
      <c r="K720" s="3">
        <v>1.0</v>
      </c>
      <c r="L720" s="3">
        <v>1.0</v>
      </c>
      <c r="M720" s="3">
        <v>1.0</v>
      </c>
      <c r="N720" s="3">
        <v>1.0</v>
      </c>
      <c r="O720" s="3">
        <v>1.0</v>
      </c>
      <c r="P720" s="3">
        <v>0.0</v>
      </c>
      <c r="Q720" s="3">
        <v>0.0</v>
      </c>
      <c r="R720" s="3">
        <v>0.0</v>
      </c>
      <c r="S720" s="3">
        <v>0.0</v>
      </c>
      <c r="T720" s="3">
        <v>0.0</v>
      </c>
      <c r="U720" s="3">
        <v>0.0</v>
      </c>
      <c r="V720" s="3">
        <v>1.0</v>
      </c>
      <c r="W720" s="3" t="s">
        <v>251</v>
      </c>
      <c r="X720" s="3" t="s">
        <v>1429</v>
      </c>
      <c r="Y720" s="3" t="s">
        <v>1430</v>
      </c>
      <c r="Z720" s="3" t="s">
        <v>1423</v>
      </c>
      <c r="AA720" s="3" t="s">
        <v>1432</v>
      </c>
      <c r="AB720" s="3" t="s">
        <v>1374</v>
      </c>
      <c r="AC720" s="3" t="s">
        <v>1391</v>
      </c>
      <c r="AD720" s="3" t="s">
        <v>1433</v>
      </c>
      <c r="AE720" s="3" t="s">
        <v>1434</v>
      </c>
      <c r="AF720" s="3">
        <v>0.168</v>
      </c>
      <c r="AG720" s="3">
        <v>0.0237</v>
      </c>
      <c r="AH720" s="3">
        <v>0.334</v>
      </c>
      <c r="AI720" s="3">
        <v>112.003</v>
      </c>
      <c r="AL720" s="3">
        <v>0.113</v>
      </c>
      <c r="AM720" s="3" t="s">
        <v>1436</v>
      </c>
    </row>
    <row r="721" ht="15.75" customHeight="1">
      <c r="A721" s="3">
        <v>1.7303E12</v>
      </c>
      <c r="B721" s="3">
        <v>14.0</v>
      </c>
      <c r="C721" s="3" t="s">
        <v>2331</v>
      </c>
      <c r="D721" s="3" t="s">
        <v>1369</v>
      </c>
      <c r="E721" s="3" t="s">
        <v>2331</v>
      </c>
      <c r="F721" s="3">
        <v>1.0</v>
      </c>
      <c r="G721" s="3">
        <v>1.0</v>
      </c>
      <c r="H721" s="3">
        <v>1.0</v>
      </c>
      <c r="I721" s="3">
        <v>1.0</v>
      </c>
      <c r="J721" s="3">
        <v>1.0</v>
      </c>
      <c r="K721" s="3">
        <v>1.0</v>
      </c>
      <c r="L721" s="3">
        <v>1.0</v>
      </c>
      <c r="M721" s="3">
        <v>1.0</v>
      </c>
      <c r="N721" s="3">
        <v>1.0</v>
      </c>
      <c r="O721" s="3">
        <v>1.0</v>
      </c>
      <c r="P721" s="3">
        <v>1.0</v>
      </c>
      <c r="Q721" s="3">
        <v>0.0</v>
      </c>
      <c r="R721" s="3">
        <v>0.0</v>
      </c>
      <c r="S721" s="3">
        <v>1.0</v>
      </c>
      <c r="T721" s="3">
        <v>1.0</v>
      </c>
      <c r="U721" s="3">
        <v>0.0</v>
      </c>
      <c r="V721" s="3">
        <v>1.0</v>
      </c>
      <c r="W721" s="3" t="s">
        <v>276</v>
      </c>
      <c r="X721" s="3" t="s">
        <v>1563</v>
      </c>
      <c r="Y721" s="3" t="s">
        <v>1564</v>
      </c>
      <c r="Z721" s="3" t="s">
        <v>1449</v>
      </c>
      <c r="AA721" s="3" t="s">
        <v>1565</v>
      </c>
      <c r="AB721" s="3" t="s">
        <v>1391</v>
      </c>
      <c r="AC721" s="3" t="s">
        <v>1400</v>
      </c>
      <c r="AD721" s="3" t="s">
        <v>2332</v>
      </c>
      <c r="AE721" s="3" t="s">
        <v>1567</v>
      </c>
      <c r="AF721" s="3">
        <v>0.345</v>
      </c>
      <c r="AG721" s="3">
        <v>0.674</v>
      </c>
      <c r="AH721" s="3">
        <v>0.335</v>
      </c>
      <c r="AI721" s="3">
        <v>45.884</v>
      </c>
      <c r="AJ721" s="3">
        <v>2.401</v>
      </c>
      <c r="AK721" s="3" t="s">
        <v>2333</v>
      </c>
      <c r="AL721" s="3">
        <v>0.066</v>
      </c>
      <c r="AM721" s="3" t="s">
        <v>1569</v>
      </c>
    </row>
    <row r="722" ht="15.75" customHeight="1">
      <c r="A722" s="3">
        <v>1.73038E12</v>
      </c>
      <c r="B722" s="3">
        <v>17.0</v>
      </c>
      <c r="C722" s="3" t="s">
        <v>744</v>
      </c>
      <c r="D722" s="3" t="s">
        <v>1369</v>
      </c>
      <c r="E722" s="3" t="s">
        <v>744</v>
      </c>
      <c r="F722" s="3">
        <v>1.0</v>
      </c>
      <c r="G722" s="3">
        <v>1.0</v>
      </c>
      <c r="H722" s="3">
        <v>1.0</v>
      </c>
      <c r="I722" s="3">
        <v>1.0</v>
      </c>
      <c r="J722" s="3">
        <v>1.0</v>
      </c>
      <c r="K722" s="3">
        <v>1.0</v>
      </c>
      <c r="L722" s="3">
        <v>1.0</v>
      </c>
      <c r="M722" s="3">
        <v>1.0</v>
      </c>
      <c r="N722" s="3">
        <v>1.0</v>
      </c>
      <c r="O722" s="3">
        <v>1.0</v>
      </c>
      <c r="P722" s="3">
        <v>1.0</v>
      </c>
      <c r="Q722" s="3">
        <v>1.0</v>
      </c>
      <c r="R722" s="3">
        <v>1.0</v>
      </c>
      <c r="S722" s="3">
        <v>1.0</v>
      </c>
      <c r="T722" s="3">
        <v>1.0</v>
      </c>
      <c r="U722" s="3">
        <v>1.0</v>
      </c>
      <c r="V722" s="3">
        <v>1.0</v>
      </c>
      <c r="W722" s="3" t="s">
        <v>992</v>
      </c>
      <c r="X722" s="3" t="s">
        <v>1605</v>
      </c>
      <c r="Y722" s="3" t="s">
        <v>1654</v>
      </c>
      <c r="Z722" s="3" t="s">
        <v>1423</v>
      </c>
      <c r="AA722" s="3" t="s">
        <v>1382</v>
      </c>
      <c r="AB722" s="3" t="s">
        <v>1391</v>
      </c>
      <c r="AC722" s="3" t="s">
        <v>1374</v>
      </c>
      <c r="AD722" s="3" t="s">
        <v>1655</v>
      </c>
      <c r="AE722" s="3" t="s">
        <v>1656</v>
      </c>
      <c r="AF722" s="3">
        <v>0.066</v>
      </c>
      <c r="AG722" s="3">
        <v>1.47</v>
      </c>
      <c r="AH722" s="3" t="s">
        <v>1394</v>
      </c>
      <c r="AI722" s="3" t="s">
        <v>1394</v>
      </c>
      <c r="AJ722" s="3">
        <v>40.436</v>
      </c>
      <c r="AK722" s="3" t="s">
        <v>1672</v>
      </c>
      <c r="AL722" s="3" t="s">
        <v>1394</v>
      </c>
      <c r="AM722" s="3" t="s">
        <v>1608</v>
      </c>
    </row>
    <row r="723" ht="15.75" customHeight="1">
      <c r="A723" s="3">
        <v>1.7303E12</v>
      </c>
      <c r="B723" s="3">
        <v>11.0</v>
      </c>
      <c r="C723" s="3" t="s">
        <v>250</v>
      </c>
      <c r="D723" s="3" t="s">
        <v>1369</v>
      </c>
      <c r="E723" s="3" t="s">
        <v>250</v>
      </c>
      <c r="F723" s="3">
        <v>1.0</v>
      </c>
      <c r="G723" s="3">
        <v>1.0</v>
      </c>
      <c r="H723" s="3">
        <v>1.0</v>
      </c>
      <c r="I723" s="3">
        <v>1.0</v>
      </c>
      <c r="J723" s="3">
        <v>1.0</v>
      </c>
      <c r="K723" s="3">
        <v>1.0</v>
      </c>
      <c r="L723" s="3">
        <v>1.0</v>
      </c>
      <c r="M723" s="3">
        <v>1.0</v>
      </c>
      <c r="N723" s="3">
        <v>1.0</v>
      </c>
      <c r="O723" s="3">
        <v>1.0</v>
      </c>
      <c r="P723" s="3">
        <v>0.0</v>
      </c>
      <c r="Q723" s="3">
        <v>0.0</v>
      </c>
      <c r="R723" s="3">
        <v>0.0</v>
      </c>
      <c r="S723" s="3">
        <v>0.0</v>
      </c>
      <c r="T723" s="3">
        <v>1.0</v>
      </c>
      <c r="U723" s="3">
        <v>0.0</v>
      </c>
      <c r="V723" s="3">
        <v>0.0</v>
      </c>
      <c r="W723" s="3" t="s">
        <v>414</v>
      </c>
      <c r="X723" s="3" t="s">
        <v>1398</v>
      </c>
      <c r="Y723" s="3" t="s">
        <v>1399</v>
      </c>
      <c r="Z723" s="3" t="s">
        <v>1449</v>
      </c>
      <c r="AA723" s="3" t="s">
        <v>1785</v>
      </c>
      <c r="AB723" s="3" t="s">
        <v>1374</v>
      </c>
      <c r="AC723" s="3" t="s">
        <v>1400</v>
      </c>
      <c r="AD723" s="3" t="s">
        <v>1401</v>
      </c>
      <c r="AE723" s="3" t="s">
        <v>1402</v>
      </c>
      <c r="AF723" s="3">
        <v>0.006</v>
      </c>
      <c r="AG723" s="3">
        <v>0.069</v>
      </c>
      <c r="AH723" s="3">
        <v>0.173</v>
      </c>
      <c r="AI723" s="3">
        <v>33.676</v>
      </c>
      <c r="AJ723" s="3">
        <v>7.001</v>
      </c>
      <c r="AK723" s="3" t="s">
        <v>1802</v>
      </c>
      <c r="AL723" s="3">
        <v>0.256</v>
      </c>
      <c r="AM723" s="3">
        <v>14.0</v>
      </c>
    </row>
    <row r="724" ht="15.75" customHeight="1">
      <c r="A724" s="3">
        <v>1.73036E12</v>
      </c>
      <c r="B724" s="3">
        <v>14.0</v>
      </c>
      <c r="C724" s="3" t="s">
        <v>389</v>
      </c>
      <c r="D724" s="3" t="s">
        <v>1369</v>
      </c>
      <c r="E724" s="3" t="s">
        <v>389</v>
      </c>
      <c r="F724" s="3">
        <v>1.0</v>
      </c>
      <c r="G724" s="3">
        <v>1.0</v>
      </c>
      <c r="H724" s="3">
        <v>1.0</v>
      </c>
      <c r="I724" s="3">
        <v>1.0</v>
      </c>
      <c r="J724" s="3">
        <v>1.0</v>
      </c>
      <c r="K724" s="3">
        <v>1.0</v>
      </c>
      <c r="L724" s="3">
        <v>1.0</v>
      </c>
      <c r="M724" s="3">
        <v>1.0</v>
      </c>
      <c r="N724" s="3">
        <v>1.0</v>
      </c>
      <c r="O724" s="3">
        <v>1.0</v>
      </c>
      <c r="P724" s="3">
        <v>1.0</v>
      </c>
      <c r="Q724" s="3">
        <v>0.0</v>
      </c>
      <c r="R724" s="3">
        <v>0.0</v>
      </c>
      <c r="S724" s="3">
        <v>1.0</v>
      </c>
      <c r="T724" s="3">
        <v>1.0</v>
      </c>
      <c r="U724" s="3">
        <v>0.0</v>
      </c>
      <c r="V724" s="3">
        <v>1.0</v>
      </c>
      <c r="W724" s="3" t="s">
        <v>600</v>
      </c>
      <c r="X724" s="3" t="s">
        <v>1370</v>
      </c>
      <c r="Y724" s="3" t="s">
        <v>1371</v>
      </c>
      <c r="Z724" s="3" t="s">
        <v>1449</v>
      </c>
      <c r="AA724" s="3" t="s">
        <v>1373</v>
      </c>
      <c r="AB724" s="3" t="s">
        <v>1374</v>
      </c>
      <c r="AC724" s="3" t="s">
        <v>1374</v>
      </c>
      <c r="AD724" s="3" t="s">
        <v>1375</v>
      </c>
      <c r="AE724" s="3" t="s">
        <v>1376</v>
      </c>
      <c r="AF724" s="3">
        <v>0.555</v>
      </c>
      <c r="AG724" s="3">
        <v>2.825</v>
      </c>
      <c r="AH724" s="3">
        <v>0.315</v>
      </c>
      <c r="AJ724" s="3">
        <v>7.232</v>
      </c>
      <c r="AK724" s="3" t="s">
        <v>1377</v>
      </c>
      <c r="AL724" s="3">
        <v>0.569</v>
      </c>
      <c r="AM724" s="3" t="s">
        <v>1509</v>
      </c>
    </row>
    <row r="725" ht="15.75" customHeight="1">
      <c r="A725" s="3">
        <v>1.7297E12</v>
      </c>
      <c r="B725" s="3">
        <v>16.0</v>
      </c>
      <c r="C725" s="3" t="s">
        <v>471</v>
      </c>
      <c r="D725" s="3" t="s">
        <v>1369</v>
      </c>
      <c r="E725" s="3" t="s">
        <v>471</v>
      </c>
      <c r="F725" s="3">
        <v>1.0</v>
      </c>
      <c r="G725" s="3">
        <v>1.0</v>
      </c>
      <c r="H725" s="3">
        <v>1.0</v>
      </c>
      <c r="I725" s="3">
        <v>1.0</v>
      </c>
      <c r="J725" s="3">
        <v>1.0</v>
      </c>
      <c r="K725" s="3">
        <v>1.0</v>
      </c>
      <c r="L725" s="3">
        <v>1.0</v>
      </c>
      <c r="M725" s="3">
        <v>1.0</v>
      </c>
      <c r="N725" s="3">
        <v>1.0</v>
      </c>
      <c r="O725" s="3">
        <v>1.0</v>
      </c>
      <c r="P725" s="3">
        <v>1.0</v>
      </c>
      <c r="Q725" s="3">
        <v>1.0</v>
      </c>
      <c r="R725" s="3">
        <v>1.0</v>
      </c>
      <c r="S725" s="3">
        <v>0.0</v>
      </c>
      <c r="T725" s="3">
        <v>1.0</v>
      </c>
      <c r="U725" s="3">
        <v>1.0</v>
      </c>
      <c r="V725" s="3">
        <v>1.0</v>
      </c>
      <c r="W725" s="3" t="s">
        <v>1259</v>
      </c>
      <c r="X725" s="3" t="s">
        <v>1483</v>
      </c>
      <c r="Y725" s="3" t="s">
        <v>1484</v>
      </c>
      <c r="Z725" s="3" t="s">
        <v>1372</v>
      </c>
      <c r="AA725" s="3" t="s">
        <v>1373</v>
      </c>
      <c r="AB725" s="3" t="s">
        <v>1374</v>
      </c>
      <c r="AC725" s="3" t="s">
        <v>1391</v>
      </c>
      <c r="AD725" s="3" t="s">
        <v>1485</v>
      </c>
      <c r="AE725" s="3" t="s">
        <v>1486</v>
      </c>
      <c r="AF725" s="3">
        <v>0.021</v>
      </c>
      <c r="AG725" s="3">
        <v>0.358</v>
      </c>
      <c r="AH725" s="3" t="s">
        <v>1394</v>
      </c>
      <c r="AI725" s="3" t="s">
        <v>1394</v>
      </c>
      <c r="AJ725" s="3" t="s">
        <v>1394</v>
      </c>
      <c r="AK725" s="3" t="s">
        <v>2334</v>
      </c>
      <c r="AL725" s="3" t="s">
        <v>1394</v>
      </c>
      <c r="AM725" s="3" t="s">
        <v>1573</v>
      </c>
    </row>
    <row r="726" ht="15.75" customHeight="1">
      <c r="A726" s="3">
        <v>1.73039E12</v>
      </c>
      <c r="B726" s="3">
        <v>16.0</v>
      </c>
      <c r="C726" s="3" t="s">
        <v>2335</v>
      </c>
      <c r="D726" s="3" t="s">
        <v>1369</v>
      </c>
      <c r="E726" s="3" t="s">
        <v>2335</v>
      </c>
      <c r="F726" s="3">
        <v>1.0</v>
      </c>
      <c r="G726" s="3">
        <v>1.0</v>
      </c>
      <c r="H726" s="3">
        <v>1.0</v>
      </c>
      <c r="I726" s="3">
        <v>1.0</v>
      </c>
      <c r="J726" s="3">
        <v>1.0</v>
      </c>
      <c r="K726" s="3">
        <v>1.0</v>
      </c>
      <c r="L726" s="3">
        <v>1.0</v>
      </c>
      <c r="M726" s="3">
        <v>1.0</v>
      </c>
      <c r="N726" s="3">
        <v>1.0</v>
      </c>
      <c r="O726" s="3">
        <v>1.0</v>
      </c>
      <c r="P726" s="3">
        <v>1.0</v>
      </c>
      <c r="Q726" s="3">
        <v>1.0</v>
      </c>
      <c r="R726" s="3">
        <v>1.0</v>
      </c>
      <c r="S726" s="3">
        <v>0.0</v>
      </c>
      <c r="T726" s="3">
        <v>1.0</v>
      </c>
      <c r="U726" s="3">
        <v>1.0</v>
      </c>
      <c r="V726" s="3">
        <v>1.0</v>
      </c>
      <c r="W726" s="3" t="s">
        <v>1090</v>
      </c>
      <c r="X726" s="3" t="s">
        <v>1456</v>
      </c>
      <c r="Y726" s="3" t="s">
        <v>1457</v>
      </c>
      <c r="Z726" s="3" t="s">
        <v>1431</v>
      </c>
      <c r="AA726" s="3" t="s">
        <v>1458</v>
      </c>
      <c r="AB726" s="3" t="s">
        <v>1374</v>
      </c>
      <c r="AC726" s="3" t="s">
        <v>1374</v>
      </c>
      <c r="AD726" s="3" t="s">
        <v>1392</v>
      </c>
      <c r="AE726" s="3" t="s">
        <v>1459</v>
      </c>
      <c r="AF726" s="3">
        <v>0.077</v>
      </c>
      <c r="AG726" s="3">
        <v>0.617</v>
      </c>
      <c r="AH726" s="3">
        <v>0.286</v>
      </c>
      <c r="AI726" s="3">
        <v>111.688</v>
      </c>
      <c r="AJ726" s="3">
        <v>7.826</v>
      </c>
      <c r="AK726" s="3" t="s">
        <v>1640</v>
      </c>
      <c r="AL726" s="3">
        <v>0.06</v>
      </c>
      <c r="AM726" s="3" t="s">
        <v>1461</v>
      </c>
    </row>
    <row r="727" ht="15.75" customHeight="1">
      <c r="A727" s="3">
        <v>1.72988E12</v>
      </c>
      <c r="B727" s="3">
        <v>16.0</v>
      </c>
      <c r="C727" s="3" t="s">
        <v>453</v>
      </c>
      <c r="D727" s="3" t="s">
        <v>1369</v>
      </c>
      <c r="E727" s="3" t="s">
        <v>453</v>
      </c>
      <c r="F727" s="3">
        <v>1.0</v>
      </c>
      <c r="G727" s="3">
        <v>1.0</v>
      </c>
      <c r="H727" s="3">
        <v>1.0</v>
      </c>
      <c r="I727" s="3">
        <v>1.0</v>
      </c>
      <c r="J727" s="3">
        <v>1.0</v>
      </c>
      <c r="K727" s="3">
        <v>1.0</v>
      </c>
      <c r="L727" s="3">
        <v>1.0</v>
      </c>
      <c r="M727" s="3">
        <v>1.0</v>
      </c>
      <c r="N727" s="3">
        <v>1.0</v>
      </c>
      <c r="O727" s="3">
        <v>1.0</v>
      </c>
      <c r="P727" s="3">
        <v>1.0</v>
      </c>
      <c r="Q727" s="3">
        <v>1.0</v>
      </c>
      <c r="R727" s="3">
        <v>1.0</v>
      </c>
      <c r="S727" s="3">
        <v>0.0</v>
      </c>
      <c r="T727" s="3">
        <v>1.0</v>
      </c>
      <c r="U727" s="3">
        <v>1.0</v>
      </c>
      <c r="V727" s="3">
        <v>1.0</v>
      </c>
      <c r="W727" s="3" t="s">
        <v>2336</v>
      </c>
      <c r="X727" s="3" t="s">
        <v>1476</v>
      </c>
      <c r="Y727" s="3" t="s">
        <v>1477</v>
      </c>
      <c r="Z727" s="3" t="s">
        <v>1372</v>
      </c>
      <c r="AA727" s="3" t="s">
        <v>1415</v>
      </c>
      <c r="AB727" s="3" t="s">
        <v>1374</v>
      </c>
      <c r="AC727" s="3" t="s">
        <v>1374</v>
      </c>
      <c r="AD727" s="3" t="s">
        <v>1500</v>
      </c>
      <c r="AE727" s="3" t="s">
        <v>1479</v>
      </c>
      <c r="AF727" s="3">
        <v>0.033</v>
      </c>
      <c r="AG727" s="3">
        <v>0.655</v>
      </c>
      <c r="AH727" s="3" t="s">
        <v>1394</v>
      </c>
      <c r="AI727" s="3" t="s">
        <v>1394</v>
      </c>
      <c r="AJ727" s="3">
        <v>-2.995</v>
      </c>
      <c r="AK727" s="3" t="s">
        <v>1641</v>
      </c>
      <c r="AL727" s="3" t="s">
        <v>1394</v>
      </c>
      <c r="AM727" s="3" t="s">
        <v>1419</v>
      </c>
    </row>
    <row r="728" ht="15.75" customHeight="1">
      <c r="A728" s="3">
        <v>1.73034E12</v>
      </c>
      <c r="B728" s="3">
        <v>0.0</v>
      </c>
      <c r="C728" s="3" t="s">
        <v>2337</v>
      </c>
      <c r="D728" s="3" t="s">
        <v>1369</v>
      </c>
      <c r="E728" s="3" t="s">
        <v>2337</v>
      </c>
      <c r="F728" s="3">
        <v>0.0</v>
      </c>
      <c r="G728" s="3">
        <v>0.0</v>
      </c>
      <c r="H728" s="3">
        <v>0.0</v>
      </c>
      <c r="I728" s="3">
        <v>0.0</v>
      </c>
      <c r="J728" s="3">
        <v>0.0</v>
      </c>
      <c r="K728" s="3">
        <v>0.0</v>
      </c>
      <c r="L728" s="3">
        <v>0.0</v>
      </c>
      <c r="M728" s="3">
        <v>0.0</v>
      </c>
      <c r="N728" s="3">
        <v>0.0</v>
      </c>
      <c r="O728" s="3">
        <v>0.0</v>
      </c>
      <c r="P728" s="3">
        <v>0.0</v>
      </c>
      <c r="Q728" s="3">
        <v>0.0</v>
      </c>
      <c r="R728" s="3">
        <v>0.0</v>
      </c>
      <c r="S728" s="3">
        <v>0.0</v>
      </c>
      <c r="T728" s="3">
        <v>0.0</v>
      </c>
      <c r="U728" s="3">
        <v>0.0</v>
      </c>
      <c r="V728" s="3">
        <v>0.0</v>
      </c>
      <c r="X728" s="3" t="s">
        <v>1590</v>
      </c>
      <c r="Y728" s="3" t="s">
        <v>1591</v>
      </c>
      <c r="Z728" s="3" t="s">
        <v>2338</v>
      </c>
      <c r="AB728" s="3" t="s">
        <v>1374</v>
      </c>
      <c r="AC728" s="3" t="s">
        <v>1374</v>
      </c>
      <c r="AD728" s="3" t="s">
        <v>1625</v>
      </c>
      <c r="AE728" s="3" t="s">
        <v>1595</v>
      </c>
      <c r="AF728" s="3">
        <v>0.188</v>
      </c>
      <c r="AG728" s="3">
        <v>2.243</v>
      </c>
      <c r="AH728" s="3">
        <v>0.38</v>
      </c>
      <c r="AI728" s="3" t="s">
        <v>1519</v>
      </c>
      <c r="AJ728" s="3">
        <v>7.348</v>
      </c>
      <c r="AK728" s="3" t="s">
        <v>1626</v>
      </c>
      <c r="AL728" s="3" t="s">
        <v>1519</v>
      </c>
      <c r="AM728" s="3" t="s">
        <v>1705</v>
      </c>
    </row>
    <row r="729" ht="15.75" customHeight="1">
      <c r="A729" s="3">
        <v>1.7304E12</v>
      </c>
      <c r="B729" s="3">
        <v>14.0</v>
      </c>
      <c r="C729" s="3" t="s">
        <v>599</v>
      </c>
      <c r="D729" s="3" t="s">
        <v>1369</v>
      </c>
      <c r="E729" s="3" t="s">
        <v>599</v>
      </c>
      <c r="F729" s="3">
        <v>1.0</v>
      </c>
      <c r="G729" s="3">
        <v>1.0</v>
      </c>
      <c r="H729" s="3">
        <v>1.0</v>
      </c>
      <c r="I729" s="3">
        <v>1.0</v>
      </c>
      <c r="J729" s="3">
        <v>1.0</v>
      </c>
      <c r="K729" s="3">
        <v>1.0</v>
      </c>
      <c r="L729" s="3">
        <v>1.0</v>
      </c>
      <c r="M729" s="3">
        <v>1.0</v>
      </c>
      <c r="N729" s="3">
        <v>1.0</v>
      </c>
      <c r="O729" s="3">
        <v>1.0</v>
      </c>
      <c r="P729" s="3">
        <v>1.0</v>
      </c>
      <c r="Q729" s="3">
        <v>0.0</v>
      </c>
      <c r="R729" s="3">
        <v>0.0</v>
      </c>
      <c r="S729" s="3">
        <v>1.0</v>
      </c>
      <c r="T729" s="3">
        <v>1.0</v>
      </c>
      <c r="U729" s="3">
        <v>0.0</v>
      </c>
      <c r="V729" s="3">
        <v>1.0</v>
      </c>
      <c r="W729" s="3" t="s">
        <v>93</v>
      </c>
      <c r="X729" s="3" t="s">
        <v>1563</v>
      </c>
      <c r="Y729" s="3" t="s">
        <v>1564</v>
      </c>
      <c r="Z729" s="3" t="s">
        <v>1449</v>
      </c>
      <c r="AA729" s="3" t="s">
        <v>1565</v>
      </c>
      <c r="AB729" s="3" t="s">
        <v>1374</v>
      </c>
      <c r="AC729" s="3" t="s">
        <v>1594</v>
      </c>
      <c r="AD729" s="3" t="s">
        <v>1566</v>
      </c>
      <c r="AE729" s="3" t="s">
        <v>1567</v>
      </c>
      <c r="AF729" s="3">
        <v>0.352</v>
      </c>
      <c r="AG729" s="3">
        <v>0.684</v>
      </c>
      <c r="AH729" s="3">
        <v>0.261</v>
      </c>
      <c r="AI729" s="3">
        <v>36.891</v>
      </c>
      <c r="AJ729" s="3">
        <v>2.439</v>
      </c>
      <c r="AK729" s="3" t="s">
        <v>1970</v>
      </c>
      <c r="AL729" s="3">
        <v>0.342</v>
      </c>
      <c r="AM729" s="3" t="s">
        <v>1569</v>
      </c>
    </row>
    <row r="730" ht="15.75" customHeight="1">
      <c r="A730" s="3">
        <v>1.7304E12</v>
      </c>
      <c r="B730" s="3">
        <v>0.0</v>
      </c>
      <c r="C730" s="3" t="s">
        <v>2339</v>
      </c>
      <c r="D730" s="3" t="s">
        <v>1369</v>
      </c>
      <c r="E730" s="3" t="s">
        <v>2339</v>
      </c>
      <c r="F730" s="3">
        <v>0.0</v>
      </c>
      <c r="G730" s="3">
        <v>0.0</v>
      </c>
      <c r="H730" s="3">
        <v>0.0</v>
      </c>
      <c r="I730" s="3">
        <v>0.0</v>
      </c>
      <c r="J730" s="3">
        <v>0.0</v>
      </c>
      <c r="K730" s="3">
        <v>0.0</v>
      </c>
      <c r="L730" s="3">
        <v>0.0</v>
      </c>
      <c r="M730" s="3">
        <v>0.0</v>
      </c>
      <c r="N730" s="3">
        <v>0.0</v>
      </c>
      <c r="O730" s="3">
        <v>0.0</v>
      </c>
      <c r="P730" s="3">
        <v>0.0</v>
      </c>
      <c r="Q730" s="3">
        <v>0.0</v>
      </c>
      <c r="R730" s="3">
        <v>0.0</v>
      </c>
      <c r="S730" s="3">
        <v>0.0</v>
      </c>
      <c r="T730" s="3">
        <v>0.0</v>
      </c>
      <c r="U730" s="3">
        <v>0.0</v>
      </c>
      <c r="V730" s="3">
        <v>0.0</v>
      </c>
      <c r="W730" s="3" t="s">
        <v>2340</v>
      </c>
      <c r="X730" s="3" t="s">
        <v>2269</v>
      </c>
      <c r="Y730" s="3" t="s">
        <v>2270</v>
      </c>
      <c r="Z730" s="3" t="s">
        <v>1725</v>
      </c>
      <c r="AA730" s="3" t="s">
        <v>2056</v>
      </c>
      <c r="AB730" s="3" t="s">
        <v>1374</v>
      </c>
      <c r="AC730" s="3" t="s">
        <v>1451</v>
      </c>
      <c r="AE730" s="3" t="s">
        <v>2271</v>
      </c>
      <c r="AF730" s="3">
        <v>0.188</v>
      </c>
      <c r="AH730" s="3">
        <v>0.39</v>
      </c>
      <c r="AI730" s="3">
        <v>-47.44</v>
      </c>
      <c r="AJ730" s="3">
        <v>7.79</v>
      </c>
      <c r="AK730" s="3" t="s">
        <v>2341</v>
      </c>
      <c r="AL730" s="3">
        <v>0.074</v>
      </c>
      <c r="AM730" s="3" t="s">
        <v>2342</v>
      </c>
    </row>
    <row r="731" ht="15.75" customHeight="1">
      <c r="A731" s="3">
        <v>1.73039E12</v>
      </c>
      <c r="B731" s="3">
        <v>6.0</v>
      </c>
      <c r="C731" s="3" t="s">
        <v>919</v>
      </c>
      <c r="D731" s="3" t="s">
        <v>1369</v>
      </c>
      <c r="E731" s="3" t="s">
        <v>919</v>
      </c>
      <c r="F731" s="3">
        <v>1.0</v>
      </c>
      <c r="G731" s="3">
        <v>0.0</v>
      </c>
      <c r="H731" s="3">
        <v>0.0</v>
      </c>
      <c r="I731" s="3">
        <v>0.0</v>
      </c>
      <c r="J731" s="3">
        <v>0.0</v>
      </c>
      <c r="K731" s="3">
        <v>1.0</v>
      </c>
      <c r="L731" s="3">
        <v>0.0</v>
      </c>
      <c r="M731" s="3">
        <v>1.0</v>
      </c>
      <c r="N731" s="3">
        <v>0.0</v>
      </c>
      <c r="O731" s="3">
        <v>1.0</v>
      </c>
      <c r="P731" s="3">
        <v>1.0</v>
      </c>
      <c r="Q731" s="3">
        <v>0.0</v>
      </c>
      <c r="R731" s="3">
        <v>0.0</v>
      </c>
      <c r="S731" s="3">
        <v>1.0</v>
      </c>
      <c r="T731" s="3">
        <v>0.0</v>
      </c>
      <c r="U731" s="3">
        <v>0.0</v>
      </c>
      <c r="V731" s="3">
        <v>0.0</v>
      </c>
      <c r="W731" s="3" t="s">
        <v>664</v>
      </c>
      <c r="X731" s="3" t="s">
        <v>2343</v>
      </c>
      <c r="Y731" s="3" t="s">
        <v>2344</v>
      </c>
      <c r="Z731" s="3" t="s">
        <v>2345</v>
      </c>
      <c r="AA731" s="3" t="s">
        <v>2346</v>
      </c>
      <c r="AB731" s="3" t="s">
        <v>1374</v>
      </c>
      <c r="AC731" s="3" t="s">
        <v>1391</v>
      </c>
      <c r="AD731" s="3" t="s">
        <v>2347</v>
      </c>
      <c r="AE731" s="3" t="s">
        <v>2348</v>
      </c>
      <c r="AF731" s="3">
        <v>0.033</v>
      </c>
      <c r="AG731" s="3">
        <v>0.217</v>
      </c>
      <c r="AH731" s="3">
        <v>0.393</v>
      </c>
      <c r="AI731" s="3">
        <v>48.585</v>
      </c>
      <c r="AJ731" s="3">
        <v>6.572</v>
      </c>
      <c r="AK731" s="3" t="s">
        <v>2349</v>
      </c>
      <c r="AL731" s="3">
        <v>0.176</v>
      </c>
      <c r="AM731" s="3" t="s">
        <v>2350</v>
      </c>
    </row>
    <row r="732" ht="15.75" customHeight="1">
      <c r="A732" s="3">
        <v>1.73037E12</v>
      </c>
      <c r="B732" s="3">
        <v>13.0</v>
      </c>
      <c r="C732" s="3" t="s">
        <v>2351</v>
      </c>
      <c r="D732" s="3" t="s">
        <v>1369</v>
      </c>
      <c r="E732" s="3" t="s">
        <v>2351</v>
      </c>
      <c r="F732" s="3">
        <v>1.0</v>
      </c>
      <c r="G732" s="3">
        <v>1.0</v>
      </c>
      <c r="H732" s="3">
        <v>1.0</v>
      </c>
      <c r="I732" s="3">
        <v>1.0</v>
      </c>
      <c r="J732" s="3">
        <v>1.0</v>
      </c>
      <c r="K732" s="3">
        <v>1.0</v>
      </c>
      <c r="L732" s="3">
        <v>1.0</v>
      </c>
      <c r="M732" s="3">
        <v>1.0</v>
      </c>
      <c r="N732" s="3">
        <v>1.0</v>
      </c>
      <c r="O732" s="3">
        <v>1.0</v>
      </c>
      <c r="P732" s="3">
        <v>1.0</v>
      </c>
      <c r="Q732" s="3">
        <v>0.0</v>
      </c>
      <c r="R732" s="3">
        <v>0.0</v>
      </c>
      <c r="S732" s="3">
        <v>0.0</v>
      </c>
      <c r="T732" s="3">
        <v>1.0</v>
      </c>
      <c r="U732" s="3">
        <v>0.0</v>
      </c>
      <c r="V732" s="3">
        <v>1.0</v>
      </c>
      <c r="W732" s="3" t="s">
        <v>752</v>
      </c>
      <c r="X732" s="3" t="s">
        <v>1542</v>
      </c>
      <c r="Y732" s="3" t="s">
        <v>1543</v>
      </c>
      <c r="Z732" s="3" t="s">
        <v>1449</v>
      </c>
      <c r="AA732" s="3" t="s">
        <v>1544</v>
      </c>
      <c r="AB732" s="3" t="s">
        <v>1374</v>
      </c>
      <c r="AC732" s="3" t="s">
        <v>1451</v>
      </c>
      <c r="AD732" s="3" t="s">
        <v>1401</v>
      </c>
      <c r="AE732" s="3" t="s">
        <v>1546</v>
      </c>
      <c r="AF732" s="3">
        <v>0.035</v>
      </c>
      <c r="AG732" s="3">
        <v>0.067</v>
      </c>
      <c r="AH732" s="3">
        <v>0.281</v>
      </c>
      <c r="AI732" s="3" t="b">
        <v>1</v>
      </c>
      <c r="AJ732" s="3">
        <v>0.671</v>
      </c>
      <c r="AK732" s="3" t="s">
        <v>2352</v>
      </c>
      <c r="AM732" s="3" t="s">
        <v>1548</v>
      </c>
    </row>
    <row r="733" ht="15.75" customHeight="1">
      <c r="A733" s="3">
        <v>1.73038E12</v>
      </c>
      <c r="B733" s="3">
        <v>17.0</v>
      </c>
      <c r="C733" s="3" t="s">
        <v>700</v>
      </c>
      <c r="D733" s="3" t="s">
        <v>1369</v>
      </c>
      <c r="E733" s="3" t="s">
        <v>700</v>
      </c>
      <c r="F733" s="3">
        <v>1.0</v>
      </c>
      <c r="G733" s="3">
        <v>1.0</v>
      </c>
      <c r="H733" s="3">
        <v>1.0</v>
      </c>
      <c r="I733" s="3">
        <v>1.0</v>
      </c>
      <c r="J733" s="3">
        <v>1.0</v>
      </c>
      <c r="K733" s="3">
        <v>1.0</v>
      </c>
      <c r="L733" s="3">
        <v>1.0</v>
      </c>
      <c r="M733" s="3">
        <v>1.0</v>
      </c>
      <c r="N733" s="3">
        <v>1.0</v>
      </c>
      <c r="O733" s="3">
        <v>1.0</v>
      </c>
      <c r="P733" s="3">
        <v>1.0</v>
      </c>
      <c r="Q733" s="3">
        <v>1.0</v>
      </c>
      <c r="R733" s="3">
        <v>1.0</v>
      </c>
      <c r="S733" s="3">
        <v>1.0</v>
      </c>
      <c r="T733" s="3">
        <v>1.0</v>
      </c>
      <c r="U733" s="3">
        <v>1.0</v>
      </c>
      <c r="V733" s="3">
        <v>1.0</v>
      </c>
      <c r="W733" s="3" t="s">
        <v>1264</v>
      </c>
      <c r="X733" s="3" t="s">
        <v>1438</v>
      </c>
      <c r="Y733" s="3" t="s">
        <v>1439</v>
      </c>
      <c r="Z733" s="3" t="s">
        <v>1372</v>
      </c>
      <c r="AA733" s="3" t="s">
        <v>1553</v>
      </c>
      <c r="AB733" s="3" t="s">
        <v>1374</v>
      </c>
      <c r="AC733" s="3" t="s">
        <v>1391</v>
      </c>
      <c r="AD733" s="3" t="s">
        <v>2353</v>
      </c>
      <c r="AE733" s="3" t="s">
        <v>1444</v>
      </c>
      <c r="AF733" s="3">
        <v>0.078</v>
      </c>
      <c r="AG733" s="3">
        <v>0.269</v>
      </c>
      <c r="AH733" s="3">
        <v>0.246</v>
      </c>
      <c r="AI733" s="3">
        <v>241.107</v>
      </c>
      <c r="AJ733" s="3">
        <v>-1.674</v>
      </c>
      <c r="AK733" s="3" t="s">
        <v>1555</v>
      </c>
      <c r="AL733" s="3">
        <v>0.259</v>
      </c>
      <c r="AM733" s="3" t="s">
        <v>1446</v>
      </c>
    </row>
    <row r="734" ht="15.75" customHeight="1">
      <c r="A734" s="3">
        <v>1.73038E12</v>
      </c>
      <c r="B734" s="3">
        <v>0.0</v>
      </c>
      <c r="C734" s="3" t="s">
        <v>2354</v>
      </c>
      <c r="D734" s="3" t="s">
        <v>1369</v>
      </c>
      <c r="E734" s="3" t="s">
        <v>2354</v>
      </c>
      <c r="F734" s="3">
        <v>0.0</v>
      </c>
      <c r="G734" s="3">
        <v>0.0</v>
      </c>
      <c r="H734" s="3">
        <v>0.0</v>
      </c>
      <c r="I734" s="3">
        <v>0.0</v>
      </c>
      <c r="J734" s="3">
        <v>0.0</v>
      </c>
      <c r="K734" s="3">
        <v>0.0</v>
      </c>
      <c r="L734" s="3">
        <v>0.0</v>
      </c>
      <c r="M734" s="3">
        <v>0.0</v>
      </c>
      <c r="N734" s="3">
        <v>0.0</v>
      </c>
      <c r="O734" s="3">
        <v>0.0</v>
      </c>
      <c r="P734" s="3">
        <v>0.0</v>
      </c>
      <c r="Q734" s="3">
        <v>0.0</v>
      </c>
      <c r="R734" s="3">
        <v>0.0</v>
      </c>
      <c r="S734" s="3">
        <v>0.0</v>
      </c>
      <c r="T734" s="3">
        <v>0.0</v>
      </c>
      <c r="U734" s="3">
        <v>0.0</v>
      </c>
      <c r="V734" s="3">
        <v>0.0</v>
      </c>
      <c r="W734" s="3" t="s">
        <v>2355</v>
      </c>
      <c r="X734" s="3" t="s">
        <v>1848</v>
      </c>
      <c r="Y734" s="3" t="s">
        <v>1849</v>
      </c>
      <c r="Z734" s="3" t="s">
        <v>1512</v>
      </c>
      <c r="AA734" s="3" t="s">
        <v>1415</v>
      </c>
      <c r="AB734" s="3" t="s">
        <v>1374</v>
      </c>
      <c r="AC734" s="3" t="s">
        <v>1508</v>
      </c>
      <c r="AD734" s="3">
        <v>3431.0</v>
      </c>
      <c r="AE734" s="3" t="s">
        <v>2356</v>
      </c>
      <c r="AF734" s="3">
        <v>0.03</v>
      </c>
      <c r="AG734" s="3">
        <v>0.61</v>
      </c>
      <c r="AH734" s="3">
        <v>0.29</v>
      </c>
      <c r="AI734" s="3" t="s">
        <v>1519</v>
      </c>
      <c r="AJ734" s="3">
        <v>-21.507</v>
      </c>
      <c r="AK734" s="3" t="s">
        <v>2357</v>
      </c>
      <c r="AL734" s="3" t="s">
        <v>1519</v>
      </c>
      <c r="AM734" s="3" t="s">
        <v>2358</v>
      </c>
    </row>
    <row r="735" ht="15.75" customHeight="1">
      <c r="A735" s="3">
        <v>1.73037E12</v>
      </c>
      <c r="B735" s="3">
        <v>17.0</v>
      </c>
      <c r="C735" s="3" t="s">
        <v>2359</v>
      </c>
      <c r="D735" s="3" t="s">
        <v>1369</v>
      </c>
      <c r="E735" s="3" t="s">
        <v>2359</v>
      </c>
      <c r="F735" s="3">
        <v>1.0</v>
      </c>
      <c r="G735" s="3">
        <v>1.0</v>
      </c>
      <c r="H735" s="3">
        <v>1.0</v>
      </c>
      <c r="I735" s="3">
        <v>1.0</v>
      </c>
      <c r="J735" s="3">
        <v>1.0</v>
      </c>
      <c r="K735" s="3">
        <v>1.0</v>
      </c>
      <c r="L735" s="3">
        <v>1.0</v>
      </c>
      <c r="M735" s="3">
        <v>1.0</v>
      </c>
      <c r="N735" s="3">
        <v>1.0</v>
      </c>
      <c r="O735" s="3">
        <v>1.0</v>
      </c>
      <c r="P735" s="3">
        <v>1.0</v>
      </c>
      <c r="Q735" s="3">
        <v>1.0</v>
      </c>
      <c r="R735" s="3">
        <v>1.0</v>
      </c>
      <c r="S735" s="3">
        <v>1.0</v>
      </c>
      <c r="T735" s="3">
        <v>1.0</v>
      </c>
      <c r="U735" s="3">
        <v>1.0</v>
      </c>
      <c r="V735" s="3">
        <v>1.0</v>
      </c>
      <c r="W735" s="3" t="s">
        <v>701</v>
      </c>
      <c r="X735" s="3" t="s">
        <v>1521</v>
      </c>
      <c r="Y735" s="3" t="s">
        <v>1522</v>
      </c>
      <c r="Z735" s="3" t="s">
        <v>1372</v>
      </c>
      <c r="AA735" s="3" t="s">
        <v>1523</v>
      </c>
      <c r="AB735" s="3" t="s">
        <v>1374</v>
      </c>
      <c r="AC735" s="3" t="s">
        <v>1374</v>
      </c>
      <c r="AD735" s="3" t="s">
        <v>1524</v>
      </c>
      <c r="AE735" s="3" t="s">
        <v>1525</v>
      </c>
      <c r="AF735" s="3">
        <v>0.028</v>
      </c>
      <c r="AG735" s="3">
        <v>0.067</v>
      </c>
      <c r="AH735" s="3">
        <v>0.433</v>
      </c>
      <c r="AI735" s="3">
        <v>1082.205</v>
      </c>
      <c r="AJ735" s="3">
        <v>1.264</v>
      </c>
      <c r="AK735" s="3" t="s">
        <v>1526</v>
      </c>
      <c r="AL735" s="3">
        <v>0.059</v>
      </c>
      <c r="AM735" s="3" t="s">
        <v>1527</v>
      </c>
    </row>
    <row r="736" ht="15.75" customHeight="1">
      <c r="A736" s="3">
        <v>1.7304E12</v>
      </c>
      <c r="B736" s="3">
        <v>14.0</v>
      </c>
      <c r="C736" s="3" t="s">
        <v>320</v>
      </c>
      <c r="D736" s="3" t="s">
        <v>1369</v>
      </c>
      <c r="E736" s="3" t="s">
        <v>320</v>
      </c>
      <c r="F736" s="3">
        <v>1.0</v>
      </c>
      <c r="G736" s="3">
        <v>1.0</v>
      </c>
      <c r="H736" s="3">
        <v>1.0</v>
      </c>
      <c r="I736" s="3">
        <v>1.0</v>
      </c>
      <c r="J736" s="3">
        <v>1.0</v>
      </c>
      <c r="K736" s="3">
        <v>1.0</v>
      </c>
      <c r="L736" s="3">
        <v>1.0</v>
      </c>
      <c r="M736" s="3">
        <v>1.0</v>
      </c>
      <c r="N736" s="3">
        <v>1.0</v>
      </c>
      <c r="O736" s="3">
        <v>1.0</v>
      </c>
      <c r="P736" s="3">
        <v>1.0</v>
      </c>
      <c r="Q736" s="3">
        <v>0.0</v>
      </c>
      <c r="R736" s="3">
        <v>0.0</v>
      </c>
      <c r="S736" s="3">
        <v>1.0</v>
      </c>
      <c r="T736" s="3">
        <v>1.0</v>
      </c>
      <c r="U736" s="3">
        <v>0.0</v>
      </c>
      <c r="V736" s="3">
        <v>1.0</v>
      </c>
      <c r="W736" s="3" t="s">
        <v>533</v>
      </c>
      <c r="X736" s="3" t="s">
        <v>1405</v>
      </c>
      <c r="Y736" s="3" t="s">
        <v>1406</v>
      </c>
      <c r="Z736" s="3" t="s">
        <v>1372</v>
      </c>
      <c r="AA736" s="3" t="s">
        <v>1407</v>
      </c>
      <c r="AB736" s="3" t="s">
        <v>1374</v>
      </c>
      <c r="AC736" s="3" t="s">
        <v>1400</v>
      </c>
      <c r="AD736" s="3" t="s">
        <v>1506</v>
      </c>
      <c r="AE736" s="3" t="s">
        <v>1409</v>
      </c>
      <c r="AF736" s="3">
        <v>-0.017</v>
      </c>
      <c r="AG736" s="3">
        <v>-0.049</v>
      </c>
      <c r="AH736" s="3">
        <v>0.0</v>
      </c>
      <c r="AI736" s="3">
        <v>-177.571</v>
      </c>
      <c r="AJ736" s="3">
        <v>12.822</v>
      </c>
      <c r="AK736" s="3" t="s">
        <v>1535</v>
      </c>
      <c r="AL736" s="3">
        <v>-0.472</v>
      </c>
      <c r="AM736" s="3" t="s">
        <v>1411</v>
      </c>
    </row>
    <row r="737" ht="15.75" customHeight="1">
      <c r="A737" s="3">
        <v>1.7304E12</v>
      </c>
      <c r="B737" s="3">
        <v>0.0</v>
      </c>
      <c r="C737" s="3" t="s">
        <v>2360</v>
      </c>
      <c r="D737" s="3" t="s">
        <v>1369</v>
      </c>
      <c r="E737" s="3" t="s">
        <v>2360</v>
      </c>
      <c r="F737" s="3">
        <v>0.0</v>
      </c>
      <c r="G737" s="3">
        <v>0.0</v>
      </c>
      <c r="H737" s="3">
        <v>0.0</v>
      </c>
      <c r="I737" s="3">
        <v>0.0</v>
      </c>
      <c r="J737" s="3">
        <v>0.0</v>
      </c>
      <c r="K737" s="3">
        <v>0.0</v>
      </c>
      <c r="L737" s="3">
        <v>0.0</v>
      </c>
      <c r="M737" s="3">
        <v>0.0</v>
      </c>
      <c r="N737" s="3">
        <v>0.0</v>
      </c>
      <c r="O737" s="3">
        <v>0.0</v>
      </c>
      <c r="P737" s="3">
        <v>0.0</v>
      </c>
      <c r="Q737" s="3">
        <v>0.0</v>
      </c>
      <c r="R737" s="3">
        <v>0.0</v>
      </c>
      <c r="S737" s="3">
        <v>0.0</v>
      </c>
      <c r="T737" s="3">
        <v>0.0</v>
      </c>
      <c r="U737" s="3">
        <v>0.0</v>
      </c>
      <c r="V737" s="3">
        <v>0.0</v>
      </c>
    </row>
    <row r="738" ht="15.75" customHeight="1">
      <c r="A738" s="3">
        <v>1.73035E12</v>
      </c>
      <c r="B738" s="3">
        <v>17.0</v>
      </c>
      <c r="C738" s="3" t="s">
        <v>439</v>
      </c>
      <c r="D738" s="3" t="s">
        <v>1369</v>
      </c>
      <c r="E738" s="3" t="s">
        <v>439</v>
      </c>
      <c r="F738" s="3">
        <v>1.0</v>
      </c>
      <c r="G738" s="3">
        <v>1.0</v>
      </c>
      <c r="H738" s="3">
        <v>1.0</v>
      </c>
      <c r="I738" s="3">
        <v>1.0</v>
      </c>
      <c r="J738" s="3">
        <v>1.0</v>
      </c>
      <c r="K738" s="3">
        <v>1.0</v>
      </c>
      <c r="L738" s="3">
        <v>1.0</v>
      </c>
      <c r="M738" s="3">
        <v>1.0</v>
      </c>
      <c r="N738" s="3">
        <v>1.0</v>
      </c>
      <c r="O738" s="3">
        <v>1.0</v>
      </c>
      <c r="P738" s="3">
        <v>1.0</v>
      </c>
      <c r="Q738" s="3">
        <v>1.0</v>
      </c>
      <c r="R738" s="3">
        <v>1.0</v>
      </c>
      <c r="S738" s="3">
        <v>1.0</v>
      </c>
      <c r="T738" s="3">
        <v>1.0</v>
      </c>
      <c r="U738" s="3">
        <v>1.0</v>
      </c>
      <c r="V738" s="3">
        <v>1.0</v>
      </c>
      <c r="W738" s="3" t="s">
        <v>1327</v>
      </c>
      <c r="X738" s="3" t="s">
        <v>1388</v>
      </c>
      <c r="Y738" s="3" t="s">
        <v>1389</v>
      </c>
      <c r="Z738" s="3" t="s">
        <v>1372</v>
      </c>
      <c r="AA738" s="3" t="s">
        <v>1390</v>
      </c>
      <c r="AB738" s="3" t="s">
        <v>1374</v>
      </c>
      <c r="AC738" s="3" t="s">
        <v>1391</v>
      </c>
      <c r="AD738" s="3" t="s">
        <v>1392</v>
      </c>
      <c r="AE738" s="3" t="s">
        <v>1393</v>
      </c>
      <c r="AF738" s="3">
        <v>0.071</v>
      </c>
      <c r="AG738" s="3">
        <v>1.031</v>
      </c>
      <c r="AH738" s="3" t="s">
        <v>1394</v>
      </c>
      <c r="AI738" s="3" t="s">
        <v>1394</v>
      </c>
      <c r="AJ738" s="3">
        <v>13.72</v>
      </c>
      <c r="AK738" s="3" t="s">
        <v>1395</v>
      </c>
      <c r="AL738" s="3" t="s">
        <v>1394</v>
      </c>
      <c r="AM738" s="3" t="s">
        <v>1396</v>
      </c>
    </row>
    <row r="739" ht="15.75" customHeight="1">
      <c r="A739" s="3">
        <v>1.73038E12</v>
      </c>
      <c r="B739" s="3">
        <v>17.0</v>
      </c>
      <c r="C739" s="3" t="s">
        <v>411</v>
      </c>
      <c r="D739" s="3" t="s">
        <v>1369</v>
      </c>
      <c r="E739" s="3" t="s">
        <v>411</v>
      </c>
      <c r="F739" s="3">
        <v>1.0</v>
      </c>
      <c r="G739" s="3">
        <v>1.0</v>
      </c>
      <c r="H739" s="3">
        <v>1.0</v>
      </c>
      <c r="I739" s="3">
        <v>1.0</v>
      </c>
      <c r="J739" s="3">
        <v>1.0</v>
      </c>
      <c r="K739" s="3">
        <v>1.0</v>
      </c>
      <c r="L739" s="3">
        <v>1.0</v>
      </c>
      <c r="M739" s="3">
        <v>1.0</v>
      </c>
      <c r="N739" s="3">
        <v>1.0</v>
      </c>
      <c r="O739" s="3">
        <v>1.0</v>
      </c>
      <c r="P739" s="3">
        <v>1.0</v>
      </c>
      <c r="Q739" s="3">
        <v>1.0</v>
      </c>
      <c r="R739" s="3">
        <v>1.0</v>
      </c>
      <c r="S739" s="3">
        <v>1.0</v>
      </c>
      <c r="T739" s="3">
        <v>1.0</v>
      </c>
      <c r="U739" s="3">
        <v>1.0</v>
      </c>
      <c r="V739" s="3">
        <v>1.0</v>
      </c>
      <c r="W739" s="3" t="s">
        <v>1155</v>
      </c>
      <c r="X739" s="3" t="s">
        <v>1405</v>
      </c>
      <c r="Y739" s="3" t="s">
        <v>1406</v>
      </c>
      <c r="Z739" s="3" t="s">
        <v>2361</v>
      </c>
      <c r="AA739" s="3" t="s">
        <v>1441</v>
      </c>
      <c r="AB739" s="3" t="s">
        <v>2362</v>
      </c>
      <c r="AC739" s="3" t="s">
        <v>2362</v>
      </c>
      <c r="AD739" s="3" t="s">
        <v>1506</v>
      </c>
      <c r="AE739" s="3" t="s">
        <v>1409</v>
      </c>
      <c r="AF739" s="3">
        <v>-0.017</v>
      </c>
      <c r="AG739" s="3">
        <v>-0.049</v>
      </c>
      <c r="AH739" s="3" t="s">
        <v>1394</v>
      </c>
      <c r="AI739" s="3" t="s">
        <v>1394</v>
      </c>
      <c r="AJ739" s="3">
        <v>12.723</v>
      </c>
      <c r="AK739" s="3" t="s">
        <v>1952</v>
      </c>
      <c r="AL739" s="3" t="s">
        <v>1394</v>
      </c>
      <c r="AM739" s="3" t="s">
        <v>1411</v>
      </c>
    </row>
    <row r="740" ht="15.75" customHeight="1">
      <c r="A740" s="3">
        <v>1.73039E12</v>
      </c>
      <c r="B740" s="3">
        <v>14.0</v>
      </c>
      <c r="C740" s="3" t="s">
        <v>2363</v>
      </c>
      <c r="D740" s="3" t="s">
        <v>1369</v>
      </c>
      <c r="E740" s="3" t="s">
        <v>2363</v>
      </c>
      <c r="F740" s="3">
        <v>1.0</v>
      </c>
      <c r="G740" s="3">
        <v>1.0</v>
      </c>
      <c r="H740" s="3">
        <v>1.0</v>
      </c>
      <c r="I740" s="3">
        <v>1.0</v>
      </c>
      <c r="J740" s="3">
        <v>1.0</v>
      </c>
      <c r="K740" s="3">
        <v>1.0</v>
      </c>
      <c r="L740" s="3">
        <v>1.0</v>
      </c>
      <c r="M740" s="3">
        <v>1.0</v>
      </c>
      <c r="N740" s="3">
        <v>1.0</v>
      </c>
      <c r="O740" s="3">
        <v>1.0</v>
      </c>
      <c r="P740" s="3">
        <v>1.0</v>
      </c>
      <c r="Q740" s="3">
        <v>0.0</v>
      </c>
      <c r="R740" s="3">
        <v>0.0</v>
      </c>
      <c r="S740" s="3">
        <v>1.0</v>
      </c>
      <c r="T740" s="3">
        <v>1.0</v>
      </c>
      <c r="U740" s="3">
        <v>0.0</v>
      </c>
      <c r="V740" s="3">
        <v>1.0</v>
      </c>
      <c r="W740" s="3" t="s">
        <v>542</v>
      </c>
      <c r="X740" s="3" t="s">
        <v>1590</v>
      </c>
      <c r="Y740" s="3" t="s">
        <v>1591</v>
      </c>
      <c r="Z740" s="3" t="s">
        <v>1431</v>
      </c>
      <c r="AA740" s="3" t="s">
        <v>1593</v>
      </c>
      <c r="AB740" s="3" t="s">
        <v>1374</v>
      </c>
      <c r="AC740" s="3" t="s">
        <v>1374</v>
      </c>
      <c r="AD740" s="3" t="s">
        <v>1625</v>
      </c>
      <c r="AE740" s="3" t="s">
        <v>1595</v>
      </c>
      <c r="AF740" s="3">
        <v>0.188</v>
      </c>
      <c r="AG740" s="3">
        <v>2.243</v>
      </c>
      <c r="AH740" s="3">
        <v>0.38</v>
      </c>
      <c r="AI740" s="3">
        <v>-45.895</v>
      </c>
      <c r="AJ740" s="3">
        <v>7.349</v>
      </c>
      <c r="AK740" s="3" t="s">
        <v>1626</v>
      </c>
      <c r="AL740" s="3">
        <v>0.048</v>
      </c>
      <c r="AM740" s="3" t="s">
        <v>1469</v>
      </c>
    </row>
    <row r="741" ht="15.75" customHeight="1">
      <c r="A741" s="3">
        <v>1.73039E12</v>
      </c>
      <c r="B741" s="3">
        <v>16.0</v>
      </c>
      <c r="C741" s="3" t="s">
        <v>944</v>
      </c>
      <c r="D741" s="3" t="s">
        <v>1369</v>
      </c>
      <c r="E741" s="3" t="s">
        <v>944</v>
      </c>
      <c r="F741" s="3">
        <v>1.0</v>
      </c>
      <c r="G741" s="3">
        <v>1.0</v>
      </c>
      <c r="H741" s="3">
        <v>1.0</v>
      </c>
      <c r="I741" s="3">
        <v>1.0</v>
      </c>
      <c r="J741" s="3">
        <v>1.0</v>
      </c>
      <c r="K741" s="3">
        <v>1.0</v>
      </c>
      <c r="L741" s="3">
        <v>1.0</v>
      </c>
      <c r="M741" s="3">
        <v>1.0</v>
      </c>
      <c r="N741" s="3">
        <v>1.0</v>
      </c>
      <c r="O741" s="3">
        <v>1.0</v>
      </c>
      <c r="P741" s="3">
        <v>1.0</v>
      </c>
      <c r="Q741" s="3">
        <v>1.0</v>
      </c>
      <c r="R741" s="3">
        <v>1.0</v>
      </c>
      <c r="S741" s="3">
        <v>0.0</v>
      </c>
      <c r="T741" s="3">
        <v>1.0</v>
      </c>
      <c r="U741" s="3">
        <v>1.0</v>
      </c>
      <c r="V741" s="3">
        <v>1.0</v>
      </c>
      <c r="W741" s="3" t="s">
        <v>1160</v>
      </c>
      <c r="X741" s="3" t="s">
        <v>1600</v>
      </c>
      <c r="Y741" s="3" t="s">
        <v>1601</v>
      </c>
      <c r="Z741" s="3" t="s">
        <v>1372</v>
      </c>
      <c r="AA741" s="3" t="s">
        <v>1407</v>
      </c>
      <c r="AB741" s="3" t="s">
        <v>1374</v>
      </c>
      <c r="AC741" s="3" t="s">
        <v>1400</v>
      </c>
      <c r="AD741" s="3" t="s">
        <v>1408</v>
      </c>
      <c r="AE741" s="3" t="s">
        <v>1602</v>
      </c>
      <c r="AF741" s="3">
        <v>0.034</v>
      </c>
      <c r="AG741" s="3">
        <v>0.1</v>
      </c>
      <c r="AH741" s="3" t="s">
        <v>1394</v>
      </c>
      <c r="AI741" s="3" t="s">
        <v>1394</v>
      </c>
      <c r="AJ741" s="3">
        <v>-0.378</v>
      </c>
      <c r="AK741" s="3" t="s">
        <v>1890</v>
      </c>
      <c r="AL741" s="3" t="s">
        <v>1394</v>
      </c>
      <c r="AM741" s="3" t="s">
        <v>1411</v>
      </c>
    </row>
    <row r="742" ht="15.75" customHeight="1">
      <c r="A742" s="3">
        <v>1.73039E12</v>
      </c>
      <c r="B742" s="3">
        <v>17.0</v>
      </c>
      <c r="C742" s="3" t="s">
        <v>704</v>
      </c>
      <c r="D742" s="3" t="s">
        <v>1369</v>
      </c>
      <c r="E742" s="3" t="s">
        <v>704</v>
      </c>
      <c r="F742" s="3">
        <v>1.0</v>
      </c>
      <c r="G742" s="3">
        <v>1.0</v>
      </c>
      <c r="H742" s="3">
        <v>1.0</v>
      </c>
      <c r="I742" s="3">
        <v>1.0</v>
      </c>
      <c r="J742" s="3">
        <v>1.0</v>
      </c>
      <c r="K742" s="3">
        <v>1.0</v>
      </c>
      <c r="L742" s="3">
        <v>1.0</v>
      </c>
      <c r="M742" s="3">
        <v>1.0</v>
      </c>
      <c r="N742" s="3">
        <v>1.0</v>
      </c>
      <c r="O742" s="3">
        <v>1.0</v>
      </c>
      <c r="P742" s="3">
        <v>1.0</v>
      </c>
      <c r="Q742" s="3">
        <v>1.0</v>
      </c>
      <c r="R742" s="3">
        <v>1.0</v>
      </c>
      <c r="S742" s="3">
        <v>1.0</v>
      </c>
      <c r="T742" s="3">
        <v>1.0</v>
      </c>
      <c r="U742" s="3">
        <v>1.0</v>
      </c>
      <c r="V742" s="3">
        <v>1.0</v>
      </c>
      <c r="W742" s="3" t="s">
        <v>1143</v>
      </c>
      <c r="X742" s="3" t="s">
        <v>2364</v>
      </c>
      <c r="Y742" s="3" t="s">
        <v>2365</v>
      </c>
      <c r="Z742" s="3" t="s">
        <v>1423</v>
      </c>
      <c r="AA742" s="3" t="s">
        <v>1382</v>
      </c>
      <c r="AB742" s="3" t="s">
        <v>1391</v>
      </c>
      <c r="AC742" s="3" t="s">
        <v>1374</v>
      </c>
      <c r="AD742" s="3" t="s">
        <v>2366</v>
      </c>
      <c r="AE742" s="3" t="s">
        <v>2367</v>
      </c>
      <c r="AF742" s="3">
        <v>0.066</v>
      </c>
      <c r="AG742" s="3">
        <v>1.325</v>
      </c>
      <c r="AH742" s="3" t="s">
        <v>1394</v>
      </c>
      <c r="AI742" s="3">
        <v>-888.086</v>
      </c>
      <c r="AJ742" s="3">
        <v>39.404</v>
      </c>
      <c r="AK742" s="3" t="s">
        <v>2368</v>
      </c>
      <c r="AL742" s="3">
        <v>0.079</v>
      </c>
      <c r="AM742" s="3" t="s">
        <v>2369</v>
      </c>
    </row>
    <row r="743" ht="15.75" customHeight="1">
      <c r="A743" s="3">
        <v>1.73032E12</v>
      </c>
      <c r="B743" s="3">
        <v>13.0</v>
      </c>
      <c r="C743" s="3" t="s">
        <v>751</v>
      </c>
      <c r="D743" s="3" t="s">
        <v>1369</v>
      </c>
      <c r="E743" s="3" t="s">
        <v>751</v>
      </c>
      <c r="F743" s="3">
        <v>1.0</v>
      </c>
      <c r="G743" s="3">
        <v>1.0</v>
      </c>
      <c r="H743" s="3">
        <v>1.0</v>
      </c>
      <c r="I743" s="3">
        <v>1.0</v>
      </c>
      <c r="J743" s="3">
        <v>1.0</v>
      </c>
      <c r="K743" s="3">
        <v>1.0</v>
      </c>
      <c r="L743" s="3">
        <v>1.0</v>
      </c>
      <c r="M743" s="3">
        <v>1.0</v>
      </c>
      <c r="N743" s="3">
        <v>1.0</v>
      </c>
      <c r="O743" s="3">
        <v>1.0</v>
      </c>
      <c r="P743" s="3">
        <v>1.0</v>
      </c>
      <c r="Q743" s="3">
        <v>0.0</v>
      </c>
      <c r="R743" s="3">
        <v>0.0</v>
      </c>
      <c r="S743" s="3">
        <v>0.0</v>
      </c>
      <c r="T743" s="3">
        <v>1.0</v>
      </c>
      <c r="U743" s="3">
        <v>0.0</v>
      </c>
      <c r="V743" s="3">
        <v>1.0</v>
      </c>
      <c r="W743" s="3" t="s">
        <v>209</v>
      </c>
      <c r="X743" s="3" t="s">
        <v>1464</v>
      </c>
      <c r="Y743" s="3" t="s">
        <v>1465</v>
      </c>
      <c r="Z743" s="3" t="s">
        <v>1372</v>
      </c>
      <c r="AA743" s="3" t="s">
        <v>1373</v>
      </c>
      <c r="AB743" s="3" t="s">
        <v>1374</v>
      </c>
      <c r="AC743" s="3" t="s">
        <v>1391</v>
      </c>
      <c r="AD743" s="3" t="s">
        <v>1497</v>
      </c>
      <c r="AE743" s="3" t="s">
        <v>1467</v>
      </c>
      <c r="AF743" s="3">
        <v>0.203</v>
      </c>
      <c r="AG743" s="3">
        <v>2.499</v>
      </c>
      <c r="AH743" s="3">
        <v>0.31</v>
      </c>
      <c r="AI743" s="3">
        <v>12.963</v>
      </c>
      <c r="AJ743" s="3">
        <v>1.011</v>
      </c>
      <c r="AK743" s="3" t="s">
        <v>2031</v>
      </c>
      <c r="AL743" s="3">
        <v>0.598</v>
      </c>
      <c r="AM743" s="3" t="s">
        <v>1469</v>
      </c>
    </row>
    <row r="744" ht="15.75" customHeight="1">
      <c r="A744" s="3">
        <v>1.7304E12</v>
      </c>
      <c r="B744" s="3">
        <v>10.0</v>
      </c>
      <c r="C744" s="3" t="s">
        <v>241</v>
      </c>
      <c r="D744" s="3" t="s">
        <v>1369</v>
      </c>
      <c r="E744" s="3" t="s">
        <v>241</v>
      </c>
      <c r="F744" s="3">
        <v>1.0</v>
      </c>
      <c r="G744" s="3">
        <v>1.0</v>
      </c>
      <c r="H744" s="3">
        <v>1.0</v>
      </c>
      <c r="I744" s="3">
        <v>1.0</v>
      </c>
      <c r="J744" s="3">
        <v>1.0</v>
      </c>
      <c r="K744" s="3">
        <v>1.0</v>
      </c>
      <c r="L744" s="3">
        <v>0.0</v>
      </c>
      <c r="M744" s="3">
        <v>1.0</v>
      </c>
      <c r="N744" s="3">
        <v>1.0</v>
      </c>
      <c r="O744" s="3">
        <v>1.0</v>
      </c>
      <c r="P744" s="3">
        <v>0.0</v>
      </c>
      <c r="Q744" s="3">
        <v>0.0</v>
      </c>
      <c r="R744" s="3">
        <v>0.0</v>
      </c>
      <c r="S744" s="3">
        <v>0.0</v>
      </c>
      <c r="T744" s="3">
        <v>0.0</v>
      </c>
      <c r="U744" s="3">
        <v>0.0</v>
      </c>
      <c r="V744" s="3">
        <v>1.0</v>
      </c>
      <c r="W744" s="3" t="s">
        <v>294</v>
      </c>
      <c r="X744" s="3" t="s">
        <v>1470</v>
      </c>
      <c r="Y744" s="3" t="s">
        <v>1471</v>
      </c>
      <c r="Z744" s="3" t="s">
        <v>1449</v>
      </c>
      <c r="AA744" s="3" t="s">
        <v>1382</v>
      </c>
      <c r="AB744" s="3" t="s">
        <v>1374</v>
      </c>
      <c r="AC744" s="3" t="s">
        <v>1374</v>
      </c>
      <c r="AD744" s="3" t="s">
        <v>1472</v>
      </c>
      <c r="AE744" s="3" t="s">
        <v>1473</v>
      </c>
      <c r="AF744" s="3">
        <v>0.15</v>
      </c>
      <c r="AG744" s="3">
        <v>0.0055</v>
      </c>
      <c r="AH744" s="3">
        <v>0.325</v>
      </c>
      <c r="AI744" s="3">
        <v>110.034</v>
      </c>
      <c r="AL744" s="3">
        <v>0.008</v>
      </c>
      <c r="AM744" s="3" t="s">
        <v>1475</v>
      </c>
    </row>
    <row r="745" ht="15.75" customHeight="1">
      <c r="A745" s="3">
        <v>1.73036E12</v>
      </c>
      <c r="B745" s="3">
        <v>14.0</v>
      </c>
      <c r="C745" s="3" t="s">
        <v>949</v>
      </c>
      <c r="D745" s="3" t="s">
        <v>1369</v>
      </c>
      <c r="E745" s="3" t="s">
        <v>949</v>
      </c>
      <c r="F745" s="3">
        <v>1.0</v>
      </c>
      <c r="G745" s="3">
        <v>1.0</v>
      </c>
      <c r="H745" s="3">
        <v>1.0</v>
      </c>
      <c r="I745" s="3">
        <v>1.0</v>
      </c>
      <c r="J745" s="3">
        <v>1.0</v>
      </c>
      <c r="K745" s="3">
        <v>1.0</v>
      </c>
      <c r="L745" s="3">
        <v>1.0</v>
      </c>
      <c r="M745" s="3">
        <v>1.0</v>
      </c>
      <c r="N745" s="3">
        <v>1.0</v>
      </c>
      <c r="O745" s="3">
        <v>1.0</v>
      </c>
      <c r="P745" s="3">
        <v>1.0</v>
      </c>
      <c r="Q745" s="3">
        <v>0.0</v>
      </c>
      <c r="R745" s="3">
        <v>0.0</v>
      </c>
      <c r="S745" s="3">
        <v>1.0</v>
      </c>
      <c r="T745" s="3">
        <v>1.0</v>
      </c>
      <c r="U745" s="3">
        <v>0.0</v>
      </c>
      <c r="V745" s="3">
        <v>1.0</v>
      </c>
      <c r="W745" s="3" t="s">
        <v>864</v>
      </c>
      <c r="X745" s="3" t="s">
        <v>1398</v>
      </c>
      <c r="Y745" s="3" t="s">
        <v>1399</v>
      </c>
      <c r="Z745" s="3" t="s">
        <v>1372</v>
      </c>
      <c r="AA745" s="3" t="s">
        <v>1373</v>
      </c>
      <c r="AB745" s="3" t="s">
        <v>1374</v>
      </c>
      <c r="AC745" s="3" t="s">
        <v>1400</v>
      </c>
      <c r="AD745" s="3" t="s">
        <v>1401</v>
      </c>
      <c r="AE745" s="3" t="s">
        <v>1402</v>
      </c>
      <c r="AF745" s="3">
        <v>0.006</v>
      </c>
      <c r="AG745" s="3">
        <v>0.072</v>
      </c>
      <c r="AH745" s="3">
        <v>0.17</v>
      </c>
      <c r="AI745" s="3">
        <v>108.431</v>
      </c>
      <c r="AJ745" s="3">
        <v>8.395</v>
      </c>
      <c r="AK745" s="3" t="s">
        <v>1663</v>
      </c>
      <c r="AL745" s="3">
        <v>0.682</v>
      </c>
      <c r="AM745" s="3" t="s">
        <v>1404</v>
      </c>
    </row>
    <row r="746" ht="15.75" customHeight="1">
      <c r="A746" s="3">
        <v>1.73037E12</v>
      </c>
      <c r="B746" s="3">
        <v>17.0</v>
      </c>
      <c r="C746" s="3" t="s">
        <v>966</v>
      </c>
      <c r="D746" s="3" t="s">
        <v>1369</v>
      </c>
      <c r="E746" s="3" t="s">
        <v>966</v>
      </c>
      <c r="F746" s="3">
        <v>1.0</v>
      </c>
      <c r="G746" s="3">
        <v>1.0</v>
      </c>
      <c r="H746" s="3">
        <v>1.0</v>
      </c>
      <c r="I746" s="3">
        <v>1.0</v>
      </c>
      <c r="J746" s="3">
        <v>1.0</v>
      </c>
      <c r="K746" s="3">
        <v>1.0</v>
      </c>
      <c r="L746" s="3">
        <v>1.0</v>
      </c>
      <c r="M746" s="3">
        <v>1.0</v>
      </c>
      <c r="N746" s="3">
        <v>1.0</v>
      </c>
      <c r="O746" s="3">
        <v>1.0</v>
      </c>
      <c r="P746" s="3">
        <v>1.0</v>
      </c>
      <c r="Q746" s="3">
        <v>1.0</v>
      </c>
      <c r="R746" s="3">
        <v>1.0</v>
      </c>
      <c r="S746" s="3">
        <v>1.0</v>
      </c>
      <c r="T746" s="3">
        <v>1.0</v>
      </c>
      <c r="U746" s="3">
        <v>1.0</v>
      </c>
      <c r="V746" s="3">
        <v>1.0</v>
      </c>
      <c r="W746" s="3" t="s">
        <v>1302</v>
      </c>
      <c r="X746" s="3" t="s">
        <v>1447</v>
      </c>
      <c r="Y746" s="3" t="s">
        <v>1448</v>
      </c>
      <c r="Z746" s="3" t="s">
        <v>1372</v>
      </c>
      <c r="AA746" s="3" t="s">
        <v>1450</v>
      </c>
      <c r="AB746" s="3" t="s">
        <v>1374</v>
      </c>
      <c r="AC746" s="3" t="s">
        <v>1451</v>
      </c>
      <c r="AD746" s="3" t="s">
        <v>1452</v>
      </c>
      <c r="AE746" s="3" t="s">
        <v>1453</v>
      </c>
      <c r="AF746" s="3">
        <v>0.033</v>
      </c>
      <c r="AG746" s="3">
        <v>0.217</v>
      </c>
      <c r="AH746" s="3">
        <v>0.375</v>
      </c>
      <c r="AI746" s="3">
        <v>48.585</v>
      </c>
      <c r="AJ746" s="3">
        <v>6.574</v>
      </c>
      <c r="AK746" s="3" t="s">
        <v>1599</v>
      </c>
      <c r="AL746" s="3">
        <v>0.176</v>
      </c>
      <c r="AM746" s="3" t="s">
        <v>1455</v>
      </c>
    </row>
    <row r="747" ht="15.75" customHeight="1">
      <c r="A747" s="3">
        <v>1.73038E12</v>
      </c>
      <c r="B747" s="3">
        <v>17.0</v>
      </c>
      <c r="C747" s="3" t="s">
        <v>583</v>
      </c>
      <c r="D747" s="3" t="s">
        <v>1369</v>
      </c>
      <c r="E747" s="3" t="s">
        <v>583</v>
      </c>
      <c r="F747" s="3">
        <v>1.0</v>
      </c>
      <c r="G747" s="3">
        <v>1.0</v>
      </c>
      <c r="H747" s="3">
        <v>1.0</v>
      </c>
      <c r="I747" s="3">
        <v>1.0</v>
      </c>
      <c r="J747" s="3">
        <v>1.0</v>
      </c>
      <c r="K747" s="3">
        <v>1.0</v>
      </c>
      <c r="L747" s="3">
        <v>1.0</v>
      </c>
      <c r="M747" s="3">
        <v>1.0</v>
      </c>
      <c r="N747" s="3">
        <v>1.0</v>
      </c>
      <c r="O747" s="3">
        <v>1.0</v>
      </c>
      <c r="P747" s="3">
        <v>1.0</v>
      </c>
      <c r="Q747" s="3">
        <v>1.0</v>
      </c>
      <c r="R747" s="3">
        <v>1.0</v>
      </c>
      <c r="S747" s="3">
        <v>1.0</v>
      </c>
      <c r="T747" s="3">
        <v>1.0</v>
      </c>
      <c r="U747" s="3">
        <v>1.0</v>
      </c>
      <c r="V747" s="3">
        <v>1.0</v>
      </c>
      <c r="W747" s="3" t="s">
        <v>1308</v>
      </c>
      <c r="X747" s="3" t="s">
        <v>2370</v>
      </c>
      <c r="Y747" s="3" t="s">
        <v>1654</v>
      </c>
      <c r="Z747" s="3" t="s">
        <v>1449</v>
      </c>
      <c r="AA747" s="3" t="s">
        <v>1382</v>
      </c>
      <c r="AB747" s="3" t="s">
        <v>1391</v>
      </c>
      <c r="AC747" s="3" t="s">
        <v>1391</v>
      </c>
      <c r="AD747" s="3" t="s">
        <v>1650</v>
      </c>
      <c r="AE747" s="3" t="s">
        <v>2371</v>
      </c>
      <c r="AF747" s="3">
        <v>0.056</v>
      </c>
      <c r="AG747" s="3">
        <v>1.337</v>
      </c>
      <c r="AH747" s="3">
        <v>0.339</v>
      </c>
      <c r="AI747" s="3">
        <v>-929.472</v>
      </c>
      <c r="AJ747" s="3">
        <v>35.778</v>
      </c>
      <c r="AK747" s="3" t="s">
        <v>2372</v>
      </c>
      <c r="AL747" s="3">
        <v>0.071</v>
      </c>
      <c r="AM747" s="3" t="s">
        <v>1608</v>
      </c>
    </row>
    <row r="748" ht="15.75" customHeight="1">
      <c r="A748" s="3">
        <v>1.73036E12</v>
      </c>
      <c r="B748" s="3">
        <v>17.0</v>
      </c>
      <c r="C748" s="3" t="s">
        <v>964</v>
      </c>
      <c r="D748" s="3" t="s">
        <v>1369</v>
      </c>
      <c r="E748" s="3" t="s">
        <v>964</v>
      </c>
      <c r="F748" s="3">
        <v>1.0</v>
      </c>
      <c r="G748" s="3">
        <v>1.0</v>
      </c>
      <c r="H748" s="3">
        <v>1.0</v>
      </c>
      <c r="I748" s="3">
        <v>1.0</v>
      </c>
      <c r="J748" s="3">
        <v>1.0</v>
      </c>
      <c r="K748" s="3">
        <v>1.0</v>
      </c>
      <c r="L748" s="3">
        <v>1.0</v>
      </c>
      <c r="M748" s="3">
        <v>1.0</v>
      </c>
      <c r="N748" s="3">
        <v>1.0</v>
      </c>
      <c r="O748" s="3">
        <v>1.0</v>
      </c>
      <c r="P748" s="3">
        <v>1.0</v>
      </c>
      <c r="Q748" s="3">
        <v>1.0</v>
      </c>
      <c r="R748" s="3">
        <v>1.0</v>
      </c>
      <c r="S748" s="3">
        <v>1.0</v>
      </c>
      <c r="T748" s="3">
        <v>1.0</v>
      </c>
      <c r="U748" s="3">
        <v>1.0</v>
      </c>
      <c r="V748" s="3">
        <v>1.0</v>
      </c>
      <c r="W748" s="3" t="s">
        <v>995</v>
      </c>
      <c r="X748" s="3" t="s">
        <v>1521</v>
      </c>
      <c r="Y748" s="3" t="s">
        <v>1522</v>
      </c>
      <c r="Z748" s="3" t="s">
        <v>1372</v>
      </c>
      <c r="AA748" s="3" t="s">
        <v>1523</v>
      </c>
      <c r="AB748" s="3" t="s">
        <v>1374</v>
      </c>
      <c r="AC748" s="3" t="s">
        <v>1374</v>
      </c>
      <c r="AD748" s="3" t="s">
        <v>1524</v>
      </c>
      <c r="AE748" s="3" t="s">
        <v>1525</v>
      </c>
      <c r="AF748" s="3">
        <v>0.029</v>
      </c>
      <c r="AG748" s="3">
        <v>0.068</v>
      </c>
      <c r="AH748" s="3">
        <v>0.445</v>
      </c>
      <c r="AI748" s="3">
        <v>1082.566</v>
      </c>
      <c r="AJ748" s="3">
        <v>1.993</v>
      </c>
      <c r="AK748" s="3" t="s">
        <v>1812</v>
      </c>
      <c r="AL748" s="3">
        <v>0.061</v>
      </c>
      <c r="AM748" s="3" t="s">
        <v>1527</v>
      </c>
    </row>
  </sheetData>
  <autoFilter ref="$A$1:$AM$748"/>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6.88"/>
    <col customWidth="1" min="3" max="3" width="29.0"/>
  </cols>
  <sheetData>
    <row r="1">
      <c r="A1" s="3" t="str">
        <f>IFERROR(__xludf.DUMMYFUNCTION("QUERY(data!B:W,""SELECT E,B,W"")"),"email")</f>
        <v>email</v>
      </c>
      <c r="B1" s="3" t="str">
        <f>IFERROR(__xludf.DUMMYFUNCTION("""COMPUTED_VALUE"""),"score")</f>
        <v>score</v>
      </c>
      <c r="C1" s="3" t="str">
        <f>IFERROR(__xludf.DUMMYFUNCTION("""COMPUTED_VALUE"""),"answers_q0")</f>
        <v>answers_q0</v>
      </c>
      <c r="D1" s="4" t="s">
        <v>2373</v>
      </c>
      <c r="E1" s="4" t="s">
        <v>2374</v>
      </c>
      <c r="F1" s="4" t="s">
        <v>2375</v>
      </c>
      <c r="G1" s="4" t="s">
        <v>2376</v>
      </c>
      <c r="H1" s="4" t="s">
        <v>2377</v>
      </c>
      <c r="I1" s="4" t="s">
        <v>2378</v>
      </c>
      <c r="J1" s="4" t="s">
        <v>2379</v>
      </c>
      <c r="K1" s="4" t="s">
        <v>2380</v>
      </c>
      <c r="L1" s="4" t="s">
        <v>2381</v>
      </c>
      <c r="M1" s="4" t="s">
        <v>2382</v>
      </c>
    </row>
    <row r="2" hidden="1">
      <c r="A2" s="3" t="str">
        <f>IFERROR(__xludf.DUMMYFUNCTION("""COMPUTED_VALUE"""),"21f1000078@ds.study.iitm.ac.in")</f>
        <v>21f1000078@ds.study.iitm.ac.in</v>
      </c>
      <c r="B2" s="3">
        <f>IFERROR(__xludf.DUMMYFUNCTION("""COMPUTED_VALUE"""),13.0)</f>
        <v>13</v>
      </c>
      <c r="C2" s="5" t="str">
        <f>IFERROR(__xludf.DUMMYFUNCTION("""COMPUTED_VALUE"""),"https://github.com/jeevan-yohan-varghese/tds-project1")</f>
        <v>https://github.com/jeevan-yohan-varghese/tds-project1</v>
      </c>
      <c r="D2" s="3" t="str">
        <f>IFERROR(VLOOKUP(C2,'Peer-Review'!B:J,9,0),"No R1")</f>
        <v>21f3002090@ds.study.iitm.ac.in</v>
      </c>
      <c r="E2" s="3" t="str">
        <f>IFERROR(VLOOKUP(C2,'Peer-Review'!F:J,5,0),"No R2")</f>
        <v>No R2</v>
      </c>
      <c r="F2" s="3">
        <f>COUNTIF('Peer-Review'!B:B,C2)+COUNTIF('Peer-Review'!F:F,C2)</f>
        <v>2</v>
      </c>
      <c r="G2" s="3">
        <f t="shared" ref="G2:G748" si="1">IF(D2=$D$4,IF(E2=$E$2,0,1),IF(E2=$E$2,1,2))</f>
        <v>1</v>
      </c>
      <c r="H2" s="3" t="str">
        <f>IFERROR(__xludf.DUMMYFUNCTION("IFERROR(TRANSPOSE(FILTER('Peer-Review'!$J$2:$J$568,(TRIM('Peer-Review'!$B$2:$B$568)=C2 )+ (TRIM('Peer-Review'!$F$2:$F$568)=C2))),""No Reviews"")"),"21f3002090@ds.study.iitm.ac.in")</f>
        <v>21f3002090@ds.study.iitm.ac.in</v>
      </c>
      <c r="I2" s="3" t="str">
        <f>IFERROR(__xludf.DUMMYFUNCTION("""COMPUTED_VALUE"""),"21f1000303@ds.study.iitm.ac.in")</f>
        <v>21f1000303@ds.study.iitm.ac.in</v>
      </c>
      <c r="J2" s="3">
        <f>IF(D2="No R1",0,VLOOKUP(C2,'Peer-Review'!B:D,2,0))</f>
        <v>10</v>
      </c>
      <c r="K2" s="3">
        <f>IF(D2="No R1",0,VLOOKUP(C2,'Peer-Review'!B:D,3,0))</f>
        <v>6</v>
      </c>
      <c r="L2" s="3">
        <f>IF(E2="No R2",0,VLOOKUP(C2,'Peer-Review'!F:H,2,0))</f>
        <v>0</v>
      </c>
      <c r="M2" s="3">
        <f>IF(E2="No R2",0,VLOOKUP(C2,'Peer-Review'!F:H,3,0))</f>
        <v>0</v>
      </c>
    </row>
    <row r="3" hidden="1">
      <c r="A3" s="3" t="str">
        <f>IFERROR(__xludf.DUMMYFUNCTION("""COMPUTED_VALUE"""),"21f1000303@ds.study.iitm.ac.in")</f>
        <v>21f1000303@ds.study.iitm.ac.in</v>
      </c>
      <c r="B3" s="3">
        <f>IFERROR(__xludf.DUMMYFUNCTION("""COMPUTED_VALUE"""),13.0)</f>
        <v>13</v>
      </c>
      <c r="C3" s="5" t="str">
        <f>IFERROR(__xludf.DUMMYFUNCTION("""COMPUTED_VALUE"""),"https://github.com/sapiitm/tds")</f>
        <v>https://github.com/sapiitm/tds</v>
      </c>
      <c r="D3" s="3" t="str">
        <f>IFERROR(VLOOKUP(C3,'Peer-Review'!B:J,9,0),"No R1")</f>
        <v>21f3002143@ds.study.iitm.ac.in</v>
      </c>
      <c r="E3" s="3" t="str">
        <f>IFERROR(VLOOKUP(C3,'Peer-Review'!F:J,5,0),"No R2")</f>
        <v>No R2</v>
      </c>
      <c r="F3" s="3">
        <f>COUNTIF('Peer-Review'!B:B,C3)+COUNTIF('Peer-Review'!F:F,C3)</f>
        <v>1</v>
      </c>
      <c r="G3" s="3">
        <f t="shared" si="1"/>
        <v>1</v>
      </c>
      <c r="H3" s="3" t="str">
        <f>IFERROR(__xludf.DUMMYFUNCTION("IFERROR(TRANSPOSE(FILTER('Peer-Review'!$J$2:$J$568,(TRIM('Peer-Review'!$B$2:$B$568)=C3 )+ (TRIM('Peer-Review'!$F$2:$F$568)=C3))),""No Reviews"")"),"21f3002143@ds.study.iitm.ac.in")</f>
        <v>21f3002143@ds.study.iitm.ac.in</v>
      </c>
      <c r="J3" s="3">
        <f>IF(D3="No R1",0,VLOOKUP(C3,'Peer-Review'!B:D,2,0))</f>
        <v>10</v>
      </c>
      <c r="K3" s="3">
        <f>IF(D3="No R1",0,VLOOKUP(C3,'Peer-Review'!B:D,3,0))</f>
        <v>10</v>
      </c>
      <c r="L3" s="3">
        <f>IF(E3="No R2",0,VLOOKUP(C3,'Peer-Review'!F:H,2,0))</f>
        <v>0</v>
      </c>
      <c r="M3" s="3">
        <f>IF(E3="No R2",0,VLOOKUP(C3,'Peer-Review'!F:H,3,0))</f>
        <v>0</v>
      </c>
    </row>
    <row r="4" hidden="1">
      <c r="A4" s="3" t="str">
        <f>IFERROR(__xludf.DUMMYFUNCTION("""COMPUTED_VALUE"""),"21f1000330@ds.study.iitm.ac.in")</f>
        <v>21f1000330@ds.study.iitm.ac.in</v>
      </c>
      <c r="B4" s="3">
        <f>IFERROR(__xludf.DUMMYFUNCTION("""COMPUTED_VALUE"""),17.0)</f>
        <v>17</v>
      </c>
      <c r="C4" s="5" t="str">
        <f>IFERROR(__xludf.DUMMYFUNCTION("""COMPUTED_VALUE"""),"https://github.com/Rishi-Bhatt/TDS-Project1-Sept2024")</f>
        <v>https://github.com/Rishi-Bhatt/TDS-Project1-Sept2024</v>
      </c>
      <c r="D4" s="3" t="str">
        <f>IFERROR(VLOOKUP(C4,'Peer-Review'!B:J,9,0),"No R1")</f>
        <v>No R1</v>
      </c>
      <c r="E4" s="3" t="str">
        <f>IFERROR(VLOOKUP(C4,'Peer-Review'!F:J,5,0),"No R2")</f>
        <v>24f1001850@ds.study.iitm.ac.in</v>
      </c>
      <c r="F4" s="3">
        <f>COUNTIF('Peer-Review'!B:B,TRIM(C4))+COUNTIF('Peer-Review'!F:F,TRIM(C4))</f>
        <v>1</v>
      </c>
      <c r="G4" s="3">
        <f t="shared" si="1"/>
        <v>1</v>
      </c>
      <c r="H4" s="3" t="str">
        <f>IFERROR(__xludf.DUMMYFUNCTION("IFERROR(TRANSPOSE(FILTER('Peer-Review'!$J$2:$J$568,(TRIM('Peer-Review'!$B$2:$B$568)=C4 )+ (TRIM('Peer-Review'!$F$2:$F$568)=C4))),""No Reviews"")"),"24f1001850@ds.study.iitm.ac.in")</f>
        <v>24f1001850@ds.study.iitm.ac.in</v>
      </c>
      <c r="J4" s="3">
        <f>IF(D4="No R1",0,VLOOKUP(C4,'Peer-Review'!B:D,2,0))</f>
        <v>0</v>
      </c>
      <c r="K4" s="3">
        <f>IF(D4="No R1",0,VLOOKUP(C4,'Peer-Review'!B:D,3,0))</f>
        <v>0</v>
      </c>
      <c r="L4" s="3">
        <f>IF(E4="No R2",0,VLOOKUP(C4,'Peer-Review'!F:H,2,0))</f>
        <v>10</v>
      </c>
      <c r="M4" s="3">
        <f>IF(E4="No R2",0,VLOOKUP(C4,'Peer-Review'!F:H,3,0))</f>
        <v>10</v>
      </c>
    </row>
    <row r="5" hidden="1">
      <c r="A5" s="3" t="str">
        <f>IFERROR(__xludf.DUMMYFUNCTION("""COMPUTED_VALUE"""),"21f1000398@ds.study.iitm.ac.in")</f>
        <v>21f1000398@ds.study.iitm.ac.in</v>
      </c>
      <c r="B5" s="3">
        <f>IFERROR(__xludf.DUMMYFUNCTION("""COMPUTED_VALUE"""),9.0)</f>
        <v>9</v>
      </c>
      <c r="C5" s="5" t="str">
        <f>IFERROR(__xludf.DUMMYFUNCTION("""COMPUTED_VALUE"""),"https://github.com/hdsawscloud/project1")</f>
        <v>https://github.com/hdsawscloud/project1</v>
      </c>
      <c r="D5" s="3" t="str">
        <f>IFERROR(VLOOKUP(C5,'Peer-Review'!B:J,9,0),"No R1")</f>
        <v>21f1003945@ds.study.iitm.ac.in</v>
      </c>
      <c r="E5" s="3" t="str">
        <f>IFERROR(VLOOKUP(C5,'Peer-Review'!F:J,5,0),"No R2")</f>
        <v>No R2</v>
      </c>
      <c r="F5" s="3">
        <f>COUNTIF('Peer-Review'!B:B,C5)+COUNTIF('Peer-Review'!F:F,C5)</f>
        <v>2</v>
      </c>
      <c r="G5" s="3">
        <f t="shared" si="1"/>
        <v>1</v>
      </c>
      <c r="H5" s="3" t="str">
        <f>IFERROR(__xludf.DUMMYFUNCTION("IFERROR(TRANSPOSE(FILTER('Peer-Review'!$J$2:$J$568,(TRIM('Peer-Review'!$B$2:$B$568)=C5 )+ (TRIM('Peer-Review'!$F$2:$F$568)=C5))),""No Reviews"")"),"21f1003945@ds.study.iitm.ac.in")</f>
        <v>21f1003945@ds.study.iitm.ac.in</v>
      </c>
      <c r="I5" s="3" t="str">
        <f>IFERROR(__xludf.DUMMYFUNCTION("""COMPUTED_VALUE"""),"22f3002119@ds.study.iitm.ac.in")</f>
        <v>22f3002119@ds.study.iitm.ac.in</v>
      </c>
      <c r="J5" s="3">
        <f>IF(D5="No R1",0,VLOOKUP(C5,'Peer-Review'!B:D,2,0))</f>
        <v>10</v>
      </c>
      <c r="K5" s="3">
        <f>IF(D5="No R1",0,VLOOKUP(C5,'Peer-Review'!B:D,3,0))</f>
        <v>10</v>
      </c>
      <c r="L5" s="3">
        <f>IF(E5="No R2",0,VLOOKUP(C5,'Peer-Review'!F:H,2,0))</f>
        <v>0</v>
      </c>
      <c r="M5" s="3">
        <f>IF(E5="No R2",0,VLOOKUP(C5,'Peer-Review'!F:H,3,0))</f>
        <v>0</v>
      </c>
    </row>
    <row r="6" hidden="1">
      <c r="A6" s="3" t="str">
        <f>IFERROR(__xludf.DUMMYFUNCTION("""COMPUTED_VALUE"""),"21f1000601@ds.study.iitm.ac.in")</f>
        <v>21f1000601@ds.study.iitm.ac.in</v>
      </c>
      <c r="B6" s="3">
        <f>IFERROR(__xludf.DUMMYFUNCTION("""COMPUTED_VALUE"""),17.0)</f>
        <v>17</v>
      </c>
      <c r="C6" s="5" t="str">
        <f>IFERROR(__xludf.DUMMYFUNCTION("""COMPUTED_VALUE"""),"https://github.com/QuixoticPsyche/tds-project-1")</f>
        <v>https://github.com/QuixoticPsyche/tds-project-1</v>
      </c>
      <c r="D6" s="3" t="str">
        <f>IFERROR(VLOOKUP(C6,'Peer-Review'!B:J,9,0),"No R1")</f>
        <v>No R1</v>
      </c>
      <c r="E6" s="3" t="str">
        <f>IFERROR(VLOOKUP(C6,'Peer-Review'!F:J,5,0),"No R2")</f>
        <v>23f2004839@ds.study.iitm.ac.in</v>
      </c>
      <c r="F6" s="3">
        <f>COUNTIF('Peer-Review'!B:B,C6)+COUNTIF('Peer-Review'!F:F,C6)</f>
        <v>2</v>
      </c>
      <c r="G6" s="3">
        <f t="shared" si="1"/>
        <v>1</v>
      </c>
      <c r="H6" s="3" t="str">
        <f>IFERROR(__xludf.DUMMYFUNCTION("IFERROR(TRANSPOSE(FILTER('Peer-Review'!$J$2:$J$568,(TRIM('Peer-Review'!$B$2:$B$568)=C6 )+ (TRIM('Peer-Review'!$F$2:$F$568)=C6))),""No Reviews"")"),"23f2004839@ds.study.iitm.ac.in")</f>
        <v>23f2004839@ds.study.iitm.ac.in</v>
      </c>
      <c r="I6" s="3" t="str">
        <f>IFERROR(__xludf.DUMMYFUNCTION("""COMPUTED_VALUE"""),"21f1000330@ds.study.iitm.ac.in")</f>
        <v>21f1000330@ds.study.iitm.ac.in</v>
      </c>
      <c r="J6" s="3">
        <f>IF(D6="No R1",0,VLOOKUP(C6,'Peer-Review'!B:D,2,0))</f>
        <v>0</v>
      </c>
      <c r="K6" s="3">
        <f>IF(D6="No R1",0,VLOOKUP(C6,'Peer-Review'!B:D,3,0))</f>
        <v>0</v>
      </c>
      <c r="L6" s="3">
        <f>IF(E6="No R2",0,VLOOKUP(C6,'Peer-Review'!F:H,2,0))</f>
        <v>7</v>
      </c>
      <c r="M6" s="3">
        <f>IF(E6="No R2",0,VLOOKUP(C6,'Peer-Review'!F:H,3,0))</f>
        <v>8</v>
      </c>
    </row>
    <row r="7" hidden="1">
      <c r="A7" s="3" t="str">
        <f>IFERROR(__xludf.DUMMYFUNCTION("""COMPUTED_VALUE"""),"21f1000753@ds.study.iitm.ac.in")</f>
        <v>21f1000753@ds.study.iitm.ac.in</v>
      </c>
      <c r="B7" s="3">
        <f>IFERROR(__xludf.DUMMYFUNCTION("""COMPUTED_VALUE"""),16.0)</f>
        <v>16</v>
      </c>
      <c r="C7" s="5" t="str">
        <f>IFERROR(__xludf.DUMMYFUNCTION("""COMPUTED_VALUE"""),"https://github.com/narendrabissu/TDS_21F1000753_P1")</f>
        <v>https://github.com/narendrabissu/TDS_21F1000753_P1</v>
      </c>
      <c r="D7" s="3" t="str">
        <f>IFERROR(VLOOKUP(C7,'Peer-Review'!B:J,9,0),"No R1")</f>
        <v>23f3003711@ds.study.iitm.ac.in</v>
      </c>
      <c r="E7" s="3" t="str">
        <f>IFERROR(VLOOKUP(C7,'Peer-Review'!F:J,5,0),"No R2")</f>
        <v>No R2</v>
      </c>
      <c r="F7" s="3">
        <f>COUNTIF('Peer-Review'!B:B,C7)+COUNTIF('Peer-Review'!F:F,C7)</f>
        <v>2</v>
      </c>
      <c r="G7" s="3">
        <f t="shared" si="1"/>
        <v>1</v>
      </c>
      <c r="H7" s="3" t="str">
        <f>IFERROR(__xludf.DUMMYFUNCTION("IFERROR(TRANSPOSE(FILTER('Peer-Review'!$J$2:$J$568,(TRIM('Peer-Review'!$B$2:$B$568)=C7 )+ (TRIM('Peer-Review'!$F$2:$F$568)=C7))),""No Reviews"")"),"23f3003711@ds.study.iitm.ac.in")</f>
        <v>23f3003711@ds.study.iitm.ac.in</v>
      </c>
      <c r="I7" s="3" t="str">
        <f>IFERROR(__xludf.DUMMYFUNCTION("""COMPUTED_VALUE"""),"21f1002851@ds.study.iitm.ac.in")</f>
        <v>21f1002851@ds.study.iitm.ac.in</v>
      </c>
      <c r="J7" s="3">
        <f>IF(D7="No R1",0,VLOOKUP(C7,'Peer-Review'!B:D,2,0))</f>
        <v>10</v>
      </c>
      <c r="K7" s="3">
        <f>IF(D7="No R1",0,VLOOKUP(C7,'Peer-Review'!B:D,3,0))</f>
        <v>9</v>
      </c>
      <c r="L7" s="3">
        <f>IF(E7="No R2",0,VLOOKUP(C7,'Peer-Review'!F:H,2,0))</f>
        <v>0</v>
      </c>
      <c r="M7" s="3">
        <f>IF(E7="No R2",0,VLOOKUP(C7,'Peer-Review'!F:H,3,0))</f>
        <v>0</v>
      </c>
    </row>
    <row r="8" hidden="1">
      <c r="A8" s="3" t="str">
        <f>IFERROR(__xludf.DUMMYFUNCTION("""COMPUTED_VALUE"""),"21f1000770@ds.study.iitm.ac.in")</f>
        <v>21f1000770@ds.study.iitm.ac.in</v>
      </c>
      <c r="B8" s="3">
        <f>IFERROR(__xludf.DUMMYFUNCTION("""COMPUTED_VALUE"""),13.0)</f>
        <v>13</v>
      </c>
      <c r="C8" s="5" t="str">
        <f>IFERROR(__xludf.DUMMYFUNCTION("""COMPUTED_VALUE"""),"https://github.com/Rajnish2899/Mynewproject")</f>
        <v>https://github.com/Rajnish2899/Mynewproject</v>
      </c>
      <c r="D8" s="3" t="str">
        <f>IFERROR(VLOOKUP(C8,'Peer-Review'!B:J,9,0),"No R1")</f>
        <v>21f3002268@ds.study.iitm.ac.in</v>
      </c>
      <c r="E8" s="3" t="str">
        <f>IFERROR(VLOOKUP(C8,'Peer-Review'!F:J,5,0),"No R2")</f>
        <v>No R2</v>
      </c>
      <c r="F8" s="3">
        <f>COUNTIF('Peer-Review'!B:B,C8)+COUNTIF('Peer-Review'!F:F,C8)</f>
        <v>2</v>
      </c>
      <c r="G8" s="3">
        <f t="shared" si="1"/>
        <v>1</v>
      </c>
      <c r="H8" s="3" t="str">
        <f>IFERROR(__xludf.DUMMYFUNCTION("IFERROR(TRANSPOSE(FILTER('Peer-Review'!$J$2:$J$568,(TRIM('Peer-Review'!$B$2:$B$568)=C8 )+ (TRIM('Peer-Review'!$F$2:$F$568)=C8))),""No Reviews"")"),"21f3002268@ds.study.iitm.ac.in")</f>
        <v>21f3002268@ds.study.iitm.ac.in</v>
      </c>
      <c r="I8" s="3" t="str">
        <f>IFERROR(__xludf.DUMMYFUNCTION("""COMPUTED_VALUE"""),"21f1001204@ds.study.iitm.ac.in")</f>
        <v>21f1001204@ds.study.iitm.ac.in</v>
      </c>
      <c r="J8" s="3">
        <f>IF(D8="No R1",0,VLOOKUP(C8,'Peer-Review'!B:D,2,0))</f>
        <v>6</v>
      </c>
      <c r="K8" s="3">
        <f>IF(D8="No R1",0,VLOOKUP(C8,'Peer-Review'!B:D,3,0))</f>
        <v>0</v>
      </c>
      <c r="L8" s="3">
        <f>IF(E8="No R2",0,VLOOKUP(C8,'Peer-Review'!F:H,2,0))</f>
        <v>0</v>
      </c>
      <c r="M8" s="3">
        <f>IF(E8="No R2",0,VLOOKUP(C8,'Peer-Review'!F:H,3,0))</f>
        <v>0</v>
      </c>
    </row>
    <row r="9" hidden="1">
      <c r="A9" s="3" t="str">
        <f>IFERROR(__xludf.DUMMYFUNCTION("""COMPUTED_VALUE"""),"21f1001102@ds.study.iitm.ac.in")</f>
        <v>21f1001102@ds.study.iitm.ac.in</v>
      </c>
      <c r="B9" s="3">
        <f>IFERROR(__xludf.DUMMYFUNCTION("""COMPUTED_VALUE"""),17.0)</f>
        <v>17</v>
      </c>
      <c r="C9" s="5" t="str">
        <f>IFERROR(__xludf.DUMMYFUNCTION("""COMPUTED_VALUE"""),"https://github.com/MaharajaMoorthy/tds_project1")</f>
        <v>https://github.com/MaharajaMoorthy/tds_project1</v>
      </c>
      <c r="D9" s="3" t="str">
        <f>IFERROR(VLOOKUP(C9,'Peer-Review'!B:J,9,0),"No R1")</f>
        <v>No R1</v>
      </c>
      <c r="E9" s="3" t="str">
        <f>IFERROR(VLOOKUP(C9,'Peer-Review'!F:J,5,0),"No R2")</f>
        <v>23f2005176@ds.study.iitm.ac.in</v>
      </c>
      <c r="F9" s="3">
        <f>COUNTIF('Peer-Review'!B:B,C9)+COUNTIF('Peer-Review'!F:F,C9)</f>
        <v>2</v>
      </c>
      <c r="G9" s="3">
        <f t="shared" si="1"/>
        <v>1</v>
      </c>
      <c r="H9" s="3" t="str">
        <f>IFERROR(__xludf.DUMMYFUNCTION("IFERROR(TRANSPOSE(FILTER('Peer-Review'!$J$2:$J$568,(TRIM('Peer-Review'!$B$2:$B$568)=C9 )+ (TRIM('Peer-Review'!$F$2:$F$568)=C9))),""No Reviews"")"),"23f2005176@ds.study.iitm.ac.in")</f>
        <v>23f2005176@ds.study.iitm.ac.in</v>
      </c>
      <c r="I9" s="3" t="str">
        <f>IFERROR(__xludf.DUMMYFUNCTION("""COMPUTED_VALUE"""),"21f1000601@ds.study.iitm.ac.in")</f>
        <v>21f1000601@ds.study.iitm.ac.in</v>
      </c>
      <c r="J9" s="3">
        <f>IF(D9="No R1",0,VLOOKUP(C9,'Peer-Review'!B:D,2,0))</f>
        <v>0</v>
      </c>
      <c r="K9" s="3">
        <f>IF(D9="No R1",0,VLOOKUP(C9,'Peer-Review'!B:D,3,0))</f>
        <v>0</v>
      </c>
      <c r="L9" s="3">
        <f>IF(E9="No R2",0,VLOOKUP(C9,'Peer-Review'!F:H,2,0))</f>
        <v>8</v>
      </c>
      <c r="M9" s="3">
        <f>IF(E9="No R2",0,VLOOKUP(C9,'Peer-Review'!F:H,3,0))</f>
        <v>10</v>
      </c>
    </row>
    <row r="10" hidden="1">
      <c r="A10" s="3" t="str">
        <f>IFERROR(__xludf.DUMMYFUNCTION("""COMPUTED_VALUE"""),"21f1001141@ds.study.iitm.ac.in")</f>
        <v>21f1001141@ds.study.iitm.ac.in</v>
      </c>
      <c r="B10" s="3">
        <f>IFERROR(__xludf.DUMMYFUNCTION("""COMPUTED_VALUE"""),17.0)</f>
        <v>17</v>
      </c>
      <c r="C10" s="5" t="str">
        <f>IFERROR(__xludf.DUMMYFUNCTION("""COMPUTED_VALUE"""),"https://github.com/shanky999/TDS_Project1")</f>
        <v>https://github.com/shanky999/TDS_Project1</v>
      </c>
      <c r="D10" s="3" t="str">
        <f>IFERROR(VLOOKUP(C10,'Peer-Review'!B:J,9,0),"No R1")</f>
        <v>No R1</v>
      </c>
      <c r="E10" s="3" t="str">
        <f>IFERROR(VLOOKUP(C10,'Peer-Review'!F:J,5,0),"No R2")</f>
        <v>24ds1000043@ds.study.iitm.ac.in</v>
      </c>
      <c r="F10" s="3">
        <f>COUNTIF('Peer-Review'!B:B,C10)+COUNTIF('Peer-Review'!F:F,C10)</f>
        <v>2</v>
      </c>
      <c r="G10" s="3">
        <f t="shared" si="1"/>
        <v>1</v>
      </c>
      <c r="H10" s="3" t="str">
        <f>IFERROR(__xludf.DUMMYFUNCTION("IFERROR(TRANSPOSE(FILTER('Peer-Review'!$J$2:$J$568,(TRIM('Peer-Review'!$B$2:$B$568)=C10 )+ (TRIM('Peer-Review'!$F$2:$F$568)=C10))),""No Reviews"")"),"24ds1000043@ds.study.iitm.ac.in")</f>
        <v>24ds1000043@ds.study.iitm.ac.in</v>
      </c>
      <c r="I10" s="3" t="str">
        <f>IFERROR(__xludf.DUMMYFUNCTION("""COMPUTED_VALUE"""),"21f1001102@ds.study.iitm.ac.in")</f>
        <v>21f1001102@ds.study.iitm.ac.in</v>
      </c>
      <c r="J10" s="3">
        <f>IF(D10="No R1",0,VLOOKUP(C10,'Peer-Review'!B:D,2,0))</f>
        <v>0</v>
      </c>
      <c r="K10" s="3">
        <f>IF(D10="No R1",0,VLOOKUP(C10,'Peer-Review'!B:D,3,0))</f>
        <v>0</v>
      </c>
      <c r="L10" s="3">
        <f>IF(E10="No R2",0,VLOOKUP(C10,'Peer-Review'!F:H,2,0))</f>
        <v>7</v>
      </c>
      <c r="M10" s="3">
        <f>IF(E10="No R2",0,VLOOKUP(C10,'Peer-Review'!F:H,3,0))</f>
        <v>9</v>
      </c>
    </row>
    <row r="11" hidden="1">
      <c r="A11" s="3" t="str">
        <f>IFERROR(__xludf.DUMMYFUNCTION("""COMPUTED_VALUE"""),"21f1001182@ds.study.iitm.ac.in")</f>
        <v>21f1001182@ds.study.iitm.ac.in</v>
      </c>
      <c r="B11" s="3">
        <f>IFERROR(__xludf.DUMMYFUNCTION("""COMPUTED_VALUE"""),15.0)</f>
        <v>15</v>
      </c>
      <c r="C11" s="5" t="str">
        <f>IFERROR(__xludf.DUMMYFUNCTION("""COMPUTED_VALUE"""),"https://github.com/anjupbse91/TDS-Project1")</f>
        <v>https://github.com/anjupbse91/TDS-Project1</v>
      </c>
      <c r="D11" s="3" t="str">
        <f>IFERROR(VLOOKUP(C11,'Peer-Review'!B:J,9,0),"No R1")</f>
        <v>23f2000391@ds.study.iitm.ac.in</v>
      </c>
      <c r="E11" s="3" t="str">
        <f>IFERROR(VLOOKUP(C11,'Peer-Review'!F:J,5,0),"No R2")</f>
        <v>No R2</v>
      </c>
      <c r="F11" s="3">
        <f>COUNTIF('Peer-Review'!B:B,C11)+COUNTIF('Peer-Review'!F:F,C11)</f>
        <v>2</v>
      </c>
      <c r="G11" s="3">
        <f t="shared" si="1"/>
        <v>1</v>
      </c>
      <c r="H11" s="3" t="str">
        <f>IFERROR(__xludf.DUMMYFUNCTION("IFERROR(TRANSPOSE(FILTER('Peer-Review'!$J$2:$J$568,(TRIM('Peer-Review'!$B$2:$B$568)=C11 )+ (TRIM('Peer-Review'!$F$2:$F$568)=C11))),""No Reviews"")"),"23f2000391@ds.study.iitm.ac.in")</f>
        <v>23f2000391@ds.study.iitm.ac.in</v>
      </c>
      <c r="I11" s="3" t="str">
        <f>IFERROR(__xludf.DUMMYFUNCTION("""COMPUTED_VALUE"""),"21f1001805@ds.study.iitm.ac.in")</f>
        <v>21f1001805@ds.study.iitm.ac.in</v>
      </c>
      <c r="J11" s="3">
        <f>IF(D11="No R1",0,VLOOKUP(C11,'Peer-Review'!B:D,2,0))</f>
        <v>10</v>
      </c>
      <c r="K11" s="3">
        <f>IF(D11="No R1",0,VLOOKUP(C11,'Peer-Review'!B:D,3,0))</f>
        <v>0</v>
      </c>
      <c r="L11" s="3">
        <f>IF(E11="No R2",0,VLOOKUP(C11,'Peer-Review'!F:H,2,0))</f>
        <v>0</v>
      </c>
      <c r="M11" s="3">
        <f>IF(E11="No R2",0,VLOOKUP(C11,'Peer-Review'!F:H,3,0))</f>
        <v>0</v>
      </c>
    </row>
    <row r="12" hidden="1">
      <c r="A12" s="3" t="str">
        <f>IFERROR(__xludf.DUMMYFUNCTION("""COMPUTED_VALUE"""),"21f1001204@ds.study.iitm.ac.in")</f>
        <v>21f1001204@ds.study.iitm.ac.in</v>
      </c>
      <c r="B12" s="3">
        <f>IFERROR(__xludf.DUMMYFUNCTION("""COMPUTED_VALUE"""),13.0)</f>
        <v>13</v>
      </c>
      <c r="C12" s="5" t="str">
        <f>IFERROR(__xludf.DUMMYFUNCTION("""COMPUTED_VALUE"""),"https://github.com/iitmrs/Project1")</f>
        <v>https://github.com/iitmrs/Project1</v>
      </c>
      <c r="D12" s="3" t="str">
        <f>IFERROR(VLOOKUP(C12,'Peer-Review'!B:J,9,0),"No R1")</f>
        <v>21f1001940@ds.study.iitm.ac.in</v>
      </c>
      <c r="E12" s="3" t="str">
        <f>IFERROR(VLOOKUP(C12,'Peer-Review'!F:J,5,0),"No R2")</f>
        <v>No R2</v>
      </c>
      <c r="F12" s="3">
        <f>COUNTIF('Peer-Review'!B:B,C12)+COUNTIF('Peer-Review'!F:F,C12)</f>
        <v>2</v>
      </c>
      <c r="G12" s="3">
        <f t="shared" si="1"/>
        <v>1</v>
      </c>
      <c r="H12" s="3" t="str">
        <f>IFERROR(__xludf.DUMMYFUNCTION("IFERROR(TRANSPOSE(FILTER('Peer-Review'!$J$2:$J$568,(TRIM('Peer-Review'!$B$2:$B$568)=C12 )+ (TRIM('Peer-Review'!$F$2:$F$568)=C12))),""No Reviews"")"),"21f1001940@ds.study.iitm.ac.in")</f>
        <v>21f1001940@ds.study.iitm.ac.in</v>
      </c>
      <c r="I12" s="3" t="str">
        <f>IFERROR(__xludf.DUMMYFUNCTION("""COMPUTED_VALUE"""),"21f3002290@ds.study.iitm.ac.in")</f>
        <v>21f3002290@ds.study.iitm.ac.in</v>
      </c>
      <c r="J12" s="3">
        <f>IF(D12="No R1",0,VLOOKUP(C12,'Peer-Review'!B:D,2,0))</f>
        <v>8</v>
      </c>
      <c r="K12" s="3">
        <f>IF(D12="No R1",0,VLOOKUP(C12,'Peer-Review'!B:D,3,0))</f>
        <v>10</v>
      </c>
      <c r="L12" s="3">
        <f>IF(E12="No R2",0,VLOOKUP(C12,'Peer-Review'!F:H,2,0))</f>
        <v>0</v>
      </c>
      <c r="M12" s="3">
        <f>IF(E12="No R2",0,VLOOKUP(C12,'Peer-Review'!F:H,3,0))</f>
        <v>0</v>
      </c>
    </row>
    <row r="13" hidden="1">
      <c r="A13" s="3" t="str">
        <f>IFERROR(__xludf.DUMMYFUNCTION("""COMPUTED_VALUE"""),"21f1001804@ds.study.iitm.ac.in")</f>
        <v>21f1001804@ds.study.iitm.ac.in</v>
      </c>
      <c r="B13" s="3">
        <f>IFERROR(__xludf.DUMMYFUNCTION("""COMPUTED_VALUE"""),11.0)</f>
        <v>11</v>
      </c>
      <c r="C13" s="5" t="str">
        <f>IFERROR(__xludf.DUMMYFUNCTION("""COMPUTED_VALUE"""),"https://github.com/pittu0802/Myfirstrepo")</f>
        <v>https://github.com/pittu0802/Myfirstrepo</v>
      </c>
      <c r="D13" s="3" t="str">
        <f>IFERROR(VLOOKUP(C13,'Peer-Review'!B:J,9,0),"No R1")</f>
        <v>23f2000961@ds.study.iitm.ac.in</v>
      </c>
      <c r="E13" s="3" t="str">
        <f>IFERROR(VLOOKUP(C13,'Peer-Review'!F:J,5,0),"No R2")</f>
        <v>No R2</v>
      </c>
      <c r="F13" s="3">
        <f>COUNTIF('Peer-Review'!B:B,C13)+COUNTIF('Peer-Review'!F:F,C13)</f>
        <v>1</v>
      </c>
      <c r="G13" s="3">
        <f t="shared" si="1"/>
        <v>1</v>
      </c>
      <c r="H13" s="3" t="str">
        <f>IFERROR(__xludf.DUMMYFUNCTION("IFERROR(TRANSPOSE(FILTER('Peer-Review'!$J$2:$J$568,(TRIM('Peer-Review'!$B$2:$B$568)=C13 )+ (TRIM('Peer-Review'!$F$2:$F$568)=C13))),""No Reviews"")"),"23f2000961@ds.study.iitm.ac.in")</f>
        <v>23f2000961@ds.study.iitm.ac.in</v>
      </c>
      <c r="J13" s="3">
        <f>IF(D13="No R1",0,VLOOKUP(C13,'Peer-Review'!B:D,2,0))</f>
        <v>4</v>
      </c>
      <c r="K13" s="3">
        <f>IF(D13="No R1",0,VLOOKUP(C13,'Peer-Review'!B:D,3,0))</f>
        <v>0</v>
      </c>
      <c r="L13" s="3">
        <f>IF(E13="No R2",0,VLOOKUP(C13,'Peer-Review'!F:H,2,0))</f>
        <v>0</v>
      </c>
      <c r="M13" s="3">
        <f>IF(E13="No R2",0,VLOOKUP(C13,'Peer-Review'!F:H,3,0))</f>
        <v>0</v>
      </c>
    </row>
    <row r="14" hidden="1">
      <c r="A14" s="3" t="str">
        <f>IFERROR(__xludf.DUMMYFUNCTION("""COMPUTED_VALUE"""),"21f1001805@ds.study.iitm.ac.in")</f>
        <v>21f1001805@ds.study.iitm.ac.in</v>
      </c>
      <c r="B14" s="3">
        <f>IFERROR(__xludf.DUMMYFUNCTION("""COMPUTED_VALUE"""),15.0)</f>
        <v>15</v>
      </c>
      <c r="C14" s="5" t="str">
        <f>IFERROR(__xludf.DUMMYFUNCTION("""COMPUTED_VALUE"""),"https://github.com/r02ajat08/projtds")</f>
        <v>https://github.com/r02ajat08/projtds</v>
      </c>
      <c r="D14" s="3" t="str">
        <f>IFERROR(VLOOKUP(C14,'Peer-Review'!B:J,9,0),"No R1")</f>
        <v>23f2000473@ds.study.iitm.ac.in</v>
      </c>
      <c r="E14" s="3" t="str">
        <f>IFERROR(VLOOKUP(C14,'Peer-Review'!F:J,5,0),"No R2")</f>
        <v>No R2</v>
      </c>
      <c r="F14" s="3">
        <f>COUNTIF('Peer-Review'!B:B,C14)+COUNTIF('Peer-Review'!F:F,C14)</f>
        <v>1</v>
      </c>
      <c r="G14" s="3">
        <f t="shared" si="1"/>
        <v>1</v>
      </c>
      <c r="H14" s="3" t="str">
        <f>IFERROR(__xludf.DUMMYFUNCTION("IFERROR(TRANSPOSE(FILTER('Peer-Review'!$J$2:$J$568,(TRIM('Peer-Review'!$B$2:$B$568)=C14 )+ (TRIM('Peer-Review'!$F$2:$F$568)=C14))),""No Reviews"")"),"23f2000473@ds.study.iitm.ac.in")</f>
        <v>23f2000473@ds.study.iitm.ac.in</v>
      </c>
      <c r="J14" s="3">
        <f>IF(D14="No R1",0,VLOOKUP(C14,'Peer-Review'!B:D,2,0))</f>
        <v>5</v>
      </c>
      <c r="K14" s="3">
        <f>IF(D14="No R1",0,VLOOKUP(C14,'Peer-Review'!B:D,3,0))</f>
        <v>5</v>
      </c>
      <c r="L14" s="3">
        <f>IF(E14="No R2",0,VLOOKUP(C14,'Peer-Review'!F:H,2,0))</f>
        <v>0</v>
      </c>
      <c r="M14" s="3">
        <f>IF(E14="No R2",0,VLOOKUP(C14,'Peer-Review'!F:H,3,0))</f>
        <v>0</v>
      </c>
    </row>
    <row r="15" hidden="1">
      <c r="A15" s="3" t="str">
        <f>IFERROR(__xludf.DUMMYFUNCTION("""COMPUTED_VALUE"""),"21f1001940@ds.study.iitm.ac.in")</f>
        <v>21f1001940@ds.study.iitm.ac.in</v>
      </c>
      <c r="B15" s="3">
        <f>IFERROR(__xludf.DUMMYFUNCTION("""COMPUTED_VALUE"""),13.0)</f>
        <v>13</v>
      </c>
      <c r="C15" s="5" t="str">
        <f>IFERROR(__xludf.DUMMYFUNCTION("""COMPUTED_VALUE"""),"https://github.com/bhupendra1008/tds_project_1")</f>
        <v>https://github.com/bhupendra1008/tds_project_1</v>
      </c>
      <c r="D15" s="3" t="str">
        <f>IFERROR(VLOOKUP(C15,'Peer-Review'!B:J,9,0),"No R1")</f>
        <v>21f3002322@ds.study.iitm.ac.in</v>
      </c>
      <c r="E15" s="3" t="str">
        <f>IFERROR(VLOOKUP(C15,'Peer-Review'!F:J,5,0),"No R2")</f>
        <v>No R2</v>
      </c>
      <c r="F15" s="3">
        <f>COUNTIF('Peer-Review'!B:B,C15)+COUNTIF('Peer-Review'!F:F,C15)</f>
        <v>2</v>
      </c>
      <c r="G15" s="3">
        <f t="shared" si="1"/>
        <v>1</v>
      </c>
      <c r="H15" s="3" t="str">
        <f>IFERROR(__xludf.DUMMYFUNCTION("IFERROR(TRANSPOSE(FILTER('Peer-Review'!$J$2:$J$568,(TRIM('Peer-Review'!$B$2:$B$568)=C15 )+ (TRIM('Peer-Review'!$F$2:$F$568)=C15))),""No Reviews"")"),"21f3002322@ds.study.iitm.ac.in")</f>
        <v>21f3002322@ds.study.iitm.ac.in</v>
      </c>
      <c r="I15" s="3" t="str">
        <f>IFERROR(__xludf.DUMMYFUNCTION("""COMPUTED_VALUE"""),"21f1002570@ds.study.iitm.ac.in")</f>
        <v>21f1002570@ds.study.iitm.ac.in</v>
      </c>
      <c r="J15" s="3">
        <f>IF(D15="No R1",0,VLOOKUP(C15,'Peer-Review'!B:D,2,0))</f>
        <v>10</v>
      </c>
      <c r="K15" s="3">
        <f>IF(D15="No R1",0,VLOOKUP(C15,'Peer-Review'!B:D,3,0))</f>
        <v>9</v>
      </c>
      <c r="L15" s="3">
        <f>IF(E15="No R2",0,VLOOKUP(C15,'Peer-Review'!F:H,2,0))</f>
        <v>0</v>
      </c>
      <c r="M15" s="3">
        <f>IF(E15="No R2",0,VLOOKUP(C15,'Peer-Review'!F:H,3,0))</f>
        <v>0</v>
      </c>
    </row>
    <row r="16" hidden="1">
      <c r="A16" s="3" t="str">
        <f>IFERROR(__xludf.DUMMYFUNCTION("""COMPUTED_VALUE"""),"21f1002449@ds.study.iitm.ac.in")</f>
        <v>21f1002449@ds.study.iitm.ac.in</v>
      </c>
      <c r="B16" s="3">
        <f>IFERROR(__xludf.DUMMYFUNCTION("""COMPUTED_VALUE"""),17.0)</f>
        <v>17</v>
      </c>
      <c r="C16" s="5" t="str">
        <f>IFERROR(__xludf.DUMMYFUNCTION("""COMPUTED_VALUE"""),"https://github.com/ajay-iit/TDS-Project-1")</f>
        <v>https://github.com/ajay-iit/TDS-Project-1</v>
      </c>
      <c r="D16" s="3" t="str">
        <f>IFERROR(VLOOKUP(C16,'Peer-Review'!B:J,9,0),"No R1")</f>
        <v>No R1</v>
      </c>
      <c r="E16" s="3" t="str">
        <f>IFERROR(VLOOKUP(C16,'Peer-Review'!F:J,5,0),"No R2")</f>
        <v>24ds1000095@ds.study.iitm.ac.in</v>
      </c>
      <c r="F16" s="3">
        <f>COUNTIF('Peer-Review'!B:B,C16)+COUNTIF('Peer-Review'!F:F,C16)</f>
        <v>1</v>
      </c>
      <c r="G16" s="3">
        <f t="shared" si="1"/>
        <v>1</v>
      </c>
      <c r="H16" s="3" t="str">
        <f>IFERROR(__xludf.DUMMYFUNCTION("IFERROR(TRANSPOSE(FILTER('Peer-Review'!$J$2:$J$568,(TRIM('Peer-Review'!$B$2:$B$568)=C16 )+ (TRIM('Peer-Review'!$F$2:$F$568)=C16))),""No Reviews"")"),"24ds1000095@ds.study.iitm.ac.in")</f>
        <v>24ds1000095@ds.study.iitm.ac.in</v>
      </c>
      <c r="J16" s="3">
        <f>IF(D16="No R1",0,VLOOKUP(C16,'Peer-Review'!B:D,2,0))</f>
        <v>0</v>
      </c>
      <c r="K16" s="3">
        <f>IF(D16="No R1",0,VLOOKUP(C16,'Peer-Review'!B:D,3,0))</f>
        <v>0</v>
      </c>
      <c r="L16" s="3">
        <f>IF(E16="No R2",0,VLOOKUP(C16,'Peer-Review'!F:H,2,0))</f>
        <v>10</v>
      </c>
      <c r="M16" s="3">
        <f>IF(E16="No R2",0,VLOOKUP(C16,'Peer-Review'!F:H,3,0))</f>
        <v>9</v>
      </c>
    </row>
    <row r="17" hidden="1">
      <c r="A17" s="3" t="str">
        <f>IFERROR(__xludf.DUMMYFUNCTION("""COMPUTED_VALUE"""),"21f1002570@ds.study.iitm.ac.in")</f>
        <v>21f1002570@ds.study.iitm.ac.in</v>
      </c>
      <c r="B17" s="3">
        <f>IFERROR(__xludf.DUMMYFUNCTION("""COMPUTED_VALUE"""),13.0)</f>
        <v>13</v>
      </c>
      <c r="C17" s="5" t="str">
        <f>IFERROR(__xludf.DUMMYFUNCTION("""COMPUTED_VALUE"""),"https://github.com/Prajwalit-Tiwari/TDS_Project1")</f>
        <v>https://github.com/Prajwalit-Tiwari/TDS_Project1</v>
      </c>
      <c r="D17" s="3" t="str">
        <f>IFERROR(VLOOKUP(C17,'Peer-Review'!B:J,9,0),"No R1")</f>
        <v>21f1004929@ds.study.iitm.ac.in</v>
      </c>
      <c r="E17" s="3" t="str">
        <f>IFERROR(VLOOKUP(C17,'Peer-Review'!F:J,5,0),"No R2")</f>
        <v>No R2</v>
      </c>
      <c r="F17" s="3">
        <f>COUNTIF('Peer-Review'!B:B,C17)+COUNTIF('Peer-Review'!F:F,C17)</f>
        <v>1</v>
      </c>
      <c r="G17" s="3">
        <f t="shared" si="1"/>
        <v>1</v>
      </c>
      <c r="H17" s="3" t="str">
        <f>IFERROR(__xludf.DUMMYFUNCTION("IFERROR(TRANSPOSE(FILTER('Peer-Review'!$J$2:$J$568,(TRIM('Peer-Review'!$B$2:$B$568)=C17 )+ (TRIM('Peer-Review'!$F$2:$F$568)=C17))),""No Reviews"")"),"21f1004929@ds.study.iitm.ac.in")</f>
        <v>21f1004929@ds.study.iitm.ac.in</v>
      </c>
      <c r="J17" s="3">
        <f>IF(D17="No R1",0,VLOOKUP(C17,'Peer-Review'!B:D,2,0))</f>
        <v>1</v>
      </c>
      <c r="K17" s="3">
        <f>IF(D17="No R1",0,VLOOKUP(C17,'Peer-Review'!B:D,3,0))</f>
        <v>8</v>
      </c>
      <c r="L17" s="3">
        <f>IF(E17="No R2",0,VLOOKUP(C17,'Peer-Review'!F:H,2,0))</f>
        <v>0</v>
      </c>
      <c r="M17" s="3">
        <f>IF(E17="No R2",0,VLOOKUP(C17,'Peer-Review'!F:H,3,0))</f>
        <v>0</v>
      </c>
    </row>
    <row r="18" hidden="1">
      <c r="A18" s="3" t="str">
        <f>IFERROR(__xludf.DUMMYFUNCTION("""COMPUTED_VALUE"""),"21f1002727@ds.study.iitm.ac.in")</f>
        <v>21f1002727@ds.study.iitm.ac.in</v>
      </c>
      <c r="B18" s="3">
        <f>IFERROR(__xludf.DUMMYFUNCTION("""COMPUTED_VALUE"""),14.0)</f>
        <v>14</v>
      </c>
      <c r="C18" s="5" t="str">
        <f>IFERROR(__xludf.DUMMYFUNCTION("""COMPUTED_VALUE"""),"https://github.com/yali369/Boston")</f>
        <v>https://github.com/yali369/Boston</v>
      </c>
      <c r="D18" s="3" t="str">
        <f>IFERROR(VLOOKUP(C18,'Peer-Review'!B:J,9,0),"No R1")</f>
        <v>22f3002336@ds.study.iitm.ac.in</v>
      </c>
      <c r="E18" s="3" t="str">
        <f>IFERROR(VLOOKUP(C18,'Peer-Review'!F:J,5,0),"No R2")</f>
        <v>No R2</v>
      </c>
      <c r="F18" s="3">
        <f>COUNTIF('Peer-Review'!B:B,C18)+COUNTIF('Peer-Review'!F:F,C18)</f>
        <v>2</v>
      </c>
      <c r="G18" s="3">
        <f t="shared" si="1"/>
        <v>1</v>
      </c>
      <c r="H18" s="3" t="str">
        <f>IFERROR(__xludf.DUMMYFUNCTION("IFERROR(TRANSPOSE(FILTER('Peer-Review'!$J$2:$J$568,(TRIM('Peer-Review'!$B$2:$B$568)=C18 )+ (TRIM('Peer-Review'!$F$2:$F$568)=C18))),""No Reviews"")"),"22f3002336@ds.study.iitm.ac.in")</f>
        <v>22f3002336@ds.study.iitm.ac.in</v>
      </c>
      <c r="I18" s="3" t="str">
        <f>IFERROR(__xludf.DUMMYFUNCTION("""COMPUTED_VALUE"""),"21f1005280@ds.study.iitm.ac.in")</f>
        <v>21f1005280@ds.study.iitm.ac.in</v>
      </c>
      <c r="J18" s="3">
        <f>IF(D18="No R1",0,VLOOKUP(C18,'Peer-Review'!B:D,2,0))</f>
        <v>10</v>
      </c>
      <c r="K18" s="3">
        <f>IF(D18="No R1",0,VLOOKUP(C18,'Peer-Review'!B:D,3,0))</f>
        <v>10</v>
      </c>
      <c r="L18" s="3">
        <f>IF(E18="No R2",0,VLOOKUP(C18,'Peer-Review'!F:H,2,0))</f>
        <v>0</v>
      </c>
      <c r="M18" s="3">
        <f>IF(E18="No R2",0,VLOOKUP(C18,'Peer-Review'!F:H,3,0))</f>
        <v>0</v>
      </c>
    </row>
    <row r="19" hidden="1">
      <c r="A19" s="3" t="str">
        <f>IFERROR(__xludf.DUMMYFUNCTION("""COMPUTED_VALUE"""),"21f1002828@ds.study.iitm.ac.in")</f>
        <v>21f1002828@ds.study.iitm.ac.in</v>
      </c>
      <c r="B19" s="3">
        <f>IFERROR(__xludf.DUMMYFUNCTION("""COMPUTED_VALUE"""),12.0)</f>
        <v>12</v>
      </c>
      <c r="C19" s="5" t="str">
        <f>IFERROR(__xludf.DUMMYFUNCTION("""COMPUTED_VALUE"""),"https://github.com/Jatendra/iitm_project1")</f>
        <v>https://github.com/Jatendra/iitm_project1</v>
      </c>
      <c r="D19" s="3" t="str">
        <f>IFERROR(VLOOKUP(C19,'Peer-Review'!B:J,9,0),"No R1")</f>
        <v>21f1004246@ds.study.iitm.ac.in</v>
      </c>
      <c r="E19" s="3" t="str">
        <f>IFERROR(VLOOKUP(C19,'Peer-Review'!F:J,5,0),"No R2")</f>
        <v>No R2</v>
      </c>
      <c r="F19" s="3">
        <f>COUNTIF('Peer-Review'!B:B,C19)+COUNTIF('Peer-Review'!F:F,C19)</f>
        <v>2</v>
      </c>
      <c r="G19" s="3">
        <f t="shared" si="1"/>
        <v>1</v>
      </c>
      <c r="H19" s="3" t="str">
        <f>IFERROR(__xludf.DUMMYFUNCTION("IFERROR(TRANSPOSE(FILTER('Peer-Review'!$J$2:$J$568,(TRIM('Peer-Review'!$B$2:$B$568)=C19 )+ (TRIM('Peer-Review'!$F$2:$F$568)=C19))),""No Reviews"")"),"21f1004246@ds.study.iitm.ac.in")</f>
        <v>21f1004246@ds.study.iitm.ac.in</v>
      </c>
      <c r="I19" s="3" t="str">
        <f>IFERROR(__xludf.DUMMYFUNCTION("""COMPUTED_VALUE"""),"21f2000237@ds.study.iitm.ac.in")</f>
        <v>21f2000237@ds.study.iitm.ac.in</v>
      </c>
      <c r="J19" s="3">
        <f>IF(D19="No R1",0,VLOOKUP(C19,'Peer-Review'!B:D,2,0))</f>
        <v>8</v>
      </c>
      <c r="K19" s="3">
        <f>IF(D19="No R1",0,VLOOKUP(C19,'Peer-Review'!B:D,3,0))</f>
        <v>10</v>
      </c>
      <c r="L19" s="3">
        <f>IF(E19="No R2",0,VLOOKUP(C19,'Peer-Review'!F:H,2,0))</f>
        <v>0</v>
      </c>
      <c r="M19" s="3">
        <f>IF(E19="No R2",0,VLOOKUP(C19,'Peer-Review'!F:H,3,0))</f>
        <v>0</v>
      </c>
    </row>
    <row r="20" hidden="1">
      <c r="A20" s="3" t="str">
        <f>IFERROR(__xludf.DUMMYFUNCTION("""COMPUTED_VALUE"""),"21f1002851@ds.study.iitm.ac.in")</f>
        <v>21f1002851@ds.study.iitm.ac.in</v>
      </c>
      <c r="B20" s="3">
        <f>IFERROR(__xludf.DUMMYFUNCTION("""COMPUTED_VALUE"""),16.0)</f>
        <v>16</v>
      </c>
      <c r="C20" s="5" t="str">
        <f>IFERROR(__xludf.DUMMYFUNCTION("""COMPUTED_VALUE"""),"https://github.com/jeelan-ds786/ToolsForDataScience")</f>
        <v>https://github.com/jeelan-ds786/ToolsForDataScience</v>
      </c>
      <c r="D20" s="3" t="str">
        <f>IFERROR(VLOOKUP(C20,'Peer-Review'!B:J,9,0),"No R1")</f>
        <v>23f3003749@ds.study.iitm.ac.in</v>
      </c>
      <c r="E20" s="3" t="str">
        <f>IFERROR(VLOOKUP(C20,'Peer-Review'!F:J,5,0),"No R2")</f>
        <v>No R2</v>
      </c>
      <c r="F20" s="3">
        <f>COUNTIF('Peer-Review'!B:B,C20)+COUNTIF('Peer-Review'!F:F,C20)</f>
        <v>2</v>
      </c>
      <c r="G20" s="3">
        <f t="shared" si="1"/>
        <v>1</v>
      </c>
      <c r="H20" s="3" t="str">
        <f>IFERROR(__xludf.DUMMYFUNCTION("IFERROR(TRANSPOSE(FILTER('Peer-Review'!$J$2:$J$568,(TRIM('Peer-Review'!$B$2:$B$568)=C20 )+ (TRIM('Peer-Review'!$F$2:$F$568)=C20))),""No Reviews"")"),"23f3003749@ds.study.iitm.ac.in")</f>
        <v>23f3003749@ds.study.iitm.ac.in</v>
      </c>
      <c r="I20" s="3" t="str">
        <f>IFERROR(__xludf.DUMMYFUNCTION("""COMPUTED_VALUE"""),"21f1004163@ds.study.iitm.ac.in")</f>
        <v>21f1004163@ds.study.iitm.ac.in</v>
      </c>
      <c r="J20" s="3">
        <f>IF(D20="No R1",0,VLOOKUP(C20,'Peer-Review'!B:D,2,0))</f>
        <v>10</v>
      </c>
      <c r="K20" s="3">
        <f>IF(D20="No R1",0,VLOOKUP(C20,'Peer-Review'!B:D,3,0))</f>
        <v>7</v>
      </c>
      <c r="L20" s="3">
        <f>IF(E20="No R2",0,VLOOKUP(C20,'Peer-Review'!F:H,2,0))</f>
        <v>0</v>
      </c>
      <c r="M20" s="3">
        <f>IF(E20="No R2",0,VLOOKUP(C20,'Peer-Review'!F:H,3,0))</f>
        <v>0</v>
      </c>
    </row>
    <row r="21" hidden="1">
      <c r="A21" s="3" t="str">
        <f>IFERROR(__xludf.DUMMYFUNCTION("""COMPUTED_VALUE"""),"21f1002976@ds.study.iitm.ac.in")</f>
        <v>21f1002976@ds.study.iitm.ac.in</v>
      </c>
      <c r="B21" s="3">
        <f>IFERROR(__xludf.DUMMYFUNCTION("""COMPUTED_VALUE"""),11.0)</f>
        <v>11</v>
      </c>
      <c r="C21" s="5" t="str">
        <f>IFERROR(__xludf.DUMMYFUNCTION("""COMPUTED_VALUE"""),"https://github.com/21f1002976/tds_project_1")</f>
        <v>https://github.com/21f1002976/tds_project_1</v>
      </c>
      <c r="D21" s="3" t="str">
        <f>IFERROR(VLOOKUP(C21,'Peer-Review'!B:J,9,0),"No R1")</f>
        <v>23f2001120@ds.study.iitm.ac.in</v>
      </c>
      <c r="E21" s="3" t="str">
        <f>IFERROR(VLOOKUP(C21,'Peer-Review'!F:J,5,0),"No R2")</f>
        <v>No R2</v>
      </c>
      <c r="F21" s="3">
        <f>COUNTIF('Peer-Review'!B:B,C21)+COUNTIF('Peer-Review'!F:F,C21)</f>
        <v>1</v>
      </c>
      <c r="G21" s="3">
        <f t="shared" si="1"/>
        <v>1</v>
      </c>
      <c r="H21" s="3" t="str">
        <f>IFERROR(__xludf.DUMMYFUNCTION("IFERROR(TRANSPOSE(FILTER('Peer-Review'!$J$2:$J$568,(TRIM('Peer-Review'!$B$2:$B$568)=C21 )+ (TRIM('Peer-Review'!$F$2:$F$568)=C21))),""No Reviews"")"),"23f2001120@ds.study.iitm.ac.in")</f>
        <v>23f2001120@ds.study.iitm.ac.in</v>
      </c>
      <c r="J21" s="3">
        <f>IF(D21="No R1",0,VLOOKUP(C21,'Peer-Review'!B:D,2,0))</f>
        <v>10</v>
      </c>
      <c r="K21" s="3">
        <f>IF(D21="No R1",0,VLOOKUP(C21,'Peer-Review'!B:D,3,0))</f>
        <v>0</v>
      </c>
      <c r="L21" s="3">
        <f>IF(E21="No R2",0,VLOOKUP(C21,'Peer-Review'!F:H,2,0))</f>
        <v>0</v>
      </c>
      <c r="M21" s="3">
        <f>IF(E21="No R2",0,VLOOKUP(C21,'Peer-Review'!F:H,3,0))</f>
        <v>0</v>
      </c>
    </row>
    <row r="22" hidden="1">
      <c r="A22" s="3" t="str">
        <f>IFERROR(__xludf.DUMMYFUNCTION("""COMPUTED_VALUE"""),"21f1002993@ds.study.iitm.ac.in")</f>
        <v>21f1002993@ds.study.iitm.ac.in</v>
      </c>
      <c r="B22" s="3">
        <f>IFERROR(__xludf.DUMMYFUNCTION("""COMPUTED_VALUE"""),15.0)</f>
        <v>15</v>
      </c>
      <c r="C22" s="5" t="str">
        <f>IFERROR(__xludf.DUMMYFUNCTION("""COMPUTED_VALUE"""),"https://github.com/uma1979/github-api-analysis")</f>
        <v>https://github.com/uma1979/github-api-analysis</v>
      </c>
      <c r="D22" s="3" t="str">
        <f>IFERROR(VLOOKUP(C22,'Peer-Review'!B:J,9,0),"No R1")</f>
        <v>21f1003816@ds.study.iitm.ac.in</v>
      </c>
      <c r="E22" s="3" t="str">
        <f>IFERROR(VLOOKUP(C22,'Peer-Review'!F:J,5,0),"No R2")</f>
        <v>No R2</v>
      </c>
      <c r="F22" s="3">
        <f>COUNTIF('Peer-Review'!B:B,C22)+COUNTIF('Peer-Review'!F:F,C22)</f>
        <v>2</v>
      </c>
      <c r="G22" s="3">
        <f t="shared" si="1"/>
        <v>1</v>
      </c>
      <c r="H22" s="3" t="str">
        <f>IFERROR(__xludf.DUMMYFUNCTION("IFERROR(TRANSPOSE(FILTER('Peer-Review'!$J$2:$J$568,(TRIM('Peer-Review'!$B$2:$B$568)=C22 )+ (TRIM('Peer-Review'!$F$2:$F$568)=C22))),""No Reviews"")"),"21f1003816@ds.study.iitm.ac.in")</f>
        <v>21f1003816@ds.study.iitm.ac.in</v>
      </c>
      <c r="I22" s="3" t="str">
        <f>IFERROR(__xludf.DUMMYFUNCTION("""COMPUTED_VALUE"""),"23f2000586@ds.study.iitm.ac.in")</f>
        <v>23f2000586@ds.study.iitm.ac.in</v>
      </c>
      <c r="J22" s="3">
        <f>IF(D22="No R1",0,VLOOKUP(C22,'Peer-Review'!B:D,2,0))</f>
        <v>10</v>
      </c>
      <c r="K22" s="3">
        <f>IF(D22="No R1",0,VLOOKUP(C22,'Peer-Review'!B:D,3,0))</f>
        <v>10</v>
      </c>
      <c r="L22" s="3">
        <f>IF(E22="No R2",0,VLOOKUP(C22,'Peer-Review'!F:H,2,0))</f>
        <v>0</v>
      </c>
      <c r="M22" s="3">
        <f>IF(E22="No R2",0,VLOOKUP(C22,'Peer-Review'!F:H,3,0))</f>
        <v>0</v>
      </c>
    </row>
    <row r="23" hidden="1">
      <c r="A23" s="3" t="str">
        <f>IFERROR(__xludf.DUMMYFUNCTION("""COMPUTED_VALUE"""),"21f1003107@ds.study.iitm.ac.in")</f>
        <v>21f1003107@ds.study.iitm.ac.in</v>
      </c>
      <c r="B23" s="3">
        <f>IFERROR(__xludf.DUMMYFUNCTION("""COMPUTED_VALUE"""),6.0)</f>
        <v>6</v>
      </c>
      <c r="C23" s="5" t="str">
        <f>IFERROR(__xludf.DUMMYFUNCTION("""COMPUTED_VALUE"""),"https://github.com/dsenthilkumar95/TDS_P1_Barcelona100")</f>
        <v>https://github.com/dsenthilkumar95/TDS_P1_Barcelona100</v>
      </c>
      <c r="D23" s="3" t="str">
        <f>IFERROR(VLOOKUP(C23,'Peer-Review'!B:J,9,0),"No R1")</f>
        <v>22f2001255@ds.study.iitm.ac.in</v>
      </c>
      <c r="E23" s="3" t="str">
        <f>IFERROR(VLOOKUP(C23,'Peer-Review'!F:J,5,0),"No R2")</f>
        <v>No R2</v>
      </c>
      <c r="F23" s="3">
        <f>COUNTIF('Peer-Review'!B:B,C23)+COUNTIF('Peer-Review'!F:F,C23)</f>
        <v>1</v>
      </c>
      <c r="G23" s="3">
        <f t="shared" si="1"/>
        <v>1</v>
      </c>
      <c r="H23" s="3" t="str">
        <f>IFERROR(__xludf.DUMMYFUNCTION("IFERROR(TRANSPOSE(FILTER('Peer-Review'!$J$2:$J$568,(TRIM('Peer-Review'!$B$2:$B$568)=C23 )+ (TRIM('Peer-Review'!$F$2:$F$568)=C23))),""No Reviews"")"),"22f2001255@ds.study.iitm.ac.in")</f>
        <v>22f2001255@ds.study.iitm.ac.in</v>
      </c>
      <c r="J23" s="3">
        <f>IF(D23="No R1",0,VLOOKUP(C23,'Peer-Review'!B:D,2,0))</f>
        <v>0</v>
      </c>
      <c r="K23" s="3">
        <f>IF(D23="No R1",0,VLOOKUP(C23,'Peer-Review'!B:D,3,0))</f>
        <v>4</v>
      </c>
      <c r="L23" s="3">
        <f>IF(E23="No R2",0,VLOOKUP(C23,'Peer-Review'!F:H,2,0))</f>
        <v>0</v>
      </c>
      <c r="M23" s="3">
        <f>IF(E23="No R2",0,VLOOKUP(C23,'Peer-Review'!F:H,3,0))</f>
        <v>0</v>
      </c>
    </row>
    <row r="24" hidden="1">
      <c r="A24" s="3" t="str">
        <f>IFERROR(__xludf.DUMMYFUNCTION("""COMPUTED_VALUE"""),"21f1003248@ds.study.iitm.ac.in")</f>
        <v>21f1003248@ds.study.iitm.ac.in</v>
      </c>
      <c r="B24" s="3">
        <f>IFERROR(__xludf.DUMMYFUNCTION("""COMPUTED_VALUE"""),17.0)</f>
        <v>17</v>
      </c>
      <c r="C24" s="5" t="str">
        <f>IFERROR(__xludf.DUMMYFUNCTION("""COMPUTED_VALUE"""),"https://github.com/Ajmalkajm/TDS-Project_1")</f>
        <v>https://github.com/Ajmalkajm/TDS-Project_1</v>
      </c>
      <c r="D24" s="3" t="str">
        <f>IFERROR(VLOOKUP(C24,'Peer-Review'!B:J,9,0),"No R1")</f>
        <v>No R1</v>
      </c>
      <c r="E24" s="3" t="str">
        <f>IFERROR(VLOOKUP(C24,'Peer-Review'!F:J,5,0),"No R2")</f>
        <v>24ds2000109@ds.study.iitm.ac.in</v>
      </c>
      <c r="F24" s="3">
        <f>COUNTIF('Peer-Review'!B:B,C24)+COUNTIF('Peer-Review'!F:F,C24)</f>
        <v>2</v>
      </c>
      <c r="G24" s="3">
        <f t="shared" si="1"/>
        <v>1</v>
      </c>
      <c r="H24" s="3" t="str">
        <f>IFERROR(__xludf.DUMMYFUNCTION("IFERROR(TRANSPOSE(FILTER('Peer-Review'!$J$2:$J$568,(TRIM('Peer-Review'!$B$2:$B$568)=C24 )+ (TRIM('Peer-Review'!$F$2:$F$568)=C24))),""No Reviews"")"),"24ds2000109@ds.study.iitm.ac.in")</f>
        <v>24ds2000109@ds.study.iitm.ac.in</v>
      </c>
      <c r="I24" s="3" t="str">
        <f>IFERROR(__xludf.DUMMYFUNCTION("""COMPUTED_VALUE"""),"21f1002449@ds.study.iitm.ac.in")</f>
        <v>21f1002449@ds.study.iitm.ac.in</v>
      </c>
      <c r="J24" s="3">
        <f>IF(D24="No R1",0,VLOOKUP(C24,'Peer-Review'!B:D,2,0))</f>
        <v>0</v>
      </c>
      <c r="K24" s="3">
        <f>IF(D24="No R1",0,VLOOKUP(C24,'Peer-Review'!B:D,3,0))</f>
        <v>0</v>
      </c>
      <c r="L24" s="3">
        <f>IF(E24="No R2",0,VLOOKUP(C24,'Peer-Review'!F:H,2,0))</f>
        <v>8</v>
      </c>
      <c r="M24" s="3">
        <f>IF(E24="No R2",0,VLOOKUP(C24,'Peer-Review'!F:H,3,0))</f>
        <v>9</v>
      </c>
    </row>
    <row r="25" hidden="1">
      <c r="A25" s="3" t="str">
        <f>IFERROR(__xludf.DUMMYFUNCTION("""COMPUTED_VALUE"""),"21f1003777@ds.study.iitm.ac.in")</f>
        <v>21f1003777@ds.study.iitm.ac.in</v>
      </c>
      <c r="B25" s="3">
        <f>IFERROR(__xludf.DUMMYFUNCTION("""COMPUTED_VALUE"""),11.0)</f>
        <v>11</v>
      </c>
      <c r="C25" s="5" t="str">
        <f>IFERROR(__xludf.DUMMYFUNCTION("""COMPUTED_VALUE"""),"https://github.com/theiitman/tds_project_1_03777")</f>
        <v>https://github.com/theiitman/tds_project_1_03777</v>
      </c>
      <c r="D25" s="3" t="str">
        <f>IFERROR(VLOOKUP(C25,'Peer-Review'!B:J,9,0),"No R1")</f>
        <v>23f2001154@ds.study.iitm.ac.in</v>
      </c>
      <c r="E25" s="3" t="str">
        <f>IFERROR(VLOOKUP(C25,'Peer-Review'!F:J,5,0),"No R2")</f>
        <v>No R2</v>
      </c>
      <c r="F25" s="3">
        <f>COUNTIF('Peer-Review'!B:B,C25)+COUNTIF('Peer-Review'!F:F,C25)</f>
        <v>2</v>
      </c>
      <c r="G25" s="3">
        <f t="shared" si="1"/>
        <v>1</v>
      </c>
      <c r="H25" s="3" t="str">
        <f>IFERROR(__xludf.DUMMYFUNCTION("IFERROR(TRANSPOSE(FILTER('Peer-Review'!$J$2:$J$568,(TRIM('Peer-Review'!$B$2:$B$568)=C25 )+ (TRIM('Peer-Review'!$F$2:$F$568)=C25))),""No Reviews"")"),"23f2001154@ds.study.iitm.ac.in")</f>
        <v>23f2001154@ds.study.iitm.ac.in</v>
      </c>
      <c r="I25" s="3" t="str">
        <f>IFERROR(__xludf.DUMMYFUNCTION("""COMPUTED_VALUE"""),"21f2001529@ds.study.iitm.ac.in")</f>
        <v>21f2001529@ds.study.iitm.ac.in</v>
      </c>
      <c r="J25" s="3">
        <f>IF(D25="No R1",0,VLOOKUP(C25,'Peer-Review'!B:D,2,0))</f>
        <v>9</v>
      </c>
      <c r="K25" s="3">
        <f>IF(D25="No R1",0,VLOOKUP(C25,'Peer-Review'!B:D,3,0))</f>
        <v>8</v>
      </c>
      <c r="L25" s="3">
        <f>IF(E25="No R2",0,VLOOKUP(C25,'Peer-Review'!F:H,2,0))</f>
        <v>0</v>
      </c>
      <c r="M25" s="3">
        <f>IF(E25="No R2",0,VLOOKUP(C25,'Peer-Review'!F:H,3,0))</f>
        <v>0</v>
      </c>
    </row>
    <row r="26" hidden="1">
      <c r="A26" s="3" t="str">
        <f>IFERROR(__xludf.DUMMYFUNCTION("""COMPUTED_VALUE"""),"21f1003816@ds.study.iitm.ac.in")</f>
        <v>21f1003816@ds.study.iitm.ac.in</v>
      </c>
      <c r="B26" s="3">
        <f>IFERROR(__xludf.DUMMYFUNCTION("""COMPUTED_VALUE"""),15.0)</f>
        <v>15</v>
      </c>
      <c r="C26" s="5" t="str">
        <f>IFERROR(__xludf.DUMMYFUNCTION("""COMPUTED_VALUE"""),"https://github.com/myGreatLoveM/tds-project-1")</f>
        <v>https://github.com/myGreatLoveM/tds-project-1</v>
      </c>
      <c r="D26" s="3" t="str">
        <f>IFERROR(VLOOKUP(C26,'Peer-Review'!B:J,9,0),"No R1")</f>
        <v>23f2000590@ds.study.iitm.ac.in</v>
      </c>
      <c r="E26" s="3" t="str">
        <f>IFERROR(VLOOKUP(C26,'Peer-Review'!F:J,5,0),"No R2")</f>
        <v>No R2</v>
      </c>
      <c r="F26" s="3">
        <f>COUNTIF('Peer-Review'!B:B,C26)+COUNTIF('Peer-Review'!F:F,C26)</f>
        <v>2</v>
      </c>
      <c r="G26" s="3">
        <f t="shared" si="1"/>
        <v>1</v>
      </c>
      <c r="H26" s="3" t="str">
        <f>IFERROR(__xludf.DUMMYFUNCTION("IFERROR(TRANSPOSE(FILTER('Peer-Review'!$J$2:$J$568,(TRIM('Peer-Review'!$B$2:$B$568)=C26 )+ (TRIM('Peer-Review'!$F$2:$F$568)=C26))),""No Reviews"")"),"23f2000590@ds.study.iitm.ac.in")</f>
        <v>23f2000590@ds.study.iitm.ac.in</v>
      </c>
      <c r="I26" s="3" t="str">
        <f>IFERROR(__xludf.DUMMYFUNCTION("""COMPUTED_VALUE"""),"21f1006103@ds.study.iitm.ac.in")</f>
        <v>21f1006103@ds.study.iitm.ac.in</v>
      </c>
      <c r="J26" s="3">
        <f>IF(D26="No R1",0,VLOOKUP(C26,'Peer-Review'!B:D,2,0))</f>
        <v>10</v>
      </c>
      <c r="K26" s="3">
        <f>IF(D26="No R1",0,VLOOKUP(C26,'Peer-Review'!B:D,3,0))</f>
        <v>10</v>
      </c>
      <c r="L26" s="3">
        <f>IF(E26="No R2",0,VLOOKUP(C26,'Peer-Review'!F:H,2,0))</f>
        <v>0</v>
      </c>
      <c r="M26" s="3">
        <f>IF(E26="No R2",0,VLOOKUP(C26,'Peer-Review'!F:H,3,0))</f>
        <v>0</v>
      </c>
    </row>
    <row r="27" hidden="1">
      <c r="A27" s="3" t="str">
        <f>IFERROR(__xludf.DUMMYFUNCTION("""COMPUTED_VALUE"""),"21f1003945@ds.study.iitm.ac.in")</f>
        <v>21f1003945@ds.study.iitm.ac.in</v>
      </c>
      <c r="B27" s="3">
        <f>IFERROR(__xludf.DUMMYFUNCTION("""COMPUTED_VALUE"""),9.0)</f>
        <v>9</v>
      </c>
      <c r="C27" s="5" t="str">
        <f>IFERROR(__xludf.DUMMYFUNCTION("""COMPUTED_VALUE"""),"https://github.com/subhajit2001/TDSProject1")</f>
        <v>https://github.com/subhajit2001/TDSProject1</v>
      </c>
      <c r="D27" s="3" t="str">
        <f>IFERROR(VLOOKUP(C27,'Peer-Review'!B:J,9,0),"No R1")</f>
        <v>22f3002393@ds.study.iitm.ac.in</v>
      </c>
      <c r="E27" s="3" t="str">
        <f>IFERROR(VLOOKUP(C27,'Peer-Review'!F:J,5,0),"No R2")</f>
        <v>No R2</v>
      </c>
      <c r="F27" s="3">
        <f>COUNTIF('Peer-Review'!B:B,C27)+COUNTIF('Peer-Review'!F:F,C27)</f>
        <v>2</v>
      </c>
      <c r="G27" s="3">
        <f t="shared" si="1"/>
        <v>1</v>
      </c>
      <c r="H27" s="3" t="str">
        <f>IFERROR(__xludf.DUMMYFUNCTION("IFERROR(TRANSPOSE(FILTER('Peer-Review'!$J$2:$J$568,(TRIM('Peer-Review'!$B$2:$B$568)=C27 )+ (TRIM('Peer-Review'!$F$2:$F$568)=C27))),""No Reviews"")"),"22f3002393@ds.study.iitm.ac.in")</f>
        <v>22f3002393@ds.study.iitm.ac.in</v>
      </c>
      <c r="I27" s="3" t="str">
        <f>IFERROR(__xludf.DUMMYFUNCTION("""COMPUTED_VALUE"""),"21f1006302@ds.study.iitm.ac.in")</f>
        <v>21f1006302@ds.study.iitm.ac.in</v>
      </c>
      <c r="J27" s="3">
        <f>IF(D27="No R1",0,VLOOKUP(C27,'Peer-Review'!B:D,2,0))</f>
        <v>9</v>
      </c>
      <c r="K27" s="3">
        <f>IF(D27="No R1",0,VLOOKUP(C27,'Peer-Review'!B:D,3,0))</f>
        <v>10</v>
      </c>
      <c r="L27" s="3">
        <f>IF(E27="No R2",0,VLOOKUP(C27,'Peer-Review'!F:H,2,0))</f>
        <v>0</v>
      </c>
      <c r="M27" s="3">
        <f>IF(E27="No R2",0,VLOOKUP(C27,'Peer-Review'!F:H,3,0))</f>
        <v>0</v>
      </c>
    </row>
    <row r="28" hidden="1">
      <c r="A28" s="3" t="str">
        <f>IFERROR(__xludf.DUMMYFUNCTION("""COMPUTED_VALUE"""),"21f1003992@ds.study.iitm.ac.in")</f>
        <v>21f1003992@ds.study.iitm.ac.in</v>
      </c>
      <c r="B28" s="3">
        <f>IFERROR(__xludf.DUMMYFUNCTION("""COMPUTED_VALUE"""),0.0)</f>
        <v>0</v>
      </c>
      <c r="C28" s="5" t="str">
        <f>IFERROR(__xludf.DUMMYFUNCTION("""COMPUTED_VALUE"""),"https://github.com/21f1003992/SeattleGitHubUsersScraper")</f>
        <v>https://github.com/21f1003992/SeattleGitHubUsersScraper</v>
      </c>
      <c r="D28" s="3" t="str">
        <f>IFERROR(VLOOKUP(C28,'Peer-Review'!B:J,9,0),"No R1")</f>
        <v>No R1</v>
      </c>
      <c r="E28" s="3" t="str">
        <f>IFERROR(VLOOKUP(C28,'Peer-Review'!F:J,5,0),"No R2")</f>
        <v>No R2</v>
      </c>
      <c r="F28" s="3">
        <f>COUNTIF('Peer-Review'!B:B,C28)+COUNTIF('Peer-Review'!F:F,C28)</f>
        <v>0</v>
      </c>
      <c r="G28" s="3">
        <f t="shared" si="1"/>
        <v>0</v>
      </c>
      <c r="H28" s="3" t="str">
        <f>IFERROR(__xludf.DUMMYFUNCTION("IFERROR(TRANSPOSE(FILTER('Peer-Review'!$J$2:$J$568,(TRIM('Peer-Review'!$B$2:$B$568)=C28 )+ (TRIM('Peer-Review'!$F$2:$F$568)=C28))),""No Reviews"")"),"No Reviews")</f>
        <v>No Reviews</v>
      </c>
      <c r="J28" s="3">
        <f>IF(D28="No R1",0,VLOOKUP(C28,'Peer-Review'!B:D,2,0))</f>
        <v>0</v>
      </c>
      <c r="K28" s="3">
        <f>IF(D28="No R1",0,VLOOKUP(C28,'Peer-Review'!B:D,3,0))</f>
        <v>0</v>
      </c>
      <c r="L28" s="3">
        <f>IF(E28="No R2",0,VLOOKUP(C28,'Peer-Review'!F:H,2,0))</f>
        <v>0</v>
      </c>
      <c r="M28" s="3">
        <f>IF(E28="No R2",0,VLOOKUP(C28,'Peer-Review'!F:H,3,0))</f>
        <v>0</v>
      </c>
    </row>
    <row r="29" hidden="1">
      <c r="A29" s="3" t="str">
        <f>IFERROR(__xludf.DUMMYFUNCTION("""COMPUTED_VALUE"""),"21f1004163@ds.study.iitm.ac.in")</f>
        <v>21f1004163@ds.study.iitm.ac.in</v>
      </c>
      <c r="B29" s="3">
        <f>IFERROR(__xludf.DUMMYFUNCTION("""COMPUTED_VALUE"""),16.0)</f>
        <v>16</v>
      </c>
      <c r="C29" s="5" t="str">
        <f>IFERROR(__xludf.DUMMYFUNCTION("""COMPUTED_VALUE"""),"https://github.com/SV-03/TDS-P1")</f>
        <v>https://github.com/SV-03/TDS-P1</v>
      </c>
      <c r="D29" s="3" t="str">
        <f>IFERROR(VLOOKUP(C29,'Peer-Review'!B:J,9,0),"No R1")</f>
        <v>23f3003763@ds.study.iitm.ac.in</v>
      </c>
      <c r="E29" s="3" t="str">
        <f>IFERROR(VLOOKUP(C29,'Peer-Review'!F:J,5,0),"No R2")</f>
        <v>No R2</v>
      </c>
      <c r="F29" s="3">
        <f>COUNTIF('Peer-Review'!B:B,C29)+COUNTIF('Peer-Review'!F:F,C29)</f>
        <v>2</v>
      </c>
      <c r="G29" s="3">
        <f t="shared" si="1"/>
        <v>1</v>
      </c>
      <c r="H29" s="3" t="str">
        <f>IFERROR(__xludf.DUMMYFUNCTION("IFERROR(TRANSPOSE(FILTER('Peer-Review'!$J$2:$J$568,(TRIM('Peer-Review'!$B$2:$B$568)=C29 )+ (TRIM('Peer-Review'!$F$2:$F$568)=C29))),""No Reviews"")"),"23f3003763@ds.study.iitm.ac.in")</f>
        <v>23f3003763@ds.study.iitm.ac.in</v>
      </c>
      <c r="I29" s="3" t="str">
        <f>IFERROR(__xludf.DUMMYFUNCTION("""COMPUTED_VALUE"""),"21f1004349@ds.study.iitm.ac.in")</f>
        <v>21f1004349@ds.study.iitm.ac.in</v>
      </c>
      <c r="J29" s="3">
        <f>IF(D29="No R1",0,VLOOKUP(C29,'Peer-Review'!B:D,2,0))</f>
        <v>10</v>
      </c>
      <c r="K29" s="3">
        <f>IF(D29="No R1",0,VLOOKUP(C29,'Peer-Review'!B:D,3,0))</f>
        <v>9</v>
      </c>
      <c r="L29" s="3">
        <f>IF(E29="No R2",0,VLOOKUP(C29,'Peer-Review'!F:H,2,0))</f>
        <v>0</v>
      </c>
      <c r="M29" s="3">
        <f>IF(E29="No R2",0,VLOOKUP(C29,'Peer-Review'!F:H,3,0))</f>
        <v>0</v>
      </c>
    </row>
    <row r="30" hidden="1">
      <c r="A30" s="3" t="str">
        <f>IFERROR(__xludf.DUMMYFUNCTION("""COMPUTED_VALUE"""),"21f1004246@ds.study.iitm.ac.in")</f>
        <v>21f1004246@ds.study.iitm.ac.in</v>
      </c>
      <c r="B30" s="3">
        <f>IFERROR(__xludf.DUMMYFUNCTION("""COMPUTED_VALUE"""),17.0)</f>
        <v>17</v>
      </c>
      <c r="C30" s="5" t="str">
        <f>IFERROR(__xludf.DUMMYFUNCTION("""COMPUTED_VALUE"""),"https://github.com/rishabh-iitm/project1")</f>
        <v>https://github.com/rishabh-iitm/project1</v>
      </c>
      <c r="D30" s="3" t="str">
        <f>IFERROR(VLOOKUP(C30,'Peer-Review'!B:J,9,0),"No R1")</f>
        <v>No R1</v>
      </c>
      <c r="E30" s="3" t="str">
        <f>IFERROR(VLOOKUP(C30,'Peer-Review'!F:J,5,0),"No R2")</f>
        <v>21f1003248@ds.study.iitm.ac.in</v>
      </c>
      <c r="F30" s="3">
        <f>COUNTIF('Peer-Review'!B:B,C30)+COUNTIF('Peer-Review'!F:F,C30)</f>
        <v>1</v>
      </c>
      <c r="G30" s="3">
        <f t="shared" si="1"/>
        <v>1</v>
      </c>
      <c r="H30" s="3" t="str">
        <f>IFERROR(__xludf.DUMMYFUNCTION("IFERROR(TRANSPOSE(FILTER('Peer-Review'!$J$2:$J$568,(TRIM('Peer-Review'!$B$2:$B$568)=C30 )+ (TRIM('Peer-Review'!$F$2:$F$568)=C30))),""No Reviews"")"),"21f1003248@ds.study.iitm.ac.in")</f>
        <v>21f1003248@ds.study.iitm.ac.in</v>
      </c>
      <c r="J30" s="3">
        <f>IF(D30="No R1",0,VLOOKUP(C30,'Peer-Review'!B:D,2,0))</f>
        <v>0</v>
      </c>
      <c r="K30" s="3">
        <f>IF(D30="No R1",0,VLOOKUP(C30,'Peer-Review'!B:D,3,0))</f>
        <v>0</v>
      </c>
      <c r="L30" s="3">
        <f>IF(E30="No R2",0,VLOOKUP(C30,'Peer-Review'!F:H,2,0))</f>
        <v>8</v>
      </c>
      <c r="M30" s="3">
        <f>IF(E30="No R2",0,VLOOKUP(C30,'Peer-Review'!F:H,3,0))</f>
        <v>8</v>
      </c>
    </row>
    <row r="31" hidden="1">
      <c r="A31" s="3" t="str">
        <f>IFERROR(__xludf.DUMMYFUNCTION("""COMPUTED_VALUE"""),"21f1004349@ds.study.iitm.ac.in")</f>
        <v>21f1004349@ds.study.iitm.ac.in</v>
      </c>
      <c r="B31" s="3">
        <f>IFERROR(__xludf.DUMMYFUNCTION("""COMPUTED_VALUE"""),16.0)</f>
        <v>16</v>
      </c>
      <c r="C31" s="5" t="str">
        <f>IFERROR(__xludf.DUMMYFUNCTION("""COMPUTED_VALUE"""),"https://github.com/Jayaraja-SK/TDS-Project1")</f>
        <v>https://github.com/Jayaraja-SK/TDS-Project1</v>
      </c>
      <c r="D31" s="3" t="str">
        <f>IFERROR(VLOOKUP(C31,'Peer-Review'!B:J,9,0),"No R1")</f>
        <v>23f3004035@ds.study.iitm.ac.in</v>
      </c>
      <c r="E31" s="3" t="str">
        <f>IFERROR(VLOOKUP(C31,'Peer-Review'!F:J,5,0),"No R2")</f>
        <v>No R2</v>
      </c>
      <c r="F31" s="3">
        <f>COUNTIF('Peer-Review'!B:B,C31)+COUNTIF('Peer-Review'!F:F,C31)</f>
        <v>2</v>
      </c>
      <c r="G31" s="3">
        <f t="shared" si="1"/>
        <v>1</v>
      </c>
      <c r="H31" s="3" t="str">
        <f>IFERROR(__xludf.DUMMYFUNCTION("IFERROR(TRANSPOSE(FILTER('Peer-Review'!$J$2:$J$568,(TRIM('Peer-Review'!$B$2:$B$568)=C31 )+ (TRIM('Peer-Review'!$F$2:$F$568)=C31))),""No Reviews"")"),"23f3004035@ds.study.iitm.ac.in")</f>
        <v>23f3004035@ds.study.iitm.ac.in</v>
      </c>
      <c r="I31" s="3" t="str">
        <f>IFERROR(__xludf.DUMMYFUNCTION("""COMPUTED_VALUE"""),"21f1004430@ds.study.iitm.ac.in")</f>
        <v>21f1004430@ds.study.iitm.ac.in</v>
      </c>
      <c r="J31" s="3">
        <f>IF(D31="No R1",0,VLOOKUP(C31,'Peer-Review'!B:D,2,0))</f>
        <v>8</v>
      </c>
      <c r="K31" s="3">
        <f>IF(D31="No R1",0,VLOOKUP(C31,'Peer-Review'!B:D,3,0))</f>
        <v>8</v>
      </c>
      <c r="L31" s="3">
        <f>IF(E31="No R2",0,VLOOKUP(C31,'Peer-Review'!F:H,2,0))</f>
        <v>0</v>
      </c>
      <c r="M31" s="3">
        <f>IF(E31="No R2",0,VLOOKUP(C31,'Peer-Review'!F:H,3,0))</f>
        <v>0</v>
      </c>
    </row>
    <row r="32" hidden="1">
      <c r="A32" s="3" t="str">
        <f>IFERROR(__xludf.DUMMYFUNCTION("""COMPUTED_VALUE"""),"21f1004430@ds.study.iitm.ac.in")</f>
        <v>21f1004430@ds.study.iitm.ac.in</v>
      </c>
      <c r="B32" s="3">
        <f>IFERROR(__xludf.DUMMYFUNCTION("""COMPUTED_VALUE"""),16.0)</f>
        <v>16</v>
      </c>
      <c r="C32" s="5" t="str">
        <f>IFERROR(__xludf.DUMMYFUNCTION("""COMPUTED_VALUE"""),"https://github.com/21f1004430/TDS-Project_1")</f>
        <v>https://github.com/21f1004430/TDS-Project_1</v>
      </c>
      <c r="D32" s="3" t="str">
        <f>IFERROR(VLOOKUP(C32,'Peer-Review'!B:J,9,0),"No R1")</f>
        <v>21f1004719@ds.study.iitm.ac.in</v>
      </c>
      <c r="E32" s="3" t="str">
        <f>IFERROR(VLOOKUP(C32,'Peer-Review'!F:J,5,0),"No R2")</f>
        <v>No R2</v>
      </c>
      <c r="F32" s="3">
        <f>COUNTIF('Peer-Review'!B:B,C32)+COUNTIF('Peer-Review'!F:F,C32)</f>
        <v>2</v>
      </c>
      <c r="G32" s="3">
        <f t="shared" si="1"/>
        <v>1</v>
      </c>
      <c r="H32" s="3" t="str">
        <f>IFERROR(__xludf.DUMMYFUNCTION("IFERROR(TRANSPOSE(FILTER('Peer-Review'!$J$2:$J$568,(TRIM('Peer-Review'!$B$2:$B$568)=C32 )+ (TRIM('Peer-Review'!$F$2:$F$568)=C32))),""No Reviews"")"),"21f1004719@ds.study.iitm.ac.in")</f>
        <v>21f1004719@ds.study.iitm.ac.in</v>
      </c>
      <c r="I32" s="3" t="str">
        <f>IFERROR(__xludf.DUMMYFUNCTION("""COMPUTED_VALUE"""),"23f3004146@ds.study.iitm.ac.in")</f>
        <v>23f3004146@ds.study.iitm.ac.in</v>
      </c>
      <c r="J32" s="3">
        <f>IF(D32="No R1",0,VLOOKUP(C32,'Peer-Review'!B:D,2,0))</f>
        <v>10</v>
      </c>
      <c r="K32" s="3">
        <f>IF(D32="No R1",0,VLOOKUP(C32,'Peer-Review'!B:D,3,0))</f>
        <v>0</v>
      </c>
      <c r="L32" s="3">
        <f>IF(E32="No R2",0,VLOOKUP(C32,'Peer-Review'!F:H,2,0))</f>
        <v>0</v>
      </c>
      <c r="M32" s="3">
        <f>IF(E32="No R2",0,VLOOKUP(C32,'Peer-Review'!F:H,3,0))</f>
        <v>0</v>
      </c>
    </row>
    <row r="33" hidden="1">
      <c r="A33" s="3" t="str">
        <f>IFERROR(__xludf.DUMMYFUNCTION("""COMPUTED_VALUE"""),"21f1004719@ds.study.iitm.ac.in")</f>
        <v>21f1004719@ds.study.iitm.ac.in</v>
      </c>
      <c r="B33" s="3">
        <f>IFERROR(__xludf.DUMMYFUNCTION("""COMPUTED_VALUE"""),16.0)</f>
        <v>16</v>
      </c>
      <c r="C33" s="5" t="str">
        <f>IFERROR(__xludf.DUMMYFUNCTION("""COMPUTED_VALUE"""),"https://github.com/rebornphoenix01/TDSProject1")</f>
        <v>https://github.com/rebornphoenix01/TDSProject1</v>
      </c>
      <c r="D33" s="3" t="str">
        <f>IFERROR(VLOOKUP(C33,'Peer-Review'!B:J,9,0),"No R1")</f>
        <v>23f3004372@ds.study.iitm.ac.in</v>
      </c>
      <c r="E33" s="3" t="str">
        <f>IFERROR(VLOOKUP(C33,'Peer-Review'!F:J,5,0),"No R2")</f>
        <v>No R2</v>
      </c>
      <c r="F33" s="3">
        <f>COUNTIF('Peer-Review'!B:B,C33)+COUNTIF('Peer-Review'!F:F,C33)</f>
        <v>2</v>
      </c>
      <c r="G33" s="3">
        <f t="shared" si="1"/>
        <v>1</v>
      </c>
      <c r="H33" s="3" t="str">
        <f>IFERROR(__xludf.DUMMYFUNCTION("IFERROR(TRANSPOSE(FILTER('Peer-Review'!$J$2:$J$568,(TRIM('Peer-Review'!$B$2:$B$568)=C33 )+ (TRIM('Peer-Review'!$F$2:$F$568)=C33))),""No Reviews"")"),"23f3004372@ds.study.iitm.ac.in")</f>
        <v>23f3004372@ds.study.iitm.ac.in</v>
      </c>
      <c r="I33" s="3" t="str">
        <f>IFERROR(__xludf.DUMMYFUNCTION("""COMPUTED_VALUE"""),"21f1004811@ds.study.iitm.ac.in")</f>
        <v>21f1004811@ds.study.iitm.ac.in</v>
      </c>
      <c r="J33" s="3">
        <f>IF(D33="No R1",0,VLOOKUP(C33,'Peer-Review'!B:D,2,0))</f>
        <v>10</v>
      </c>
      <c r="K33" s="3">
        <f>IF(D33="No R1",0,VLOOKUP(C33,'Peer-Review'!B:D,3,0))</f>
        <v>10</v>
      </c>
      <c r="L33" s="3">
        <f>IF(E33="No R2",0,VLOOKUP(C33,'Peer-Review'!F:H,2,0))</f>
        <v>0</v>
      </c>
      <c r="M33" s="3">
        <f>IF(E33="No R2",0,VLOOKUP(C33,'Peer-Review'!F:H,3,0))</f>
        <v>0</v>
      </c>
    </row>
    <row r="34" hidden="1">
      <c r="A34" s="3" t="str">
        <f>IFERROR(__xludf.DUMMYFUNCTION("""COMPUTED_VALUE"""),"21f1004811@ds.study.iitm.ac.in")</f>
        <v>21f1004811@ds.study.iitm.ac.in</v>
      </c>
      <c r="B34" s="3">
        <f>IFERROR(__xludf.DUMMYFUNCTION("""COMPUTED_VALUE"""),16.0)</f>
        <v>16</v>
      </c>
      <c r="C34" s="5" t="str">
        <f>IFERROR(__xludf.DUMMYFUNCTION("""COMPUTED_VALUE"""),"https://github.com/VishakhAgarwal/proj1")</f>
        <v>https://github.com/VishakhAgarwal/proj1</v>
      </c>
      <c r="D34" s="3" t="str">
        <f>IFERROR(VLOOKUP(C34,'Peer-Review'!B:J,9,0),"No R1")</f>
        <v>24ds1000028@ds.study.iitm.ac.in</v>
      </c>
      <c r="E34" s="3" t="str">
        <f>IFERROR(VLOOKUP(C34,'Peer-Review'!F:J,5,0),"No R2")</f>
        <v>No R2</v>
      </c>
      <c r="F34" s="3">
        <f>COUNTIF('Peer-Review'!B:B,C34)+COUNTIF('Peer-Review'!F:F,C34)</f>
        <v>2</v>
      </c>
      <c r="G34" s="3">
        <f t="shared" si="1"/>
        <v>1</v>
      </c>
      <c r="H34" s="3" t="str">
        <f>IFERROR(__xludf.DUMMYFUNCTION("IFERROR(TRANSPOSE(FILTER('Peer-Review'!$J$2:$J$568,(TRIM('Peer-Review'!$B$2:$B$568)=C34 )+ (TRIM('Peer-Review'!$F$2:$F$568)=C34))),""No Reviews"")"),"24ds1000028@ds.study.iitm.ac.in")</f>
        <v>24ds1000028@ds.study.iitm.ac.in</v>
      </c>
      <c r="I34" s="3" t="str">
        <f>IFERROR(__xludf.DUMMYFUNCTION("""COMPUTED_VALUE"""),"21f2000351@ds.study.iitm.ac.in")</f>
        <v>21f2000351@ds.study.iitm.ac.in</v>
      </c>
      <c r="J34" s="3">
        <f>IF(D34="No R1",0,VLOOKUP(C34,'Peer-Review'!B:D,2,0))</f>
        <v>0</v>
      </c>
      <c r="K34" s="3">
        <f>IF(D34="No R1",0,VLOOKUP(C34,'Peer-Review'!B:D,3,0))</f>
        <v>0</v>
      </c>
      <c r="L34" s="3">
        <f>IF(E34="No R2",0,VLOOKUP(C34,'Peer-Review'!F:H,2,0))</f>
        <v>0</v>
      </c>
      <c r="M34" s="3">
        <f>IF(E34="No R2",0,VLOOKUP(C34,'Peer-Review'!F:H,3,0))</f>
        <v>0</v>
      </c>
    </row>
    <row r="35" hidden="1">
      <c r="A35" s="3" t="str">
        <f>IFERROR(__xludf.DUMMYFUNCTION("""COMPUTED_VALUE"""),"21f1004929@ds.study.iitm.ac.in")</f>
        <v>21f1004929@ds.study.iitm.ac.in</v>
      </c>
      <c r="B35" s="3">
        <f>IFERROR(__xludf.DUMMYFUNCTION("""COMPUTED_VALUE"""),13.0)</f>
        <v>13</v>
      </c>
      <c r="C35" s="5" t="str">
        <f>IFERROR(__xludf.DUMMYFUNCTION("""COMPUTED_VALUE"""),"https://github.com/PavanKumar-KN/TDS_Project_1")</f>
        <v>https://github.com/PavanKumar-KN/TDS_Project_1</v>
      </c>
      <c r="D35" s="3" t="str">
        <f>IFERROR(VLOOKUP(C35,'Peer-Review'!B:J,9,0),"No R1")</f>
        <v>21f1005006@ds.study.iitm.ac.in</v>
      </c>
      <c r="E35" s="3" t="str">
        <f>IFERROR(VLOOKUP(C35,'Peer-Review'!F:J,5,0),"No R2")</f>
        <v>No R2</v>
      </c>
      <c r="F35" s="3">
        <f>COUNTIF('Peer-Review'!B:B,C35)+COUNTIF('Peer-Review'!F:F,C35)</f>
        <v>2</v>
      </c>
      <c r="G35" s="3">
        <f t="shared" si="1"/>
        <v>1</v>
      </c>
      <c r="H35" s="3" t="str">
        <f>IFERROR(__xludf.DUMMYFUNCTION("IFERROR(TRANSPOSE(FILTER('Peer-Review'!$J$2:$J$568,(TRIM('Peer-Review'!$B$2:$B$568)=C35 )+ (TRIM('Peer-Review'!$F$2:$F$568)=C35))),""No Reviews"")"),"21f1005006@ds.study.iitm.ac.in")</f>
        <v>21f1005006@ds.study.iitm.ac.in</v>
      </c>
      <c r="I35" s="3" t="str">
        <f>IFERROR(__xludf.DUMMYFUNCTION("""COMPUTED_VALUE"""),"21f3002925@ds.study.iitm.ac.in")</f>
        <v>21f3002925@ds.study.iitm.ac.in</v>
      </c>
      <c r="J35" s="3">
        <f>IF(D35="No R1",0,VLOOKUP(C35,'Peer-Review'!B:D,2,0))</f>
        <v>10</v>
      </c>
      <c r="K35" s="3">
        <f>IF(D35="No R1",0,VLOOKUP(C35,'Peer-Review'!B:D,3,0))</f>
        <v>10</v>
      </c>
      <c r="L35" s="3">
        <f>IF(E35="No R2",0,VLOOKUP(C35,'Peer-Review'!F:H,2,0))</f>
        <v>0</v>
      </c>
      <c r="M35" s="3">
        <f>IF(E35="No R2",0,VLOOKUP(C35,'Peer-Review'!F:H,3,0))</f>
        <v>0</v>
      </c>
    </row>
    <row r="36" hidden="1">
      <c r="A36" s="3" t="str">
        <f>IFERROR(__xludf.DUMMYFUNCTION("""COMPUTED_VALUE"""),"21f1005006@ds.study.iitm.ac.in")</f>
        <v>21f1005006@ds.study.iitm.ac.in</v>
      </c>
      <c r="B36" s="3">
        <f>IFERROR(__xludf.DUMMYFUNCTION("""COMPUTED_VALUE"""),13.0)</f>
        <v>13</v>
      </c>
      <c r="C36" s="5" t="str">
        <f>IFERROR(__xludf.DUMMYFUNCTION("""COMPUTED_VALUE"""),"https://github.com/subhash2IIT/tds-project1-scrapping/")</f>
        <v>https://github.com/subhash2IIT/tds-project1-scrapping/</v>
      </c>
      <c r="D36" s="3" t="str">
        <f>IFERROR(VLOOKUP(C36,'Peer-Review'!B:J,9,0),"No R1")</f>
        <v>21f1006031@ds.study.iitm.ac.in</v>
      </c>
      <c r="E36" s="3" t="str">
        <f>IFERROR(VLOOKUP(C36,'Peer-Review'!F:J,5,0),"No R2")</f>
        <v>No R2</v>
      </c>
      <c r="F36" s="3">
        <f>COUNTIF('Peer-Review'!B:B,C36)+COUNTIF('Peer-Review'!F:F,C36)</f>
        <v>1</v>
      </c>
      <c r="G36" s="3">
        <f t="shared" si="1"/>
        <v>1</v>
      </c>
      <c r="H36" s="3" t="str">
        <f>IFERROR(__xludf.DUMMYFUNCTION("IFERROR(TRANSPOSE(FILTER('Peer-Review'!$J$2:$J$568,(TRIM('Peer-Review'!$B$2:$B$568)=C36 )+ (TRIM('Peer-Review'!$F$2:$F$568)=C36))),""No Reviews"")"),"21f1006031@ds.study.iitm.ac.in")</f>
        <v>21f1006031@ds.study.iitm.ac.in</v>
      </c>
      <c r="J36" s="3">
        <f>IF(D36="No R1",0,VLOOKUP(C36,'Peer-Review'!B:D,2,0))</f>
        <v>9</v>
      </c>
      <c r="K36" s="3">
        <f>IF(D36="No R1",0,VLOOKUP(C36,'Peer-Review'!B:D,3,0))</f>
        <v>10</v>
      </c>
      <c r="L36" s="3">
        <f>IF(E36="No R2",0,VLOOKUP(C36,'Peer-Review'!F:H,2,0))</f>
        <v>0</v>
      </c>
      <c r="M36" s="3">
        <f>IF(E36="No R2",0,VLOOKUP(C36,'Peer-Review'!F:H,3,0))</f>
        <v>0</v>
      </c>
    </row>
    <row r="37" hidden="1">
      <c r="A37" s="3" t="str">
        <f>IFERROR(__xludf.DUMMYFUNCTION("""COMPUTED_VALUE"""),"21f1005280@ds.study.iitm.ac.in")</f>
        <v>21f1005280@ds.study.iitm.ac.in</v>
      </c>
      <c r="B37" s="3">
        <f>IFERROR(__xludf.DUMMYFUNCTION("""COMPUTED_VALUE"""),14.0)</f>
        <v>14</v>
      </c>
      <c r="C37" s="5" t="str">
        <f>IFERROR(__xludf.DUMMYFUNCTION("""COMPUTED_VALUE"""),"https://github.com/tuxdna/tds-project1")</f>
        <v>https://github.com/tuxdna/tds-project1</v>
      </c>
      <c r="D37" s="3" t="str">
        <f>IFERROR(VLOOKUP(C37,'Peer-Review'!B:J,9,0),"No R1")</f>
        <v>22f3002354@ds.study.iitm.ac.in</v>
      </c>
      <c r="E37" s="3" t="str">
        <f>IFERROR(VLOOKUP(C37,'Peer-Review'!F:J,5,0),"No R2")</f>
        <v>21f1006244@ds.study.iitm.ac.in</v>
      </c>
      <c r="F37" s="3">
        <f>COUNTIF('Peer-Review'!B:B,C37)+COUNTIF('Peer-Review'!F:F,C37)</f>
        <v>2</v>
      </c>
      <c r="G37" s="3">
        <f t="shared" si="1"/>
        <v>2</v>
      </c>
      <c r="H37" s="3" t="str">
        <f>IFERROR(__xludf.DUMMYFUNCTION("IFERROR(TRANSPOSE(FILTER('Peer-Review'!$J$2:$J$568,(TRIM('Peer-Review'!$B$2:$B$568)=C37 )+ (TRIM('Peer-Review'!$F$2:$F$568)=C37))),""No Reviews"")"),"21f1006244@ds.study.iitm.ac.in")</f>
        <v>21f1006244@ds.study.iitm.ac.in</v>
      </c>
      <c r="I37" s="3" t="str">
        <f>IFERROR(__xludf.DUMMYFUNCTION("""COMPUTED_VALUE"""),"22f3002354@ds.study.iitm.ac.in")</f>
        <v>22f3002354@ds.study.iitm.ac.in</v>
      </c>
      <c r="J37" s="3">
        <f>IF(D37="No R1",0,VLOOKUP(C37,'Peer-Review'!B:D,2,0))</f>
        <v>8</v>
      </c>
      <c r="K37" s="3">
        <f>IF(D37="No R1",0,VLOOKUP(C37,'Peer-Review'!B:D,3,0))</f>
        <v>7</v>
      </c>
      <c r="L37" s="3">
        <f>IF(E37="No R2",0,VLOOKUP(C37,'Peer-Review'!F:H,2,0))</f>
        <v>8</v>
      </c>
      <c r="M37" s="3">
        <f>IF(E37="No R2",0,VLOOKUP(C37,'Peer-Review'!F:H,3,0))</f>
        <v>8</v>
      </c>
    </row>
    <row r="38" hidden="1">
      <c r="A38" s="3" t="str">
        <f>IFERROR(__xludf.DUMMYFUNCTION("""COMPUTED_VALUE"""),"21f1005443@ds.study.iitm.ac.in")</f>
        <v>21f1005443@ds.study.iitm.ac.in</v>
      </c>
      <c r="B38" s="3">
        <f>IFERROR(__xludf.DUMMYFUNCTION("""COMPUTED_VALUE"""),5.0)</f>
        <v>5</v>
      </c>
      <c r="C38" s="5" t="str">
        <f>IFERROR(__xludf.DUMMYFUNCTION("""COMPUTED_VALUE"""),"https://github.com/AMOL-023/main")</f>
        <v>https://github.com/AMOL-023/main</v>
      </c>
      <c r="D38" s="3" t="str">
        <f>IFERROR(VLOOKUP(C38,'Peer-Review'!B:J,9,0),"No R1")</f>
        <v>22f2000245@ds.study.iitm.ac.in</v>
      </c>
      <c r="E38" s="3" t="str">
        <f>IFERROR(VLOOKUP(C38,'Peer-Review'!F:J,5,0),"No R2")</f>
        <v>No R2</v>
      </c>
      <c r="F38" s="3">
        <f>COUNTIF('Peer-Review'!B:B,C38)+COUNTIF('Peer-Review'!F:F,C38)</f>
        <v>1</v>
      </c>
      <c r="G38" s="3">
        <f t="shared" si="1"/>
        <v>1</v>
      </c>
      <c r="H38" s="3" t="str">
        <f>IFERROR(__xludf.DUMMYFUNCTION("IFERROR(TRANSPOSE(FILTER('Peer-Review'!$J$2:$J$568,(TRIM('Peer-Review'!$B$2:$B$568)=C38 )+ (TRIM('Peer-Review'!$F$2:$F$568)=C38))),""No Reviews"")"),"22f2000245@ds.study.iitm.ac.in")</f>
        <v>22f2000245@ds.study.iitm.ac.in</v>
      </c>
      <c r="J38" s="3">
        <f>IF(D38="No R1",0,VLOOKUP(C38,'Peer-Review'!B:D,2,0))</f>
        <v>9</v>
      </c>
      <c r="K38" s="3">
        <f>IF(D38="No R1",0,VLOOKUP(C38,'Peer-Review'!B:D,3,0))</f>
        <v>0</v>
      </c>
      <c r="L38" s="3">
        <f>IF(E38="No R2",0,VLOOKUP(C38,'Peer-Review'!F:H,2,0))</f>
        <v>0</v>
      </c>
      <c r="M38" s="3">
        <f>IF(E38="No R2",0,VLOOKUP(C38,'Peer-Review'!F:H,3,0))</f>
        <v>0</v>
      </c>
    </row>
    <row r="39" hidden="1">
      <c r="A39" s="3" t="str">
        <f>IFERROR(__xludf.DUMMYFUNCTION("""COMPUTED_VALUE"""),"21f1005745@ds.study.iitm.ac.in")</f>
        <v>21f1005745@ds.study.iitm.ac.in</v>
      </c>
      <c r="B39" s="3">
        <f>IFERROR(__xludf.DUMMYFUNCTION("""COMPUTED_VALUE"""),17.0)</f>
        <v>17</v>
      </c>
      <c r="C39" s="5" t="str">
        <f>IFERROR(__xludf.DUMMYFUNCTION("""COMPUTED_VALUE"""),"https://github.com/jhaaj08/TDS_project1")</f>
        <v>https://github.com/jhaaj08/TDS_project1</v>
      </c>
      <c r="D39" s="3" t="str">
        <f>IFERROR(VLOOKUP(C39,'Peer-Review'!B:J,9,0),"No R1")</f>
        <v>No R1</v>
      </c>
      <c r="E39" s="3" t="str">
        <f>IFERROR(VLOOKUP(C39,'Peer-Review'!F:J,5,0),"No R2")</f>
        <v>21f1004246@ds.study.iitm.ac.in</v>
      </c>
      <c r="F39" s="3">
        <f>COUNTIF('Peer-Review'!B:B,C39)+COUNTIF('Peer-Review'!F:F,C39)</f>
        <v>2</v>
      </c>
      <c r="G39" s="3">
        <f t="shared" si="1"/>
        <v>1</v>
      </c>
      <c r="H39" s="3" t="str">
        <f>IFERROR(__xludf.DUMMYFUNCTION("IFERROR(TRANSPOSE(FILTER('Peer-Review'!$J$2:$J$568,(TRIM('Peer-Review'!$B$2:$B$568)=C39 )+ (TRIM('Peer-Review'!$F$2:$F$568)=C39))),""No Reviews"")"),"21f1004246@ds.study.iitm.ac.in")</f>
        <v>21f1004246@ds.study.iitm.ac.in</v>
      </c>
      <c r="I39" s="3" t="str">
        <f>IFERROR(__xludf.DUMMYFUNCTION("""COMPUTED_VALUE"""),"21f2000237@ds.study.iitm.ac.in")</f>
        <v>21f2000237@ds.study.iitm.ac.in</v>
      </c>
      <c r="J39" s="3">
        <f>IF(D39="No R1",0,VLOOKUP(C39,'Peer-Review'!B:D,2,0))</f>
        <v>0</v>
      </c>
      <c r="K39" s="3">
        <f>IF(D39="No R1",0,VLOOKUP(C39,'Peer-Review'!B:D,3,0))</f>
        <v>0</v>
      </c>
      <c r="L39" s="3">
        <f>IF(E39="No R2",0,VLOOKUP(C39,'Peer-Review'!F:H,2,0))</f>
        <v>10</v>
      </c>
      <c r="M39" s="3">
        <f>IF(E39="No R2",0,VLOOKUP(C39,'Peer-Review'!F:H,3,0))</f>
        <v>10</v>
      </c>
    </row>
    <row r="40" hidden="1">
      <c r="A40" s="3" t="str">
        <f>IFERROR(__xludf.DUMMYFUNCTION("""COMPUTED_VALUE"""),"21f1005773@ds.study.iitm.ac.in")</f>
        <v>21f1005773@ds.study.iitm.ac.in</v>
      </c>
      <c r="B40" s="3">
        <f>IFERROR(__xludf.DUMMYFUNCTION("""COMPUTED_VALUE"""),17.0)</f>
        <v>17</v>
      </c>
      <c r="C40" s="5" t="str">
        <f>IFERROR(__xludf.DUMMYFUNCTION("""COMPUTED_VALUE"""),"https://github.com/tejasreematta/TDS-Project-1")</f>
        <v>https://github.com/tejasreematta/TDS-Project-1</v>
      </c>
      <c r="D40" s="3" t="str">
        <f>IFERROR(VLOOKUP(C40,'Peer-Review'!B:J,9,0),"No R1")</f>
        <v>No R1</v>
      </c>
      <c r="E40" s="3" t="str">
        <f>IFERROR(VLOOKUP(C40,'Peer-Review'!F:J,5,0),"No R2")</f>
        <v>21f2000372@ds.study.iitm.ac.in</v>
      </c>
      <c r="F40" s="3">
        <f>COUNTIF('Peer-Review'!B:B,C40)+COUNTIF('Peer-Review'!F:F,C40)</f>
        <v>1</v>
      </c>
      <c r="G40" s="3">
        <f t="shared" si="1"/>
        <v>1</v>
      </c>
      <c r="H40" s="3" t="str">
        <f>IFERROR(__xludf.DUMMYFUNCTION("IFERROR(TRANSPOSE(FILTER('Peer-Review'!$J$2:$J$568,(TRIM('Peer-Review'!$B$2:$B$568)=C40 )+ (TRIM('Peer-Review'!$F$2:$F$568)=C40))),""No Reviews"")"),"21f2000372@ds.study.iitm.ac.in")</f>
        <v>21f2000372@ds.study.iitm.ac.in</v>
      </c>
      <c r="J40" s="3">
        <f>IF(D40="No R1",0,VLOOKUP(C40,'Peer-Review'!B:D,2,0))</f>
        <v>0</v>
      </c>
      <c r="K40" s="3">
        <f>IF(D40="No R1",0,VLOOKUP(C40,'Peer-Review'!B:D,3,0))</f>
        <v>0</v>
      </c>
      <c r="L40" s="3">
        <f>IF(E40="No R2",0,VLOOKUP(C40,'Peer-Review'!F:H,2,0))</f>
        <v>10</v>
      </c>
      <c r="M40" s="3">
        <f>IF(E40="No R2",0,VLOOKUP(C40,'Peer-Review'!F:H,3,0))</f>
        <v>10</v>
      </c>
    </row>
    <row r="41" hidden="1">
      <c r="A41" s="3" t="str">
        <f>IFERROR(__xludf.DUMMYFUNCTION("""COMPUTED_VALUE"""),"21f1006031@ds.study.iitm.ac.in")</f>
        <v>21f1006031@ds.study.iitm.ac.in</v>
      </c>
      <c r="B41" s="3">
        <f>IFERROR(__xludf.DUMMYFUNCTION("""COMPUTED_VALUE"""),13.0)</f>
        <v>13</v>
      </c>
      <c r="C41" s="5" t="str">
        <f>IFERROR(__xludf.DUMMYFUNCTION("""COMPUTED_VALUE"""),"https://github.com/NandhaaKishore-10/TDS-PROJECT-1")</f>
        <v>https://github.com/NandhaaKishore-10/TDS-PROJECT-1</v>
      </c>
      <c r="D41" s="3" t="str">
        <f>IFERROR(VLOOKUP(C41,'Peer-Review'!B:J,9,0),"No R1")</f>
        <v>22f1000259@ds.study.iitm.ac.in</v>
      </c>
      <c r="E41" s="3" t="str">
        <f>IFERROR(VLOOKUP(C41,'Peer-Review'!F:J,5,0),"No R2")</f>
        <v>No R2</v>
      </c>
      <c r="F41" s="3">
        <f>COUNTIF('Peer-Review'!B:B,C41)+COUNTIF('Peer-Review'!F:F,C41)</f>
        <v>2</v>
      </c>
      <c r="G41" s="3">
        <f t="shared" si="1"/>
        <v>1</v>
      </c>
      <c r="H41" s="3" t="str">
        <f>IFERROR(__xludf.DUMMYFUNCTION("IFERROR(TRANSPOSE(FILTER('Peer-Review'!$J$2:$J$568,(TRIM('Peer-Review'!$B$2:$B$568)=C41 )+ (TRIM('Peer-Review'!$F$2:$F$568)=C41))),""No Reviews"")"),"22f1000259@ds.study.iitm.ac.in")</f>
        <v>22f1000259@ds.study.iitm.ac.in</v>
      </c>
      <c r="I41" s="3" t="str">
        <f>IFERROR(__xludf.DUMMYFUNCTION("""COMPUTED_VALUE"""),"21f2000099@ds.study.iitm.ac.in")</f>
        <v>21f2000099@ds.study.iitm.ac.in</v>
      </c>
      <c r="J41" s="3">
        <f>IF(D41="No R1",0,VLOOKUP(C41,'Peer-Review'!B:D,2,0))</f>
        <v>10</v>
      </c>
      <c r="K41" s="3">
        <f>IF(D41="No R1",0,VLOOKUP(C41,'Peer-Review'!B:D,3,0))</f>
        <v>10</v>
      </c>
      <c r="L41" s="3">
        <f>IF(E41="No R2",0,VLOOKUP(C41,'Peer-Review'!F:H,2,0))</f>
        <v>0</v>
      </c>
      <c r="M41" s="3">
        <f>IF(E41="No R2",0,VLOOKUP(C41,'Peer-Review'!F:H,3,0))</f>
        <v>0</v>
      </c>
    </row>
    <row r="42" hidden="1">
      <c r="A42" s="3" t="str">
        <f>IFERROR(__xludf.DUMMYFUNCTION("""COMPUTED_VALUE"""),"21f1006103@ds.study.iitm.ac.in")</f>
        <v>21f1006103@ds.study.iitm.ac.in</v>
      </c>
      <c r="B42" s="3">
        <f>IFERROR(__xludf.DUMMYFUNCTION("""COMPUTED_VALUE"""),15.0)</f>
        <v>15</v>
      </c>
      <c r="C42" s="5" t="str">
        <f>IFERROR(__xludf.DUMMYFUNCTION("""COMPUTED_VALUE"""),"https://github.com/21f1006103/tds-1")</f>
        <v>https://github.com/21f1006103/tds-1</v>
      </c>
      <c r="D42" s="3" t="str">
        <f>IFERROR(VLOOKUP(C42,'Peer-Review'!B:J,9,0),"No R1")</f>
        <v>21f1006961@ds.study.iitm.ac.in</v>
      </c>
      <c r="E42" s="3" t="str">
        <f>IFERROR(VLOOKUP(C42,'Peer-Review'!F:J,5,0),"No R2")</f>
        <v>No R2</v>
      </c>
      <c r="F42" s="3">
        <f>COUNTIF('Peer-Review'!B:B,C42)+COUNTIF('Peer-Review'!F:F,C42)</f>
        <v>2</v>
      </c>
      <c r="G42" s="3">
        <f t="shared" si="1"/>
        <v>1</v>
      </c>
      <c r="H42" s="3" t="str">
        <f>IFERROR(__xludf.DUMMYFUNCTION("IFERROR(TRANSPOSE(FILTER('Peer-Review'!$J$2:$J$568,(TRIM('Peer-Review'!$B$2:$B$568)=C42 )+ (TRIM('Peer-Review'!$F$2:$F$568)=C42))),""No Reviews"")"),"21f1006961@ds.study.iitm.ac.in")</f>
        <v>21f1006961@ds.study.iitm.ac.in</v>
      </c>
      <c r="I42" s="3" t="str">
        <f>IFERROR(__xludf.DUMMYFUNCTION("""COMPUTED_VALUE"""),"23f2000887@ds.study.iitm.ac.in")</f>
        <v>23f2000887@ds.study.iitm.ac.in</v>
      </c>
      <c r="J42" s="3">
        <f>IF(D42="No R1",0,VLOOKUP(C42,'Peer-Review'!B:D,2,0))</f>
        <v>0</v>
      </c>
      <c r="K42" s="3">
        <f>IF(D42="No R1",0,VLOOKUP(C42,'Peer-Review'!B:D,3,0))</f>
        <v>0</v>
      </c>
      <c r="L42" s="3">
        <f>IF(E42="No R2",0,VLOOKUP(C42,'Peer-Review'!F:H,2,0))</f>
        <v>0</v>
      </c>
      <c r="M42" s="3">
        <f>IF(E42="No R2",0,VLOOKUP(C42,'Peer-Review'!F:H,3,0))</f>
        <v>0</v>
      </c>
    </row>
    <row r="43" hidden="1">
      <c r="A43" s="3" t="str">
        <f>IFERROR(__xludf.DUMMYFUNCTION("""COMPUTED_VALUE"""),"21f1006221@ds.study.iitm.ac.in")</f>
        <v>21f1006221@ds.study.iitm.ac.in</v>
      </c>
      <c r="B43" s="3">
        <f>IFERROR(__xludf.DUMMYFUNCTION("""COMPUTED_VALUE"""),17.0)</f>
        <v>17</v>
      </c>
      <c r="C43" s="5" t="str">
        <f>IFERROR(__xludf.DUMMYFUNCTION("""COMPUTED_VALUE"""),"https://github.com/arya-v-iitm/TDS-Project1")</f>
        <v>https://github.com/arya-v-iitm/TDS-Project1</v>
      </c>
      <c r="D43" s="3" t="str">
        <f>IFERROR(VLOOKUP(C43,'Peer-Review'!B:J,9,0),"No R1")</f>
        <v>No R1</v>
      </c>
      <c r="E43" s="3" t="str">
        <f>IFERROR(VLOOKUP(C43,'Peer-Review'!F:J,5,0),"No R2")</f>
        <v>21f1005773@ds.study.iitm.ac.in</v>
      </c>
      <c r="F43" s="3">
        <f>COUNTIF('Peer-Review'!B:B,C43)+COUNTIF('Peer-Review'!F:F,C43)</f>
        <v>2</v>
      </c>
      <c r="G43" s="3">
        <f t="shared" si="1"/>
        <v>1</v>
      </c>
      <c r="H43" s="3" t="str">
        <f>IFERROR(__xludf.DUMMYFUNCTION("IFERROR(TRANSPOSE(FILTER('Peer-Review'!$J$2:$J$568,(TRIM('Peer-Review'!$B$2:$B$568)=C43 )+ (TRIM('Peer-Review'!$F$2:$F$568)=C43))),""No Reviews"")"),"21f1005773@ds.study.iitm.ac.in")</f>
        <v>21f1005773@ds.study.iitm.ac.in</v>
      </c>
      <c r="I43" s="3" t="str">
        <f>IFERROR(__xludf.DUMMYFUNCTION("""COMPUTED_VALUE"""),"21f3000168@ds.study.iitm.ac.in")</f>
        <v>21f3000168@ds.study.iitm.ac.in</v>
      </c>
      <c r="J43" s="3">
        <f>IF(D43="No R1",0,VLOOKUP(C43,'Peer-Review'!B:D,2,0))</f>
        <v>0</v>
      </c>
      <c r="K43" s="3">
        <f>IF(D43="No R1",0,VLOOKUP(C43,'Peer-Review'!B:D,3,0))</f>
        <v>0</v>
      </c>
      <c r="L43" s="3">
        <f>IF(E43="No R2",0,VLOOKUP(C43,'Peer-Review'!F:H,2,0))</f>
        <v>10</v>
      </c>
      <c r="M43" s="3">
        <f>IF(E43="No R2",0,VLOOKUP(C43,'Peer-Review'!F:H,3,0))</f>
        <v>0</v>
      </c>
    </row>
    <row r="44" hidden="1">
      <c r="A44" s="3" t="str">
        <f>IFERROR(__xludf.DUMMYFUNCTION("""COMPUTED_VALUE"""),"21f1006244@ds.study.iitm.ac.in")</f>
        <v>21f1006244@ds.study.iitm.ac.in</v>
      </c>
      <c r="B44" s="3">
        <f>IFERROR(__xludf.DUMMYFUNCTION("""COMPUTED_VALUE"""),14.0)</f>
        <v>14</v>
      </c>
      <c r="C44" s="5" t="str">
        <f>IFERROR(__xludf.DUMMYFUNCTION("""COMPUTED_VALUE"""),"https://github.com/iitmanshi/tdsp1")</f>
        <v>https://github.com/iitmanshi/tdsp1</v>
      </c>
      <c r="D44" s="3" t="str">
        <f>IFERROR(VLOOKUP(C44,'Peer-Review'!B:J,9,0),"No R1")</f>
        <v>21f1006883@ds.study.iitm.ac.in</v>
      </c>
      <c r="E44" s="3" t="str">
        <f>IFERROR(VLOOKUP(C44,'Peer-Review'!F:J,5,0),"No R2")</f>
        <v>No R2</v>
      </c>
      <c r="F44" s="3">
        <f>COUNTIF('Peer-Review'!B:B,C44)+COUNTIF('Peer-Review'!F:F,C44)</f>
        <v>2</v>
      </c>
      <c r="G44" s="3">
        <f t="shared" si="1"/>
        <v>1</v>
      </c>
      <c r="H44" s="3" t="str">
        <f>IFERROR(__xludf.DUMMYFUNCTION("IFERROR(TRANSPOSE(FILTER('Peer-Review'!$J$2:$J$568,(TRIM('Peer-Review'!$B$2:$B$568)=C44 )+ (TRIM('Peer-Review'!$F$2:$F$568)=C44))),""No Reviews"")"),"21f1006883@ds.study.iitm.ac.in")</f>
        <v>21f1006883@ds.study.iitm.ac.in</v>
      </c>
      <c r="I44" s="3" t="str">
        <f>IFERROR(__xludf.DUMMYFUNCTION("""COMPUTED_VALUE"""),"22f3002533@ds.study.iitm.ac.in")</f>
        <v>22f3002533@ds.study.iitm.ac.in</v>
      </c>
      <c r="J44" s="3">
        <f>IF(D44="No R1",0,VLOOKUP(C44,'Peer-Review'!B:D,2,0))</f>
        <v>4</v>
      </c>
      <c r="K44" s="3">
        <f>IF(D44="No R1",0,VLOOKUP(C44,'Peer-Review'!B:D,3,0))</f>
        <v>6</v>
      </c>
      <c r="L44" s="3">
        <f>IF(E44="No R2",0,VLOOKUP(C44,'Peer-Review'!F:H,2,0))</f>
        <v>0</v>
      </c>
      <c r="M44" s="3">
        <f>IF(E44="No R2",0,VLOOKUP(C44,'Peer-Review'!F:H,3,0))</f>
        <v>0</v>
      </c>
    </row>
    <row r="45" hidden="1">
      <c r="A45" s="3" t="str">
        <f>IFERROR(__xludf.DUMMYFUNCTION("""COMPUTED_VALUE"""),"21f1006302@ds.study.iitm.ac.in")</f>
        <v>21f1006302@ds.study.iitm.ac.in</v>
      </c>
      <c r="B45" s="3">
        <f>IFERROR(__xludf.DUMMYFUNCTION("""COMPUTED_VALUE"""),9.0)</f>
        <v>9</v>
      </c>
      <c r="C45" s="5" t="str">
        <f>IFERROR(__xludf.DUMMYFUNCTION("""COMPUTED_VALUE"""),"https://github.com/Gunjan-gif/tds_p1")</f>
        <v>https://github.com/Gunjan-gif/tds_p1</v>
      </c>
      <c r="D45" s="3" t="str">
        <f>IFERROR(VLOOKUP(C45,'Peer-Review'!B:J,9,0),"No R1")</f>
        <v>22f1001630@ds.study.iitm.ac.in</v>
      </c>
      <c r="E45" s="3" t="str">
        <f>IFERROR(VLOOKUP(C45,'Peer-Review'!F:J,5,0),"No R2")</f>
        <v>No R2</v>
      </c>
      <c r="F45" s="3">
        <f>COUNTIF('Peer-Review'!B:B,C45)+COUNTIF('Peer-Review'!F:F,C45)</f>
        <v>1</v>
      </c>
      <c r="G45" s="3">
        <f t="shared" si="1"/>
        <v>1</v>
      </c>
      <c r="H45" s="3" t="str">
        <f>IFERROR(__xludf.DUMMYFUNCTION("IFERROR(TRANSPOSE(FILTER('Peer-Review'!$J$2:$J$568,(TRIM('Peer-Review'!$B$2:$B$568)=C45 )+ (TRIM('Peer-Review'!$F$2:$F$568)=C45))),""No Reviews"")"),"22f1001630@ds.study.iitm.ac.in")</f>
        <v>22f1001630@ds.study.iitm.ac.in</v>
      </c>
      <c r="J45" s="3">
        <f>IF(D45="No R1",0,VLOOKUP(C45,'Peer-Review'!B:D,2,0))</f>
        <v>1</v>
      </c>
      <c r="K45" s="3">
        <f>IF(D45="No R1",0,VLOOKUP(C45,'Peer-Review'!B:D,3,0))</f>
        <v>1</v>
      </c>
      <c r="L45" s="3">
        <f>IF(E45="No R2",0,VLOOKUP(C45,'Peer-Review'!F:H,2,0))</f>
        <v>0</v>
      </c>
      <c r="M45" s="3">
        <f>IF(E45="No R2",0,VLOOKUP(C45,'Peer-Review'!F:H,3,0))</f>
        <v>0</v>
      </c>
    </row>
    <row r="46" hidden="1">
      <c r="A46" s="3" t="str">
        <f>IFERROR(__xludf.DUMMYFUNCTION("""COMPUTED_VALUE"""),"21f1006373@ds.study.iitm.ac.in")</f>
        <v>21f1006373@ds.study.iitm.ac.in</v>
      </c>
      <c r="B46" s="3">
        <f>IFERROR(__xludf.DUMMYFUNCTION("""COMPUTED_VALUE"""),17.0)</f>
        <v>17</v>
      </c>
      <c r="C46" s="5" t="str">
        <f>IFERROR(__xludf.DUMMYFUNCTION("""COMPUTED_VALUE"""),"https://github.com/Jahnavi530/TDS-Project-1")</f>
        <v>https://github.com/Jahnavi530/TDS-Project-1</v>
      </c>
      <c r="D46" s="3" t="str">
        <f>IFERROR(VLOOKUP(C46,'Peer-Review'!B:J,9,0),"No R1")</f>
        <v>No R1</v>
      </c>
      <c r="E46" s="3" t="str">
        <f>IFERROR(VLOOKUP(C46,'Peer-Review'!F:J,5,0),"No R2")</f>
        <v>21f3000585@ds.study.iitm.ac.in</v>
      </c>
      <c r="F46" s="3">
        <f>COUNTIF('Peer-Review'!B:B,C46)+COUNTIF('Peer-Review'!F:F,C46)</f>
        <v>1</v>
      </c>
      <c r="G46" s="3">
        <f t="shared" si="1"/>
        <v>1</v>
      </c>
      <c r="H46" s="3" t="str">
        <f>IFERROR(__xludf.DUMMYFUNCTION("IFERROR(TRANSPOSE(FILTER('Peer-Review'!$J$2:$J$568,(TRIM('Peer-Review'!$B$2:$B$568)=C46 )+ (TRIM('Peer-Review'!$F$2:$F$568)=C46))),""No Reviews"")"),"21f3000585@ds.study.iitm.ac.in")</f>
        <v>21f3000585@ds.study.iitm.ac.in</v>
      </c>
      <c r="J46" s="3">
        <f>IF(D46="No R1",0,VLOOKUP(C46,'Peer-Review'!B:D,2,0))</f>
        <v>0</v>
      </c>
      <c r="K46" s="3">
        <f>IF(D46="No R1",0,VLOOKUP(C46,'Peer-Review'!B:D,3,0))</f>
        <v>0</v>
      </c>
      <c r="L46" s="3">
        <f>IF(E46="No R2",0,VLOOKUP(C46,'Peer-Review'!F:H,2,0))</f>
        <v>10</v>
      </c>
      <c r="M46" s="3">
        <f>IF(E46="No R2",0,VLOOKUP(C46,'Peer-Review'!F:H,3,0))</f>
        <v>10</v>
      </c>
    </row>
    <row r="47" hidden="1">
      <c r="A47" s="3" t="str">
        <f>IFERROR(__xludf.DUMMYFUNCTION("""COMPUTED_VALUE"""),"21f1006403@ds.study.iitm.ac.in")</f>
        <v>21f1006403@ds.study.iitm.ac.in</v>
      </c>
      <c r="B47" s="3">
        <f>IFERROR(__xludf.DUMMYFUNCTION("""COMPUTED_VALUE"""),17.0)</f>
        <v>17</v>
      </c>
      <c r="C47" s="5" t="str">
        <f>IFERROR(__xludf.DUMMYFUNCTION("""COMPUTED_VALUE"""),"https://github.com/srijan789/tdsproj1")</f>
        <v>https://github.com/srijan789/tdsproj1</v>
      </c>
      <c r="D47" s="3" t="str">
        <f>IFERROR(VLOOKUP(C47,'Peer-Review'!B:J,9,0),"No R1")</f>
        <v>No R1</v>
      </c>
      <c r="E47" s="3" t="str">
        <f>IFERROR(VLOOKUP(C47,'Peer-Review'!F:J,5,0),"No R2")</f>
        <v>21f1006373@ds.study.iitm.ac.in</v>
      </c>
      <c r="F47" s="3">
        <f>COUNTIF('Peer-Review'!B:B,C47)+COUNTIF('Peer-Review'!F:F,C47)</f>
        <v>1</v>
      </c>
      <c r="G47" s="3">
        <f t="shared" si="1"/>
        <v>1</v>
      </c>
      <c r="H47" s="3" t="str">
        <f>IFERROR(__xludf.DUMMYFUNCTION("IFERROR(TRANSPOSE(FILTER('Peer-Review'!$J$2:$J$568,(TRIM('Peer-Review'!$B$2:$B$568)=C47 )+ (TRIM('Peer-Review'!$F$2:$F$568)=C47))),""No Reviews"")"),"21f1006373@ds.study.iitm.ac.in")</f>
        <v>21f1006373@ds.study.iitm.ac.in</v>
      </c>
      <c r="J47" s="3">
        <f>IF(D47="No R1",0,VLOOKUP(C47,'Peer-Review'!B:D,2,0))</f>
        <v>0</v>
      </c>
      <c r="K47" s="3">
        <f>IF(D47="No R1",0,VLOOKUP(C47,'Peer-Review'!B:D,3,0))</f>
        <v>0</v>
      </c>
      <c r="L47" s="3">
        <f>IF(E47="No R2",0,VLOOKUP(C47,'Peer-Review'!F:H,2,0))</f>
        <v>8</v>
      </c>
      <c r="M47" s="3">
        <f>IF(E47="No R2",0,VLOOKUP(C47,'Peer-Review'!F:H,3,0))</f>
        <v>10</v>
      </c>
    </row>
    <row r="48">
      <c r="A48" s="3" t="str">
        <f>IFERROR(__xludf.DUMMYFUNCTION("""COMPUTED_VALUE"""),"21f1006463@ds.study.iitm.ac.in")</f>
        <v>21f1006463@ds.study.iitm.ac.in</v>
      </c>
      <c r="B48" s="3">
        <f>IFERROR(__xludf.DUMMYFUNCTION("""COMPUTED_VALUE"""),0.0)</f>
        <v>0</v>
      </c>
      <c r="C48" s="3"/>
      <c r="D48" s="3" t="str">
        <f>IFERROR(VLOOKUP(C48,'Peer-Review'!B:J,9,0),"No R1")</f>
        <v>No R1</v>
      </c>
      <c r="E48" s="3" t="str">
        <f>IFERROR(VLOOKUP(C48,'Peer-Review'!F:J,5,0),"No R2")</f>
        <v>No R2</v>
      </c>
      <c r="F48" s="3">
        <f>COUNTIF('Peer-Review'!B:B,C48)+COUNTIF('Peer-Review'!F:F,C48)</f>
        <v>0</v>
      </c>
      <c r="G48" s="3">
        <f t="shared" si="1"/>
        <v>0</v>
      </c>
      <c r="H48" s="3" t="str">
        <f>IFERROR(__xludf.DUMMYFUNCTION("IFERROR(TRANSPOSE(FILTER('Peer-Review'!$J$2:$J$568,(TRIM('Peer-Review'!$B$2:$B$568)=C48 )+ (TRIM('Peer-Review'!$F$2:$F$568)=C48))),""No Reviews"")"),"No Reviews")</f>
        <v>No Reviews</v>
      </c>
      <c r="J48" s="3">
        <f>IF(D48="No R1",0,VLOOKUP(C48,'Peer-Review'!B:D,2,0))</f>
        <v>0</v>
      </c>
      <c r="K48" s="3">
        <f>IF(D48="No R1",0,VLOOKUP(C48,'Peer-Review'!B:D,3,0))</f>
        <v>0</v>
      </c>
      <c r="L48" s="3">
        <f>IF(E48="No R2",0,VLOOKUP(C48,'Peer-Review'!F:H,2,0))</f>
        <v>0</v>
      </c>
      <c r="M48" s="3">
        <f>IF(E48="No R2",0,VLOOKUP(C48,'Peer-Review'!F:H,3,0))</f>
        <v>0</v>
      </c>
    </row>
    <row r="49" hidden="1">
      <c r="A49" s="3" t="str">
        <f>IFERROR(__xludf.DUMMYFUNCTION("""COMPUTED_VALUE"""),"21f1006883@ds.study.iitm.ac.in")</f>
        <v>21f1006883@ds.study.iitm.ac.in</v>
      </c>
      <c r="B49" s="3">
        <f>IFERROR(__xludf.DUMMYFUNCTION("""COMPUTED_VALUE"""),14.0)</f>
        <v>14</v>
      </c>
      <c r="C49" s="5" t="str">
        <f>IFERROR(__xludf.DUMMYFUNCTION("""COMPUTED_VALUE"""),"https://github.com/shobhit8948/TDA-Project1")</f>
        <v>https://github.com/shobhit8948/TDA-Project1</v>
      </c>
      <c r="D49" s="3" t="str">
        <f>IFERROR(VLOOKUP(C49,'Peer-Review'!B:J,9,0),"No R1")</f>
        <v>21f2000584@ds.study.iitm.ac.in</v>
      </c>
      <c r="E49" s="3" t="str">
        <f>IFERROR(VLOOKUP(C49,'Peer-Review'!F:J,5,0),"No R2")</f>
        <v>No R2</v>
      </c>
      <c r="F49" s="3">
        <f>COUNTIF('Peer-Review'!B:B,C49)+COUNTIF('Peer-Review'!F:F,C49)</f>
        <v>1</v>
      </c>
      <c r="G49" s="3">
        <f t="shared" si="1"/>
        <v>1</v>
      </c>
      <c r="H49" s="3" t="str">
        <f>IFERROR(__xludf.DUMMYFUNCTION("IFERROR(TRANSPOSE(FILTER('Peer-Review'!$J$2:$J$568,(TRIM('Peer-Review'!$B$2:$B$568)=C49 )+ (TRIM('Peer-Review'!$F$2:$F$568)=C49))),""No Reviews"")"),"21f2000584@ds.study.iitm.ac.in")</f>
        <v>21f2000584@ds.study.iitm.ac.in</v>
      </c>
      <c r="J49" s="3">
        <f>IF(D49="No R1",0,VLOOKUP(C49,'Peer-Review'!B:D,2,0))</f>
        <v>9</v>
      </c>
      <c r="K49" s="3">
        <f>IF(D49="No R1",0,VLOOKUP(C49,'Peer-Review'!B:D,3,0))</f>
        <v>10</v>
      </c>
      <c r="L49" s="3">
        <f>IF(E49="No R2",0,VLOOKUP(C49,'Peer-Review'!F:H,2,0))</f>
        <v>0</v>
      </c>
      <c r="M49" s="3">
        <f>IF(E49="No R2",0,VLOOKUP(C49,'Peer-Review'!F:H,3,0))</f>
        <v>0</v>
      </c>
    </row>
    <row r="50" hidden="1">
      <c r="A50" s="3" t="str">
        <f>IFERROR(__xludf.DUMMYFUNCTION("""COMPUTED_VALUE"""),"21f1006953@ds.study.iitm.ac.in")</f>
        <v>21f1006953@ds.study.iitm.ac.in</v>
      </c>
      <c r="B50" s="3">
        <f>IFERROR(__xludf.DUMMYFUNCTION("""COMPUTED_VALUE"""),17.0)</f>
        <v>17</v>
      </c>
      <c r="C50" s="5" t="str">
        <f>IFERROR(__xludf.DUMMYFUNCTION("""COMPUTED_VALUE"""),"https://github.com/aksarwar/tds-project")</f>
        <v>https://github.com/aksarwar/tds-project</v>
      </c>
      <c r="D50" s="3" t="str">
        <f>IFERROR(VLOOKUP(C50,'Peer-Review'!B:J,9,0),"No R1")</f>
        <v>No R1</v>
      </c>
      <c r="E50" s="3" t="str">
        <f>IFERROR(VLOOKUP(C50,'Peer-Review'!F:J,5,0),"No R2")</f>
        <v>No R2</v>
      </c>
      <c r="F50" s="3">
        <f>COUNTIF('Peer-Review'!B:B,C50)+COUNTIF('Peer-Review'!F:F,C50)</f>
        <v>0</v>
      </c>
      <c r="G50" s="3">
        <f t="shared" si="1"/>
        <v>0</v>
      </c>
      <c r="H50" s="3" t="str">
        <f>IFERROR(__xludf.DUMMYFUNCTION("IFERROR(TRANSPOSE(FILTER('Peer-Review'!$J$2:$J$568,(TRIM('Peer-Review'!$B$2:$B$568)=C50 )+ (TRIM('Peer-Review'!$F$2:$F$568)=C50))),""No Reviews"")"),"No Reviews")</f>
        <v>No Reviews</v>
      </c>
      <c r="J50" s="3">
        <f>IF(D50="No R1",0,VLOOKUP(C50,'Peer-Review'!B:D,2,0))</f>
        <v>0</v>
      </c>
      <c r="K50" s="3">
        <f>IF(D50="No R1",0,VLOOKUP(C50,'Peer-Review'!B:D,3,0))</f>
        <v>0</v>
      </c>
      <c r="L50" s="3">
        <f>IF(E50="No R2",0,VLOOKUP(C50,'Peer-Review'!F:H,2,0))</f>
        <v>0</v>
      </c>
      <c r="M50" s="3">
        <f>IF(E50="No R2",0,VLOOKUP(C50,'Peer-Review'!F:H,3,0))</f>
        <v>0</v>
      </c>
    </row>
    <row r="51" hidden="1">
      <c r="A51" s="3" t="str">
        <f>IFERROR(__xludf.DUMMYFUNCTION("""COMPUTED_VALUE"""),"21f1006954@ds.study.iitm.ac.in")</f>
        <v>21f1006954@ds.study.iitm.ac.in</v>
      </c>
      <c r="B51" s="3">
        <f>IFERROR(__xludf.DUMMYFUNCTION("""COMPUTED_VALUE"""),17.0)</f>
        <v>17</v>
      </c>
      <c r="C51" s="5" t="str">
        <f>IFERROR(__xludf.DUMMYFUNCTION("""COMPUTED_VALUE"""),"https://github.com/Logikos1/iitm-tds-project1-berlin200")</f>
        <v>https://github.com/Logikos1/iitm-tds-project1-berlin200</v>
      </c>
      <c r="D51" s="3" t="str">
        <f>IFERROR(VLOOKUP(C51,'Peer-Review'!B:J,9,0),"No R1")</f>
        <v>No R1</v>
      </c>
      <c r="E51" s="3" t="str">
        <f>IFERROR(VLOOKUP(C51,'Peer-Review'!F:J,5,0),"No R2")</f>
        <v>21f1006953@ds.study.iitm.ac.in</v>
      </c>
      <c r="F51" s="3">
        <f>COUNTIF('Peer-Review'!B:B,C51)+COUNTIF('Peer-Review'!F:F,C51)</f>
        <v>1</v>
      </c>
      <c r="G51" s="3">
        <f t="shared" si="1"/>
        <v>1</v>
      </c>
      <c r="H51" s="3" t="str">
        <f>IFERROR(__xludf.DUMMYFUNCTION("IFERROR(TRANSPOSE(FILTER('Peer-Review'!$J$2:$J$568,(TRIM('Peer-Review'!$B$2:$B$568)=C51 )+ (TRIM('Peer-Review'!$F$2:$F$568)=C51))),""No Reviews"")"),"21f1006953@ds.study.iitm.ac.in")</f>
        <v>21f1006953@ds.study.iitm.ac.in</v>
      </c>
      <c r="J51" s="3">
        <f>IF(D51="No R1",0,VLOOKUP(C51,'Peer-Review'!B:D,2,0))</f>
        <v>0</v>
      </c>
      <c r="K51" s="3">
        <f>IF(D51="No R1",0,VLOOKUP(C51,'Peer-Review'!B:D,3,0))</f>
        <v>0</v>
      </c>
      <c r="L51" s="3">
        <f>IF(E51="No R2",0,VLOOKUP(C51,'Peer-Review'!F:H,2,0))</f>
        <v>10</v>
      </c>
      <c r="M51" s="3">
        <f>IF(E51="No R2",0,VLOOKUP(C51,'Peer-Review'!F:H,3,0))</f>
        <v>10</v>
      </c>
    </row>
    <row r="52" hidden="1">
      <c r="A52" s="3" t="str">
        <f>IFERROR(__xludf.DUMMYFUNCTION("""COMPUTED_VALUE"""),"21f1006961@ds.study.iitm.ac.in")</f>
        <v>21f1006961@ds.study.iitm.ac.in</v>
      </c>
      <c r="B52" s="3">
        <f>IFERROR(__xludf.DUMMYFUNCTION("""COMPUTED_VALUE"""),15.0)</f>
        <v>15</v>
      </c>
      <c r="C52" s="5" t="str">
        <f>IFERROR(__xludf.DUMMYFUNCTION("""COMPUTED_VALUE"""),"https://github.com/k121mayur/TDA_PROJECT_1")</f>
        <v>https://github.com/k121mayur/TDA_PROJECT_1</v>
      </c>
      <c r="D52" s="3" t="str">
        <f>IFERROR(VLOOKUP(C52,'Peer-Review'!B:J,9,0),"No R1")</f>
        <v>23f2001005@ds.study.iitm.ac.in</v>
      </c>
      <c r="E52" s="3" t="str">
        <f>IFERROR(VLOOKUP(C52,'Peer-Review'!F:J,5,0),"No R2")</f>
        <v>No R2</v>
      </c>
      <c r="F52" s="3">
        <f>COUNTIF('Peer-Review'!B:B,C52)+COUNTIF('Peer-Review'!F:F,C52)</f>
        <v>2</v>
      </c>
      <c r="G52" s="3">
        <f t="shared" si="1"/>
        <v>1</v>
      </c>
      <c r="H52" s="3" t="str">
        <f>IFERROR(__xludf.DUMMYFUNCTION("IFERROR(TRANSPOSE(FILTER('Peer-Review'!$J$2:$J$568,(TRIM('Peer-Review'!$B$2:$B$568)=C52 )+ (TRIM('Peer-Review'!$F$2:$F$568)=C52))),""No Reviews"")"),"23f2001005@ds.study.iitm.ac.in")</f>
        <v>23f2001005@ds.study.iitm.ac.in</v>
      </c>
      <c r="I52" s="3" t="str">
        <f>IFERROR(__xludf.DUMMYFUNCTION("""COMPUTED_VALUE"""),"21f3000045@ds.study.iitm.ac.in")</f>
        <v>21f3000045@ds.study.iitm.ac.in</v>
      </c>
      <c r="J52" s="3">
        <f>IF(D52="No R1",0,VLOOKUP(C52,'Peer-Review'!B:D,2,0))</f>
        <v>10</v>
      </c>
      <c r="K52" s="3">
        <f>IF(D52="No R1",0,VLOOKUP(C52,'Peer-Review'!B:D,3,0))</f>
        <v>10</v>
      </c>
      <c r="L52" s="3">
        <f>IF(E52="No R2",0,VLOOKUP(C52,'Peer-Review'!F:H,2,0))</f>
        <v>0</v>
      </c>
      <c r="M52" s="3">
        <f>IF(E52="No R2",0,VLOOKUP(C52,'Peer-Review'!F:H,3,0))</f>
        <v>0</v>
      </c>
    </row>
    <row r="53" hidden="1">
      <c r="A53" s="3" t="str">
        <f>IFERROR(__xludf.DUMMYFUNCTION("""COMPUTED_VALUE"""),"21f1007111@ds.study.iitm.ac.in")</f>
        <v>21f1007111@ds.study.iitm.ac.in</v>
      </c>
      <c r="B53" s="3">
        <f>IFERROR(__xludf.DUMMYFUNCTION("""COMPUTED_VALUE"""),0.0)</f>
        <v>0</v>
      </c>
      <c r="C53" s="5" t="str">
        <f>IFERROR(__xludf.DUMMYFUNCTION("""COMPUTED_VALUE"""),"https://github.com/fazleo/iitm_project")</f>
        <v>https://github.com/fazleo/iitm_project</v>
      </c>
      <c r="D53" s="3" t="str">
        <f>IFERROR(VLOOKUP(C53,'Peer-Review'!B:J,9,0),"No R1")</f>
        <v>No R1</v>
      </c>
      <c r="E53" s="3" t="str">
        <f>IFERROR(VLOOKUP(C53,'Peer-Review'!F:J,5,0),"No R2")</f>
        <v>No R2</v>
      </c>
      <c r="F53" s="3">
        <f>COUNTIF('Peer-Review'!B:B,C53)+COUNTIF('Peer-Review'!F:F,C53)</f>
        <v>0</v>
      </c>
      <c r="G53" s="3">
        <f t="shared" si="1"/>
        <v>0</v>
      </c>
      <c r="H53" s="3" t="str">
        <f>IFERROR(__xludf.DUMMYFUNCTION("IFERROR(TRANSPOSE(FILTER('Peer-Review'!$J$2:$J$568,(TRIM('Peer-Review'!$B$2:$B$568)=C53 )+ (TRIM('Peer-Review'!$F$2:$F$568)=C53))),""No Reviews"")"),"No Reviews")</f>
        <v>No Reviews</v>
      </c>
      <c r="J53" s="3">
        <f>IF(D53="No R1",0,VLOOKUP(C53,'Peer-Review'!B:D,2,0))</f>
        <v>0</v>
      </c>
      <c r="K53" s="3">
        <f>IF(D53="No R1",0,VLOOKUP(C53,'Peer-Review'!B:D,3,0))</f>
        <v>0</v>
      </c>
      <c r="L53" s="3">
        <f>IF(E53="No R2",0,VLOOKUP(C53,'Peer-Review'!F:H,2,0))</f>
        <v>0</v>
      </c>
      <c r="M53" s="3">
        <f>IF(E53="No R2",0,VLOOKUP(C53,'Peer-Review'!F:H,3,0))</f>
        <v>0</v>
      </c>
    </row>
    <row r="54" hidden="1">
      <c r="A54" s="3" t="str">
        <f>IFERROR(__xludf.DUMMYFUNCTION("""COMPUTED_VALUE"""),"21f2000042@ds.study.iitm.ac.in")</f>
        <v>21f2000042@ds.study.iitm.ac.in</v>
      </c>
      <c r="B54" s="3">
        <f>IFERROR(__xludf.DUMMYFUNCTION("""COMPUTED_VALUE"""),17.0)</f>
        <v>17</v>
      </c>
      <c r="C54" s="5" t="str">
        <f>IFERROR(__xludf.DUMMYFUNCTION("""COMPUTED_VALUE"""),"https://github.com/AlgoPenguin/tds-project-1")</f>
        <v>https://github.com/AlgoPenguin/tds-project-1</v>
      </c>
      <c r="D54" s="3" t="str">
        <f>IFERROR(VLOOKUP(C54,'Peer-Review'!B:J,9,0),"No R1")</f>
        <v>No R1</v>
      </c>
      <c r="E54" s="3" t="str">
        <f>IFERROR(VLOOKUP(C54,'Peer-Review'!F:J,5,0),"No R2")</f>
        <v>22f1000155@ds.study.iitm.ac.in</v>
      </c>
      <c r="F54" s="3">
        <f>COUNTIF('Peer-Review'!B:B,C54)+COUNTIF('Peer-Review'!F:F,C54)</f>
        <v>1</v>
      </c>
      <c r="G54" s="3">
        <f t="shared" si="1"/>
        <v>1</v>
      </c>
      <c r="H54" s="3" t="str">
        <f>IFERROR(__xludf.DUMMYFUNCTION("IFERROR(TRANSPOSE(FILTER('Peer-Review'!$J$2:$J$568,(TRIM('Peer-Review'!$B$2:$B$568)=C54 )+ (TRIM('Peer-Review'!$F$2:$F$568)=C54))),""No Reviews"")"),"22f1000155@ds.study.iitm.ac.in")</f>
        <v>22f1000155@ds.study.iitm.ac.in</v>
      </c>
      <c r="J54" s="3">
        <f>IF(D54="No R1",0,VLOOKUP(C54,'Peer-Review'!B:D,2,0))</f>
        <v>0</v>
      </c>
      <c r="K54" s="3">
        <f>IF(D54="No R1",0,VLOOKUP(C54,'Peer-Review'!B:D,3,0))</f>
        <v>0</v>
      </c>
      <c r="L54" s="3">
        <f>IF(E54="No R2",0,VLOOKUP(C54,'Peer-Review'!F:H,2,0))</f>
        <v>6</v>
      </c>
      <c r="M54" s="3">
        <f>IF(E54="No R2",0,VLOOKUP(C54,'Peer-Review'!F:H,3,0))</f>
        <v>7</v>
      </c>
    </row>
    <row r="55" hidden="1">
      <c r="A55" s="3" t="str">
        <f>IFERROR(__xludf.DUMMYFUNCTION("""COMPUTED_VALUE"""),"21f2000047@ds.study.iitm.ac.in")</f>
        <v>21f2000047@ds.study.iitm.ac.in</v>
      </c>
      <c r="B55" s="3">
        <f>IFERROR(__xludf.DUMMYFUNCTION("""COMPUTED_VALUE"""),17.0)</f>
        <v>17</v>
      </c>
      <c r="C55" s="5" t="str">
        <f>IFERROR(__xludf.DUMMYFUNCTION("""COMPUTED_VALUE"""),"https://github.com/pushpa761/TDS-project-1")</f>
        <v>https://github.com/pushpa761/TDS-project-1</v>
      </c>
      <c r="D55" s="3" t="str">
        <f>IFERROR(VLOOKUP(C55,'Peer-Review'!B:J,9,0),"No R1")</f>
        <v>No R1</v>
      </c>
      <c r="E55" s="3" t="str">
        <f>IFERROR(VLOOKUP(C55,'Peer-Review'!F:J,5,0),"No R2")</f>
        <v>21f2000042@ds.study.iitm.ac.in</v>
      </c>
      <c r="F55" s="3">
        <f>COUNTIF('Peer-Review'!B:B,C55)+COUNTIF('Peer-Review'!F:F,C55)</f>
        <v>2</v>
      </c>
      <c r="G55" s="3">
        <f t="shared" si="1"/>
        <v>1</v>
      </c>
      <c r="H55" s="3" t="str">
        <f>IFERROR(__xludf.DUMMYFUNCTION("IFERROR(TRANSPOSE(FILTER('Peer-Review'!$J$2:$J$568,(TRIM('Peer-Review'!$B$2:$B$568)=C55 )+ (TRIM('Peer-Review'!$F$2:$F$568)=C55))),""No Reviews"")"),"21f2000042@ds.study.iitm.ac.in")</f>
        <v>21f2000042@ds.study.iitm.ac.in</v>
      </c>
      <c r="I55" s="3" t="str">
        <f>IFERROR(__xludf.DUMMYFUNCTION("""COMPUTED_VALUE"""),"22f1001203@ds.study.iitm.ac.in")</f>
        <v>22f1001203@ds.study.iitm.ac.in</v>
      </c>
      <c r="J55" s="3">
        <f>IF(D55="No R1",0,VLOOKUP(C55,'Peer-Review'!B:D,2,0))</f>
        <v>0</v>
      </c>
      <c r="K55" s="3">
        <f>IF(D55="No R1",0,VLOOKUP(C55,'Peer-Review'!B:D,3,0))</f>
        <v>0</v>
      </c>
      <c r="L55" s="3">
        <f>IF(E55="No R2",0,VLOOKUP(C55,'Peer-Review'!F:H,2,0))</f>
        <v>10</v>
      </c>
      <c r="M55" s="3">
        <f>IF(E55="No R2",0,VLOOKUP(C55,'Peer-Review'!F:H,3,0))</f>
        <v>10</v>
      </c>
    </row>
    <row r="56" hidden="1">
      <c r="A56" s="3" t="str">
        <f>IFERROR(__xludf.DUMMYFUNCTION("""COMPUTED_VALUE"""),"21f2000099@ds.study.iitm.ac.in")</f>
        <v>21f2000099@ds.study.iitm.ac.in</v>
      </c>
      <c r="B56" s="3">
        <f>IFERROR(__xludf.DUMMYFUNCTION("""COMPUTED_VALUE"""),13.0)</f>
        <v>13</v>
      </c>
      <c r="C56" s="5" t="str">
        <f>IFERROR(__xludf.DUMMYFUNCTION("""COMPUTED_VALUE"""),"https://github.com/Allen-Josu/TDS_Project")</f>
        <v>https://github.com/Allen-Josu/TDS_Project</v>
      </c>
      <c r="D56" s="3" t="str">
        <f>IFERROR(VLOOKUP(C56,'Peer-Review'!B:J,9,0),"No R1")</f>
        <v>22f1000522@ds.study.iitm.ac.in</v>
      </c>
      <c r="E56" s="3" t="str">
        <f>IFERROR(VLOOKUP(C56,'Peer-Review'!F:J,5,0),"No R2")</f>
        <v>No R2</v>
      </c>
      <c r="F56" s="3">
        <f>COUNTIF('Peer-Review'!B:B,C56)+COUNTIF('Peer-Review'!F:F,C56)</f>
        <v>2</v>
      </c>
      <c r="G56" s="3">
        <f t="shared" si="1"/>
        <v>1</v>
      </c>
      <c r="H56" s="3" t="str">
        <f>IFERROR(__xludf.DUMMYFUNCTION("IFERROR(TRANSPOSE(FILTER('Peer-Review'!$J$2:$J$568,(TRIM('Peer-Review'!$B$2:$B$568)=C56 )+ (TRIM('Peer-Review'!$F$2:$F$568)=C56))),""No Reviews"")"),"22f1000522@ds.study.iitm.ac.in")</f>
        <v>22f1000522@ds.study.iitm.ac.in</v>
      </c>
      <c r="I56" s="3" t="str">
        <f>IFERROR(__xludf.DUMMYFUNCTION("""COMPUTED_VALUE"""),"21f2000608@ds.study.iitm.ac.in")</f>
        <v>21f2000608@ds.study.iitm.ac.in</v>
      </c>
      <c r="J56" s="3">
        <f>IF(D56="No R1",0,VLOOKUP(C56,'Peer-Review'!B:D,2,0))</f>
        <v>7</v>
      </c>
      <c r="K56" s="3">
        <f>IF(D56="No R1",0,VLOOKUP(C56,'Peer-Review'!B:D,3,0))</f>
        <v>9</v>
      </c>
      <c r="L56" s="3">
        <f>IF(E56="No R2",0,VLOOKUP(C56,'Peer-Review'!F:H,2,0))</f>
        <v>0</v>
      </c>
      <c r="M56" s="3">
        <f>IF(E56="No R2",0,VLOOKUP(C56,'Peer-Review'!F:H,3,0))</f>
        <v>0</v>
      </c>
    </row>
    <row r="57" hidden="1">
      <c r="A57" s="3" t="str">
        <f>IFERROR(__xludf.DUMMYFUNCTION("""COMPUTED_VALUE"""),"21f2000168@ds.study.iitm.ac.in")</f>
        <v>21f2000168@ds.study.iitm.ac.in</v>
      </c>
      <c r="B57" s="3">
        <f>IFERROR(__xludf.DUMMYFUNCTION("""COMPUTED_VALUE"""),17.0)</f>
        <v>17</v>
      </c>
      <c r="C57" s="5" t="str">
        <f>IFERROR(__xludf.DUMMYFUNCTION("""COMPUTED_VALUE"""),"https://github.com/adityach123/main")</f>
        <v>https://github.com/adityach123/main</v>
      </c>
      <c r="D57" s="3" t="str">
        <f>IFERROR(VLOOKUP(C57,'Peer-Review'!B:J,9,0),"No R1")</f>
        <v>No R1</v>
      </c>
      <c r="E57" s="3" t="str">
        <f>IFERROR(VLOOKUP(C57,'Peer-Review'!F:J,5,0),"No R2")</f>
        <v>22f1001972@ds.study.iitm.ac.in</v>
      </c>
      <c r="F57" s="3">
        <f>COUNTIF('Peer-Review'!B:B,C57)+COUNTIF('Peer-Review'!F:F,C57)</f>
        <v>2</v>
      </c>
      <c r="G57" s="3">
        <f t="shared" si="1"/>
        <v>1</v>
      </c>
      <c r="H57" s="3" t="str">
        <f>IFERROR(__xludf.DUMMYFUNCTION("IFERROR(TRANSPOSE(FILTER('Peer-Review'!$J$2:$J$568,(TRIM('Peer-Review'!$B$2:$B$568)=C57 )+ (TRIM('Peer-Review'!$F$2:$F$568)=C57))),""No Reviews"")"),"22f1001972@ds.study.iitm.ac.in")</f>
        <v>22f1001972@ds.study.iitm.ac.in</v>
      </c>
      <c r="I57" s="3" t="str">
        <f>IFERROR(__xludf.DUMMYFUNCTION("""COMPUTED_VALUE"""),"21f2000047@ds.study.iitm.ac.in")</f>
        <v>21f2000047@ds.study.iitm.ac.in</v>
      </c>
      <c r="J57" s="3">
        <f>IF(D57="No R1",0,VLOOKUP(C57,'Peer-Review'!B:D,2,0))</f>
        <v>0</v>
      </c>
      <c r="K57" s="3">
        <f>IF(D57="No R1",0,VLOOKUP(C57,'Peer-Review'!B:D,3,0))</f>
        <v>0</v>
      </c>
      <c r="L57" s="3">
        <f>IF(E57="No R2",0,VLOOKUP(C57,'Peer-Review'!F:H,2,0))</f>
        <v>5</v>
      </c>
      <c r="M57" s="3">
        <f>IF(E57="No R2",0,VLOOKUP(C57,'Peer-Review'!F:H,3,0))</f>
        <v>6</v>
      </c>
    </row>
    <row r="58" hidden="1">
      <c r="A58" s="3" t="str">
        <f>IFERROR(__xludf.DUMMYFUNCTION("""COMPUTED_VALUE"""),"21f2000237@ds.study.iitm.ac.in")</f>
        <v>21f2000237@ds.study.iitm.ac.in</v>
      </c>
      <c r="B58" s="3">
        <f>IFERROR(__xludf.DUMMYFUNCTION("""COMPUTED_VALUE"""),12.0)</f>
        <v>12</v>
      </c>
      <c r="C58" s="5" t="str">
        <f>IFERROR(__xludf.DUMMYFUNCTION("""COMPUTED_VALUE"""),"https://github.com/bhavikasharma999/project1-tokyo-follower")</f>
        <v>https://github.com/bhavikasharma999/project1-tokyo-follower</v>
      </c>
      <c r="D58" s="3" t="str">
        <f>IFERROR(VLOOKUP(C58,'Peer-Review'!B:J,9,0),"No R1")</f>
        <v>21f2000372@ds.study.iitm.ac.in</v>
      </c>
      <c r="E58" s="3" t="str">
        <f>IFERROR(VLOOKUP(C58,'Peer-Review'!F:J,5,0),"No R2")</f>
        <v>No R2</v>
      </c>
      <c r="F58" s="3">
        <f>COUNTIF('Peer-Review'!B:B,C58)+COUNTIF('Peer-Review'!F:F,C58)</f>
        <v>1</v>
      </c>
      <c r="G58" s="3">
        <f t="shared" si="1"/>
        <v>1</v>
      </c>
      <c r="H58" s="3" t="str">
        <f>IFERROR(__xludf.DUMMYFUNCTION("IFERROR(TRANSPOSE(FILTER('Peer-Review'!$J$2:$J$568,(TRIM('Peer-Review'!$B$2:$B$568)=C58 )+ (TRIM('Peer-Review'!$F$2:$F$568)=C58))),""No Reviews"")"),"21f2000372@ds.study.iitm.ac.in")</f>
        <v>21f2000372@ds.study.iitm.ac.in</v>
      </c>
      <c r="J58" s="3">
        <f>IF(D58="No R1",0,VLOOKUP(C58,'Peer-Review'!B:D,2,0))</f>
        <v>9</v>
      </c>
      <c r="K58" s="3">
        <f>IF(D58="No R1",0,VLOOKUP(C58,'Peer-Review'!B:D,3,0))</f>
        <v>10</v>
      </c>
      <c r="L58" s="3">
        <f>IF(E58="No R2",0,VLOOKUP(C58,'Peer-Review'!F:H,2,0))</f>
        <v>0</v>
      </c>
      <c r="M58" s="3">
        <f>IF(E58="No R2",0,VLOOKUP(C58,'Peer-Review'!F:H,3,0))</f>
        <v>0</v>
      </c>
    </row>
    <row r="59" hidden="1">
      <c r="A59" s="3" t="str">
        <f>IFERROR(__xludf.DUMMYFUNCTION("""COMPUTED_VALUE"""),"21f2000351@ds.study.iitm.ac.in")</f>
        <v>21f2000351@ds.study.iitm.ac.in</v>
      </c>
      <c r="B59" s="3">
        <f>IFERROR(__xludf.DUMMYFUNCTION("""COMPUTED_VALUE"""),16.0)</f>
        <v>16</v>
      </c>
      <c r="C59" s="5" t="str">
        <f>IFERROR(__xludf.DUMMYFUNCTION("""COMPUTED_VALUE"""),"https://github.com/aliabidi00/tds-project-1")</f>
        <v>https://github.com/aliabidi00/tds-project-1</v>
      </c>
      <c r="D59" s="3" t="str">
        <f>IFERROR(VLOOKUP(C59,'Peer-Review'!B:J,9,0),"No R1")</f>
        <v>21f2000507@ds.study.iitm.ac.in</v>
      </c>
      <c r="E59" s="3" t="str">
        <f>IFERROR(VLOOKUP(C59,'Peer-Review'!F:J,5,0),"No R2")</f>
        <v>No R2</v>
      </c>
      <c r="F59" s="3">
        <f>COUNTIF('Peer-Review'!B:B,C59)+COUNTIF('Peer-Review'!F:F,C59)</f>
        <v>2</v>
      </c>
      <c r="G59" s="3">
        <f t="shared" si="1"/>
        <v>1</v>
      </c>
      <c r="H59" s="3" t="str">
        <f>IFERROR(__xludf.DUMMYFUNCTION("IFERROR(TRANSPOSE(FILTER('Peer-Review'!$J$2:$J$568,(TRIM('Peer-Review'!$B$2:$B$568)=C59 )+ (TRIM('Peer-Review'!$F$2:$F$568)=C59))),""No Reviews"")"),"21f2000507@ds.study.iitm.ac.in")</f>
        <v>21f2000507@ds.study.iitm.ac.in</v>
      </c>
      <c r="I59" s="3" t="str">
        <f>IFERROR(__xludf.DUMMYFUNCTION("""COMPUTED_VALUE"""),"24ds1000036@ds.study.iitm.ac.in")</f>
        <v>24ds1000036@ds.study.iitm.ac.in</v>
      </c>
      <c r="J59" s="3">
        <f>IF(D59="No R1",0,VLOOKUP(C59,'Peer-Review'!B:D,2,0))</f>
        <v>10</v>
      </c>
      <c r="K59" s="3">
        <f>IF(D59="No R1",0,VLOOKUP(C59,'Peer-Review'!B:D,3,0))</f>
        <v>10</v>
      </c>
      <c r="L59" s="3">
        <f>IF(E59="No R2",0,VLOOKUP(C59,'Peer-Review'!F:H,2,0))</f>
        <v>0</v>
      </c>
      <c r="M59" s="3">
        <f>IF(E59="No R2",0,VLOOKUP(C59,'Peer-Review'!F:H,3,0))</f>
        <v>0</v>
      </c>
    </row>
    <row r="60" hidden="1">
      <c r="A60" s="3" t="str">
        <f>IFERROR(__xludf.DUMMYFUNCTION("""COMPUTED_VALUE"""),"21f2000371@ds.study.iitm.ac.in")</f>
        <v>21f2000371@ds.study.iitm.ac.in</v>
      </c>
      <c r="B60" s="3">
        <f>IFERROR(__xludf.DUMMYFUNCTION("""COMPUTED_VALUE"""),17.0)</f>
        <v>17</v>
      </c>
      <c r="C60" s="5" t="str">
        <f>IFERROR(__xludf.DUMMYFUNCTION("""COMPUTED_VALUE"""),"https://github.com/Anantvats7/Tdsproject1")</f>
        <v>https://github.com/Anantvats7/Tdsproject1</v>
      </c>
      <c r="D60" s="3" t="str">
        <f>IFERROR(VLOOKUP(C60,'Peer-Review'!B:J,9,0),"No R1")</f>
        <v>No R1</v>
      </c>
      <c r="E60" s="3" t="str">
        <f>IFERROR(VLOOKUP(C60,'Peer-Review'!F:J,5,0),"No R2")</f>
        <v>21f2000168@ds.study.iitm.ac.in</v>
      </c>
      <c r="F60" s="3">
        <f>COUNTIF('Peer-Review'!B:B,C60)+COUNTIF('Peer-Review'!F:F,C60)</f>
        <v>1</v>
      </c>
      <c r="G60" s="3">
        <f t="shared" si="1"/>
        <v>1</v>
      </c>
      <c r="H60" s="3" t="str">
        <f>IFERROR(__xludf.DUMMYFUNCTION("IFERROR(TRANSPOSE(FILTER('Peer-Review'!$J$2:$J$568,(TRIM('Peer-Review'!$B$2:$B$568)=C60 )+ (TRIM('Peer-Review'!$F$2:$F$568)=C60))),""No Reviews"")"),"21f2000168@ds.study.iitm.ac.in")</f>
        <v>21f2000168@ds.study.iitm.ac.in</v>
      </c>
      <c r="J60" s="3">
        <f>IF(D60="No R1",0,VLOOKUP(C60,'Peer-Review'!B:D,2,0))</f>
        <v>0</v>
      </c>
      <c r="K60" s="3">
        <f>IF(D60="No R1",0,VLOOKUP(C60,'Peer-Review'!B:D,3,0))</f>
        <v>0</v>
      </c>
      <c r="L60" s="3">
        <f>IF(E60="No R2",0,VLOOKUP(C60,'Peer-Review'!F:H,2,0))</f>
        <v>10</v>
      </c>
      <c r="M60" s="3">
        <f>IF(E60="No R2",0,VLOOKUP(C60,'Peer-Review'!F:H,3,0))</f>
        <v>10</v>
      </c>
    </row>
    <row r="61" hidden="1">
      <c r="A61" s="3" t="str">
        <f>IFERROR(__xludf.DUMMYFUNCTION("""COMPUTED_VALUE"""),"21f2000372@ds.study.iitm.ac.in")</f>
        <v>21f2000372@ds.study.iitm.ac.in</v>
      </c>
      <c r="B61" s="3">
        <f>IFERROR(__xludf.DUMMYFUNCTION("""COMPUTED_VALUE"""),12.0)</f>
        <v>12</v>
      </c>
      <c r="C61" s="5" t="str">
        <f>IFERROR(__xludf.DUMMYFUNCTION("""COMPUTED_VALUE"""),"https://github.com/GeekAnanya21/TDS_project1")</f>
        <v>https://github.com/GeekAnanya21/TDS_project1</v>
      </c>
      <c r="D61" s="3" t="str">
        <f>IFERROR(VLOOKUP(C61,'Peer-Review'!B:J,9,0),"No R1")</f>
        <v>21f1005773@ds.study.iitm.ac.in</v>
      </c>
      <c r="E61" s="3" t="str">
        <f>IFERROR(VLOOKUP(C61,'Peer-Review'!F:J,5,0),"No R2")</f>
        <v>No R2</v>
      </c>
      <c r="F61" s="3">
        <f>COUNTIF('Peer-Review'!B:B,C61)+COUNTIF('Peer-Review'!F:F,C61)</f>
        <v>2</v>
      </c>
      <c r="G61" s="3">
        <f t="shared" si="1"/>
        <v>1</v>
      </c>
      <c r="H61" s="3" t="str">
        <f>IFERROR(__xludf.DUMMYFUNCTION("IFERROR(TRANSPOSE(FILTER('Peer-Review'!$J$2:$J$568,(TRIM('Peer-Review'!$B$2:$B$568)=C61 )+ (TRIM('Peer-Review'!$F$2:$F$568)=C61))),""No Reviews"")"),"21f1005773@ds.study.iitm.ac.in")</f>
        <v>21f1005773@ds.study.iitm.ac.in</v>
      </c>
      <c r="I61" s="3" t="str">
        <f>IFERROR(__xludf.DUMMYFUNCTION("""COMPUTED_VALUE"""),"21f3000168@ds.study.iitm.ac.in")</f>
        <v>21f3000168@ds.study.iitm.ac.in</v>
      </c>
      <c r="J61" s="3">
        <f>IF(D61="No R1",0,VLOOKUP(C61,'Peer-Review'!B:D,2,0))</f>
        <v>9</v>
      </c>
      <c r="K61" s="3">
        <f>IF(D61="No R1",0,VLOOKUP(C61,'Peer-Review'!B:D,3,0))</f>
        <v>10</v>
      </c>
      <c r="L61" s="3">
        <f>IF(E61="No R2",0,VLOOKUP(C61,'Peer-Review'!F:H,2,0))</f>
        <v>0</v>
      </c>
      <c r="M61" s="3">
        <f>IF(E61="No R2",0,VLOOKUP(C61,'Peer-Review'!F:H,3,0))</f>
        <v>0</v>
      </c>
    </row>
    <row r="62" hidden="1">
      <c r="A62" s="3" t="str">
        <f>IFERROR(__xludf.DUMMYFUNCTION("""COMPUTED_VALUE"""),"21f2000414@ds.study.iitm.ac.in")</f>
        <v>21f2000414@ds.study.iitm.ac.in</v>
      </c>
      <c r="B62" s="3">
        <f>IFERROR(__xludf.DUMMYFUNCTION("""COMPUTED_VALUE"""),17.0)</f>
        <v>17</v>
      </c>
      <c r="C62" s="5" t="str">
        <f>IFERROR(__xludf.DUMMYFUNCTION("""COMPUTED_VALUE"""),"https://github.com/Varun-K34/github-users-toronto")</f>
        <v>https://github.com/Varun-K34/github-users-toronto</v>
      </c>
      <c r="D62" s="3" t="str">
        <f>IFERROR(VLOOKUP(C62,'Peer-Review'!B:J,9,0),"No R1")</f>
        <v>No R1</v>
      </c>
      <c r="E62" s="3" t="str">
        <f>IFERROR(VLOOKUP(C62,'Peer-Review'!F:J,5,0),"No R2")</f>
        <v>22f3000350@ds.study.iitm.ac.in</v>
      </c>
      <c r="F62" s="3">
        <f>COUNTIF('Peer-Review'!B:B,C62)+COUNTIF('Peer-Review'!F:F,C62)</f>
        <v>2</v>
      </c>
      <c r="G62" s="3">
        <f t="shared" si="1"/>
        <v>1</v>
      </c>
      <c r="H62" s="3" t="str">
        <f>IFERROR(__xludf.DUMMYFUNCTION("IFERROR(TRANSPOSE(FILTER('Peer-Review'!$J$2:$J$568,(TRIM('Peer-Review'!$B$2:$B$568)=C62 )+ (TRIM('Peer-Review'!$F$2:$F$568)=C62))),""No Reviews"")"),"22f3000350@ds.study.iitm.ac.in")</f>
        <v>22f3000350@ds.study.iitm.ac.in</v>
      </c>
      <c r="I62" s="3" t="str">
        <f>IFERROR(__xludf.DUMMYFUNCTION("""COMPUTED_VALUE"""),"21f2000371@ds.study.iitm.ac.in")</f>
        <v>21f2000371@ds.study.iitm.ac.in</v>
      </c>
      <c r="J62" s="3">
        <f>IF(D62="No R1",0,VLOOKUP(C62,'Peer-Review'!B:D,2,0))</f>
        <v>0</v>
      </c>
      <c r="K62" s="3">
        <f>IF(D62="No R1",0,VLOOKUP(C62,'Peer-Review'!B:D,3,0))</f>
        <v>0</v>
      </c>
      <c r="L62" s="3">
        <f>IF(E62="No R2",0,VLOOKUP(C62,'Peer-Review'!F:H,2,0))</f>
        <v>8</v>
      </c>
      <c r="M62" s="3">
        <f>IF(E62="No R2",0,VLOOKUP(C62,'Peer-Review'!F:H,3,0))</f>
        <v>9</v>
      </c>
    </row>
    <row r="63" hidden="1">
      <c r="A63" s="3" t="str">
        <f>IFERROR(__xludf.DUMMYFUNCTION("""COMPUTED_VALUE"""),"21f2000507@ds.study.iitm.ac.in")</f>
        <v>21f2000507@ds.study.iitm.ac.in</v>
      </c>
      <c r="B63" s="3">
        <f>IFERROR(__xludf.DUMMYFUNCTION("""COMPUTED_VALUE"""),16.0)</f>
        <v>16</v>
      </c>
      <c r="C63" s="5" t="str">
        <f>IFERROR(__xludf.DUMMYFUNCTION("""COMPUTED_VALUE"""),"https://github.com/Bhavana2639/tds-proj-1")</f>
        <v>https://github.com/Bhavana2639/tds-proj-1</v>
      </c>
      <c r="D63" s="3" t="str">
        <f>IFERROR(VLOOKUP(C63,'Peer-Review'!B:J,9,0),"No R1")</f>
        <v>21f2000588@ds.study.iitm.ac.in</v>
      </c>
      <c r="E63" s="3" t="str">
        <f>IFERROR(VLOOKUP(C63,'Peer-Review'!F:J,5,0),"No R2")</f>
        <v>No R2</v>
      </c>
      <c r="F63" s="3">
        <f>COUNTIF('Peer-Review'!B:B,C63)+COUNTIF('Peer-Review'!F:F,C63)</f>
        <v>2</v>
      </c>
      <c r="G63" s="3">
        <f t="shared" si="1"/>
        <v>1</v>
      </c>
      <c r="H63" s="3" t="str">
        <f>IFERROR(__xludf.DUMMYFUNCTION("IFERROR(TRANSPOSE(FILTER('Peer-Review'!$J$2:$J$568,(TRIM('Peer-Review'!$B$2:$B$568)=C63 )+ (TRIM('Peer-Review'!$F$2:$F$568)=C63))),""No Reviews"")"),"21f2000588@ds.study.iitm.ac.in")</f>
        <v>21f2000588@ds.study.iitm.ac.in</v>
      </c>
      <c r="I63" s="3" t="str">
        <f>IFERROR(__xludf.DUMMYFUNCTION("""COMPUTED_VALUE"""),"24ds2000089@ds.study.iitm.ac.in")</f>
        <v>24ds2000089@ds.study.iitm.ac.in</v>
      </c>
      <c r="J63" s="3">
        <f>IF(D63="No R1",0,VLOOKUP(C63,'Peer-Review'!B:D,2,0))</f>
        <v>10</v>
      </c>
      <c r="K63" s="3">
        <f>IF(D63="No R1",0,VLOOKUP(C63,'Peer-Review'!B:D,3,0))</f>
        <v>10</v>
      </c>
      <c r="L63" s="3">
        <f>IF(E63="No R2",0,VLOOKUP(C63,'Peer-Review'!F:H,2,0))</f>
        <v>0</v>
      </c>
      <c r="M63" s="3">
        <f>IF(E63="No R2",0,VLOOKUP(C63,'Peer-Review'!F:H,3,0))</f>
        <v>0</v>
      </c>
    </row>
    <row r="64" hidden="1">
      <c r="A64" s="3" t="str">
        <f>IFERROR(__xludf.DUMMYFUNCTION("""COMPUTED_VALUE"""),"21f2000522@ds.study.iitm.ac.in")</f>
        <v>21f2000522@ds.study.iitm.ac.in</v>
      </c>
      <c r="B64" s="3">
        <f>IFERROR(__xludf.DUMMYFUNCTION("""COMPUTED_VALUE"""),17.0)</f>
        <v>17</v>
      </c>
      <c r="C64" s="5" t="str">
        <f>IFERROR(__xludf.DUMMYFUNCTION("""COMPUTED_VALUE"""),"https://github.com/anupam-21f2000522/Mumbai-50")</f>
        <v>https://github.com/anupam-21f2000522/Mumbai-50</v>
      </c>
      <c r="D64" s="3" t="str">
        <f>IFERROR(VLOOKUP(C64,'Peer-Review'!B:J,9,0),"No R1")</f>
        <v>No R1</v>
      </c>
      <c r="E64" s="3" t="str">
        <f>IFERROR(VLOOKUP(C64,'Peer-Review'!F:J,5,0),"No R2")</f>
        <v>21f2000414@ds.study.iitm.ac.in</v>
      </c>
      <c r="F64" s="3">
        <f>COUNTIF('Peer-Review'!B:B,C64)+COUNTIF('Peer-Review'!F:F,C64)</f>
        <v>2</v>
      </c>
      <c r="G64" s="3">
        <f t="shared" si="1"/>
        <v>1</v>
      </c>
      <c r="H64" s="3" t="str">
        <f>IFERROR(__xludf.DUMMYFUNCTION("IFERROR(TRANSPOSE(FILTER('Peer-Review'!$J$2:$J$568,(TRIM('Peer-Review'!$B$2:$B$568)=C64 )+ (TRIM('Peer-Review'!$F$2:$F$568)=C64))),""No Reviews"")"),"21f2000414@ds.study.iitm.ac.in")</f>
        <v>21f2000414@ds.study.iitm.ac.in</v>
      </c>
      <c r="I64" s="3" t="str">
        <f>IFERROR(__xludf.DUMMYFUNCTION("""COMPUTED_VALUE"""),"22f3001489@ds.study.iitm.ac.in")</f>
        <v>22f3001489@ds.study.iitm.ac.in</v>
      </c>
      <c r="J64" s="3">
        <f>IF(D64="No R1",0,VLOOKUP(C64,'Peer-Review'!B:D,2,0))</f>
        <v>0</v>
      </c>
      <c r="K64" s="3">
        <f>IF(D64="No R1",0,VLOOKUP(C64,'Peer-Review'!B:D,3,0))</f>
        <v>0</v>
      </c>
      <c r="L64" s="3">
        <f>IF(E64="No R2",0,VLOOKUP(C64,'Peer-Review'!F:H,2,0))</f>
        <v>8</v>
      </c>
      <c r="M64" s="3">
        <f>IF(E64="No R2",0,VLOOKUP(C64,'Peer-Review'!F:H,3,0))</f>
        <v>0</v>
      </c>
    </row>
    <row r="65" hidden="1">
      <c r="A65" s="3" t="str">
        <f>IFERROR(__xludf.DUMMYFUNCTION("""COMPUTED_VALUE"""),"21f2000584@ds.study.iitm.ac.in")</f>
        <v>21f2000584@ds.study.iitm.ac.in</v>
      </c>
      <c r="B65" s="3">
        <f>IFERROR(__xludf.DUMMYFUNCTION("""COMPUTED_VALUE"""),14.0)</f>
        <v>14</v>
      </c>
      <c r="C65" s="5" t="str">
        <f>IFERROR(__xludf.DUMMYFUNCTION("""COMPUTED_VALUE"""),"https://github.com/harrycode54/Stockholm100")</f>
        <v>https://github.com/harrycode54/Stockholm100</v>
      </c>
      <c r="D65" s="3" t="str">
        <f>IFERROR(VLOOKUP(C65,'Peer-Review'!B:J,9,0),"No R1")</f>
        <v>22f3002593@ds.study.iitm.ac.in</v>
      </c>
      <c r="E65" s="3" t="str">
        <f>IFERROR(VLOOKUP(C65,'Peer-Review'!F:J,5,0),"No R2")</f>
        <v>No R2</v>
      </c>
      <c r="F65" s="3">
        <f>COUNTIF('Peer-Review'!B:B,C65)+COUNTIF('Peer-Review'!F:F,C65)</f>
        <v>2</v>
      </c>
      <c r="G65" s="3">
        <f t="shared" si="1"/>
        <v>1</v>
      </c>
      <c r="H65" s="3" t="str">
        <f>IFERROR(__xludf.DUMMYFUNCTION("IFERROR(TRANSPOSE(FILTER('Peer-Review'!$J$2:$J$568,(TRIM('Peer-Review'!$B$2:$B$568)=C65 )+ (TRIM('Peer-Review'!$F$2:$F$568)=C65))),""No Reviews"")"),"22f3002593@ds.study.iitm.ac.in")</f>
        <v>22f3002593@ds.study.iitm.ac.in</v>
      </c>
      <c r="I65" s="3" t="str">
        <f>IFERROR(__xludf.DUMMYFUNCTION("""COMPUTED_VALUE"""),"21f2001136@ds.study.iitm.ac.in")</f>
        <v>21f2001136@ds.study.iitm.ac.in</v>
      </c>
      <c r="J65" s="3">
        <f>IF(D65="No R1",0,VLOOKUP(C65,'Peer-Review'!B:D,2,0))</f>
        <v>10</v>
      </c>
      <c r="K65" s="3">
        <f>IF(D65="No R1",0,VLOOKUP(C65,'Peer-Review'!B:D,3,0))</f>
        <v>10</v>
      </c>
      <c r="L65" s="3">
        <f>IF(E65="No R2",0,VLOOKUP(C65,'Peer-Review'!F:H,2,0))</f>
        <v>0</v>
      </c>
      <c r="M65" s="3">
        <f>IF(E65="No R2",0,VLOOKUP(C65,'Peer-Review'!F:H,3,0))</f>
        <v>0</v>
      </c>
    </row>
    <row r="66" hidden="1">
      <c r="A66" s="3" t="str">
        <f>IFERROR(__xludf.DUMMYFUNCTION("""COMPUTED_VALUE"""),"21f2000588@ds.study.iitm.ac.in")</f>
        <v>21f2000588@ds.study.iitm.ac.in</v>
      </c>
      <c r="B66" s="3">
        <f>IFERROR(__xludf.DUMMYFUNCTION("""COMPUTED_VALUE"""),16.0)</f>
        <v>16</v>
      </c>
      <c r="C66" s="5" t="str">
        <f>IFERROR(__xludf.DUMMYFUNCTION("""COMPUTED_VALUE"""),"https://github.com/DigvijaysinhChudasamaIITM/ToolsinDataScience-Project1")</f>
        <v>https://github.com/DigvijaysinhChudasamaIITM/ToolsinDataScience-Project1</v>
      </c>
      <c r="D66" s="3" t="str">
        <f>IFERROR(VLOOKUP(C66,'Peer-Review'!B:J,9,0),"No R1")</f>
        <v>No R1</v>
      </c>
      <c r="E66" s="3" t="str">
        <f>IFERROR(VLOOKUP(C66,'Peer-Review'!F:J,5,0),"No R2")</f>
        <v>24ds3000100@ds.study.iitm.ac.in</v>
      </c>
      <c r="F66" s="3">
        <f>COUNTIF('Peer-Review'!B:B,C66)+COUNTIF('Peer-Review'!F:F,C66)</f>
        <v>1</v>
      </c>
      <c r="G66" s="3">
        <f t="shared" si="1"/>
        <v>1</v>
      </c>
      <c r="H66" s="3" t="str">
        <f>IFERROR(__xludf.DUMMYFUNCTION("IFERROR(TRANSPOSE(FILTER('Peer-Review'!$J$2:$J$568,(TRIM('Peer-Review'!$B$2:$B$568)=C66 )+ (TRIM('Peer-Review'!$F$2:$F$568)=C66))),""No Reviews"")"),"24ds3000100@ds.study.iitm.ac.in")</f>
        <v>24ds3000100@ds.study.iitm.ac.in</v>
      </c>
      <c r="J66" s="3">
        <f>IF(D66="No R1",0,VLOOKUP(C66,'Peer-Review'!B:D,2,0))</f>
        <v>0</v>
      </c>
      <c r="K66" s="3">
        <f>IF(D66="No R1",0,VLOOKUP(C66,'Peer-Review'!B:D,3,0))</f>
        <v>0</v>
      </c>
      <c r="L66" s="3">
        <f>IF(E66="No R2",0,VLOOKUP(C66,'Peer-Review'!F:H,2,0))</f>
        <v>8</v>
      </c>
      <c r="M66" s="3">
        <f>IF(E66="No R2",0,VLOOKUP(C66,'Peer-Review'!F:H,3,0))</f>
        <v>9</v>
      </c>
    </row>
    <row r="67" hidden="1">
      <c r="A67" s="3" t="str">
        <f>IFERROR(__xludf.DUMMYFUNCTION("""COMPUTED_VALUE"""),"21f2000608@ds.study.iitm.ac.in")</f>
        <v>21f2000608@ds.study.iitm.ac.in</v>
      </c>
      <c r="B67" s="3">
        <f>IFERROR(__xludf.DUMMYFUNCTION("""COMPUTED_VALUE"""),13.0)</f>
        <v>13</v>
      </c>
      <c r="C67" s="5" t="str">
        <f>IFERROR(__xludf.DUMMYFUNCTION("""COMPUTED_VALUE"""),"https://github.com/DSharanya07/ZurichUsers")</f>
        <v>https://github.com/DSharanya07/ZurichUsers</v>
      </c>
      <c r="D67" s="3" t="str">
        <f>IFERROR(VLOOKUP(C67,'Peer-Review'!B:J,9,0),"No R1")</f>
        <v>22f1000653@ds.study.iitm.ac.in</v>
      </c>
      <c r="E67" s="3" t="str">
        <f>IFERROR(VLOOKUP(C67,'Peer-Review'!F:J,5,0),"No R2")</f>
        <v>No R2</v>
      </c>
      <c r="F67" s="3">
        <f>COUNTIF('Peer-Review'!B:B,C67)+COUNTIF('Peer-Review'!F:F,C67)</f>
        <v>2</v>
      </c>
      <c r="G67" s="3">
        <f t="shared" si="1"/>
        <v>1</v>
      </c>
      <c r="H67" s="3" t="str">
        <f>IFERROR(__xludf.DUMMYFUNCTION("IFERROR(TRANSPOSE(FILTER('Peer-Review'!$J$2:$J$568,(TRIM('Peer-Review'!$B$2:$B$568)=C67 )+ (TRIM('Peer-Review'!$F$2:$F$568)=C67))),""No Reviews"")"),"22f1000653@ds.study.iitm.ac.in")</f>
        <v>22f1000653@ds.study.iitm.ac.in</v>
      </c>
      <c r="I67" s="3" t="str">
        <f>IFERROR(__xludf.DUMMYFUNCTION("""COMPUTED_VALUE"""),"21f2001230@ds.study.iitm.ac.in")</f>
        <v>21f2001230@ds.study.iitm.ac.in</v>
      </c>
      <c r="J67" s="3">
        <f>IF(D67="No R1",0,VLOOKUP(C67,'Peer-Review'!B:D,2,0))</f>
        <v>8</v>
      </c>
      <c r="K67" s="3">
        <f>IF(D67="No R1",0,VLOOKUP(C67,'Peer-Review'!B:D,3,0))</f>
        <v>10</v>
      </c>
      <c r="L67" s="3">
        <f>IF(E67="No R2",0,VLOOKUP(C67,'Peer-Review'!F:H,2,0))</f>
        <v>0</v>
      </c>
      <c r="M67" s="3">
        <f>IF(E67="No R2",0,VLOOKUP(C67,'Peer-Review'!F:H,3,0))</f>
        <v>0</v>
      </c>
    </row>
    <row r="68" hidden="1">
      <c r="A68" s="3" t="str">
        <f>IFERROR(__xludf.DUMMYFUNCTION("""COMPUTED_VALUE"""),"21f2000615@ds.study.iitm.ac.in")</f>
        <v>21f2000615@ds.study.iitm.ac.in</v>
      </c>
      <c r="B68" s="3">
        <f>IFERROR(__xludf.DUMMYFUNCTION("""COMPUTED_VALUE"""),3.0)</f>
        <v>3</v>
      </c>
      <c r="C68" s="5" t="str">
        <f>IFERROR(__xludf.DUMMYFUNCTION("""COMPUTED_VALUE"""),"https://github.com/Mr-GauravKumar/TDS-P1")</f>
        <v>https://github.com/Mr-GauravKumar/TDS-P1</v>
      </c>
      <c r="D68" s="3" t="str">
        <f>IFERROR(VLOOKUP(C68,'Peer-Review'!B:J,9,0),"No R1")</f>
        <v>22f1000493@ds.study.iitm.ac.in</v>
      </c>
      <c r="E68" s="3" t="str">
        <f>IFERROR(VLOOKUP(C68,'Peer-Review'!F:J,5,0),"No R2")</f>
        <v>No R2</v>
      </c>
      <c r="F68" s="3">
        <f>COUNTIF('Peer-Review'!B:B,C68)+COUNTIF('Peer-Review'!F:F,C68)</f>
        <v>2</v>
      </c>
      <c r="G68" s="3">
        <f t="shared" si="1"/>
        <v>1</v>
      </c>
      <c r="H68" s="3" t="str">
        <f>IFERROR(__xludf.DUMMYFUNCTION("IFERROR(TRANSPOSE(FILTER('Peer-Review'!$J$2:$J$568,(TRIM('Peer-Review'!$B$2:$B$568)=C68 )+ (TRIM('Peer-Review'!$F$2:$F$568)=C68))),""No Reviews"")"),"22f1000493@ds.study.iitm.ac.in")</f>
        <v>22f1000493@ds.study.iitm.ac.in</v>
      </c>
      <c r="I68" s="3" t="str">
        <f>IFERROR(__xludf.DUMMYFUNCTION("""COMPUTED_VALUE"""),"22f1001118@ds.study.iitm.ac.in")</f>
        <v>22f1001118@ds.study.iitm.ac.in</v>
      </c>
      <c r="J68" s="3">
        <f>IF(D68="No R1",0,VLOOKUP(C68,'Peer-Review'!B:D,2,0))</f>
        <v>9</v>
      </c>
      <c r="K68" s="3">
        <f>IF(D68="No R1",0,VLOOKUP(C68,'Peer-Review'!B:D,3,0))</f>
        <v>9</v>
      </c>
      <c r="L68" s="3">
        <f>IF(E68="No R2",0,VLOOKUP(C68,'Peer-Review'!F:H,2,0))</f>
        <v>0</v>
      </c>
      <c r="M68" s="3">
        <f>IF(E68="No R2",0,VLOOKUP(C68,'Peer-Review'!F:H,3,0))</f>
        <v>0</v>
      </c>
    </row>
    <row r="69" hidden="1">
      <c r="A69" s="3" t="str">
        <f>IFERROR(__xludf.DUMMYFUNCTION("""COMPUTED_VALUE"""),"21f2000624@ds.study.iitm.ac.in")</f>
        <v>21f2000624@ds.study.iitm.ac.in</v>
      </c>
      <c r="B69" s="3">
        <f>IFERROR(__xludf.DUMMYFUNCTION("""COMPUTED_VALUE"""),0.0)</f>
        <v>0</v>
      </c>
      <c r="C69" s="5" t="str">
        <f>IFERROR(__xludf.DUMMYFUNCTION("""COMPUTED_VALUE"""),"https://github.com/FaruqueIITM/TDS_Project_1")</f>
        <v>https://github.com/FaruqueIITM/TDS_Project_1</v>
      </c>
      <c r="D69" s="3" t="str">
        <f>IFERROR(VLOOKUP(C69,'Peer-Review'!B:J,9,0),"No R1")</f>
        <v>No R1</v>
      </c>
      <c r="E69" s="3" t="str">
        <f>IFERROR(VLOOKUP(C69,'Peer-Review'!F:J,5,0),"No R2")</f>
        <v>No R2</v>
      </c>
      <c r="F69" s="3">
        <f>COUNTIF('Peer-Review'!B:B,C69)+COUNTIF('Peer-Review'!F:F,C69)</f>
        <v>0</v>
      </c>
      <c r="G69" s="3">
        <f t="shared" si="1"/>
        <v>0</v>
      </c>
      <c r="H69" s="3" t="str">
        <f>IFERROR(__xludf.DUMMYFUNCTION("IFERROR(TRANSPOSE(FILTER('Peer-Review'!$J$2:$J$568,(TRIM('Peer-Review'!$B$2:$B$568)=C69 )+ (TRIM('Peer-Review'!$F$2:$F$568)=C69))),""No Reviews"")"),"No Reviews")</f>
        <v>No Reviews</v>
      </c>
      <c r="J69" s="3">
        <f>IF(D69="No R1",0,VLOOKUP(C69,'Peer-Review'!B:D,2,0))</f>
        <v>0</v>
      </c>
      <c r="K69" s="3">
        <f>IF(D69="No R1",0,VLOOKUP(C69,'Peer-Review'!B:D,3,0))</f>
        <v>0</v>
      </c>
      <c r="L69" s="3">
        <f>IF(E69="No R2",0,VLOOKUP(C69,'Peer-Review'!F:H,2,0))</f>
        <v>0</v>
      </c>
      <c r="M69" s="3">
        <f>IF(E69="No R2",0,VLOOKUP(C69,'Peer-Review'!F:H,3,0))</f>
        <v>0</v>
      </c>
    </row>
    <row r="70" hidden="1">
      <c r="A70" s="3" t="str">
        <f>IFERROR(__xludf.DUMMYFUNCTION("""COMPUTED_VALUE"""),"21f2000639@ds.study.iitm.ac.in")</f>
        <v>21f2000639@ds.study.iitm.ac.in</v>
      </c>
      <c r="B70" s="3">
        <f>IFERROR(__xludf.DUMMYFUNCTION("""COMPUTED_VALUE"""),17.0)</f>
        <v>17</v>
      </c>
      <c r="C70" s="5" t="str">
        <f>IFERROR(__xludf.DUMMYFUNCTION("""COMPUTED_VALUE"""),"https://github.com/Gaurangi2712/TDS_proj1")</f>
        <v>https://github.com/Gaurangi2712/TDS_proj1</v>
      </c>
      <c r="D70" s="3" t="str">
        <f>IFERROR(VLOOKUP(C70,'Peer-Review'!B:J,9,0),"No R1")</f>
        <v>21f2000522@ds.study.iitm.ac.in</v>
      </c>
      <c r="E70" s="3" t="str">
        <f>IFERROR(VLOOKUP(C70,'Peer-Review'!F:J,5,0),"No R2")</f>
        <v>22f3002525@ds.study.iitm.ac.in</v>
      </c>
      <c r="F70" s="3">
        <f>COUNTIF('Peer-Review'!B:B,C70)+COUNTIF('Peer-Review'!F:F,C70)</f>
        <v>2</v>
      </c>
      <c r="G70" s="3">
        <f t="shared" si="1"/>
        <v>2</v>
      </c>
      <c r="H70" s="3" t="str">
        <f>IFERROR(__xludf.DUMMYFUNCTION("IFERROR(TRANSPOSE(FILTER('Peer-Review'!$J$2:$J$568,(TRIM('Peer-Review'!$B$2:$B$568)=C70 )+ (TRIM('Peer-Review'!$F$2:$F$568)=C70))),""No Reviews"")"),"21f2000522@ds.study.iitm.ac.in")</f>
        <v>21f2000522@ds.study.iitm.ac.in</v>
      </c>
      <c r="I70" s="3" t="str">
        <f>IFERROR(__xludf.DUMMYFUNCTION("""COMPUTED_VALUE"""),"22f3002525@ds.study.iitm.ac.in")</f>
        <v>22f3002525@ds.study.iitm.ac.in</v>
      </c>
      <c r="J70" s="3">
        <f>IF(D70="No R1",0,VLOOKUP(C70,'Peer-Review'!B:D,2,0))</f>
        <v>7</v>
      </c>
      <c r="K70" s="3">
        <f>IF(D70="No R1",0,VLOOKUP(C70,'Peer-Review'!B:D,3,0))</f>
        <v>8</v>
      </c>
      <c r="L70" s="3">
        <f>IF(E70="No R2",0,VLOOKUP(C70,'Peer-Review'!F:H,2,0))</f>
        <v>8</v>
      </c>
      <c r="M70" s="3">
        <f>IF(E70="No R2",0,VLOOKUP(C70,'Peer-Review'!F:H,3,0))</f>
        <v>8</v>
      </c>
    </row>
    <row r="71" hidden="1">
      <c r="A71" s="3" t="str">
        <f>IFERROR(__xludf.DUMMYFUNCTION("""COMPUTED_VALUE"""),"21f2000717@ds.study.iitm.ac.in")</f>
        <v>21f2000717@ds.study.iitm.ac.in</v>
      </c>
      <c r="B71" s="3">
        <f>IFERROR(__xludf.DUMMYFUNCTION("""COMPUTED_VALUE"""),17.0)</f>
        <v>17</v>
      </c>
      <c r="C71" s="5" t="str">
        <f>IFERROR(__xludf.DUMMYFUNCTION("""COMPUTED_VALUE"""),"https://github.com/irabi111/TDSPROJ1")</f>
        <v>https://github.com/irabi111/TDSPROJ1</v>
      </c>
      <c r="D71" s="3" t="str">
        <f>IFERROR(VLOOKUP(C71,'Peer-Review'!B:J,9,0),"No R1")</f>
        <v>No R1</v>
      </c>
      <c r="E71" s="3" t="str">
        <f>IFERROR(VLOOKUP(C71,'Peer-Review'!F:J,5,0),"No R2")</f>
        <v>22f3002811@ds.study.iitm.ac.in</v>
      </c>
      <c r="F71" s="3">
        <f>COUNTIF('Peer-Review'!B:B,C71)+COUNTIF('Peer-Review'!F:F,C71)</f>
        <v>2</v>
      </c>
      <c r="G71" s="3">
        <f t="shared" si="1"/>
        <v>1</v>
      </c>
      <c r="H71" s="3" t="str">
        <f>IFERROR(__xludf.DUMMYFUNCTION("IFERROR(TRANSPOSE(FILTER('Peer-Review'!$J$2:$J$568,(TRIM('Peer-Review'!$B$2:$B$568)=C71 )+ (TRIM('Peer-Review'!$F$2:$F$568)=C71))),""No Reviews"")"),"22f3002811@ds.study.iitm.ac.in")</f>
        <v>22f3002811@ds.study.iitm.ac.in</v>
      </c>
      <c r="I71" s="3" t="str">
        <f>IFERROR(__xludf.DUMMYFUNCTION("""COMPUTED_VALUE"""),"21f2000639@ds.study.iitm.ac.in")</f>
        <v>21f2000639@ds.study.iitm.ac.in</v>
      </c>
      <c r="J71" s="3">
        <f>IF(D71="No R1",0,VLOOKUP(C71,'Peer-Review'!B:D,2,0))</f>
        <v>0</v>
      </c>
      <c r="K71" s="3">
        <f>IF(D71="No R1",0,VLOOKUP(C71,'Peer-Review'!B:D,3,0))</f>
        <v>0</v>
      </c>
      <c r="L71" s="3">
        <f>IF(E71="No R2",0,VLOOKUP(C71,'Peer-Review'!F:H,2,0))</f>
        <v>10</v>
      </c>
      <c r="M71" s="3">
        <f>IF(E71="No R2",0,VLOOKUP(C71,'Peer-Review'!F:H,3,0))</f>
        <v>10</v>
      </c>
    </row>
    <row r="72" hidden="1">
      <c r="A72" s="3" t="str">
        <f>IFERROR(__xludf.DUMMYFUNCTION("""COMPUTED_VALUE"""),"21f2000753@ds.study.iitm.ac.in")</f>
        <v>21f2000753@ds.study.iitm.ac.in</v>
      </c>
      <c r="B72" s="3">
        <f>IFERROR(__xludf.DUMMYFUNCTION("""COMPUTED_VALUE"""),16.0)</f>
        <v>16</v>
      </c>
      <c r="C72" s="5" t="str">
        <f>IFERROR(__xludf.DUMMYFUNCTION("""COMPUTED_VALUE"""),"https://github.com/joshna-dhanokar/Stockholm-100")</f>
        <v>https://github.com/joshna-dhanokar/Stockholm-100</v>
      </c>
      <c r="D72" s="3" t="str">
        <f>IFERROR(VLOOKUP(C72,'Peer-Review'!B:J,9,0),"No R1")</f>
        <v>21f2001525@ds.study.iitm.ac.in</v>
      </c>
      <c r="E72" s="3" t="str">
        <f>IFERROR(VLOOKUP(C72,'Peer-Review'!F:J,5,0),"No R2")</f>
        <v>No R2</v>
      </c>
      <c r="F72" s="3">
        <f>COUNTIF('Peer-Review'!B:B,C72)+COUNTIF('Peer-Review'!F:F,C72)</f>
        <v>1</v>
      </c>
      <c r="G72" s="3">
        <f t="shared" si="1"/>
        <v>1</v>
      </c>
      <c r="H72" s="3" t="str">
        <f>IFERROR(__xludf.DUMMYFUNCTION("IFERROR(TRANSPOSE(FILTER('Peer-Review'!$J$2:$J$568,(TRIM('Peer-Review'!$B$2:$B$568)=C72 )+ (TRIM('Peer-Review'!$F$2:$F$568)=C72))),""No Reviews"")"),"21f2001525@ds.study.iitm.ac.in")</f>
        <v>21f2001525@ds.study.iitm.ac.in</v>
      </c>
      <c r="J72" s="3">
        <f>IF(D72="No R1",0,VLOOKUP(C72,'Peer-Review'!B:D,2,0))</f>
        <v>6</v>
      </c>
      <c r="K72" s="3">
        <f>IF(D72="No R1",0,VLOOKUP(C72,'Peer-Review'!B:D,3,0))</f>
        <v>6</v>
      </c>
      <c r="L72" s="3">
        <f>IF(E72="No R2",0,VLOOKUP(C72,'Peer-Review'!F:H,2,0))</f>
        <v>0</v>
      </c>
      <c r="M72" s="3">
        <f>IF(E72="No R2",0,VLOOKUP(C72,'Peer-Review'!F:H,3,0))</f>
        <v>0</v>
      </c>
    </row>
    <row r="73" hidden="1">
      <c r="A73" s="3" t="str">
        <f>IFERROR(__xludf.DUMMYFUNCTION("""COMPUTED_VALUE"""),"21f2000813@ds.study.iitm.ac.in")</f>
        <v>21f2000813@ds.study.iitm.ac.in</v>
      </c>
      <c r="B73" s="3">
        <f>IFERROR(__xludf.DUMMYFUNCTION("""COMPUTED_VALUE"""),6.0)</f>
        <v>6</v>
      </c>
      <c r="C73" s="5" t="str">
        <f>IFERROR(__xludf.DUMMYFUNCTION("""COMPUTED_VALUE"""),"https://github.com/krishna1rpr/tds-project-1")</f>
        <v>https://github.com/krishna1rpr/tds-project-1</v>
      </c>
      <c r="D73" s="3" t="str">
        <f>IFERROR(VLOOKUP(C73,'Peer-Review'!B:J,9,0),"No R1")</f>
        <v>No R1</v>
      </c>
      <c r="E73" s="3" t="str">
        <f>IFERROR(VLOOKUP(C73,'Peer-Review'!F:J,5,0),"No R2")</f>
        <v>22f2001312@ds.study.iitm.ac.in</v>
      </c>
      <c r="F73" s="3">
        <f>COUNTIF('Peer-Review'!B:B,C73)+COUNTIF('Peer-Review'!F:F,C73)</f>
        <v>1</v>
      </c>
      <c r="G73" s="3">
        <f t="shared" si="1"/>
        <v>1</v>
      </c>
      <c r="H73" s="3" t="str">
        <f>IFERROR(__xludf.DUMMYFUNCTION("IFERROR(TRANSPOSE(FILTER('Peer-Review'!$J$2:$J$568,(TRIM('Peer-Review'!$B$2:$B$568)=C73 )+ (TRIM('Peer-Review'!$F$2:$F$568)=C73))),""No Reviews"")"),"22f2001312@ds.study.iitm.ac.in")</f>
        <v>22f2001312@ds.study.iitm.ac.in</v>
      </c>
      <c r="J73" s="3">
        <f>IF(D73="No R1",0,VLOOKUP(C73,'Peer-Review'!B:D,2,0))</f>
        <v>0</v>
      </c>
      <c r="K73" s="3">
        <f>IF(D73="No R1",0,VLOOKUP(C73,'Peer-Review'!B:D,3,0))</f>
        <v>0</v>
      </c>
      <c r="L73" s="3">
        <f>IF(E73="No R2",0,VLOOKUP(C73,'Peer-Review'!F:H,2,0))</f>
        <v>10</v>
      </c>
      <c r="M73" s="3">
        <f>IF(E73="No R2",0,VLOOKUP(C73,'Peer-Review'!F:H,3,0))</f>
        <v>10</v>
      </c>
    </row>
    <row r="74" hidden="1">
      <c r="A74" s="3" t="str">
        <f>IFERROR(__xludf.DUMMYFUNCTION("""COMPUTED_VALUE"""),"21f2000852@ds.study.iitm.ac.in")</f>
        <v>21f2000852@ds.study.iitm.ac.in</v>
      </c>
      <c r="B74" s="3">
        <f>IFERROR(__xludf.DUMMYFUNCTION("""COMPUTED_VALUE"""),17.0)</f>
        <v>17</v>
      </c>
      <c r="C74" s="5" t="str">
        <f>IFERROR(__xludf.DUMMYFUNCTION("""COMPUTED_VALUE"""),"https://github.com/AnujKrishna-IIT/TDS-Project1")</f>
        <v>https://github.com/AnujKrishna-IIT/TDS-Project1</v>
      </c>
      <c r="D74" s="3" t="str">
        <f>IFERROR(VLOOKUP(C74,'Peer-Review'!B:J,9,0),"No R1")</f>
        <v>No R1</v>
      </c>
      <c r="E74" s="3" t="str">
        <f>IFERROR(VLOOKUP(C74,'Peer-Review'!F:J,5,0),"No R2")</f>
        <v>21f2000717@ds.study.iitm.ac.in</v>
      </c>
      <c r="F74" s="3">
        <f>COUNTIF('Peer-Review'!B:B,C74)+COUNTIF('Peer-Review'!F:F,C74)</f>
        <v>2</v>
      </c>
      <c r="G74" s="3">
        <f t="shared" si="1"/>
        <v>1</v>
      </c>
      <c r="H74" s="3" t="str">
        <f>IFERROR(__xludf.DUMMYFUNCTION("IFERROR(TRANSPOSE(FILTER('Peer-Review'!$J$2:$J$568,(TRIM('Peer-Review'!$B$2:$B$568)=C74 )+ (TRIM('Peer-Review'!$F$2:$F$568)=C74))),""No Reviews"")"),"21f2000717@ds.study.iitm.ac.in")</f>
        <v>21f2000717@ds.study.iitm.ac.in</v>
      </c>
      <c r="I74" s="3" t="str">
        <f>IFERROR(__xludf.DUMMYFUNCTION("""COMPUTED_VALUE"""),"22f3003121@ds.study.iitm.ac.in")</f>
        <v>22f3003121@ds.study.iitm.ac.in</v>
      </c>
      <c r="J74" s="3">
        <f>IF(D74="No R1",0,VLOOKUP(C74,'Peer-Review'!B:D,2,0))</f>
        <v>0</v>
      </c>
      <c r="K74" s="3">
        <f>IF(D74="No R1",0,VLOOKUP(C74,'Peer-Review'!B:D,3,0))</f>
        <v>0</v>
      </c>
      <c r="L74" s="3">
        <f>IF(E74="No R2",0,VLOOKUP(C74,'Peer-Review'!F:H,2,0))</f>
        <v>10</v>
      </c>
      <c r="M74" s="3">
        <f>IF(E74="No R2",0,VLOOKUP(C74,'Peer-Review'!F:H,3,0))</f>
        <v>10</v>
      </c>
    </row>
    <row r="75" hidden="1">
      <c r="A75" s="3" t="str">
        <f>IFERROR(__xludf.DUMMYFUNCTION("""COMPUTED_VALUE"""),"21f2001015@ds.study.iitm.ac.in")</f>
        <v>21f2001015@ds.study.iitm.ac.in</v>
      </c>
      <c r="B75" s="3">
        <f>IFERROR(__xludf.DUMMYFUNCTION("""COMPUTED_VALUE"""),17.0)</f>
        <v>17</v>
      </c>
      <c r="C75" s="5" t="str">
        <f>IFERROR(__xludf.DUMMYFUNCTION("""COMPUTED_VALUE"""),"https://github.com/21f2001015/tds-project-1")</f>
        <v>https://github.com/21f2001015/tds-project-1</v>
      </c>
      <c r="D75" s="3" t="str">
        <f>IFERROR(VLOOKUP(C75,'Peer-Review'!B:J,9,0),"No R1")</f>
        <v>No R1</v>
      </c>
      <c r="E75" s="3" t="str">
        <f>IFERROR(VLOOKUP(C75,'Peer-Review'!F:J,5,0),"No R2")</f>
        <v>22f3003170@ds.study.iitm.ac.in</v>
      </c>
      <c r="F75" s="3">
        <f>COUNTIF('Peer-Review'!B:B,C75)+COUNTIF('Peer-Review'!F:F,C75)</f>
        <v>2</v>
      </c>
      <c r="G75" s="3">
        <f t="shared" si="1"/>
        <v>1</v>
      </c>
      <c r="H75" s="3" t="str">
        <f>IFERROR(__xludf.DUMMYFUNCTION("IFERROR(TRANSPOSE(FILTER('Peer-Review'!$J$2:$J$568,(TRIM('Peer-Review'!$B$2:$B$568)=C75 )+ (TRIM('Peer-Review'!$F$2:$F$568)=C75))),""No Reviews"")"),"22f3003170@ds.study.iitm.ac.in")</f>
        <v>22f3003170@ds.study.iitm.ac.in</v>
      </c>
      <c r="I75" s="3" t="str">
        <f>IFERROR(__xludf.DUMMYFUNCTION("""COMPUTED_VALUE"""),"21f2000852@ds.study.iitm.ac.in")</f>
        <v>21f2000852@ds.study.iitm.ac.in</v>
      </c>
      <c r="J75" s="3">
        <f>IF(D75="No R1",0,VLOOKUP(C75,'Peer-Review'!B:D,2,0))</f>
        <v>0</v>
      </c>
      <c r="K75" s="3">
        <f>IF(D75="No R1",0,VLOOKUP(C75,'Peer-Review'!B:D,3,0))</f>
        <v>0</v>
      </c>
      <c r="L75" s="3">
        <f>IF(E75="No R2",0,VLOOKUP(C75,'Peer-Review'!F:H,2,0))</f>
        <v>7</v>
      </c>
      <c r="M75" s="3">
        <f>IF(E75="No R2",0,VLOOKUP(C75,'Peer-Review'!F:H,3,0))</f>
        <v>10</v>
      </c>
    </row>
    <row r="76" hidden="1">
      <c r="A76" s="3" t="str">
        <f>IFERROR(__xludf.DUMMYFUNCTION("""COMPUTED_VALUE"""),"21f2001119@ds.study.iitm.ac.in")</f>
        <v>21f2001119@ds.study.iitm.ac.in</v>
      </c>
      <c r="B76" s="3">
        <f>IFERROR(__xludf.DUMMYFUNCTION("""COMPUTED_VALUE"""),17.0)</f>
        <v>17</v>
      </c>
      <c r="C76" s="5" t="str">
        <f>IFERROR(__xludf.DUMMYFUNCTION("""COMPUTED_VALUE"""),"https://github.com/NewDaci/tds-project1")</f>
        <v>https://github.com/NewDaci/tds-project1</v>
      </c>
      <c r="D76" s="3" t="str">
        <f>IFERROR(VLOOKUP(C76,'Peer-Review'!B:J,9,0),"No R1")</f>
        <v>No R1</v>
      </c>
      <c r="E76" s="3" t="str">
        <f>IFERROR(VLOOKUP(C76,'Peer-Review'!F:J,5,0),"No R2")</f>
        <v>23ds2000054@ds.study.iitm.ac.in</v>
      </c>
      <c r="F76" s="3">
        <f>COUNTIF('Peer-Review'!B:B,C76)+COUNTIF('Peer-Review'!F:F,C76)</f>
        <v>2</v>
      </c>
      <c r="G76" s="3">
        <f t="shared" si="1"/>
        <v>1</v>
      </c>
      <c r="H76" s="3" t="str">
        <f>IFERROR(__xludf.DUMMYFUNCTION("IFERROR(TRANSPOSE(FILTER('Peer-Review'!$J$2:$J$568,(TRIM('Peer-Review'!$B$2:$B$568)=C76 )+ (TRIM('Peer-Review'!$F$2:$F$568)=C76))),""No Reviews"")"),"23ds2000054@ds.study.iitm.ac.in")</f>
        <v>23ds2000054@ds.study.iitm.ac.in</v>
      </c>
      <c r="I76" s="3" t="str">
        <f>IFERROR(__xludf.DUMMYFUNCTION("""COMPUTED_VALUE"""),"21f2001015@ds.study.iitm.ac.in")</f>
        <v>21f2001015@ds.study.iitm.ac.in</v>
      </c>
      <c r="J76" s="3">
        <f>IF(D76="No R1",0,VLOOKUP(C76,'Peer-Review'!B:D,2,0))</f>
        <v>0</v>
      </c>
      <c r="K76" s="3">
        <f>IF(D76="No R1",0,VLOOKUP(C76,'Peer-Review'!B:D,3,0))</f>
        <v>0</v>
      </c>
      <c r="L76" s="3">
        <f>IF(E76="No R2",0,VLOOKUP(C76,'Peer-Review'!F:H,2,0))</f>
        <v>10</v>
      </c>
      <c r="M76" s="3">
        <f>IF(E76="No R2",0,VLOOKUP(C76,'Peer-Review'!F:H,3,0))</f>
        <v>10</v>
      </c>
    </row>
    <row r="77" hidden="1">
      <c r="A77" s="3" t="str">
        <f>IFERROR(__xludf.DUMMYFUNCTION("""COMPUTED_VALUE"""),"21f2001136@ds.study.iitm.ac.in")</f>
        <v>21f2001136@ds.study.iitm.ac.in</v>
      </c>
      <c r="B77" s="3">
        <f>IFERROR(__xludf.DUMMYFUNCTION("""COMPUTED_VALUE"""),14.0)</f>
        <v>14</v>
      </c>
      <c r="C77" s="5" t="str">
        <f>IFERROR(__xludf.DUMMYFUNCTION("""COMPUTED_VALUE"""),"https://github.com/21f2001136/tds_1")</f>
        <v>https://github.com/21f2001136/tds_1</v>
      </c>
      <c r="D77" s="3" t="str">
        <f>IFERROR(VLOOKUP(C77,'Peer-Review'!B:J,9,0),"No R1")</f>
        <v>22f3002743@ds.study.iitm.ac.in</v>
      </c>
      <c r="E77" s="3" t="str">
        <f>IFERROR(VLOOKUP(C77,'Peer-Review'!F:J,5,0),"No R2")</f>
        <v>No R2</v>
      </c>
      <c r="F77" s="3">
        <f>COUNTIF('Peer-Review'!B:B,C77)+COUNTIF('Peer-Review'!F:F,C77)</f>
        <v>2</v>
      </c>
      <c r="G77" s="3">
        <f t="shared" si="1"/>
        <v>1</v>
      </c>
      <c r="H77" s="3" t="str">
        <f>IFERROR(__xludf.DUMMYFUNCTION("IFERROR(TRANSPOSE(FILTER('Peer-Review'!$J$2:$J$568,(TRIM('Peer-Review'!$B$2:$B$568)=C77 )+ (TRIM('Peer-Review'!$F$2:$F$568)=C77))),""No Reviews"")"),"22f3002743@ds.study.iitm.ac.in")</f>
        <v>22f3002743@ds.study.iitm.ac.in</v>
      </c>
      <c r="I77" s="3" t="str">
        <f>IFERROR(__xludf.DUMMYFUNCTION("""COMPUTED_VALUE"""),"21f3000517@ds.study.iitm.ac.in")</f>
        <v>21f3000517@ds.study.iitm.ac.in</v>
      </c>
      <c r="J77" s="3">
        <f>IF(D77="No R1",0,VLOOKUP(C77,'Peer-Review'!B:D,2,0))</f>
        <v>8</v>
      </c>
      <c r="K77" s="3">
        <f>IF(D77="No R1",0,VLOOKUP(C77,'Peer-Review'!B:D,3,0))</f>
        <v>9</v>
      </c>
      <c r="L77" s="3">
        <f>IF(E77="No R2",0,VLOOKUP(C77,'Peer-Review'!F:H,2,0))</f>
        <v>0</v>
      </c>
      <c r="M77" s="3">
        <f>IF(E77="No R2",0,VLOOKUP(C77,'Peer-Review'!F:H,3,0))</f>
        <v>0</v>
      </c>
    </row>
    <row r="78" hidden="1">
      <c r="A78" s="3" t="str">
        <f>IFERROR(__xludf.DUMMYFUNCTION("""COMPUTED_VALUE"""),"21f2001230@ds.study.iitm.ac.in")</f>
        <v>21f2001230@ds.study.iitm.ac.in</v>
      </c>
      <c r="B78" s="3">
        <f>IFERROR(__xludf.DUMMYFUNCTION("""COMPUTED_VALUE"""),13.0)</f>
        <v>13</v>
      </c>
      <c r="C78" s="5" t="str">
        <f>IFERROR(__xludf.DUMMYFUNCTION("""COMPUTED_VALUE"""),"https://github.com/sameer2799/tds_project_1")</f>
        <v>https://github.com/sameer2799/tds_project_1</v>
      </c>
      <c r="D78" s="3" t="str">
        <f>IFERROR(VLOOKUP(C78,'Peer-Review'!B:J,9,0),"No R1")</f>
        <v>22f1000693@ds.study.iitm.ac.in</v>
      </c>
      <c r="E78" s="3" t="str">
        <f>IFERROR(VLOOKUP(C78,'Peer-Review'!F:J,5,0),"No R2")</f>
        <v>No R2</v>
      </c>
      <c r="F78" s="3">
        <f>COUNTIF('Peer-Review'!B:B,C78)+COUNTIF('Peer-Review'!F:F,C78)</f>
        <v>1</v>
      </c>
      <c r="G78" s="3">
        <f t="shared" si="1"/>
        <v>1</v>
      </c>
      <c r="H78" s="3" t="str">
        <f>IFERROR(__xludf.DUMMYFUNCTION("IFERROR(TRANSPOSE(FILTER('Peer-Review'!$J$2:$J$568,(TRIM('Peer-Review'!$B$2:$B$568)=C78 )+ (TRIM('Peer-Review'!$F$2:$F$568)=C78))),""No Reviews"")"),"22f1000693@ds.study.iitm.ac.in")</f>
        <v>22f1000693@ds.study.iitm.ac.in</v>
      </c>
      <c r="J78" s="3">
        <f>IF(D78="No R1",0,VLOOKUP(C78,'Peer-Review'!B:D,2,0))</f>
        <v>10</v>
      </c>
      <c r="K78" s="3">
        <f>IF(D78="No R1",0,VLOOKUP(C78,'Peer-Review'!B:D,3,0))</f>
        <v>10</v>
      </c>
      <c r="L78" s="3">
        <f>IF(E78="No R2",0,VLOOKUP(C78,'Peer-Review'!F:H,2,0))</f>
        <v>0</v>
      </c>
      <c r="M78" s="3">
        <f>IF(E78="No R2",0,VLOOKUP(C78,'Peer-Review'!F:H,3,0))</f>
        <v>0</v>
      </c>
    </row>
    <row r="79" hidden="1">
      <c r="A79" s="3" t="str">
        <f>IFERROR(__xludf.DUMMYFUNCTION("""COMPUTED_VALUE"""),"21f2001301@ds.study.iitm.ac.in")</f>
        <v>21f2001301@ds.study.iitm.ac.in</v>
      </c>
      <c r="B79" s="3">
        <f>IFERROR(__xludf.DUMMYFUNCTION("""COMPUTED_VALUE"""),17.0)</f>
        <v>17</v>
      </c>
      <c r="C79" s="5" t="str">
        <f>IFERROR(__xludf.DUMMYFUNCTION("""COMPUTED_VALUE"""),"https://github.com/sn1411/chicago-github-users")</f>
        <v>https://github.com/sn1411/chicago-github-users</v>
      </c>
      <c r="D79" s="3" t="str">
        <f>IFERROR(VLOOKUP(C79,'Peer-Review'!B:J,9,0),"No R1")</f>
        <v>No R1</v>
      </c>
      <c r="E79" s="3" t="str">
        <f>IFERROR(VLOOKUP(C79,'Peer-Review'!F:J,5,0),"No R2")</f>
        <v>21f2001119@ds.study.iitm.ac.in</v>
      </c>
      <c r="F79" s="3">
        <f>COUNTIF('Peer-Review'!B:B,C79)+COUNTIF('Peer-Review'!F:F,C79)</f>
        <v>1</v>
      </c>
      <c r="G79" s="3">
        <f t="shared" si="1"/>
        <v>1</v>
      </c>
      <c r="H79" s="3" t="str">
        <f>IFERROR(__xludf.DUMMYFUNCTION("IFERROR(TRANSPOSE(FILTER('Peer-Review'!$J$2:$J$568,(TRIM('Peer-Review'!$B$2:$B$568)=C79 )+ (TRIM('Peer-Review'!$F$2:$F$568)=C79))),""No Reviews"")"),"21f2001119@ds.study.iitm.ac.in")</f>
        <v>21f2001119@ds.study.iitm.ac.in</v>
      </c>
      <c r="J79" s="3">
        <f>IF(D79="No R1",0,VLOOKUP(C79,'Peer-Review'!B:D,2,0))</f>
        <v>0</v>
      </c>
      <c r="K79" s="3">
        <f>IF(D79="No R1",0,VLOOKUP(C79,'Peer-Review'!B:D,3,0))</f>
        <v>0</v>
      </c>
      <c r="L79" s="3">
        <f>IF(E79="No R2",0,VLOOKUP(C79,'Peer-Review'!F:H,2,0))</f>
        <v>10</v>
      </c>
      <c r="M79" s="3">
        <f>IF(E79="No R2",0,VLOOKUP(C79,'Peer-Review'!F:H,3,0))</f>
        <v>10</v>
      </c>
    </row>
    <row r="80" hidden="1">
      <c r="A80" s="3" t="str">
        <f>IFERROR(__xludf.DUMMYFUNCTION("""COMPUTED_VALUE"""),"21f2001512@ds.study.iitm.ac.in")</f>
        <v>21f2001512@ds.study.iitm.ac.in</v>
      </c>
      <c r="B80" s="3">
        <f>IFERROR(__xludf.DUMMYFUNCTION("""COMPUTED_VALUE"""),17.0)</f>
        <v>17</v>
      </c>
      <c r="C80" s="5" t="str">
        <f>IFERROR(__xludf.DUMMYFUNCTION("""COMPUTED_VALUE"""),"https://github.com/vanshikaaraisinghani/TDSProjectt")</f>
        <v>https://github.com/vanshikaaraisinghani/TDSProjectt</v>
      </c>
      <c r="D80" s="3" t="str">
        <f>IFERROR(VLOOKUP(C80,'Peer-Review'!B:J,9,0),"No R1")</f>
        <v>No R1</v>
      </c>
      <c r="E80" s="3" t="str">
        <f>IFERROR(VLOOKUP(C80,'Peer-Review'!F:J,5,0),"No R2")</f>
        <v>21f2001301@ds.study.iitm.ac.in</v>
      </c>
      <c r="F80" s="3">
        <f>COUNTIF('Peer-Review'!B:B,C80)+COUNTIF('Peer-Review'!F:F,C80)</f>
        <v>2</v>
      </c>
      <c r="G80" s="3">
        <f t="shared" si="1"/>
        <v>1</v>
      </c>
      <c r="H80" s="3" t="str">
        <f>IFERROR(__xludf.DUMMYFUNCTION("IFERROR(TRANSPOSE(FILTER('Peer-Review'!$J$2:$J$568,(TRIM('Peer-Review'!$B$2:$B$568)=C80 )+ (TRIM('Peer-Review'!$F$2:$F$568)=C80))),""No Reviews"")"),"21f2001301@ds.study.iitm.ac.in")</f>
        <v>21f2001301@ds.study.iitm.ac.in</v>
      </c>
      <c r="I80" s="3" t="str">
        <f>IFERROR(__xludf.DUMMYFUNCTION("""COMPUTED_VALUE"""),"23f1001299@ds.study.iitm.ac.in")</f>
        <v>23f1001299@ds.study.iitm.ac.in</v>
      </c>
      <c r="J80" s="3">
        <f>IF(D80="No R1",0,VLOOKUP(C80,'Peer-Review'!B:D,2,0))</f>
        <v>0</v>
      </c>
      <c r="K80" s="3">
        <f>IF(D80="No R1",0,VLOOKUP(C80,'Peer-Review'!B:D,3,0))</f>
        <v>0</v>
      </c>
      <c r="L80" s="3">
        <f>IF(E80="No R2",0,VLOOKUP(C80,'Peer-Review'!F:H,2,0))</f>
        <v>0</v>
      </c>
      <c r="M80" s="3">
        <f>IF(E80="No R2",0,VLOOKUP(C80,'Peer-Review'!F:H,3,0))</f>
        <v>0</v>
      </c>
    </row>
    <row r="81" hidden="1">
      <c r="A81" s="3" t="str">
        <f>IFERROR(__xludf.DUMMYFUNCTION("""COMPUTED_VALUE"""),"21f2001525@ds.study.iitm.ac.in")</f>
        <v>21f2001525@ds.study.iitm.ac.in</v>
      </c>
      <c r="B81" s="3">
        <f>IFERROR(__xludf.DUMMYFUNCTION("""COMPUTED_VALUE"""),16.0)</f>
        <v>16</v>
      </c>
      <c r="C81" s="5" t="str">
        <f>IFERROR(__xludf.DUMMYFUNCTION("""COMPUTED_VALUE"""),"https://github.com/veenas2024/TdsGA1")</f>
        <v>https://github.com/veenas2024/TdsGA1</v>
      </c>
      <c r="D81" s="3" t="str">
        <f>IFERROR(VLOOKUP(C81,'Peer-Review'!B:J,9,0),"No R1")</f>
        <v>24f1001283@ds.study.iitm.ac.in</v>
      </c>
      <c r="E81" s="3" t="str">
        <f>IFERROR(VLOOKUP(C81,'Peer-Review'!F:J,5,0),"No R2")</f>
        <v>No R2</v>
      </c>
      <c r="F81" s="3">
        <f>COUNTIF('Peer-Review'!B:B,C81)+COUNTIF('Peer-Review'!F:F,C81)</f>
        <v>1</v>
      </c>
      <c r="G81" s="3">
        <f t="shared" si="1"/>
        <v>1</v>
      </c>
      <c r="H81" s="3" t="str">
        <f>IFERROR(__xludf.DUMMYFUNCTION("IFERROR(TRANSPOSE(FILTER('Peer-Review'!$J$2:$J$568,(TRIM('Peer-Review'!$B$2:$B$568)=C81 )+ (TRIM('Peer-Review'!$F$2:$F$568)=C81))),""No Reviews"")"),"24f1001283@ds.study.iitm.ac.in")</f>
        <v>24f1001283@ds.study.iitm.ac.in</v>
      </c>
      <c r="J81" s="3">
        <f>IF(D81="No R1",0,VLOOKUP(C81,'Peer-Review'!B:D,2,0))</f>
        <v>10</v>
      </c>
      <c r="K81" s="3">
        <f>IF(D81="No R1",0,VLOOKUP(C81,'Peer-Review'!B:D,3,0))</f>
        <v>0</v>
      </c>
      <c r="L81" s="3">
        <f>IF(E81="No R2",0,VLOOKUP(C81,'Peer-Review'!F:H,2,0))</f>
        <v>0</v>
      </c>
      <c r="M81" s="3">
        <f>IF(E81="No R2",0,VLOOKUP(C81,'Peer-Review'!F:H,3,0))</f>
        <v>0</v>
      </c>
    </row>
    <row r="82" hidden="1">
      <c r="A82" s="3" t="str">
        <f>IFERROR(__xludf.DUMMYFUNCTION("""COMPUTED_VALUE"""),"21f2001529@ds.study.iitm.ac.in")</f>
        <v>21f2001529@ds.study.iitm.ac.in</v>
      </c>
      <c r="B82" s="3">
        <f>IFERROR(__xludf.DUMMYFUNCTION("""COMPUTED_VALUE"""),11.0)</f>
        <v>11</v>
      </c>
      <c r="C82" s="5" t="str">
        <f>IFERROR(__xludf.DUMMYFUNCTION("""COMPUTED_VALUE"""),"https://github.com/vaibhavgupta-iitm/TDS-Project-1")</f>
        <v>https://github.com/vaibhavgupta-iitm/TDS-Project-1</v>
      </c>
      <c r="D82" s="3" t="str">
        <f>IFERROR(VLOOKUP(C82,'Peer-Review'!B:J,9,0),"No R1")</f>
        <v>23f2001942@ds.study.iitm.ac.in</v>
      </c>
      <c r="E82" s="3" t="str">
        <f>IFERROR(VLOOKUP(C82,'Peer-Review'!F:J,5,0),"No R2")</f>
        <v>No R2</v>
      </c>
      <c r="F82" s="3">
        <f>COUNTIF('Peer-Review'!B:B,C82)+COUNTIF('Peer-Review'!F:F,C82)</f>
        <v>1</v>
      </c>
      <c r="G82" s="3">
        <f t="shared" si="1"/>
        <v>1</v>
      </c>
      <c r="H82" s="3" t="str">
        <f>IFERROR(__xludf.DUMMYFUNCTION("IFERROR(TRANSPOSE(FILTER('Peer-Review'!$J$2:$J$568,(TRIM('Peer-Review'!$B$2:$B$568)=C82 )+ (TRIM('Peer-Review'!$F$2:$F$568)=C82))),""No Reviews"")"),"23f2001942@ds.study.iitm.ac.in")</f>
        <v>23f2001942@ds.study.iitm.ac.in</v>
      </c>
      <c r="J82" s="3">
        <f>IF(D82="No R1",0,VLOOKUP(C82,'Peer-Review'!B:D,2,0))</f>
        <v>0</v>
      </c>
      <c r="K82" s="3">
        <f>IF(D82="No R1",0,VLOOKUP(C82,'Peer-Review'!B:D,3,0))</f>
        <v>5</v>
      </c>
      <c r="L82" s="3">
        <f>IF(E82="No R2",0,VLOOKUP(C82,'Peer-Review'!F:H,2,0))</f>
        <v>0</v>
      </c>
      <c r="M82" s="3">
        <f>IF(E82="No R2",0,VLOOKUP(C82,'Peer-Review'!F:H,3,0))</f>
        <v>0</v>
      </c>
    </row>
    <row r="83">
      <c r="A83" s="3" t="str">
        <f>IFERROR(__xludf.DUMMYFUNCTION("""COMPUTED_VALUE"""),"21f2001536@ds.study.iitm.ac.in")</f>
        <v>21f2001536@ds.study.iitm.ac.in</v>
      </c>
      <c r="B83" s="3">
        <f>IFERROR(__xludf.DUMMYFUNCTION("""COMPUTED_VALUE"""),0.0)</f>
        <v>0</v>
      </c>
      <c r="C83" s="3"/>
      <c r="D83" s="3" t="str">
        <f>IFERROR(VLOOKUP(C83,'Peer-Review'!B:J,9,0),"No R1")</f>
        <v>No R1</v>
      </c>
      <c r="E83" s="3" t="str">
        <f>IFERROR(VLOOKUP(C83,'Peer-Review'!F:J,5,0),"No R2")</f>
        <v>No R2</v>
      </c>
      <c r="F83" s="3">
        <f>COUNTIF('Peer-Review'!B:B,C83)+COUNTIF('Peer-Review'!F:F,C83)</f>
        <v>0</v>
      </c>
      <c r="G83" s="3">
        <f t="shared" si="1"/>
        <v>0</v>
      </c>
      <c r="H83" s="3" t="str">
        <f>IFERROR(__xludf.DUMMYFUNCTION("IFERROR(TRANSPOSE(FILTER('Peer-Review'!$J$2:$J$568,(TRIM('Peer-Review'!$B$2:$B$568)=C83 )+ (TRIM('Peer-Review'!$F$2:$F$568)=C83))),""No Reviews"")"),"No Reviews")</f>
        <v>No Reviews</v>
      </c>
      <c r="J83" s="3">
        <f>IF(D83="No R1",0,VLOOKUP(C83,'Peer-Review'!B:D,2,0))</f>
        <v>0</v>
      </c>
      <c r="K83" s="3">
        <f>IF(D83="No R1",0,VLOOKUP(C83,'Peer-Review'!B:D,3,0))</f>
        <v>0</v>
      </c>
      <c r="L83" s="3">
        <f>IF(E83="No R2",0,VLOOKUP(C83,'Peer-Review'!F:H,2,0))</f>
        <v>0</v>
      </c>
      <c r="M83" s="3">
        <f>IF(E83="No R2",0,VLOOKUP(C83,'Peer-Review'!F:H,3,0))</f>
        <v>0</v>
      </c>
    </row>
    <row r="84" hidden="1">
      <c r="A84" s="3" t="str">
        <f>IFERROR(__xludf.DUMMYFUNCTION("""COMPUTED_VALUE"""),"21f2001565@ds.study.iitm.ac.in")</f>
        <v>21f2001565@ds.study.iitm.ac.in</v>
      </c>
      <c r="B84" s="3">
        <f>IFERROR(__xludf.DUMMYFUNCTION("""COMPUTED_VALUE"""),17.0)</f>
        <v>17</v>
      </c>
      <c r="C84" s="5" t="str">
        <f>IFERROR(__xludf.DUMMYFUNCTION("""COMPUTED_VALUE"""),"https://github.com/yaqoob56/TDS_Project_1")</f>
        <v>https://github.com/yaqoob56/TDS_Project_1</v>
      </c>
      <c r="D84" s="3" t="str">
        <f>IFERROR(VLOOKUP(C84,'Peer-Review'!B:J,9,0),"No R1")</f>
        <v>No R1</v>
      </c>
      <c r="E84" s="3" t="str">
        <f>IFERROR(VLOOKUP(C84,'Peer-Review'!F:J,5,0),"No R2")</f>
        <v>21f2001512@ds.study.iitm.ac.in</v>
      </c>
      <c r="F84" s="3">
        <f>COUNTIF('Peer-Review'!B:B,C84)+COUNTIF('Peer-Review'!F:F,C84)</f>
        <v>1</v>
      </c>
      <c r="G84" s="3">
        <f t="shared" si="1"/>
        <v>1</v>
      </c>
      <c r="H84" s="3" t="str">
        <f>IFERROR(__xludf.DUMMYFUNCTION("IFERROR(TRANSPOSE(FILTER('Peer-Review'!$J$2:$J$568,(TRIM('Peer-Review'!$B$2:$B$568)=C84 )+ (TRIM('Peer-Review'!$F$2:$F$568)=C84))),""No Reviews"")"),"21f2001512@ds.study.iitm.ac.in")</f>
        <v>21f2001512@ds.study.iitm.ac.in</v>
      </c>
      <c r="J84" s="3">
        <f>IF(D84="No R1",0,VLOOKUP(C84,'Peer-Review'!B:D,2,0))</f>
        <v>0</v>
      </c>
      <c r="K84" s="3">
        <f>IF(D84="No R1",0,VLOOKUP(C84,'Peer-Review'!B:D,3,0))</f>
        <v>0</v>
      </c>
      <c r="L84" s="3">
        <f>IF(E84="No R2",0,VLOOKUP(C84,'Peer-Review'!F:H,2,0))</f>
        <v>7</v>
      </c>
      <c r="M84" s="3">
        <f>IF(E84="No R2",0,VLOOKUP(C84,'Peer-Review'!F:H,3,0))</f>
        <v>7</v>
      </c>
    </row>
    <row r="85" hidden="1">
      <c r="A85" s="3" t="str">
        <f>IFERROR(__xludf.DUMMYFUNCTION("""COMPUTED_VALUE"""),"21f3000045@ds.study.iitm.ac.in")</f>
        <v>21f3000045@ds.study.iitm.ac.in</v>
      </c>
      <c r="B85" s="3">
        <f>IFERROR(__xludf.DUMMYFUNCTION("""COMPUTED_VALUE"""),15.0)</f>
        <v>15</v>
      </c>
      <c r="C85" s="5" t="str">
        <f>IFERROR(__xludf.DUMMYFUNCTION("""COMPUTED_VALUE"""),"https://github.com/Utkarsh002-winner/TDS_P1")</f>
        <v>https://github.com/Utkarsh002-winner/TDS_P1</v>
      </c>
      <c r="D85" s="3" t="str">
        <f>IFERROR(VLOOKUP(C85,'Peer-Review'!B:J,9,0),"No R1")</f>
        <v>23f2001106@ds.study.iitm.ac.in</v>
      </c>
      <c r="E85" s="3" t="str">
        <f>IFERROR(VLOOKUP(C85,'Peer-Review'!F:J,5,0),"No R2")</f>
        <v>No R2</v>
      </c>
      <c r="F85" s="3">
        <f>COUNTIF('Peer-Review'!B:B,C85)+COUNTIF('Peer-Review'!F:F,C85)</f>
        <v>1</v>
      </c>
      <c r="G85" s="3">
        <f t="shared" si="1"/>
        <v>1</v>
      </c>
      <c r="H85" s="3" t="str">
        <f>IFERROR(__xludf.DUMMYFUNCTION("IFERROR(TRANSPOSE(FILTER('Peer-Review'!$J$2:$J$568,(TRIM('Peer-Review'!$B$2:$B$568)=C85 )+ (TRIM('Peer-Review'!$F$2:$F$568)=C85))),""No Reviews"")"),"23f2001106@ds.study.iitm.ac.in")</f>
        <v>23f2001106@ds.study.iitm.ac.in</v>
      </c>
      <c r="J85" s="3">
        <f>IF(D85="No R1",0,VLOOKUP(C85,'Peer-Review'!B:D,2,0))</f>
        <v>0</v>
      </c>
      <c r="K85" s="3">
        <f>IF(D85="No R1",0,VLOOKUP(C85,'Peer-Review'!B:D,3,0))</f>
        <v>0</v>
      </c>
      <c r="L85" s="3">
        <f>IF(E85="No R2",0,VLOOKUP(C85,'Peer-Review'!F:H,2,0))</f>
        <v>0</v>
      </c>
      <c r="M85" s="3">
        <f>IF(E85="No R2",0,VLOOKUP(C85,'Peer-Review'!F:H,3,0))</f>
        <v>0</v>
      </c>
    </row>
    <row r="86" hidden="1">
      <c r="A86" s="3" t="str">
        <f>IFERROR(__xludf.DUMMYFUNCTION("""COMPUTED_VALUE"""),"21f3000051@ds.study.iitm.ac.in")</f>
        <v>21f3000051@ds.study.iitm.ac.in</v>
      </c>
      <c r="B86" s="3">
        <f>IFERROR(__xludf.DUMMYFUNCTION("""COMPUTED_VALUE"""),17.0)</f>
        <v>17</v>
      </c>
      <c r="C86" s="5" t="str">
        <f>IFERROR(__xludf.DUMMYFUNCTION("""COMPUTED_VALUE"""),"https://github.com/himanshu-IIT-M/project1")</f>
        <v>https://github.com/himanshu-IIT-M/project1</v>
      </c>
      <c r="D86" s="3" t="str">
        <f>IFERROR(VLOOKUP(C86,'Peer-Review'!B:J,9,0),"No R1")</f>
        <v>No R1</v>
      </c>
      <c r="E86" s="3" t="str">
        <f>IFERROR(VLOOKUP(C86,'Peer-Review'!F:J,5,0),"No R2")</f>
        <v>21f2001565@ds.study.iitm.ac.in</v>
      </c>
      <c r="F86" s="3">
        <f>COUNTIF('Peer-Review'!B:B,C86)+COUNTIF('Peer-Review'!F:F,C86)</f>
        <v>1</v>
      </c>
      <c r="G86" s="3">
        <f t="shared" si="1"/>
        <v>1</v>
      </c>
      <c r="H86" s="3" t="str">
        <f>IFERROR(__xludf.DUMMYFUNCTION("IFERROR(TRANSPOSE(FILTER('Peer-Review'!$J$2:$J$568,(TRIM('Peer-Review'!$B$2:$B$568)=C86 )+ (TRIM('Peer-Review'!$F$2:$F$568)=C86))),""No Reviews"")"),"21f2001565@ds.study.iitm.ac.in")</f>
        <v>21f2001565@ds.study.iitm.ac.in</v>
      </c>
      <c r="J86" s="3">
        <f>IF(D86="No R1",0,VLOOKUP(C86,'Peer-Review'!B:D,2,0))</f>
        <v>0</v>
      </c>
      <c r="K86" s="3">
        <f>IF(D86="No R1",0,VLOOKUP(C86,'Peer-Review'!B:D,3,0))</f>
        <v>0</v>
      </c>
      <c r="L86" s="3">
        <f>IF(E86="No R2",0,VLOOKUP(C86,'Peer-Review'!F:H,2,0))</f>
        <v>1</v>
      </c>
      <c r="M86" s="3">
        <f>IF(E86="No R2",0,VLOOKUP(C86,'Peer-Review'!F:H,3,0))</f>
        <v>0</v>
      </c>
    </row>
    <row r="87" hidden="1">
      <c r="A87" s="3" t="str">
        <f>IFERROR(__xludf.DUMMYFUNCTION("""COMPUTED_VALUE"""),"21f3000105@ds.study.iitm.ac.in")</f>
        <v>21f3000105@ds.study.iitm.ac.in</v>
      </c>
      <c r="B87" s="3">
        <f>IFERROR(__xludf.DUMMYFUNCTION("""COMPUTED_VALUE"""),16.0)</f>
        <v>16</v>
      </c>
      <c r="C87" s="5" t="str">
        <f>IFERROR(__xludf.DUMMYFUNCTION("""COMPUTED_VALUE"""),"https://github.com/21f3000105/Basel-10_TDS-Project-1/")</f>
        <v>https://github.com/21f3000105/Basel-10_TDS-Project-1/</v>
      </c>
      <c r="D87" s="3" t="str">
        <f>IFERROR(VLOOKUP(C87,'Peer-Review'!B:J,9,0),"No R1")</f>
        <v>24f1001336@ds.study.iitm.ac.in</v>
      </c>
      <c r="E87" s="3" t="str">
        <f>IFERROR(VLOOKUP(C87,'Peer-Review'!F:J,5,0),"No R2")</f>
        <v>No R2</v>
      </c>
      <c r="F87" s="3">
        <f>COUNTIF('Peer-Review'!B:B,C87)+COUNTIF('Peer-Review'!F:F,C87)</f>
        <v>2</v>
      </c>
      <c r="G87" s="3">
        <f t="shared" si="1"/>
        <v>1</v>
      </c>
      <c r="H87" s="3" t="str">
        <f>IFERROR(__xludf.DUMMYFUNCTION("IFERROR(TRANSPOSE(FILTER('Peer-Review'!$J$2:$J$568,(TRIM('Peer-Review'!$B$2:$B$568)=C87 )+ (TRIM('Peer-Review'!$F$2:$F$568)=C87))),""No Reviews"")"),"24f1001336@ds.study.iitm.ac.in")</f>
        <v>24f1001336@ds.study.iitm.ac.in</v>
      </c>
      <c r="I87" s="3" t="str">
        <f>IFERROR(__xludf.DUMMYFUNCTION("""COMPUTED_VALUE"""),"21f3000413@ds.study.iitm.ac.in")</f>
        <v>21f3000413@ds.study.iitm.ac.in</v>
      </c>
      <c r="J87" s="3">
        <f>IF(D87="No R1",0,VLOOKUP(C87,'Peer-Review'!B:D,2,0))</f>
        <v>8</v>
      </c>
      <c r="K87" s="3">
        <f>IF(D87="No R1",0,VLOOKUP(C87,'Peer-Review'!B:D,3,0))</f>
        <v>10</v>
      </c>
      <c r="L87" s="3">
        <f>IF(E87="No R2",0,VLOOKUP(C87,'Peer-Review'!F:H,2,0))</f>
        <v>0</v>
      </c>
      <c r="M87" s="3">
        <f>IF(E87="No R2",0,VLOOKUP(C87,'Peer-Review'!F:H,3,0))</f>
        <v>0</v>
      </c>
    </row>
    <row r="88" hidden="1">
      <c r="A88" s="3" t="str">
        <f>IFERROR(__xludf.DUMMYFUNCTION("""COMPUTED_VALUE"""),"21f3000133@ds.study.iitm.ac.in")</f>
        <v>21f3000133@ds.study.iitm.ac.in</v>
      </c>
      <c r="B88" s="3">
        <f>IFERROR(__xludf.DUMMYFUNCTION("""COMPUTED_VALUE"""),11.0)</f>
        <v>11</v>
      </c>
      <c r="C88" s="5" t="str">
        <f>IFERROR(__xludf.DUMMYFUNCTION("""COMPUTED_VALUE"""),"https://github.com/iitmadvaith/tds")</f>
        <v>https://github.com/iitmadvaith/tds</v>
      </c>
      <c r="D88" s="3" t="str">
        <f>IFERROR(VLOOKUP(C88,'Peer-Review'!B:J,9,0),"No R1")</f>
        <v>23f2002351@ds.study.iitm.ac.in</v>
      </c>
      <c r="E88" s="3" t="str">
        <f>IFERROR(VLOOKUP(C88,'Peer-Review'!F:J,5,0),"No R2")</f>
        <v>No R2</v>
      </c>
      <c r="F88" s="3">
        <f>COUNTIF('Peer-Review'!B:B,C88)+COUNTIF('Peer-Review'!F:F,C88)</f>
        <v>2</v>
      </c>
      <c r="G88" s="3">
        <f t="shared" si="1"/>
        <v>1</v>
      </c>
      <c r="H88" s="3" t="str">
        <f>IFERROR(__xludf.DUMMYFUNCTION("IFERROR(TRANSPOSE(FILTER('Peer-Review'!$J$2:$J$568,(TRIM('Peer-Review'!$B$2:$B$568)=C88 )+ (TRIM('Peer-Review'!$F$2:$F$568)=C88))),""No Reviews"")"),"23f2002351@ds.study.iitm.ac.in")</f>
        <v>23f2002351@ds.study.iitm.ac.in</v>
      </c>
      <c r="I88" s="3" t="str">
        <f>IFERROR(__xludf.DUMMYFUNCTION("""COMPUTED_VALUE"""),"21f3000177@ds.study.iitm.ac.in")</f>
        <v>21f3000177@ds.study.iitm.ac.in</v>
      </c>
      <c r="J88" s="3">
        <f>IF(D88="No R1",0,VLOOKUP(C88,'Peer-Review'!B:D,2,0))</f>
        <v>8</v>
      </c>
      <c r="K88" s="3">
        <f>IF(D88="No R1",0,VLOOKUP(C88,'Peer-Review'!B:D,3,0))</f>
        <v>7</v>
      </c>
      <c r="L88" s="3">
        <f>IF(E88="No R2",0,VLOOKUP(C88,'Peer-Review'!F:H,2,0))</f>
        <v>0</v>
      </c>
      <c r="M88" s="3">
        <f>IF(E88="No R2",0,VLOOKUP(C88,'Peer-Review'!F:H,3,0))</f>
        <v>0</v>
      </c>
    </row>
    <row r="89" hidden="1">
      <c r="A89" s="3" t="str">
        <f>IFERROR(__xludf.DUMMYFUNCTION("""COMPUTED_VALUE"""),"21f3000168@ds.study.iitm.ac.in")</f>
        <v>21f3000168@ds.study.iitm.ac.in</v>
      </c>
      <c r="B89" s="3">
        <f>IFERROR(__xludf.DUMMYFUNCTION("""COMPUTED_VALUE"""),12.0)</f>
        <v>12</v>
      </c>
      <c r="C89" s="5" t="str">
        <f>IFERROR(__xludf.DUMMYFUNCTION("""COMPUTED_VALUE"""),"https://github.com/sourav08nitp/tds-project-1")</f>
        <v>https://github.com/sourav08nitp/tds-project-1</v>
      </c>
      <c r="D89" s="3" t="str">
        <f>IFERROR(VLOOKUP(C89,'Peer-Review'!B:J,9,0),"No R1")</f>
        <v>21f3000585@ds.study.iitm.ac.in</v>
      </c>
      <c r="E89" s="3" t="str">
        <f>IFERROR(VLOOKUP(C89,'Peer-Review'!F:J,5,0),"No R2")</f>
        <v>No R2</v>
      </c>
      <c r="F89" s="3">
        <f>COUNTIF('Peer-Review'!B:B,C89)+COUNTIF('Peer-Review'!F:F,C89)</f>
        <v>1</v>
      </c>
      <c r="G89" s="3">
        <f t="shared" si="1"/>
        <v>1</v>
      </c>
      <c r="H89" s="3" t="str">
        <f>IFERROR(__xludf.DUMMYFUNCTION("IFERROR(TRANSPOSE(FILTER('Peer-Review'!$J$2:$J$568,(TRIM('Peer-Review'!$B$2:$B$568)=C89 )+ (TRIM('Peer-Review'!$F$2:$F$568)=C89))),""No Reviews"")"),"21f3000585@ds.study.iitm.ac.in")</f>
        <v>21f3000585@ds.study.iitm.ac.in</v>
      </c>
      <c r="J89" s="3">
        <f>IF(D89="No R1",0,VLOOKUP(C89,'Peer-Review'!B:D,2,0))</f>
        <v>9</v>
      </c>
      <c r="K89" s="3">
        <f>IF(D89="No R1",0,VLOOKUP(C89,'Peer-Review'!B:D,3,0))</f>
        <v>9</v>
      </c>
      <c r="L89" s="3">
        <f>IF(E89="No R2",0,VLOOKUP(C89,'Peer-Review'!F:H,2,0))</f>
        <v>0</v>
      </c>
      <c r="M89" s="3">
        <f>IF(E89="No R2",0,VLOOKUP(C89,'Peer-Review'!F:H,3,0))</f>
        <v>0</v>
      </c>
    </row>
    <row r="90" hidden="1">
      <c r="A90" s="3" t="str">
        <f>IFERROR(__xludf.DUMMYFUNCTION("""COMPUTED_VALUE"""),"21f3000177@ds.study.iitm.ac.in")</f>
        <v>21f3000177@ds.study.iitm.ac.in</v>
      </c>
      <c r="B90" s="3">
        <f>IFERROR(__xludf.DUMMYFUNCTION("""COMPUTED_VALUE"""),11.0)</f>
        <v>11</v>
      </c>
      <c r="C90" s="5" t="str">
        <f>IFERROR(__xludf.DUMMYFUNCTION("""COMPUTED_VALUE"""),"https://github.com/21f3000177/tds_project1")</f>
        <v>https://github.com/21f3000177/tds_project1</v>
      </c>
      <c r="D90" s="3" t="str">
        <f>IFERROR(VLOOKUP(C90,'Peer-Review'!B:J,9,0),"No R1")</f>
        <v>23f2002871@ds.study.iitm.ac.in</v>
      </c>
      <c r="E90" s="3" t="str">
        <f>IFERROR(VLOOKUP(C90,'Peer-Review'!F:J,5,0),"No R2")</f>
        <v>No R2</v>
      </c>
      <c r="F90" s="3">
        <f>COUNTIF('Peer-Review'!B:B,C90)+COUNTIF('Peer-Review'!F:F,C90)</f>
        <v>2</v>
      </c>
      <c r="G90" s="3">
        <f t="shared" si="1"/>
        <v>1</v>
      </c>
      <c r="H90" s="3" t="str">
        <f>IFERROR(__xludf.DUMMYFUNCTION("IFERROR(TRANSPOSE(FILTER('Peer-Review'!$J$2:$J$568,(TRIM('Peer-Review'!$B$2:$B$568)=C90 )+ (TRIM('Peer-Review'!$F$2:$F$568)=C90))),""No Reviews"")"),"23f2002871@ds.study.iitm.ac.in")</f>
        <v>23f2002871@ds.study.iitm.ac.in</v>
      </c>
      <c r="I90" s="3" t="str">
        <f>IFERROR(__xludf.DUMMYFUNCTION("""COMPUTED_VALUE"""),"21f3000745@ds.study.iitm.ac.in")</f>
        <v>21f3000745@ds.study.iitm.ac.in</v>
      </c>
      <c r="J90" s="3">
        <f>IF(D90="No R1",0,VLOOKUP(C90,'Peer-Review'!B:D,2,0))</f>
        <v>10</v>
      </c>
      <c r="K90" s="3">
        <f>IF(D90="No R1",0,VLOOKUP(C90,'Peer-Review'!B:D,3,0))</f>
        <v>10</v>
      </c>
      <c r="L90" s="3">
        <f>IF(E90="No R2",0,VLOOKUP(C90,'Peer-Review'!F:H,2,0))</f>
        <v>0</v>
      </c>
      <c r="M90" s="3">
        <f>IF(E90="No R2",0,VLOOKUP(C90,'Peer-Review'!F:H,3,0))</f>
        <v>0</v>
      </c>
    </row>
    <row r="91" hidden="1">
      <c r="A91" s="3" t="str">
        <f>IFERROR(__xludf.DUMMYFUNCTION("""COMPUTED_VALUE"""),"21f3000201@ds.study.iitm.ac.in")</f>
        <v>21f3000201@ds.study.iitm.ac.in</v>
      </c>
      <c r="B91" s="3">
        <f>IFERROR(__xludf.DUMMYFUNCTION("""COMPUTED_VALUE"""),15.0)</f>
        <v>15</v>
      </c>
      <c r="C91" s="5" t="str">
        <f>IFERROR(__xludf.DUMMYFUNCTION("""COMPUTED_VALUE"""),"https://github.com/abhistjain/Project_tds")</f>
        <v>https://github.com/abhistjain/Project_tds</v>
      </c>
      <c r="D91" s="3" t="str">
        <f>IFERROR(VLOOKUP(C91,'Peer-Review'!B:J,9,0),"No R1")</f>
        <v>23f2001421@ds.study.iitm.ac.in</v>
      </c>
      <c r="E91" s="3" t="str">
        <f>IFERROR(VLOOKUP(C91,'Peer-Review'!F:J,5,0),"No R2")</f>
        <v>21f3000279@ds.study.iitm.ac.in</v>
      </c>
      <c r="F91" s="3">
        <f>COUNTIF('Peer-Review'!B:B,C91)+COUNTIF('Peer-Review'!F:F,C91)</f>
        <v>2</v>
      </c>
      <c r="G91" s="3">
        <f t="shared" si="1"/>
        <v>2</v>
      </c>
      <c r="H91" s="3" t="str">
        <f>IFERROR(__xludf.DUMMYFUNCTION("IFERROR(TRANSPOSE(FILTER('Peer-Review'!$J$2:$J$568,(TRIM('Peer-Review'!$B$2:$B$568)=C91 )+ (TRIM('Peer-Review'!$F$2:$F$568)=C91))),""No Reviews"")"),"23f2001421@ds.study.iitm.ac.in")</f>
        <v>23f2001421@ds.study.iitm.ac.in</v>
      </c>
      <c r="I91" s="3" t="str">
        <f>IFERROR(__xludf.DUMMYFUNCTION("""COMPUTED_VALUE"""),"21f3000279@ds.study.iitm.ac.in")</f>
        <v>21f3000279@ds.study.iitm.ac.in</v>
      </c>
      <c r="J91" s="3">
        <f>IF(D91="No R1",0,VLOOKUP(C91,'Peer-Review'!B:D,2,0))</f>
        <v>10</v>
      </c>
      <c r="K91" s="3">
        <f>IF(D91="No R1",0,VLOOKUP(C91,'Peer-Review'!B:D,3,0))</f>
        <v>10</v>
      </c>
      <c r="L91" s="3">
        <f>IF(E91="No R2",0,VLOOKUP(C91,'Peer-Review'!F:H,2,0))</f>
        <v>7</v>
      </c>
      <c r="M91" s="3">
        <f>IF(E91="No R2",0,VLOOKUP(C91,'Peer-Review'!F:H,3,0))</f>
        <v>8</v>
      </c>
    </row>
    <row r="92" hidden="1">
      <c r="A92" s="3" t="str">
        <f>IFERROR(__xludf.DUMMYFUNCTION("""COMPUTED_VALUE"""),"21f3000243@ds.study.iitm.ac.in")</f>
        <v>21f3000243@ds.study.iitm.ac.in</v>
      </c>
      <c r="B92" s="3">
        <f>IFERROR(__xludf.DUMMYFUNCTION("""COMPUTED_VALUE"""),17.0)</f>
        <v>17</v>
      </c>
      <c r="C92" s="5" t="str">
        <f>IFERROR(__xludf.DUMMYFUNCTION("""COMPUTED_VALUE"""),"https://github.com/nemo0002/Tds_proj_1")</f>
        <v>https://github.com/nemo0002/Tds_proj_1</v>
      </c>
      <c r="D92" s="3" t="str">
        <f>IFERROR(VLOOKUP(C92,'Peer-Review'!B:J,9,0),"No R1")</f>
        <v>No R1</v>
      </c>
      <c r="E92" s="3" t="str">
        <f>IFERROR(VLOOKUP(C92,'Peer-Review'!F:J,5,0),"No R2")</f>
        <v>21f3000051@ds.study.iitm.ac.in</v>
      </c>
      <c r="F92" s="3">
        <f>COUNTIF('Peer-Review'!B:B,C92)+COUNTIF('Peer-Review'!F:F,C92)</f>
        <v>1</v>
      </c>
      <c r="G92" s="3">
        <f t="shared" si="1"/>
        <v>1</v>
      </c>
      <c r="H92" s="3" t="str">
        <f>IFERROR(__xludf.DUMMYFUNCTION("IFERROR(TRANSPOSE(FILTER('Peer-Review'!$J$2:$J$568,(TRIM('Peer-Review'!$B$2:$B$568)=C92 )+ (TRIM('Peer-Review'!$F$2:$F$568)=C92))),""No Reviews"")"),"21f3000051@ds.study.iitm.ac.in")</f>
        <v>21f3000051@ds.study.iitm.ac.in</v>
      </c>
      <c r="J92" s="3">
        <f>IF(D92="No R1",0,VLOOKUP(C92,'Peer-Review'!B:D,2,0))</f>
        <v>0</v>
      </c>
      <c r="K92" s="3">
        <f>IF(D92="No R1",0,VLOOKUP(C92,'Peer-Review'!B:D,3,0))</f>
        <v>0</v>
      </c>
      <c r="L92" s="3">
        <f>IF(E92="No R2",0,VLOOKUP(C92,'Peer-Review'!F:H,2,0))</f>
        <v>9</v>
      </c>
      <c r="M92" s="3">
        <f>IF(E92="No R2",0,VLOOKUP(C92,'Peer-Review'!F:H,3,0))</f>
        <v>8</v>
      </c>
    </row>
    <row r="93" hidden="1">
      <c r="A93" s="3" t="str">
        <f>IFERROR(__xludf.DUMMYFUNCTION("""COMPUTED_VALUE"""),"21f3000279@ds.study.iitm.ac.in")</f>
        <v>21f3000279@ds.study.iitm.ac.in</v>
      </c>
      <c r="B93" s="3">
        <f>IFERROR(__xludf.DUMMYFUNCTION("""COMPUTED_VALUE"""),15.0)</f>
        <v>15</v>
      </c>
      <c r="C93" s="5" t="str">
        <f>IFERROR(__xludf.DUMMYFUNCTION("""COMPUTED_VALUE"""),"https://github.com/Naveenkumaar/Project1_TDS")</f>
        <v>https://github.com/Naveenkumaar/Project1_TDS</v>
      </c>
      <c r="D93" s="3" t="str">
        <f>IFERROR(VLOOKUP(C93,'Peer-Review'!B:J,9,0),"No R1")</f>
        <v>23f2001696@ds.study.iitm.ac.in</v>
      </c>
      <c r="E93" s="3" t="str">
        <f>IFERROR(VLOOKUP(C93,'Peer-Review'!F:J,5,0),"No R2")</f>
        <v>No R2</v>
      </c>
      <c r="F93" s="3">
        <f>COUNTIF('Peer-Review'!B:B,C93)+COUNTIF('Peer-Review'!F:F,C93)</f>
        <v>1</v>
      </c>
      <c r="G93" s="3">
        <f t="shared" si="1"/>
        <v>1</v>
      </c>
      <c r="H93" s="3" t="str">
        <f>IFERROR(__xludf.DUMMYFUNCTION("IFERROR(TRANSPOSE(FILTER('Peer-Review'!$J$2:$J$568,(TRIM('Peer-Review'!$B$2:$B$568)=C93 )+ (TRIM('Peer-Review'!$F$2:$F$568)=C93))),""No Reviews"")"),"23f2001696@ds.study.iitm.ac.in")</f>
        <v>23f2001696@ds.study.iitm.ac.in</v>
      </c>
      <c r="J93" s="3">
        <f>IF(D93="No R1",0,VLOOKUP(C93,'Peer-Review'!B:D,2,0))</f>
        <v>4</v>
      </c>
      <c r="K93" s="3">
        <f>IF(D93="No R1",0,VLOOKUP(C93,'Peer-Review'!B:D,3,0))</f>
        <v>10</v>
      </c>
      <c r="L93" s="3">
        <f>IF(E93="No R2",0,VLOOKUP(C93,'Peer-Review'!F:H,2,0))</f>
        <v>0</v>
      </c>
      <c r="M93" s="3">
        <f>IF(E93="No R2",0,VLOOKUP(C93,'Peer-Review'!F:H,3,0))</f>
        <v>0</v>
      </c>
    </row>
    <row r="94" hidden="1">
      <c r="A94" s="3" t="str">
        <f>IFERROR(__xludf.DUMMYFUNCTION("""COMPUTED_VALUE"""),"21f3000328@ds.study.iitm.ac.in")</f>
        <v>21f3000328@ds.study.iitm.ac.in</v>
      </c>
      <c r="B94" s="3">
        <f>IFERROR(__xludf.DUMMYFUNCTION("""COMPUTED_VALUE"""),13.0)</f>
        <v>13</v>
      </c>
      <c r="C94" s="5" t="str">
        <f>IFERROR(__xludf.DUMMYFUNCTION("""COMPUTED_VALUE"""),"https://github.com/Pragati2001589/my_repository")</f>
        <v>https://github.com/Pragati2001589/my_repository</v>
      </c>
      <c r="D94" s="3" t="str">
        <f>IFERROR(VLOOKUP(C94,'Peer-Review'!B:J,9,0),"No R1")</f>
        <v>21f3002397@ds.study.iitm.ac.in</v>
      </c>
      <c r="E94" s="3" t="str">
        <f>IFERROR(VLOOKUP(C94,'Peer-Review'!F:J,5,0),"No R2")</f>
        <v>22f1000894@ds.study.iitm.ac.in</v>
      </c>
      <c r="F94" s="3">
        <f>COUNTIF('Peer-Review'!B:B,C94)+COUNTIF('Peer-Review'!F:F,C94)</f>
        <v>2</v>
      </c>
      <c r="G94" s="3">
        <f t="shared" si="1"/>
        <v>2</v>
      </c>
      <c r="H94" s="3" t="str">
        <f>IFERROR(__xludf.DUMMYFUNCTION("IFERROR(TRANSPOSE(FILTER('Peer-Review'!$J$2:$J$568,(TRIM('Peer-Review'!$B$2:$B$568)=C94 )+ (TRIM('Peer-Review'!$F$2:$F$568)=C94))),""No Reviews"")"),"21f3002397@ds.study.iitm.ac.in")</f>
        <v>21f3002397@ds.study.iitm.ac.in</v>
      </c>
      <c r="I94" s="3" t="str">
        <f>IFERROR(__xludf.DUMMYFUNCTION("""COMPUTED_VALUE"""),"22f1000894@ds.study.iitm.ac.in")</f>
        <v>22f1000894@ds.study.iitm.ac.in</v>
      </c>
      <c r="J94" s="3">
        <f>IF(D94="No R1",0,VLOOKUP(C94,'Peer-Review'!B:D,2,0))</f>
        <v>8</v>
      </c>
      <c r="K94" s="3">
        <f>IF(D94="No R1",0,VLOOKUP(C94,'Peer-Review'!B:D,3,0))</f>
        <v>10</v>
      </c>
      <c r="L94" s="3">
        <f>IF(E94="No R2",0,VLOOKUP(C94,'Peer-Review'!F:H,2,0))</f>
        <v>10</v>
      </c>
      <c r="M94" s="3">
        <f>IF(E94="No R2",0,VLOOKUP(C94,'Peer-Review'!F:H,3,0))</f>
        <v>9</v>
      </c>
    </row>
    <row r="95" hidden="1">
      <c r="A95" s="3" t="str">
        <f>IFERROR(__xludf.DUMMYFUNCTION("""COMPUTED_VALUE"""),"21f3000331@ds.study.iitm.ac.in")</f>
        <v>21f3000331@ds.study.iitm.ac.in</v>
      </c>
      <c r="B95" s="3">
        <f>IFERROR(__xludf.DUMMYFUNCTION("""COMPUTED_VALUE"""),17.0)</f>
        <v>17</v>
      </c>
      <c r="C95" s="5" t="str">
        <f>IFERROR(__xludf.DUMMYFUNCTION("""COMPUTED_VALUE"""),"https://github.com/basubinayak/tds-project-1")</f>
        <v>https://github.com/basubinayak/tds-project-1</v>
      </c>
      <c r="D95" s="3" t="str">
        <f>IFERROR(VLOOKUP(C95,'Peer-Review'!B:J,9,0),"No R1")</f>
        <v>No R1</v>
      </c>
      <c r="E95" s="3" t="str">
        <f>IFERROR(VLOOKUP(C95,'Peer-Review'!F:J,5,0),"No R2")</f>
        <v>21f3000243@ds.study.iitm.ac.in</v>
      </c>
      <c r="F95" s="3">
        <f>COUNTIF('Peer-Review'!B:B,C95)+COUNTIF('Peer-Review'!F:F,C95)</f>
        <v>1</v>
      </c>
      <c r="G95" s="3">
        <f t="shared" si="1"/>
        <v>1</v>
      </c>
      <c r="H95" s="3" t="str">
        <f>IFERROR(__xludf.DUMMYFUNCTION("IFERROR(TRANSPOSE(FILTER('Peer-Review'!$J$2:$J$568,(TRIM('Peer-Review'!$B$2:$B$568)=C95 )+ (TRIM('Peer-Review'!$F$2:$F$568)=C95))),""No Reviews"")"),"21f3000243@ds.study.iitm.ac.in")</f>
        <v>21f3000243@ds.study.iitm.ac.in</v>
      </c>
      <c r="J95" s="3">
        <f>IF(D95="No R1",0,VLOOKUP(C95,'Peer-Review'!B:D,2,0))</f>
        <v>0</v>
      </c>
      <c r="K95" s="3">
        <f>IF(D95="No R1",0,VLOOKUP(C95,'Peer-Review'!B:D,3,0))</f>
        <v>0</v>
      </c>
      <c r="L95" s="3">
        <f>IF(E95="No R2",0,VLOOKUP(C95,'Peer-Review'!F:H,2,0))</f>
        <v>10</v>
      </c>
      <c r="M95" s="3">
        <f>IF(E95="No R2",0,VLOOKUP(C95,'Peer-Review'!F:H,3,0))</f>
        <v>10</v>
      </c>
    </row>
    <row r="96" hidden="1">
      <c r="A96" s="3" t="str">
        <f>IFERROR(__xludf.DUMMYFUNCTION("""COMPUTED_VALUE"""),"21f3000401@ds.study.iitm.ac.in")</f>
        <v>21f3000401@ds.study.iitm.ac.in</v>
      </c>
      <c r="B96" s="3">
        <f>IFERROR(__xludf.DUMMYFUNCTION("""COMPUTED_VALUE"""),0.0)</f>
        <v>0</v>
      </c>
      <c r="C96" s="3" t="str">
        <f>IFERROR(__xludf.DUMMYFUNCTION("""COMPUTED_VALUE"""),"https://github.com/[Mihir150485]/[github-user-scraper.git]")</f>
        <v>https://github.com/[Mihir150485]/[github-user-scraper.git]</v>
      </c>
      <c r="D96" s="3" t="str">
        <f>IFERROR(VLOOKUP(C96,'Peer-Review'!B:J,9,0),"No R1")</f>
        <v>No R1</v>
      </c>
      <c r="E96" s="3" t="str">
        <f>IFERROR(VLOOKUP(C96,'Peer-Review'!F:J,5,0),"No R2")</f>
        <v>No R2</v>
      </c>
      <c r="F96" s="3">
        <f>COUNTIF('Peer-Review'!B:B,C96)+COUNTIF('Peer-Review'!F:F,C96)</f>
        <v>0</v>
      </c>
      <c r="G96" s="3">
        <f t="shared" si="1"/>
        <v>0</v>
      </c>
      <c r="H96" s="3" t="str">
        <f>IFERROR(__xludf.DUMMYFUNCTION("IFERROR(TRANSPOSE(FILTER('Peer-Review'!$J$2:$J$568,(TRIM('Peer-Review'!$B$2:$B$568)=C96 )+ (TRIM('Peer-Review'!$F$2:$F$568)=C96))),""No Reviews"")"),"No Reviews")</f>
        <v>No Reviews</v>
      </c>
      <c r="J96" s="3">
        <f>IF(D96="No R1",0,VLOOKUP(C96,'Peer-Review'!B:D,2,0))</f>
        <v>0</v>
      </c>
      <c r="K96" s="3">
        <f>IF(D96="No R1",0,VLOOKUP(C96,'Peer-Review'!B:D,3,0))</f>
        <v>0</v>
      </c>
      <c r="L96" s="3">
        <f>IF(E96="No R2",0,VLOOKUP(C96,'Peer-Review'!F:H,2,0))</f>
        <v>0</v>
      </c>
      <c r="M96" s="3">
        <f>IF(E96="No R2",0,VLOOKUP(C96,'Peer-Review'!F:H,3,0))</f>
        <v>0</v>
      </c>
    </row>
    <row r="97" hidden="1">
      <c r="A97" s="3" t="str">
        <f>IFERROR(__xludf.DUMMYFUNCTION("""COMPUTED_VALUE"""),"21f3000413@ds.study.iitm.ac.in")</f>
        <v>21f3000413@ds.study.iitm.ac.in</v>
      </c>
      <c r="B97" s="3">
        <f>IFERROR(__xludf.DUMMYFUNCTION("""COMPUTED_VALUE"""),16.0)</f>
        <v>16</v>
      </c>
      <c r="C97" s="5" t="str">
        <f>IFERROR(__xludf.DUMMYFUNCTION("""COMPUTED_VALUE"""),"https://github.com/techshad/TDS-Project")</f>
        <v>https://github.com/techshad/TDS-Project</v>
      </c>
      <c r="D97" s="3" t="str">
        <f>IFERROR(VLOOKUP(C97,'Peer-Review'!B:J,9,0),"No R1")</f>
        <v>24f1002025@ds.study.iitm.ac.in</v>
      </c>
      <c r="E97" s="3" t="str">
        <f>IFERROR(VLOOKUP(C97,'Peer-Review'!F:J,5,0),"No R2")</f>
        <v>No R2</v>
      </c>
      <c r="F97" s="3">
        <f>COUNTIF('Peer-Review'!B:B,C97)+COUNTIF('Peer-Review'!F:F,C97)</f>
        <v>2</v>
      </c>
      <c r="G97" s="3">
        <f t="shared" si="1"/>
        <v>1</v>
      </c>
      <c r="H97" s="3" t="str">
        <f>IFERROR(__xludf.DUMMYFUNCTION("IFERROR(TRANSPOSE(FILTER('Peer-Review'!$J$2:$J$568,(TRIM('Peer-Review'!$B$2:$B$568)=C97 )+ (TRIM('Peer-Review'!$F$2:$F$568)=C97))),""No Reviews"")"),"24f1002025@ds.study.iitm.ac.in")</f>
        <v>24f1002025@ds.study.iitm.ac.in</v>
      </c>
      <c r="I97" s="3" t="str">
        <f>IFERROR(__xludf.DUMMYFUNCTION("""COMPUTED_VALUE"""),"21f3000700@ds.study.iitm.ac.in")</f>
        <v>21f3000700@ds.study.iitm.ac.in</v>
      </c>
      <c r="J97" s="3">
        <f>IF(D97="No R1",0,VLOOKUP(C97,'Peer-Review'!B:D,2,0))</f>
        <v>9</v>
      </c>
      <c r="K97" s="3">
        <f>IF(D97="No R1",0,VLOOKUP(C97,'Peer-Review'!B:D,3,0))</f>
        <v>8</v>
      </c>
      <c r="L97" s="3">
        <f>IF(E97="No R2",0,VLOOKUP(C97,'Peer-Review'!F:H,2,0))</f>
        <v>0</v>
      </c>
      <c r="M97" s="3">
        <f>IF(E97="No R2",0,VLOOKUP(C97,'Peer-Review'!F:H,3,0))</f>
        <v>0</v>
      </c>
    </row>
    <row r="98">
      <c r="A98" s="3" t="str">
        <f>IFERROR(__xludf.DUMMYFUNCTION("""COMPUTED_VALUE"""),"21f3000428@ds.study.iitm.ac.in")</f>
        <v>21f3000428@ds.study.iitm.ac.in</v>
      </c>
      <c r="B98" s="3">
        <f>IFERROR(__xludf.DUMMYFUNCTION("""COMPUTED_VALUE"""),0.0)</f>
        <v>0</v>
      </c>
      <c r="C98" s="3"/>
      <c r="D98" s="3" t="str">
        <f>IFERROR(VLOOKUP(C98,'Peer-Review'!B:J,9,0),"No R1")</f>
        <v>No R1</v>
      </c>
      <c r="E98" s="3" t="str">
        <f>IFERROR(VLOOKUP(C98,'Peer-Review'!F:J,5,0),"No R2")</f>
        <v>No R2</v>
      </c>
      <c r="F98" s="3">
        <f>COUNTIF('Peer-Review'!B:B,C98)+COUNTIF('Peer-Review'!F:F,C98)</f>
        <v>0</v>
      </c>
      <c r="G98" s="3">
        <f t="shared" si="1"/>
        <v>0</v>
      </c>
      <c r="H98" s="3" t="str">
        <f>IFERROR(__xludf.DUMMYFUNCTION("IFERROR(TRANSPOSE(FILTER('Peer-Review'!$J$2:$J$568,(TRIM('Peer-Review'!$B$2:$B$568)=C98 )+ (TRIM('Peer-Review'!$F$2:$F$568)=C98))),""No Reviews"")"),"No Reviews")</f>
        <v>No Reviews</v>
      </c>
      <c r="J98" s="3">
        <f>IF(D98="No R1",0,VLOOKUP(C98,'Peer-Review'!B:D,2,0))</f>
        <v>0</v>
      </c>
      <c r="K98" s="3">
        <f>IF(D98="No R1",0,VLOOKUP(C98,'Peer-Review'!B:D,3,0))</f>
        <v>0</v>
      </c>
      <c r="L98" s="3">
        <f>IF(E98="No R2",0,VLOOKUP(C98,'Peer-Review'!F:H,2,0))</f>
        <v>0</v>
      </c>
      <c r="M98" s="3">
        <f>IF(E98="No R2",0,VLOOKUP(C98,'Peer-Review'!F:H,3,0))</f>
        <v>0</v>
      </c>
    </row>
    <row r="99" hidden="1">
      <c r="A99" s="3" t="str">
        <f>IFERROR(__xludf.DUMMYFUNCTION("""COMPUTED_VALUE"""),"21f3000432@ds.study.iitm.ac.in")</f>
        <v>21f3000432@ds.study.iitm.ac.in</v>
      </c>
      <c r="B99" s="3">
        <f>IFERROR(__xludf.DUMMYFUNCTION("""COMPUTED_VALUE"""),17.0)</f>
        <v>17</v>
      </c>
      <c r="C99" s="5" t="str">
        <f>IFERROR(__xludf.DUMMYFUNCTION("""COMPUTED_VALUE"""),"https://github.com/im-adamya-vatsalya-sharma-09/TDS-Project-1")</f>
        <v>https://github.com/im-adamya-vatsalya-sharma-09/TDS-Project-1</v>
      </c>
      <c r="D99" s="3" t="str">
        <f>IFERROR(VLOOKUP(C99,'Peer-Review'!B:J,9,0),"No R1")</f>
        <v>No R1</v>
      </c>
      <c r="E99" s="3" t="str">
        <f>IFERROR(VLOOKUP(C99,'Peer-Review'!F:J,5,0),"No R2")</f>
        <v>21f3000331@ds.study.iitm.ac.in</v>
      </c>
      <c r="F99" s="3">
        <f>COUNTIF('Peer-Review'!B:B,C99)+COUNTIF('Peer-Review'!F:F,C99)</f>
        <v>1</v>
      </c>
      <c r="G99" s="3">
        <f t="shared" si="1"/>
        <v>1</v>
      </c>
      <c r="H99" s="3" t="str">
        <f>IFERROR(__xludf.DUMMYFUNCTION("IFERROR(TRANSPOSE(FILTER('Peer-Review'!$J$2:$J$568,(TRIM('Peer-Review'!$B$2:$B$568)=C99 )+ (TRIM('Peer-Review'!$F$2:$F$568)=C99))),""No Reviews"")"),"21f3000331@ds.study.iitm.ac.in")</f>
        <v>21f3000331@ds.study.iitm.ac.in</v>
      </c>
      <c r="J99" s="3">
        <f>IF(D99="No R1",0,VLOOKUP(C99,'Peer-Review'!B:D,2,0))</f>
        <v>0</v>
      </c>
      <c r="K99" s="3">
        <f>IF(D99="No R1",0,VLOOKUP(C99,'Peer-Review'!B:D,3,0))</f>
        <v>0</v>
      </c>
      <c r="L99" s="3">
        <f>IF(E99="No R2",0,VLOOKUP(C99,'Peer-Review'!F:H,2,0))</f>
        <v>1</v>
      </c>
      <c r="M99" s="3">
        <f>IF(E99="No R2",0,VLOOKUP(C99,'Peer-Review'!F:H,3,0))</f>
        <v>8</v>
      </c>
    </row>
    <row r="100" hidden="1">
      <c r="A100" s="3" t="str">
        <f>IFERROR(__xludf.DUMMYFUNCTION("""COMPUTED_VALUE"""),"21f3000517@ds.study.iitm.ac.in")</f>
        <v>21f3000517@ds.study.iitm.ac.in</v>
      </c>
      <c r="B100" s="3">
        <f>IFERROR(__xludf.DUMMYFUNCTION("""COMPUTED_VALUE"""),14.0)</f>
        <v>14</v>
      </c>
      <c r="C100" s="5" t="str">
        <f>IFERROR(__xludf.DUMMYFUNCTION("""COMPUTED_VALUE"""),"https://github.com/ShijuPJohn/tds_p1")</f>
        <v>https://github.com/ShijuPJohn/tds_p1</v>
      </c>
      <c r="D100" s="3" t="str">
        <f>IFERROR(VLOOKUP(C100,'Peer-Review'!B:J,9,0),"No R1")</f>
        <v>22f3002758@ds.study.iitm.ac.in</v>
      </c>
      <c r="E100" s="3" t="str">
        <f>IFERROR(VLOOKUP(C100,'Peer-Review'!F:J,5,0),"No R2")</f>
        <v>No R2</v>
      </c>
      <c r="F100" s="3">
        <f>COUNTIF('Peer-Review'!B:B,C100)+COUNTIF('Peer-Review'!F:F,C100)</f>
        <v>1</v>
      </c>
      <c r="G100" s="3">
        <f t="shared" si="1"/>
        <v>1</v>
      </c>
      <c r="H100" s="3" t="str">
        <f>IFERROR(__xludf.DUMMYFUNCTION("IFERROR(TRANSPOSE(FILTER('Peer-Review'!$J$2:$J$568,(TRIM('Peer-Review'!$B$2:$B$568)=C100 )+ (TRIM('Peer-Review'!$F$2:$F$568)=C100))),""No Reviews"")"),"22f3002758@ds.study.iitm.ac.in")</f>
        <v>22f3002758@ds.study.iitm.ac.in</v>
      </c>
      <c r="J100" s="3">
        <f>IF(D100="No R1",0,VLOOKUP(C100,'Peer-Review'!B:D,2,0))</f>
        <v>9</v>
      </c>
      <c r="K100" s="3">
        <f>IF(D100="No R1",0,VLOOKUP(C100,'Peer-Review'!B:D,3,0))</f>
        <v>9</v>
      </c>
      <c r="L100" s="3">
        <f>IF(E100="No R2",0,VLOOKUP(C100,'Peer-Review'!F:H,2,0))</f>
        <v>0</v>
      </c>
      <c r="M100" s="3">
        <f>IF(E100="No R2",0,VLOOKUP(C100,'Peer-Review'!F:H,3,0))</f>
        <v>0</v>
      </c>
    </row>
    <row r="101" hidden="1">
      <c r="A101" s="3" t="str">
        <f>IFERROR(__xludf.DUMMYFUNCTION("""COMPUTED_VALUE"""),"21f3000585@ds.study.iitm.ac.in")</f>
        <v>21f3000585@ds.study.iitm.ac.in</v>
      </c>
      <c r="B101" s="3">
        <f>IFERROR(__xludf.DUMMYFUNCTION("""COMPUTED_VALUE"""),12.0)</f>
        <v>12</v>
      </c>
      <c r="C101" s="5" t="str">
        <f>IFERROR(__xludf.DUMMYFUNCTION("""COMPUTED_VALUE"""),"https://github.com/aarfeeniitm/TDS-Project-1")</f>
        <v>https://github.com/aarfeeniitm/TDS-Project-1</v>
      </c>
      <c r="D101" s="3" t="str">
        <f>IFERROR(VLOOKUP(C101,'Peer-Review'!B:J,9,0),"No R1")</f>
        <v>21f1006373@ds.study.iitm.ac.in</v>
      </c>
      <c r="E101" s="3" t="str">
        <f>IFERROR(VLOOKUP(C101,'Peer-Review'!F:J,5,0),"No R2")</f>
        <v>No R2</v>
      </c>
      <c r="F101" s="3">
        <f>COUNTIF('Peer-Review'!B:B,C101)+COUNTIF('Peer-Review'!F:F,C101)</f>
        <v>1</v>
      </c>
      <c r="G101" s="3">
        <f t="shared" si="1"/>
        <v>1</v>
      </c>
      <c r="H101" s="3" t="str">
        <f>IFERROR(__xludf.DUMMYFUNCTION("IFERROR(TRANSPOSE(FILTER('Peer-Review'!$J$2:$J$568,(TRIM('Peer-Review'!$B$2:$B$568)=C101 )+ (TRIM('Peer-Review'!$F$2:$F$568)=C101))),""No Reviews"")"),"21f1006373@ds.study.iitm.ac.in")</f>
        <v>21f1006373@ds.study.iitm.ac.in</v>
      </c>
      <c r="J101" s="3">
        <f>IF(D101="No R1",0,VLOOKUP(C101,'Peer-Review'!B:D,2,0))</f>
        <v>9</v>
      </c>
      <c r="K101" s="3">
        <f>IF(D101="No R1",0,VLOOKUP(C101,'Peer-Review'!B:D,3,0))</f>
        <v>7</v>
      </c>
      <c r="L101" s="3">
        <f>IF(E101="No R2",0,VLOOKUP(C101,'Peer-Review'!F:H,2,0))</f>
        <v>0</v>
      </c>
      <c r="M101" s="3">
        <f>IF(E101="No R2",0,VLOOKUP(C101,'Peer-Review'!F:H,3,0))</f>
        <v>0</v>
      </c>
    </row>
    <row r="102" hidden="1">
      <c r="A102" s="3" t="str">
        <f>IFERROR(__xludf.DUMMYFUNCTION("""COMPUTED_VALUE"""),"21f3000628@ds.study.iitm.ac.in")</f>
        <v>21f3000628@ds.study.iitm.ac.in</v>
      </c>
      <c r="B102" s="3">
        <f>IFERROR(__xludf.DUMMYFUNCTION("""COMPUTED_VALUE"""),10.0)</f>
        <v>10</v>
      </c>
      <c r="C102" s="5" t="str">
        <f>IFERROR(__xludf.DUMMYFUNCTION("""COMPUTED_VALUE"""),"https://github.com/KarthikKalashLGS/TDSProject1")</f>
        <v>https://github.com/KarthikKalashLGS/TDSProject1</v>
      </c>
      <c r="D102" s="3" t="str">
        <f>IFERROR(VLOOKUP(C102,'Peer-Review'!B:J,9,0),"No R1")</f>
        <v>22f1000213@ds.study.iitm.ac.in</v>
      </c>
      <c r="E102" s="3" t="str">
        <f>IFERROR(VLOOKUP(C102,'Peer-Review'!F:J,5,0),"No R2")</f>
        <v>No R2</v>
      </c>
      <c r="F102" s="3">
        <f>COUNTIF('Peer-Review'!B:B,C102)+COUNTIF('Peer-Review'!F:F,C102)</f>
        <v>2</v>
      </c>
      <c r="G102" s="3">
        <f t="shared" si="1"/>
        <v>1</v>
      </c>
      <c r="H102" s="3" t="str">
        <f>IFERROR(__xludf.DUMMYFUNCTION("IFERROR(TRANSPOSE(FILTER('Peer-Review'!$J$2:$J$568,(TRIM('Peer-Review'!$B$2:$B$568)=C102 )+ (TRIM('Peer-Review'!$F$2:$F$568)=C102))),""No Reviews"")"),"22f1000213@ds.study.iitm.ac.in")</f>
        <v>22f1000213@ds.study.iitm.ac.in</v>
      </c>
      <c r="I102" s="3" t="str">
        <f>IFERROR(__xludf.DUMMYFUNCTION("""COMPUTED_VALUE"""),"23ds3000177@ds.study.iitm.ac.in")</f>
        <v>23ds3000177@ds.study.iitm.ac.in</v>
      </c>
      <c r="J102" s="3">
        <f>IF(D102="No R1",0,VLOOKUP(C102,'Peer-Review'!B:D,2,0))</f>
        <v>9</v>
      </c>
      <c r="K102" s="3">
        <f>IF(D102="No R1",0,VLOOKUP(C102,'Peer-Review'!B:D,3,0))</f>
        <v>9</v>
      </c>
      <c r="L102" s="3">
        <f>IF(E102="No R2",0,VLOOKUP(C102,'Peer-Review'!F:H,2,0))</f>
        <v>0</v>
      </c>
      <c r="M102" s="3">
        <f>IF(E102="No R2",0,VLOOKUP(C102,'Peer-Review'!F:H,3,0))</f>
        <v>0</v>
      </c>
    </row>
    <row r="103" hidden="1">
      <c r="A103" s="3" t="str">
        <f>IFERROR(__xludf.DUMMYFUNCTION("""COMPUTED_VALUE"""),"21f3000678@ds.study.iitm.ac.in")</f>
        <v>21f3000678@ds.study.iitm.ac.in</v>
      </c>
      <c r="B103" s="3">
        <f>IFERROR(__xludf.DUMMYFUNCTION("""COMPUTED_VALUE"""),14.0)</f>
        <v>14</v>
      </c>
      <c r="C103" s="5" t="str">
        <f>IFERROR(__xludf.DUMMYFUNCTION("""COMPUTED_VALUE"""),"https://github.com/harinivas21/tds")</f>
        <v>https://github.com/harinivas21/tds</v>
      </c>
      <c r="D103" s="3" t="str">
        <f>IFERROR(VLOOKUP(C103,'Peer-Review'!B:J,9,0),"No R1")</f>
        <v>23f1001562@ds.study.iitm.ac.in</v>
      </c>
      <c r="E103" s="3" t="str">
        <f>IFERROR(VLOOKUP(C103,'Peer-Review'!F:J,5,0),"No R2")</f>
        <v>No R2</v>
      </c>
      <c r="F103" s="3">
        <f>COUNTIF('Peer-Review'!B:B,C103)+COUNTIF('Peer-Review'!F:F,C103)</f>
        <v>1</v>
      </c>
      <c r="G103" s="3">
        <f t="shared" si="1"/>
        <v>1</v>
      </c>
      <c r="H103" s="3" t="str">
        <f>IFERROR(__xludf.DUMMYFUNCTION("IFERROR(TRANSPOSE(FILTER('Peer-Review'!$J$2:$J$568,(TRIM('Peer-Review'!$B$2:$B$568)=C103 )+ (TRIM('Peer-Review'!$F$2:$F$568)=C103))),""No Reviews"")"),"23f1001562@ds.study.iitm.ac.in")</f>
        <v>23f1001562@ds.study.iitm.ac.in</v>
      </c>
      <c r="J103" s="3">
        <f>IF(D103="No R1",0,VLOOKUP(C103,'Peer-Review'!B:D,2,0))</f>
        <v>6</v>
      </c>
      <c r="K103" s="3">
        <f>IF(D103="No R1",0,VLOOKUP(C103,'Peer-Review'!B:D,3,0))</f>
        <v>5</v>
      </c>
      <c r="L103" s="3">
        <f>IF(E103="No R2",0,VLOOKUP(C103,'Peer-Review'!F:H,2,0))</f>
        <v>0</v>
      </c>
      <c r="M103" s="3">
        <f>IF(E103="No R2",0,VLOOKUP(C103,'Peer-Review'!F:H,3,0))</f>
        <v>0</v>
      </c>
    </row>
    <row r="104" hidden="1">
      <c r="A104" s="3" t="str">
        <f>IFERROR(__xludf.DUMMYFUNCTION("""COMPUTED_VALUE"""),"21f3000700@ds.study.iitm.ac.in")</f>
        <v>21f3000700@ds.study.iitm.ac.in</v>
      </c>
      <c r="B104" s="3">
        <f>IFERROR(__xludf.DUMMYFUNCTION("""COMPUTED_VALUE"""),16.0)</f>
        <v>16</v>
      </c>
      <c r="C104" s="5" t="str">
        <f>IFERROR(__xludf.DUMMYFUNCTION("""COMPUTED_VALUE"""),"https://github.com/Hritik-Shyam-Gupta/TDS-Project1")</f>
        <v>https://github.com/Hritik-Shyam-Gupta/TDS-Project1</v>
      </c>
      <c r="D104" s="3" t="str">
        <f>IFERROR(VLOOKUP(C104,'Peer-Review'!B:J,9,0),"No R1")</f>
        <v>21f3000753@ds.study.iitm.ac.in</v>
      </c>
      <c r="E104" s="3" t="str">
        <f>IFERROR(VLOOKUP(C104,'Peer-Review'!F:J,5,0),"No R2")</f>
        <v>No R2</v>
      </c>
      <c r="F104" s="3">
        <f>COUNTIF('Peer-Review'!B:B,C104)+COUNTIF('Peer-Review'!F:F,C104)</f>
        <v>2</v>
      </c>
      <c r="G104" s="3">
        <f t="shared" si="1"/>
        <v>1</v>
      </c>
      <c r="H104" s="3" t="str">
        <f>IFERROR(__xludf.DUMMYFUNCTION("IFERROR(TRANSPOSE(FILTER('Peer-Review'!$J$2:$J$568,(TRIM('Peer-Review'!$B$2:$B$568)=C104 )+ (TRIM('Peer-Review'!$F$2:$F$568)=C104))),""No Reviews"")"),"21f3000753@ds.study.iitm.ac.in")</f>
        <v>21f3000753@ds.study.iitm.ac.in</v>
      </c>
      <c r="I104" s="3" t="str">
        <f>IFERROR(__xludf.DUMMYFUNCTION("""COMPUTED_VALUE"""),"24f1002325@ds.study.iitm.ac.in")</f>
        <v>24f1002325@ds.study.iitm.ac.in</v>
      </c>
      <c r="J104" s="3">
        <f>IF(D104="No R1",0,VLOOKUP(C104,'Peer-Review'!B:D,2,0))</f>
        <v>9</v>
      </c>
      <c r="K104" s="3">
        <f>IF(D104="No R1",0,VLOOKUP(C104,'Peer-Review'!B:D,3,0))</f>
        <v>9</v>
      </c>
      <c r="L104" s="3">
        <f>IF(E104="No R2",0,VLOOKUP(C104,'Peer-Review'!F:H,2,0))</f>
        <v>0</v>
      </c>
      <c r="M104" s="3">
        <f>IF(E104="No R2",0,VLOOKUP(C104,'Peer-Review'!F:H,3,0))</f>
        <v>0</v>
      </c>
    </row>
    <row r="105" hidden="1">
      <c r="A105" s="3" t="str">
        <f>IFERROR(__xludf.DUMMYFUNCTION("""COMPUTED_VALUE"""),"21f3000745@ds.study.iitm.ac.in")</f>
        <v>21f3000745@ds.study.iitm.ac.in</v>
      </c>
      <c r="B105" s="3">
        <f>IFERROR(__xludf.DUMMYFUNCTION("""COMPUTED_VALUE"""),11.0)</f>
        <v>11</v>
      </c>
      <c r="C105" s="5" t="str">
        <f>IFERROR(__xludf.DUMMYFUNCTION("""COMPUTED_VALUE"""),"https://github.com/tanyakamboj123/TDS-project1")</f>
        <v>https://github.com/tanyakamboj123/TDS-project1</v>
      </c>
      <c r="D105" s="3" t="str">
        <f>IFERROR(VLOOKUP(C105,'Peer-Review'!B:J,9,0),"No R1")</f>
        <v>23f2002904@ds.study.iitm.ac.in</v>
      </c>
      <c r="E105" s="3" t="str">
        <f>IFERROR(VLOOKUP(C105,'Peer-Review'!F:J,5,0),"No R2")</f>
        <v>No R2</v>
      </c>
      <c r="F105" s="3">
        <f>COUNTIF('Peer-Review'!B:B,C105)+COUNTIF('Peer-Review'!F:F,C105)</f>
        <v>1</v>
      </c>
      <c r="G105" s="3">
        <f t="shared" si="1"/>
        <v>1</v>
      </c>
      <c r="H105" s="3" t="str">
        <f>IFERROR(__xludf.DUMMYFUNCTION("IFERROR(TRANSPOSE(FILTER('Peer-Review'!$J$2:$J$568,(TRIM('Peer-Review'!$B$2:$B$568)=C105 )+ (TRIM('Peer-Review'!$F$2:$F$568)=C105))),""No Reviews"")"),"23f2002904@ds.study.iitm.ac.in")</f>
        <v>23f2002904@ds.study.iitm.ac.in</v>
      </c>
      <c r="J105" s="3">
        <f>IF(D105="No R1",0,VLOOKUP(C105,'Peer-Review'!B:D,2,0))</f>
        <v>10</v>
      </c>
      <c r="K105" s="3">
        <f>IF(D105="No R1",0,VLOOKUP(C105,'Peer-Review'!B:D,3,0))</f>
        <v>10</v>
      </c>
      <c r="L105" s="3">
        <f>IF(E105="No R2",0,VLOOKUP(C105,'Peer-Review'!F:H,2,0))</f>
        <v>0</v>
      </c>
      <c r="M105" s="3">
        <f>IF(E105="No R2",0,VLOOKUP(C105,'Peer-Review'!F:H,3,0))</f>
        <v>0</v>
      </c>
    </row>
    <row r="106" hidden="1">
      <c r="A106" s="3" t="str">
        <f>IFERROR(__xludf.DUMMYFUNCTION("""COMPUTED_VALUE"""),"21f3000753@ds.study.iitm.ac.in")</f>
        <v>21f3000753@ds.study.iitm.ac.in</v>
      </c>
      <c r="B106" s="3">
        <f>IFERROR(__xludf.DUMMYFUNCTION("""COMPUTED_VALUE"""),16.0)</f>
        <v>16</v>
      </c>
      <c r="C106" s="5" t="str">
        <f>IFERROR(__xludf.DUMMYFUNCTION("""COMPUTED_VALUE"""),"https://github.com/yyyzznnn/TDS-Project1")</f>
        <v>https://github.com/yyyzznnn/TDS-Project1</v>
      </c>
      <c r="D106" s="3" t="str">
        <f>IFERROR(VLOOKUP(C106,'Peer-Review'!B:J,9,0),"No R1")</f>
        <v>21f3001902@ds.study.iitm.ac.in</v>
      </c>
      <c r="E106" s="3" t="str">
        <f>IFERROR(VLOOKUP(C106,'Peer-Review'!F:J,5,0),"No R2")</f>
        <v>No R2</v>
      </c>
      <c r="F106" s="3">
        <f>COUNTIF('Peer-Review'!B:B,C106)+COUNTIF('Peer-Review'!F:F,C106)</f>
        <v>2</v>
      </c>
      <c r="G106" s="3">
        <f t="shared" si="1"/>
        <v>1</v>
      </c>
      <c r="H106" s="3" t="str">
        <f>IFERROR(__xludf.DUMMYFUNCTION("IFERROR(TRANSPOSE(FILTER('Peer-Review'!$J$2:$J$568,(TRIM('Peer-Review'!$B$2:$B$568)=C106 )+ (TRIM('Peer-Review'!$F$2:$F$568)=C106))),""No Reviews"")"),"21f3001902@ds.study.iitm.ac.in")</f>
        <v>21f3001902@ds.study.iitm.ac.in</v>
      </c>
      <c r="I106" s="3" t="str">
        <f>IFERROR(__xludf.DUMMYFUNCTION("""COMPUTED_VALUE"""),"24f1002469@ds.study.iitm.ac.in")</f>
        <v>24f1002469@ds.study.iitm.ac.in</v>
      </c>
      <c r="J106" s="3">
        <f>IF(D106="No R1",0,VLOOKUP(C106,'Peer-Review'!B:D,2,0))</f>
        <v>5</v>
      </c>
      <c r="K106" s="3">
        <f>IF(D106="No R1",0,VLOOKUP(C106,'Peer-Review'!B:D,3,0))</f>
        <v>0</v>
      </c>
      <c r="L106" s="3">
        <f>IF(E106="No R2",0,VLOOKUP(C106,'Peer-Review'!F:H,2,0))</f>
        <v>0</v>
      </c>
      <c r="M106" s="3">
        <f>IF(E106="No R2",0,VLOOKUP(C106,'Peer-Review'!F:H,3,0))</f>
        <v>0</v>
      </c>
    </row>
    <row r="107" hidden="1">
      <c r="A107" s="3" t="str">
        <f>IFERROR(__xludf.DUMMYFUNCTION("""COMPUTED_VALUE"""),"21f3000773@ds.study.iitm.ac.in")</f>
        <v>21f3000773@ds.study.iitm.ac.in</v>
      </c>
      <c r="B107" s="3">
        <f>IFERROR(__xludf.DUMMYFUNCTION("""COMPUTED_VALUE"""),17.0)</f>
        <v>17</v>
      </c>
      <c r="C107" s="5" t="str">
        <f>IFERROR(__xludf.DUMMYFUNCTION("""COMPUTED_VALUE"""),"https://github.com/tiwariannanya/TDS_Project_1_Berlin")</f>
        <v>https://github.com/tiwariannanya/TDS_Project_1_Berlin</v>
      </c>
      <c r="D107" s="3" t="str">
        <f>IFERROR(VLOOKUP(C107,'Peer-Review'!B:J,9,0),"No R1")</f>
        <v>No R1</v>
      </c>
      <c r="E107" s="3" t="str">
        <f>IFERROR(VLOOKUP(C107,'Peer-Review'!F:J,5,0),"No R2")</f>
        <v>21f3000432@ds.study.iitm.ac.in</v>
      </c>
      <c r="F107" s="3">
        <f>COUNTIF('Peer-Review'!B:B,C107)+COUNTIF('Peer-Review'!F:F,C107)</f>
        <v>2</v>
      </c>
      <c r="G107" s="3">
        <f t="shared" si="1"/>
        <v>1</v>
      </c>
      <c r="H107" s="3" t="str">
        <f>IFERROR(__xludf.DUMMYFUNCTION("IFERROR(TRANSPOSE(FILTER('Peer-Review'!$J$2:$J$568,(TRIM('Peer-Review'!$B$2:$B$568)=C107 )+ (TRIM('Peer-Review'!$F$2:$F$568)=C107))),""No Reviews"")"),"21f3000432@ds.study.iitm.ac.in")</f>
        <v>21f3000432@ds.study.iitm.ac.in</v>
      </c>
      <c r="I107" s="3" t="str">
        <f>IFERROR(__xludf.DUMMYFUNCTION("""COMPUTED_VALUE"""),"23f2001455@ds.study.iitm.ac.in")</f>
        <v>23f2001455@ds.study.iitm.ac.in</v>
      </c>
      <c r="J107" s="3">
        <f>IF(D107="No R1",0,VLOOKUP(C107,'Peer-Review'!B:D,2,0))</f>
        <v>0</v>
      </c>
      <c r="K107" s="3">
        <f>IF(D107="No R1",0,VLOOKUP(C107,'Peer-Review'!B:D,3,0))</f>
        <v>0</v>
      </c>
      <c r="L107" s="3">
        <f>IF(E107="No R2",0,VLOOKUP(C107,'Peer-Review'!F:H,2,0))</f>
        <v>9</v>
      </c>
      <c r="M107" s="3">
        <f>IF(E107="No R2",0,VLOOKUP(C107,'Peer-Review'!F:H,3,0))</f>
        <v>9</v>
      </c>
    </row>
    <row r="108" hidden="1">
      <c r="A108" s="3" t="str">
        <f>IFERROR(__xludf.DUMMYFUNCTION("""COMPUTED_VALUE"""),"21f3000834@ds.study.iitm.ac.in")</f>
        <v>21f3000834@ds.study.iitm.ac.in</v>
      </c>
      <c r="B108" s="3">
        <f>IFERROR(__xludf.DUMMYFUNCTION("""COMPUTED_VALUE"""),17.0)</f>
        <v>17</v>
      </c>
      <c r="C108" s="5" t="str">
        <f>IFERROR(__xludf.DUMMYFUNCTION("""COMPUTED_VALUE"""),"https://github.com/IITM-VK/TDS-Project-1")</f>
        <v>https://github.com/IITM-VK/TDS-Project-1</v>
      </c>
      <c r="D108" s="3" t="str">
        <f>IFERROR(VLOOKUP(C108,'Peer-Review'!B:J,9,0),"No R1")</f>
        <v>No R1</v>
      </c>
      <c r="E108" s="3" t="str">
        <f>IFERROR(VLOOKUP(C108,'Peer-Review'!F:J,5,0),"No R2")</f>
        <v>21f3000773@ds.study.iitm.ac.in</v>
      </c>
      <c r="F108" s="3">
        <f>COUNTIF('Peer-Review'!B:B,C108)+COUNTIF('Peer-Review'!F:F,C108)</f>
        <v>1</v>
      </c>
      <c r="G108" s="3">
        <f t="shared" si="1"/>
        <v>1</v>
      </c>
      <c r="H108" s="3" t="str">
        <f>IFERROR(__xludf.DUMMYFUNCTION("IFERROR(TRANSPOSE(FILTER('Peer-Review'!$J$2:$J$568,(TRIM('Peer-Review'!$B$2:$B$568)=C108 )+ (TRIM('Peer-Review'!$F$2:$F$568)=C108))),""No Reviews"")"),"21f3000773@ds.study.iitm.ac.in")</f>
        <v>21f3000773@ds.study.iitm.ac.in</v>
      </c>
      <c r="J108" s="3">
        <f>IF(D108="No R1",0,VLOOKUP(C108,'Peer-Review'!B:D,2,0))</f>
        <v>0</v>
      </c>
      <c r="K108" s="3">
        <f>IF(D108="No R1",0,VLOOKUP(C108,'Peer-Review'!B:D,3,0))</f>
        <v>0</v>
      </c>
      <c r="L108" s="3">
        <f>IF(E108="No R2",0,VLOOKUP(C108,'Peer-Review'!F:H,2,0))</f>
        <v>10</v>
      </c>
      <c r="M108" s="3">
        <f>IF(E108="No R2",0,VLOOKUP(C108,'Peer-Review'!F:H,3,0))</f>
        <v>10</v>
      </c>
    </row>
    <row r="109" hidden="1">
      <c r="A109" s="3" t="str">
        <f>IFERROR(__xludf.DUMMYFUNCTION("""COMPUTED_VALUE"""),"21f3000850@ds.study.iitm.ac.in")</f>
        <v>21f3000850@ds.study.iitm.ac.in</v>
      </c>
      <c r="B109" s="3">
        <f>IFERROR(__xludf.DUMMYFUNCTION("""COMPUTED_VALUE"""),17.0)</f>
        <v>17</v>
      </c>
      <c r="C109" s="5" t="str">
        <f>IFERROR(__xludf.DUMMYFUNCTION("""COMPUTED_VALUE"""),"https://github.com/sage-devv/TDS-Project-1")</f>
        <v>https://github.com/sage-devv/TDS-Project-1</v>
      </c>
      <c r="D109" s="3" t="str">
        <f>IFERROR(VLOOKUP(C109,'Peer-Review'!B:J,9,0),"No R1")</f>
        <v>No R1</v>
      </c>
      <c r="E109" s="3" t="str">
        <f>IFERROR(VLOOKUP(C109,'Peer-Review'!F:J,5,0),"No R2")</f>
        <v>21f3000834@ds.study.iitm.ac.in</v>
      </c>
      <c r="F109" s="3">
        <f>COUNTIF('Peer-Review'!B:B,C109)+COUNTIF('Peer-Review'!F:F,C109)</f>
        <v>1</v>
      </c>
      <c r="G109" s="3">
        <f t="shared" si="1"/>
        <v>1</v>
      </c>
      <c r="H109" s="3" t="str">
        <f>IFERROR(__xludf.DUMMYFUNCTION("IFERROR(TRANSPOSE(FILTER('Peer-Review'!$J$2:$J$568,(TRIM('Peer-Review'!$B$2:$B$568)=C109 )+ (TRIM('Peer-Review'!$F$2:$F$568)=C109))),""No Reviews"")"),"21f3000834@ds.study.iitm.ac.in")</f>
        <v>21f3000834@ds.study.iitm.ac.in</v>
      </c>
      <c r="J109" s="3">
        <f>IF(D109="No R1",0,VLOOKUP(C109,'Peer-Review'!B:D,2,0))</f>
        <v>0</v>
      </c>
      <c r="K109" s="3">
        <f>IF(D109="No R1",0,VLOOKUP(C109,'Peer-Review'!B:D,3,0))</f>
        <v>0</v>
      </c>
      <c r="L109" s="3">
        <f>IF(E109="No R2",0,VLOOKUP(C109,'Peer-Review'!F:H,2,0))</f>
        <v>10</v>
      </c>
      <c r="M109" s="3">
        <f>IF(E109="No R2",0,VLOOKUP(C109,'Peer-Review'!F:H,3,0))</f>
        <v>10</v>
      </c>
    </row>
    <row r="110" hidden="1">
      <c r="A110" s="3" t="str">
        <f>IFERROR(__xludf.DUMMYFUNCTION("""COMPUTED_VALUE"""),"21f3000896@ds.study.iitm.ac.in")</f>
        <v>21f3000896@ds.study.iitm.ac.in</v>
      </c>
      <c r="B110" s="3">
        <f>IFERROR(__xludf.DUMMYFUNCTION("""COMPUTED_VALUE"""),17.0)</f>
        <v>17</v>
      </c>
      <c r="C110" s="5" t="str">
        <f>IFERROR(__xludf.DUMMYFUNCTION("""COMPUTED_VALUE"""),"https://github.com/Amankumar0017/TDS-Project-1")</f>
        <v>https://github.com/Amankumar0017/TDS-Project-1</v>
      </c>
      <c r="D110" s="3" t="str">
        <f>IFERROR(VLOOKUP(C110,'Peer-Review'!B:J,9,0),"No R1")</f>
        <v>No R1</v>
      </c>
      <c r="E110" s="3" t="str">
        <f>IFERROR(VLOOKUP(C110,'Peer-Review'!F:J,5,0),"No R2")</f>
        <v>23f2003235@ds.study.iitm.ac.in</v>
      </c>
      <c r="F110" s="3">
        <f>COUNTIF('Peer-Review'!B:B,C110)+COUNTIF('Peer-Review'!F:F,C110)</f>
        <v>2</v>
      </c>
      <c r="G110" s="3">
        <f t="shared" si="1"/>
        <v>1</v>
      </c>
      <c r="H110" s="3" t="str">
        <f>IFERROR(__xludf.DUMMYFUNCTION("IFERROR(TRANSPOSE(FILTER('Peer-Review'!$J$2:$J$568,(TRIM('Peer-Review'!$B$2:$B$568)=C110 )+ (TRIM('Peer-Review'!$F$2:$F$568)=C110))),""No Reviews"")"),"23f2003235@ds.study.iitm.ac.in")</f>
        <v>23f2003235@ds.study.iitm.ac.in</v>
      </c>
      <c r="I110" s="3" t="str">
        <f>IFERROR(__xludf.DUMMYFUNCTION("""COMPUTED_VALUE"""),"21f3000850@ds.study.iitm.ac.in")</f>
        <v>21f3000850@ds.study.iitm.ac.in</v>
      </c>
      <c r="J110" s="3">
        <f>IF(D110="No R1",0,VLOOKUP(C110,'Peer-Review'!B:D,2,0))</f>
        <v>0</v>
      </c>
      <c r="K110" s="3">
        <f>IF(D110="No R1",0,VLOOKUP(C110,'Peer-Review'!B:D,3,0))</f>
        <v>0</v>
      </c>
      <c r="L110" s="3">
        <f>IF(E110="No R2",0,VLOOKUP(C110,'Peer-Review'!F:H,2,0))</f>
        <v>10</v>
      </c>
      <c r="M110" s="3">
        <f>IF(E110="No R2",0,VLOOKUP(C110,'Peer-Review'!F:H,3,0))</f>
        <v>9</v>
      </c>
    </row>
    <row r="111" hidden="1">
      <c r="A111" s="3" t="str">
        <f>IFERROR(__xludf.DUMMYFUNCTION("""COMPUTED_VALUE"""),"21f3001214@ds.study.iitm.ac.in")</f>
        <v>21f3001214@ds.study.iitm.ac.in</v>
      </c>
      <c r="B111" s="3">
        <f>IFERROR(__xludf.DUMMYFUNCTION("""COMPUTED_VALUE"""),14.0)</f>
        <v>14</v>
      </c>
      <c r="C111" s="5" t="str">
        <f>IFERROR(__xludf.DUMMYFUNCTION("""COMPUTED_VALUE"""),"https://github.com/so-what-ik/TDS_Project1")</f>
        <v>https://github.com/so-what-ik/TDS_Project1</v>
      </c>
      <c r="D111" s="3" t="str">
        <f>IFERROR(VLOOKUP(C111,'Peer-Review'!B:J,9,0),"No R1")</f>
        <v>22f3002986@ds.study.iitm.ac.in</v>
      </c>
      <c r="E111" s="3" t="str">
        <f>IFERROR(VLOOKUP(C111,'Peer-Review'!F:J,5,0),"No R2")</f>
        <v>No R2</v>
      </c>
      <c r="F111" s="3">
        <f>COUNTIF('Peer-Review'!B:B,C111)+COUNTIF('Peer-Review'!F:F,C111)</f>
        <v>2</v>
      </c>
      <c r="G111" s="3">
        <f t="shared" si="1"/>
        <v>1</v>
      </c>
      <c r="H111" s="3" t="str">
        <f>IFERROR(__xludf.DUMMYFUNCTION("IFERROR(TRANSPOSE(FILTER('Peer-Review'!$J$2:$J$568,(TRIM('Peer-Review'!$B$2:$B$568)=C111 )+ (TRIM('Peer-Review'!$F$2:$F$568)=C111))),""No Reviews"")"),"22f3002986@ds.study.iitm.ac.in")</f>
        <v>22f3002986@ds.study.iitm.ac.in</v>
      </c>
      <c r="I111" s="3" t="str">
        <f>IFERROR(__xludf.DUMMYFUNCTION("""COMPUTED_VALUE"""),"21f3001323@ds.study.iitm.ac.in")</f>
        <v>21f3001323@ds.study.iitm.ac.in</v>
      </c>
      <c r="J111" s="3">
        <f>IF(D111="No R1",0,VLOOKUP(C111,'Peer-Review'!B:D,2,0))</f>
        <v>2</v>
      </c>
      <c r="K111" s="3">
        <f>IF(D111="No R1",0,VLOOKUP(C111,'Peer-Review'!B:D,3,0))</f>
        <v>9</v>
      </c>
      <c r="L111" s="3">
        <f>IF(E111="No R2",0,VLOOKUP(C111,'Peer-Review'!F:H,2,0))</f>
        <v>0</v>
      </c>
      <c r="M111" s="3">
        <f>IF(E111="No R2",0,VLOOKUP(C111,'Peer-Review'!F:H,3,0))</f>
        <v>0</v>
      </c>
    </row>
    <row r="112" hidden="1">
      <c r="A112" s="3" t="str">
        <f>IFERROR(__xludf.DUMMYFUNCTION("""COMPUTED_VALUE"""),"21f3001285@ds.study.iitm.ac.in")</f>
        <v>21f3001285@ds.study.iitm.ac.in</v>
      </c>
      <c r="B112" s="3">
        <f>IFERROR(__xludf.DUMMYFUNCTION("""COMPUTED_VALUE"""),17.0)</f>
        <v>17</v>
      </c>
      <c r="C112" s="5" t="str">
        <f>IFERROR(__xludf.DUMMYFUNCTION("""COMPUTED_VALUE"""),"https://github.com/ritikjha7/tds-project-1")</f>
        <v>https://github.com/ritikjha7/tds-project-1</v>
      </c>
      <c r="D112" s="3" t="str">
        <f>IFERROR(VLOOKUP(C112,'Peer-Review'!B:J,9,0),"No R1")</f>
        <v>No R1</v>
      </c>
      <c r="E112" s="3" t="str">
        <f>IFERROR(VLOOKUP(C112,'Peer-Review'!F:J,5,0),"No R2")</f>
        <v>21f3000896@ds.study.iitm.ac.in</v>
      </c>
      <c r="F112" s="3">
        <f>COUNTIF('Peer-Review'!B:B,C112)+COUNTIF('Peer-Review'!F:F,C112)</f>
        <v>1</v>
      </c>
      <c r="G112" s="3">
        <f t="shared" si="1"/>
        <v>1</v>
      </c>
      <c r="H112" s="3" t="str">
        <f>IFERROR(__xludf.DUMMYFUNCTION("IFERROR(TRANSPOSE(FILTER('Peer-Review'!$J$2:$J$568,(TRIM('Peer-Review'!$B$2:$B$568)=C112 )+ (TRIM('Peer-Review'!$F$2:$F$568)=C112))),""No Reviews"")"),"21f3000896@ds.study.iitm.ac.in")</f>
        <v>21f3000896@ds.study.iitm.ac.in</v>
      </c>
      <c r="J112" s="3">
        <f>IF(D112="No R1",0,VLOOKUP(C112,'Peer-Review'!B:D,2,0))</f>
        <v>0</v>
      </c>
      <c r="K112" s="3">
        <f>IF(D112="No R1",0,VLOOKUP(C112,'Peer-Review'!B:D,3,0))</f>
        <v>0</v>
      </c>
      <c r="L112" s="3">
        <f>IF(E112="No R2",0,VLOOKUP(C112,'Peer-Review'!F:H,2,0))</f>
        <v>10</v>
      </c>
      <c r="M112" s="3">
        <f>IF(E112="No R2",0,VLOOKUP(C112,'Peer-Review'!F:H,3,0))</f>
        <v>10</v>
      </c>
    </row>
    <row r="113" hidden="1">
      <c r="A113" s="3" t="str">
        <f>IFERROR(__xludf.DUMMYFUNCTION("""COMPUTED_VALUE"""),"21f3001323@ds.study.iitm.ac.in")</f>
        <v>21f3001323@ds.study.iitm.ac.in</v>
      </c>
      <c r="B113" s="3">
        <f>IFERROR(__xludf.DUMMYFUNCTION("""COMPUTED_VALUE"""),14.0)</f>
        <v>14</v>
      </c>
      <c r="C113" s="5" t="str">
        <f>IFERROR(__xludf.DUMMYFUNCTION("""COMPUTED_VALUE"""),"https://github.com/satya140519/TDS_project_1")</f>
        <v>https://github.com/satya140519/TDS_project_1</v>
      </c>
      <c r="D113" s="3" t="str">
        <f>IFERROR(VLOOKUP(C113,'Peer-Review'!B:J,9,0),"No R1")</f>
        <v>22f3003021@ds.study.iitm.ac.in</v>
      </c>
      <c r="E113" s="3" t="str">
        <f>IFERROR(VLOOKUP(C113,'Peer-Review'!F:J,5,0),"No R2")</f>
        <v>No R2</v>
      </c>
      <c r="F113" s="3">
        <f>COUNTIF('Peer-Review'!B:B,C113)+COUNTIF('Peer-Review'!F:F,C113)</f>
        <v>1</v>
      </c>
      <c r="G113" s="3">
        <f t="shared" si="1"/>
        <v>1</v>
      </c>
      <c r="H113" s="3" t="str">
        <f>IFERROR(__xludf.DUMMYFUNCTION("IFERROR(TRANSPOSE(FILTER('Peer-Review'!$J$2:$J$568,(TRIM('Peer-Review'!$B$2:$B$568)=C113 )+ (TRIM('Peer-Review'!$F$2:$F$568)=C113))),""No Reviews"")"),"22f3003021@ds.study.iitm.ac.in")</f>
        <v>22f3003021@ds.study.iitm.ac.in</v>
      </c>
      <c r="J113" s="3">
        <f>IF(D113="No R1",0,VLOOKUP(C113,'Peer-Review'!B:D,2,0))</f>
        <v>10</v>
      </c>
      <c r="K113" s="3">
        <f>IF(D113="No R1",0,VLOOKUP(C113,'Peer-Review'!B:D,3,0))</f>
        <v>0</v>
      </c>
      <c r="L113" s="3">
        <f>IF(E113="No R2",0,VLOOKUP(C113,'Peer-Review'!F:H,2,0))</f>
        <v>0</v>
      </c>
      <c r="M113" s="3">
        <f>IF(E113="No R2",0,VLOOKUP(C113,'Peer-Review'!F:H,3,0))</f>
        <v>0</v>
      </c>
    </row>
    <row r="114" hidden="1">
      <c r="A114" s="3" t="str">
        <f>IFERROR(__xludf.DUMMYFUNCTION("""COMPUTED_VALUE"""),"21f3001328@ds.study.iitm.ac.in")</f>
        <v>21f3001328@ds.study.iitm.ac.in</v>
      </c>
      <c r="B114" s="3">
        <f>IFERROR(__xludf.DUMMYFUNCTION("""COMPUTED_VALUE"""),0.0)</f>
        <v>0</v>
      </c>
      <c r="C114" s="5" t="str">
        <f>IFERROR(__xludf.DUMMYFUNCTION("""COMPUTED_VALUE"""),"https://github.com/Rudranshs1ngh/project_iitm")</f>
        <v>https://github.com/Rudranshs1ngh/project_iitm</v>
      </c>
      <c r="D114" s="3" t="str">
        <f>IFERROR(VLOOKUP(C114,'Peer-Review'!B:J,9,0),"No R1")</f>
        <v>No R1</v>
      </c>
      <c r="E114" s="3" t="str">
        <f>IFERROR(VLOOKUP(C114,'Peer-Review'!F:J,5,0),"No R2")</f>
        <v>No R2</v>
      </c>
      <c r="F114" s="3">
        <f>COUNTIF('Peer-Review'!B:B,C114)+COUNTIF('Peer-Review'!F:F,C114)</f>
        <v>0</v>
      </c>
      <c r="G114" s="3">
        <f t="shared" si="1"/>
        <v>0</v>
      </c>
      <c r="H114" s="3" t="str">
        <f>IFERROR(__xludf.DUMMYFUNCTION("IFERROR(TRANSPOSE(FILTER('Peer-Review'!$J$2:$J$568,(TRIM('Peer-Review'!$B$2:$B$568)=C114 )+ (TRIM('Peer-Review'!$F$2:$F$568)=C114))),""No Reviews"")"),"No Reviews")</f>
        <v>No Reviews</v>
      </c>
      <c r="J114" s="3">
        <f>IF(D114="No R1",0,VLOOKUP(C114,'Peer-Review'!B:D,2,0))</f>
        <v>0</v>
      </c>
      <c r="K114" s="3">
        <f>IF(D114="No R1",0,VLOOKUP(C114,'Peer-Review'!B:D,3,0))</f>
        <v>0</v>
      </c>
      <c r="L114" s="3">
        <f>IF(E114="No R2",0,VLOOKUP(C114,'Peer-Review'!F:H,2,0))</f>
        <v>0</v>
      </c>
      <c r="M114" s="3">
        <f>IF(E114="No R2",0,VLOOKUP(C114,'Peer-Review'!F:H,3,0))</f>
        <v>0</v>
      </c>
    </row>
    <row r="115" hidden="1">
      <c r="A115" s="3" t="str">
        <f>IFERROR(__xludf.DUMMYFUNCTION("""COMPUTED_VALUE"""),"21f3001345@ds.study.iitm.ac.in")</f>
        <v>21f3001345@ds.study.iitm.ac.in</v>
      </c>
      <c r="B115" s="3">
        <f>IFERROR(__xludf.DUMMYFUNCTION("""COMPUTED_VALUE"""),6.0)</f>
        <v>6</v>
      </c>
      <c r="C115" s="5" t="str">
        <f>IFERROR(__xludf.DUMMYFUNCTION("""COMPUTED_VALUE"""),"https://github.com/Induvardhan/singapore_100")</f>
        <v>https://github.com/Induvardhan/singapore_100</v>
      </c>
      <c r="D115" s="3" t="str">
        <f>IFERROR(VLOOKUP(C115,'Peer-Review'!B:J,9,0),"No R1")</f>
        <v>No R1</v>
      </c>
      <c r="E115" s="3" t="str">
        <f>IFERROR(VLOOKUP(C115,'Peer-Review'!F:J,5,0),"No R2")</f>
        <v>No R2</v>
      </c>
      <c r="F115" s="3">
        <f>COUNTIF('Peer-Review'!B:B,C115)+COUNTIF('Peer-Review'!F:F,C115)</f>
        <v>0</v>
      </c>
      <c r="G115" s="3">
        <f t="shared" si="1"/>
        <v>0</v>
      </c>
      <c r="H115" s="3" t="str">
        <f>IFERROR(__xludf.DUMMYFUNCTION("IFERROR(TRANSPOSE(FILTER('Peer-Review'!$J$2:$J$568,(TRIM('Peer-Review'!$B$2:$B$568)=C115 )+ (TRIM('Peer-Review'!$F$2:$F$568)=C115))),""No Reviews"")"),"No Reviews")</f>
        <v>No Reviews</v>
      </c>
      <c r="J115" s="3">
        <f>IF(D115="No R1",0,VLOOKUP(C115,'Peer-Review'!B:D,2,0))</f>
        <v>0</v>
      </c>
      <c r="K115" s="3">
        <f>IF(D115="No R1",0,VLOOKUP(C115,'Peer-Review'!B:D,3,0))</f>
        <v>0</v>
      </c>
      <c r="L115" s="3">
        <f>IF(E115="No R2",0,VLOOKUP(C115,'Peer-Review'!F:H,2,0))</f>
        <v>0</v>
      </c>
      <c r="M115" s="3">
        <f>IF(E115="No R2",0,VLOOKUP(C115,'Peer-Review'!F:H,3,0))</f>
        <v>0</v>
      </c>
    </row>
    <row r="116" hidden="1">
      <c r="A116" s="3" t="str">
        <f>IFERROR(__xludf.DUMMYFUNCTION("""COMPUTED_VALUE"""),"21f3001489@ds.study.iitm.ac.in")</f>
        <v>21f3001489@ds.study.iitm.ac.in</v>
      </c>
      <c r="B116" s="3">
        <f>IFERROR(__xludf.DUMMYFUNCTION("""COMPUTED_VALUE"""),14.0)</f>
        <v>14</v>
      </c>
      <c r="C116" s="5" t="str">
        <f>IFERROR(__xludf.DUMMYFUNCTION("""COMPUTED_VALUE"""),"https://github.com/Chitraksha-Sharma/Project_1_TDS")</f>
        <v>https://github.com/Chitraksha-Sharma/Project_1_TDS</v>
      </c>
      <c r="D116" s="3" t="str">
        <f>IFERROR(VLOOKUP(C116,'Peer-Review'!B:J,9,0),"No R1")</f>
        <v>21f3002415@ds.study.iitm.ac.in</v>
      </c>
      <c r="E116" s="3" t="str">
        <f>IFERROR(VLOOKUP(C116,'Peer-Review'!F:J,5,0),"No R2")</f>
        <v>No R2</v>
      </c>
      <c r="F116" s="3">
        <f>COUNTIF('Peer-Review'!B:B,C116)+COUNTIF('Peer-Review'!F:F,C116)</f>
        <v>2</v>
      </c>
      <c r="G116" s="3">
        <f t="shared" si="1"/>
        <v>1</v>
      </c>
      <c r="H116" s="3" t="str">
        <f>IFERROR(__xludf.DUMMYFUNCTION("IFERROR(TRANSPOSE(FILTER('Peer-Review'!$J$2:$J$568,(TRIM('Peer-Review'!$B$2:$B$568)=C116 )+ (TRIM('Peer-Review'!$F$2:$F$568)=C116))),""No Reviews"")"),"21f3002415@ds.study.iitm.ac.in")</f>
        <v>21f3002415@ds.study.iitm.ac.in</v>
      </c>
      <c r="I116" s="3" t="str">
        <f>IFERROR(__xludf.DUMMYFUNCTION("""COMPUTED_VALUE"""),"22f3003031@ds.study.iitm.ac.in")</f>
        <v>22f3003031@ds.study.iitm.ac.in</v>
      </c>
      <c r="J116" s="3">
        <f>IF(D116="No R1",0,VLOOKUP(C116,'Peer-Review'!B:D,2,0))</f>
        <v>6</v>
      </c>
      <c r="K116" s="3">
        <f>IF(D116="No R1",0,VLOOKUP(C116,'Peer-Review'!B:D,3,0))</f>
        <v>0</v>
      </c>
      <c r="L116" s="3">
        <f>IF(E116="No R2",0,VLOOKUP(C116,'Peer-Review'!F:H,2,0))</f>
        <v>0</v>
      </c>
      <c r="M116" s="3">
        <f>IF(E116="No R2",0,VLOOKUP(C116,'Peer-Review'!F:H,3,0))</f>
        <v>0</v>
      </c>
    </row>
    <row r="117" hidden="1">
      <c r="A117" s="3" t="str">
        <f>IFERROR(__xludf.DUMMYFUNCTION("""COMPUTED_VALUE"""),"21f3001496@ds.study.iitm.ac.in")</f>
        <v>21f3001496@ds.study.iitm.ac.in</v>
      </c>
      <c r="B117" s="3">
        <f>IFERROR(__xludf.DUMMYFUNCTION("""COMPUTED_VALUE"""),7.0)</f>
        <v>7</v>
      </c>
      <c r="C117" s="5" t="str">
        <f>IFERROR(__xludf.DUMMYFUNCTION("""COMPUTED_VALUE"""),"https://github.com/bipkrsinghh/TDS-proj")</f>
        <v>https://github.com/bipkrsinghh/TDS-proj</v>
      </c>
      <c r="D117" s="3" t="str">
        <f>IFERROR(VLOOKUP(C117,'Peer-Review'!B:J,9,0),"No R1")</f>
        <v>22f3000400@ds.study.iitm.ac.in</v>
      </c>
      <c r="E117" s="3" t="str">
        <f>IFERROR(VLOOKUP(C117,'Peer-Review'!F:J,5,0),"No R2")</f>
        <v>No R2</v>
      </c>
      <c r="F117" s="3">
        <f>COUNTIF('Peer-Review'!B:B,C117)+COUNTIF('Peer-Review'!F:F,C117)</f>
        <v>1</v>
      </c>
      <c r="G117" s="3">
        <f t="shared" si="1"/>
        <v>1</v>
      </c>
      <c r="H117" s="3" t="str">
        <f>IFERROR(__xludf.DUMMYFUNCTION("IFERROR(TRANSPOSE(FILTER('Peer-Review'!$J$2:$J$568,(TRIM('Peer-Review'!$B$2:$B$568)=C117 )+ (TRIM('Peer-Review'!$F$2:$F$568)=C117))),""No Reviews"")"),"22f3000400@ds.study.iitm.ac.in")</f>
        <v>22f3000400@ds.study.iitm.ac.in</v>
      </c>
      <c r="J117" s="3">
        <f>IF(D117="No R1",0,VLOOKUP(C117,'Peer-Review'!B:D,2,0))</f>
        <v>10</v>
      </c>
      <c r="K117" s="3">
        <f>IF(D117="No R1",0,VLOOKUP(C117,'Peer-Review'!B:D,3,0))</f>
        <v>10</v>
      </c>
      <c r="L117" s="3">
        <f>IF(E117="No R2",0,VLOOKUP(C117,'Peer-Review'!F:H,2,0))</f>
        <v>0</v>
      </c>
      <c r="M117" s="3">
        <f>IF(E117="No R2",0,VLOOKUP(C117,'Peer-Review'!F:H,3,0))</f>
        <v>0</v>
      </c>
    </row>
    <row r="118" hidden="1">
      <c r="A118" s="3" t="str">
        <f>IFERROR(__xludf.DUMMYFUNCTION("""COMPUTED_VALUE"""),"21f3001520@ds.study.iitm.ac.in")</f>
        <v>21f3001520@ds.study.iitm.ac.in</v>
      </c>
      <c r="B118" s="3">
        <f>IFERROR(__xludf.DUMMYFUNCTION("""COMPUTED_VALUE"""),11.0)</f>
        <v>11</v>
      </c>
      <c r="C118" s="5" t="str">
        <f>IFERROR(__xludf.DUMMYFUNCTION("""COMPUTED_VALUE"""),"https://github.com/Saravanan1508/IITM_TDS_Project_1")</f>
        <v>https://github.com/Saravanan1508/IITM_TDS_Project_1</v>
      </c>
      <c r="D118" s="3" t="str">
        <f>IFERROR(VLOOKUP(C118,'Peer-Review'!B:J,9,0),"No R1")</f>
        <v>23f2003124@ds.study.iitm.ac.in</v>
      </c>
      <c r="E118" s="3" t="str">
        <f>IFERROR(VLOOKUP(C118,'Peer-Review'!F:J,5,0),"No R2")</f>
        <v>No R2</v>
      </c>
      <c r="F118" s="3">
        <f>COUNTIF('Peer-Review'!B:B,C118)+COUNTIF('Peer-Review'!F:F,C118)</f>
        <v>2</v>
      </c>
      <c r="G118" s="3">
        <f t="shared" si="1"/>
        <v>1</v>
      </c>
      <c r="H118" s="3" t="str">
        <f>IFERROR(__xludf.DUMMYFUNCTION("IFERROR(TRANSPOSE(FILTER('Peer-Review'!$J$2:$J$568,(TRIM('Peer-Review'!$B$2:$B$568)=C118 )+ (TRIM('Peer-Review'!$F$2:$F$568)=C118))),""No Reviews"")"),"23f2003124@ds.study.iitm.ac.in")</f>
        <v>23f2003124@ds.study.iitm.ac.in</v>
      </c>
      <c r="I118" s="3" t="str">
        <f>IFERROR(__xludf.DUMMYFUNCTION("""COMPUTED_VALUE"""),"21f3001666@ds.study.iitm.ac.in")</f>
        <v>21f3001666@ds.study.iitm.ac.in</v>
      </c>
      <c r="J118" s="3">
        <f>IF(D118="No R1",0,VLOOKUP(C118,'Peer-Review'!B:D,2,0))</f>
        <v>9</v>
      </c>
      <c r="K118" s="3">
        <f>IF(D118="No R1",0,VLOOKUP(C118,'Peer-Review'!B:D,3,0))</f>
        <v>8</v>
      </c>
      <c r="L118" s="3">
        <f>IF(E118="No R2",0,VLOOKUP(C118,'Peer-Review'!F:H,2,0))</f>
        <v>0</v>
      </c>
      <c r="M118" s="3">
        <f>IF(E118="No R2",0,VLOOKUP(C118,'Peer-Review'!F:H,3,0))</f>
        <v>0</v>
      </c>
    </row>
    <row r="119" hidden="1">
      <c r="A119" s="3" t="str">
        <f>IFERROR(__xludf.DUMMYFUNCTION("""COMPUTED_VALUE"""),"21f3001656@ds.study.iitm.ac.in")</f>
        <v>21f3001656@ds.study.iitm.ac.in</v>
      </c>
      <c r="B119" s="3">
        <f>IFERROR(__xludf.DUMMYFUNCTION("""COMPUTED_VALUE"""),17.0)</f>
        <v>17</v>
      </c>
      <c r="C119" s="5" t="str">
        <f>IFERROR(__xludf.DUMMYFUNCTION("""COMPUTED_VALUE"""),"https://github.com/virajkingmaker/project1")</f>
        <v>https://github.com/virajkingmaker/project1</v>
      </c>
      <c r="D119" s="3" t="str">
        <f>IFERROR(VLOOKUP(C119,'Peer-Review'!B:J,9,0),"No R1")</f>
        <v>No R1</v>
      </c>
      <c r="E119" s="3" t="str">
        <f>IFERROR(VLOOKUP(C119,'Peer-Review'!F:J,5,0),"No R2")</f>
        <v>23f3000846@ds.study.iitm.ac.in</v>
      </c>
      <c r="F119" s="3">
        <f>COUNTIF('Peer-Review'!B:B,C119)+COUNTIF('Peer-Review'!F:F,C119)</f>
        <v>1</v>
      </c>
      <c r="G119" s="3">
        <f t="shared" si="1"/>
        <v>1</v>
      </c>
      <c r="H119" s="3" t="str">
        <f>IFERROR(__xludf.DUMMYFUNCTION("IFERROR(TRANSPOSE(FILTER('Peer-Review'!$J$2:$J$568,(TRIM('Peer-Review'!$B$2:$B$568)=C119 )+ (TRIM('Peer-Review'!$F$2:$F$568)=C119))),""No Reviews"")"),"23f3000846@ds.study.iitm.ac.in")</f>
        <v>23f3000846@ds.study.iitm.ac.in</v>
      </c>
      <c r="J119" s="3">
        <f>IF(D119="No R1",0,VLOOKUP(C119,'Peer-Review'!B:D,2,0))</f>
        <v>0</v>
      </c>
      <c r="K119" s="3">
        <f>IF(D119="No R1",0,VLOOKUP(C119,'Peer-Review'!B:D,3,0))</f>
        <v>0</v>
      </c>
      <c r="L119" s="3">
        <f>IF(E119="No R2",0,VLOOKUP(C119,'Peer-Review'!F:H,2,0))</f>
        <v>10</v>
      </c>
      <c r="M119" s="3">
        <f>IF(E119="No R2",0,VLOOKUP(C119,'Peer-Review'!F:H,3,0))</f>
        <v>10</v>
      </c>
    </row>
    <row r="120" hidden="1">
      <c r="A120" s="3" t="str">
        <f>IFERROR(__xludf.DUMMYFUNCTION("""COMPUTED_VALUE"""),"21f3001666@ds.study.iitm.ac.in")</f>
        <v>21f3001666@ds.study.iitm.ac.in</v>
      </c>
      <c r="B120" s="3">
        <f>IFERROR(__xludf.DUMMYFUNCTION("""COMPUTED_VALUE"""),11.0)</f>
        <v>11</v>
      </c>
      <c r="C120" s="5" t="str">
        <f>IFERROR(__xludf.DUMMYFUNCTION("""COMPUTED_VALUE"""),"https://github.com/KanishkarIITM/Proj1")</f>
        <v>https://github.com/KanishkarIITM/Proj1</v>
      </c>
      <c r="D120" s="3" t="str">
        <f>IFERROR(VLOOKUP(C120,'Peer-Review'!B:J,9,0),"No R1")</f>
        <v>23f2003488@ds.study.iitm.ac.in</v>
      </c>
      <c r="E120" s="3" t="str">
        <f>IFERROR(VLOOKUP(C120,'Peer-Review'!F:J,5,0),"No R2")</f>
        <v>No R2</v>
      </c>
      <c r="F120" s="3">
        <f>COUNTIF('Peer-Review'!B:B,C120)+COUNTIF('Peer-Review'!F:F,C120)</f>
        <v>1</v>
      </c>
      <c r="G120" s="3">
        <f t="shared" si="1"/>
        <v>1</v>
      </c>
      <c r="H120" s="3" t="str">
        <f>IFERROR(__xludf.DUMMYFUNCTION("IFERROR(TRANSPOSE(FILTER('Peer-Review'!$J$2:$J$568,(TRIM('Peer-Review'!$B$2:$B$568)=C120 )+ (TRIM('Peer-Review'!$F$2:$F$568)=C120))),""No Reviews"")"),"23f2003488@ds.study.iitm.ac.in")</f>
        <v>23f2003488@ds.study.iitm.ac.in</v>
      </c>
      <c r="J120" s="3">
        <f>IF(D120="No R1",0,VLOOKUP(C120,'Peer-Review'!B:D,2,0))</f>
        <v>9</v>
      </c>
      <c r="K120" s="3">
        <f>IF(D120="No R1",0,VLOOKUP(C120,'Peer-Review'!B:D,3,0))</f>
        <v>0</v>
      </c>
      <c r="L120" s="3">
        <f>IF(E120="No R2",0,VLOOKUP(C120,'Peer-Review'!F:H,2,0))</f>
        <v>0</v>
      </c>
      <c r="M120" s="3">
        <f>IF(E120="No R2",0,VLOOKUP(C120,'Peer-Review'!F:H,3,0))</f>
        <v>0</v>
      </c>
    </row>
    <row r="121" hidden="1">
      <c r="A121" s="3" t="str">
        <f>IFERROR(__xludf.DUMMYFUNCTION("""COMPUTED_VALUE"""),"21f3001800@ds.study.iitm.ac.in")</f>
        <v>21f3001800@ds.study.iitm.ac.in</v>
      </c>
      <c r="B121" s="3">
        <f>IFERROR(__xludf.DUMMYFUNCTION("""COMPUTED_VALUE"""),17.0)</f>
        <v>17</v>
      </c>
      <c r="C121" s="5" t="str">
        <f>IFERROR(__xludf.DUMMYFUNCTION("""COMPUTED_VALUE"""),"https://github.com/afsi07/github-users-london/tree/main")</f>
        <v>https://github.com/afsi07/github-users-london/tree/main</v>
      </c>
      <c r="D121" s="3" t="str">
        <f>IFERROR(VLOOKUP(C121,'Peer-Review'!B:J,9,0),"No R1")</f>
        <v>No R1</v>
      </c>
      <c r="E121" s="3" t="str">
        <f>IFERROR(VLOOKUP(C121,'Peer-Review'!F:J,5,0),"No R2")</f>
        <v>23f3001129@ds.study.iitm.ac.in</v>
      </c>
      <c r="F121" s="3">
        <f>COUNTIF('Peer-Review'!B:B,C121)+COUNTIF('Peer-Review'!F:F,C121)</f>
        <v>2</v>
      </c>
      <c r="G121" s="3">
        <f t="shared" si="1"/>
        <v>1</v>
      </c>
      <c r="H121" s="3" t="str">
        <f>IFERROR(__xludf.DUMMYFUNCTION("IFERROR(TRANSPOSE(FILTER('Peer-Review'!$J$2:$J$568,(TRIM('Peer-Review'!$B$2:$B$568)=C121 )+ (TRIM('Peer-Review'!$F$2:$F$568)=C121))),""No Reviews"")"),"23f3001129@ds.study.iitm.ac.in")</f>
        <v>23f3001129@ds.study.iitm.ac.in</v>
      </c>
      <c r="I121" s="3" t="str">
        <f>IFERROR(__xludf.DUMMYFUNCTION("""COMPUTED_VALUE"""),"21f3001656@ds.study.iitm.ac.in")</f>
        <v>21f3001656@ds.study.iitm.ac.in</v>
      </c>
      <c r="J121" s="3">
        <f>IF(D121="No R1",0,VLOOKUP(C121,'Peer-Review'!B:D,2,0))</f>
        <v>0</v>
      </c>
      <c r="K121" s="3">
        <f>IF(D121="No R1",0,VLOOKUP(C121,'Peer-Review'!B:D,3,0))</f>
        <v>0</v>
      </c>
      <c r="L121" s="3">
        <f>IF(E121="No R2",0,VLOOKUP(C121,'Peer-Review'!F:H,2,0))</f>
        <v>10</v>
      </c>
      <c r="M121" s="3">
        <f>IF(E121="No R2",0,VLOOKUP(C121,'Peer-Review'!F:H,3,0))</f>
        <v>10</v>
      </c>
    </row>
    <row r="122" hidden="1">
      <c r="A122" s="3" t="str">
        <f>IFERROR(__xludf.DUMMYFUNCTION("""COMPUTED_VALUE"""),"21f3001858@ds.study.iitm.ac.in")</f>
        <v>21f3001858@ds.study.iitm.ac.in</v>
      </c>
      <c r="B122" s="3">
        <f>IFERROR(__xludf.DUMMYFUNCTION("""COMPUTED_VALUE"""),17.0)</f>
        <v>17</v>
      </c>
      <c r="C122" s="5" t="str">
        <f>IFERROR(__xludf.DUMMYFUNCTION("""COMPUTED_VALUE"""),"https://github.com/Prajchin/TDS_P1")</f>
        <v>https://github.com/Prajchin/TDS_P1</v>
      </c>
      <c r="D122" s="3" t="str">
        <f>IFERROR(VLOOKUP(C122,'Peer-Review'!B:J,9,0),"No R1")</f>
        <v>No R1</v>
      </c>
      <c r="E122" s="3" t="str">
        <f>IFERROR(VLOOKUP(C122,'Peer-Review'!F:J,5,0),"No R2")</f>
        <v>21f3001800@ds.study.iitm.ac.in</v>
      </c>
      <c r="F122" s="3">
        <f>COUNTIF('Peer-Review'!B:B,C122)+COUNTIF('Peer-Review'!F:F,C122)</f>
        <v>2</v>
      </c>
      <c r="G122" s="3">
        <f t="shared" si="1"/>
        <v>1</v>
      </c>
      <c r="H122" s="3" t="str">
        <f>IFERROR(__xludf.DUMMYFUNCTION("IFERROR(TRANSPOSE(FILTER('Peer-Review'!$J$2:$J$568,(TRIM('Peer-Review'!$B$2:$B$568)=C122 )+ (TRIM('Peer-Review'!$F$2:$F$568)=C122))),""No Reviews"")"),"21f3001800@ds.study.iitm.ac.in")</f>
        <v>21f3001800@ds.study.iitm.ac.in</v>
      </c>
      <c r="I122" s="3" t="str">
        <f>IFERROR(__xludf.DUMMYFUNCTION("""COMPUTED_VALUE"""),"23f3001831@ds.study.iitm.ac.in")</f>
        <v>23f3001831@ds.study.iitm.ac.in</v>
      </c>
      <c r="J122" s="3">
        <f>IF(D122="No R1",0,VLOOKUP(C122,'Peer-Review'!B:D,2,0))</f>
        <v>0</v>
      </c>
      <c r="K122" s="3">
        <f>IF(D122="No R1",0,VLOOKUP(C122,'Peer-Review'!B:D,3,0))</f>
        <v>0</v>
      </c>
      <c r="L122" s="3">
        <f>IF(E122="No R2",0,VLOOKUP(C122,'Peer-Review'!F:H,2,0))</f>
        <v>10</v>
      </c>
      <c r="M122" s="3">
        <f>IF(E122="No R2",0,VLOOKUP(C122,'Peer-Review'!F:H,3,0))</f>
        <v>10</v>
      </c>
    </row>
    <row r="123" hidden="1">
      <c r="A123" s="3" t="str">
        <f>IFERROR(__xludf.DUMMYFUNCTION("""COMPUTED_VALUE"""),"21f3001902@ds.study.iitm.ac.in")</f>
        <v>21f3001902@ds.study.iitm.ac.in</v>
      </c>
      <c r="B123" s="3">
        <f>IFERROR(__xludf.DUMMYFUNCTION("""COMPUTED_VALUE"""),16.0)</f>
        <v>16</v>
      </c>
      <c r="C123" s="5" t="str">
        <f>IFERROR(__xludf.DUMMYFUNCTION("""COMPUTED_VALUE"""),"https://github.com/SidharthDahiya/Toronto-Analysis")</f>
        <v>https://github.com/SidharthDahiya/Toronto-Analysis</v>
      </c>
      <c r="D123" s="3" t="str">
        <f>IFERROR(VLOOKUP(C123,'Peer-Review'!B:J,9,0),"No R1")</f>
        <v>21f3001934@ds.study.iitm.ac.in</v>
      </c>
      <c r="E123" s="3" t="str">
        <f>IFERROR(VLOOKUP(C123,'Peer-Review'!F:J,5,0),"No R2")</f>
        <v>No R2</v>
      </c>
      <c r="F123" s="3">
        <f>COUNTIF('Peer-Review'!B:B,C123)+COUNTIF('Peer-Review'!F:F,C123)</f>
        <v>2</v>
      </c>
      <c r="G123" s="3">
        <f t="shared" si="1"/>
        <v>1</v>
      </c>
      <c r="H123" s="3" t="str">
        <f>IFERROR(__xludf.DUMMYFUNCTION("IFERROR(TRANSPOSE(FILTER('Peer-Review'!$J$2:$J$568,(TRIM('Peer-Review'!$B$2:$B$568)=C123 )+ (TRIM('Peer-Review'!$F$2:$F$568)=C123))),""No Reviews"")"),"21f3001934@ds.study.iitm.ac.in")</f>
        <v>21f3001934@ds.study.iitm.ac.in</v>
      </c>
      <c r="I123" s="3" t="str">
        <f>IFERROR(__xludf.DUMMYFUNCTION("""COMPUTED_VALUE"""),"24f1002524@ds.study.iitm.ac.in")</f>
        <v>24f1002524@ds.study.iitm.ac.in</v>
      </c>
      <c r="J123" s="3">
        <f>IF(D123="No R1",0,VLOOKUP(C123,'Peer-Review'!B:D,2,0))</f>
        <v>5</v>
      </c>
      <c r="K123" s="3">
        <f>IF(D123="No R1",0,VLOOKUP(C123,'Peer-Review'!B:D,3,0))</f>
        <v>4</v>
      </c>
      <c r="L123" s="3">
        <f>IF(E123="No R2",0,VLOOKUP(C123,'Peer-Review'!F:H,2,0))</f>
        <v>0</v>
      </c>
      <c r="M123" s="3">
        <f>IF(E123="No R2",0,VLOOKUP(C123,'Peer-Review'!F:H,3,0))</f>
        <v>0</v>
      </c>
    </row>
    <row r="124" hidden="1">
      <c r="A124" s="3" t="str">
        <f>IFERROR(__xludf.DUMMYFUNCTION("""COMPUTED_VALUE"""),"21f3001907@ds.study.iitm.ac.in")</f>
        <v>21f3001907@ds.study.iitm.ac.in</v>
      </c>
      <c r="B124" s="3">
        <f>IFERROR(__xludf.DUMMYFUNCTION("""COMPUTED_VALUE"""),12.0)</f>
        <v>12</v>
      </c>
      <c r="C124" s="5" t="str">
        <f>IFERROR(__xludf.DUMMYFUNCTION("""COMPUTED_VALUE"""),"https://github.com/Bhaargavi29/Moscow-50-repo")</f>
        <v>https://github.com/Bhaargavi29/Moscow-50-repo</v>
      </c>
      <c r="D124" s="3" t="str">
        <f>IFERROR(VLOOKUP(C124,'Peer-Review'!B:J,9,0),"No R1")</f>
        <v>21f3002030@ds.study.iitm.ac.in</v>
      </c>
      <c r="E124" s="3" t="str">
        <f>IFERROR(VLOOKUP(C124,'Peer-Review'!F:J,5,0),"No R2")</f>
        <v>No R2</v>
      </c>
      <c r="F124" s="3">
        <f>COUNTIF('Peer-Review'!B:B,C124)+COUNTIF('Peer-Review'!F:F,C124)</f>
        <v>1</v>
      </c>
      <c r="G124" s="3">
        <f t="shared" si="1"/>
        <v>1</v>
      </c>
      <c r="H124" s="3" t="str">
        <f>IFERROR(__xludf.DUMMYFUNCTION("IFERROR(TRANSPOSE(FILTER('Peer-Review'!$J$2:$J$568,(TRIM('Peer-Review'!$B$2:$B$568)=C124 )+ (TRIM('Peer-Review'!$F$2:$F$568)=C124))),""No Reviews"")"),"21f3002030@ds.study.iitm.ac.in")</f>
        <v>21f3002030@ds.study.iitm.ac.in</v>
      </c>
      <c r="J124" s="3">
        <f>IF(D124="No R1",0,VLOOKUP(C124,'Peer-Review'!B:D,2,0))</f>
        <v>3</v>
      </c>
      <c r="K124" s="3">
        <f>IF(D124="No R1",0,VLOOKUP(C124,'Peer-Review'!B:D,3,0))</f>
        <v>8</v>
      </c>
      <c r="L124" s="3">
        <f>IF(E124="No R2",0,VLOOKUP(C124,'Peer-Review'!F:H,2,0))</f>
        <v>0</v>
      </c>
      <c r="M124" s="3">
        <f>IF(E124="No R2",0,VLOOKUP(C124,'Peer-Review'!F:H,3,0))</f>
        <v>0</v>
      </c>
    </row>
    <row r="125" hidden="1">
      <c r="A125" s="3" t="str">
        <f>IFERROR(__xludf.DUMMYFUNCTION("""COMPUTED_VALUE"""),"21f3001919@ds.study.iitm.ac.in")</f>
        <v>21f3001919@ds.study.iitm.ac.in</v>
      </c>
      <c r="B125" s="3">
        <f>IFERROR(__xludf.DUMMYFUNCTION("""COMPUTED_VALUE"""),17.0)</f>
        <v>17</v>
      </c>
      <c r="C125" s="5" t="str">
        <f>IFERROR(__xludf.DUMMYFUNCTION("""COMPUTED_VALUE"""),"https://github.com/anshikaiitm/toronto_github_users")</f>
        <v>https://github.com/anshikaiitm/toronto_github_users</v>
      </c>
      <c r="D125" s="3" t="str">
        <f>IFERROR(VLOOKUP(C125,'Peer-Review'!B:J,9,0),"No R1")</f>
        <v>No R1</v>
      </c>
      <c r="E125" s="3" t="str">
        <f>IFERROR(VLOOKUP(C125,'Peer-Review'!F:J,5,0),"No R2")</f>
        <v>21f3001858@ds.study.iitm.ac.in</v>
      </c>
      <c r="F125" s="3">
        <f>COUNTIF('Peer-Review'!B:B,C125)+COUNTIF('Peer-Review'!F:F,C125)</f>
        <v>1</v>
      </c>
      <c r="G125" s="3">
        <f t="shared" si="1"/>
        <v>1</v>
      </c>
      <c r="H125" s="3" t="str">
        <f>IFERROR(__xludf.DUMMYFUNCTION("IFERROR(TRANSPOSE(FILTER('Peer-Review'!$J$2:$J$568,(TRIM('Peer-Review'!$B$2:$B$568)=C125 )+ (TRIM('Peer-Review'!$F$2:$F$568)=C125))),""No Reviews"")"),"21f3001858@ds.study.iitm.ac.in")</f>
        <v>21f3001858@ds.study.iitm.ac.in</v>
      </c>
      <c r="J125" s="3">
        <f>IF(D125="No R1",0,VLOOKUP(C125,'Peer-Review'!B:D,2,0))</f>
        <v>0</v>
      </c>
      <c r="K125" s="3">
        <f>IF(D125="No R1",0,VLOOKUP(C125,'Peer-Review'!B:D,3,0))</f>
        <v>0</v>
      </c>
      <c r="L125" s="3">
        <f>IF(E125="No R2",0,VLOOKUP(C125,'Peer-Review'!F:H,2,0))</f>
        <v>8</v>
      </c>
      <c r="M125" s="3">
        <f>IF(E125="No R2",0,VLOOKUP(C125,'Peer-Review'!F:H,3,0))</f>
        <v>10</v>
      </c>
    </row>
    <row r="126" hidden="1">
      <c r="A126" s="3" t="str">
        <f>IFERROR(__xludf.DUMMYFUNCTION("""COMPUTED_VALUE"""),"21f3001934@ds.study.iitm.ac.in")</f>
        <v>21f3001934@ds.study.iitm.ac.in</v>
      </c>
      <c r="B126" s="3">
        <f>IFERROR(__xludf.DUMMYFUNCTION("""COMPUTED_VALUE"""),16.0)</f>
        <v>16</v>
      </c>
      <c r="C126" s="5" t="str">
        <f>IFERROR(__xludf.DUMMYFUNCTION("""COMPUTED_VALUE"""),"https://github.com/ramees-thattarath/TDS-proj-1")</f>
        <v>https://github.com/ramees-thattarath/TDS-proj-1</v>
      </c>
      <c r="D126" s="3" t="str">
        <f>IFERROR(VLOOKUP(C126,'Peer-Review'!B:J,9,0),"No R1")</f>
        <v>22f2000036@ds.study.iitm.ac.in</v>
      </c>
      <c r="E126" s="3" t="str">
        <f>IFERROR(VLOOKUP(C126,'Peer-Review'!F:J,5,0),"No R2")</f>
        <v>No R2</v>
      </c>
      <c r="F126" s="3">
        <f>COUNTIF('Peer-Review'!B:B,C126)+COUNTIF('Peer-Review'!F:F,C126)</f>
        <v>2</v>
      </c>
      <c r="G126" s="3">
        <f t="shared" si="1"/>
        <v>1</v>
      </c>
      <c r="H126" s="3" t="str">
        <f>IFERROR(__xludf.DUMMYFUNCTION("IFERROR(TRANSPOSE(FILTER('Peer-Review'!$J$2:$J$568,(TRIM('Peer-Review'!$B$2:$B$568)=C126 )+ (TRIM('Peer-Review'!$F$2:$F$568)=C126))),""No Reviews"")"),"22f2000036@ds.study.iitm.ac.in")</f>
        <v>22f2000036@ds.study.iitm.ac.in</v>
      </c>
      <c r="I126" s="3" t="str">
        <f>IFERROR(__xludf.DUMMYFUNCTION("""COMPUTED_VALUE"""),"21f3002257@ds.study.iitm.ac.in")</f>
        <v>21f3002257@ds.study.iitm.ac.in</v>
      </c>
      <c r="J126" s="3">
        <f>IF(D126="No R1",0,VLOOKUP(C126,'Peer-Review'!B:D,2,0))</f>
        <v>10</v>
      </c>
      <c r="K126" s="3">
        <f>IF(D126="No R1",0,VLOOKUP(C126,'Peer-Review'!B:D,3,0))</f>
        <v>10</v>
      </c>
      <c r="L126" s="3">
        <f>IF(E126="No R2",0,VLOOKUP(C126,'Peer-Review'!F:H,2,0))</f>
        <v>0</v>
      </c>
      <c r="M126" s="3">
        <f>IF(E126="No R2",0,VLOOKUP(C126,'Peer-Review'!F:H,3,0))</f>
        <v>0</v>
      </c>
    </row>
    <row r="127" hidden="1">
      <c r="A127" s="3" t="str">
        <f>IFERROR(__xludf.DUMMYFUNCTION("""COMPUTED_VALUE"""),"21f3002030@ds.study.iitm.ac.in")</f>
        <v>21f3002030@ds.study.iitm.ac.in</v>
      </c>
      <c r="B127" s="3">
        <f>IFERROR(__xludf.DUMMYFUNCTION("""COMPUTED_VALUE"""),12.0)</f>
        <v>12</v>
      </c>
      <c r="C127" s="5" t="str">
        <f>IFERROR(__xludf.DUMMYFUNCTION("""COMPUTED_VALUE"""),"https://github.com/febixcf/tds-project1")</f>
        <v>https://github.com/febixcf/tds-project1</v>
      </c>
      <c r="D127" s="3" t="str">
        <f>IFERROR(VLOOKUP(C127,'Peer-Review'!B:J,9,0),"No R1")</f>
        <v>21f3002425@ds.study.iitm.ac.in</v>
      </c>
      <c r="E127" s="3" t="str">
        <f>IFERROR(VLOOKUP(C127,'Peer-Review'!F:J,5,0),"No R2")</f>
        <v>No R2</v>
      </c>
      <c r="F127" s="3">
        <f>COUNTIF('Peer-Review'!B:B,C127)+COUNTIF('Peer-Review'!F:F,C127)</f>
        <v>2</v>
      </c>
      <c r="G127" s="3">
        <f t="shared" si="1"/>
        <v>1</v>
      </c>
      <c r="H127" s="3" t="str">
        <f>IFERROR(__xludf.DUMMYFUNCTION("IFERROR(TRANSPOSE(FILTER('Peer-Review'!$J$2:$J$568,(TRIM('Peer-Review'!$B$2:$B$568)=C127 )+ (TRIM('Peer-Review'!$F$2:$F$568)=C127))),""No Reviews"")"),"21f3002425@ds.study.iitm.ac.in")</f>
        <v>21f3002425@ds.study.iitm.ac.in</v>
      </c>
      <c r="I127" s="3" t="str">
        <f>IFERROR(__xludf.DUMMYFUNCTION("""COMPUTED_VALUE"""),"21f1006953@ds.study.iitm.ac.in")</f>
        <v>21f1006953@ds.study.iitm.ac.in</v>
      </c>
      <c r="J127" s="3">
        <f>IF(D127="No R1",0,VLOOKUP(C127,'Peer-Review'!B:D,2,0))</f>
        <v>10</v>
      </c>
      <c r="K127" s="3">
        <f>IF(D127="No R1",0,VLOOKUP(C127,'Peer-Review'!B:D,3,0))</f>
        <v>10</v>
      </c>
      <c r="L127" s="3">
        <f>IF(E127="No R2",0,VLOOKUP(C127,'Peer-Review'!F:H,2,0))</f>
        <v>0</v>
      </c>
      <c r="M127" s="3">
        <f>IF(E127="No R2",0,VLOOKUP(C127,'Peer-Review'!F:H,3,0))</f>
        <v>0</v>
      </c>
    </row>
    <row r="128" hidden="1">
      <c r="A128" s="3" t="str">
        <f>IFERROR(__xludf.DUMMYFUNCTION("""COMPUTED_VALUE"""),"21f3002088@ds.study.iitm.ac.in")</f>
        <v>21f3002088@ds.study.iitm.ac.in</v>
      </c>
      <c r="B128" s="3">
        <f>IFERROR(__xludf.DUMMYFUNCTION("""COMPUTED_VALUE"""),7.0)</f>
        <v>7</v>
      </c>
      <c r="C128" s="5" t="str">
        <f>IFERROR(__xludf.DUMMYFUNCTION("""COMPUTED_VALUE"""),"https://github.com/BriIITM/Project1-TDS")</f>
        <v>https://github.com/BriIITM/Project1-TDS</v>
      </c>
      <c r="D128" s="3" t="str">
        <f>IFERROR(VLOOKUP(C128,'Peer-Review'!B:J,9,0),"No R1")</f>
        <v>22f3000651@ds.study.iitm.ac.in</v>
      </c>
      <c r="E128" s="3" t="str">
        <f>IFERROR(VLOOKUP(C128,'Peer-Review'!F:J,5,0),"No R2")</f>
        <v>No R2</v>
      </c>
      <c r="F128" s="3">
        <f>COUNTIF('Peer-Review'!B:B,C128)+COUNTIF('Peer-Review'!F:F,C128)</f>
        <v>2</v>
      </c>
      <c r="G128" s="3">
        <f t="shared" si="1"/>
        <v>1</v>
      </c>
      <c r="H128" s="3" t="str">
        <f>IFERROR(__xludf.DUMMYFUNCTION("IFERROR(TRANSPOSE(FILTER('Peer-Review'!$J$2:$J$568,(TRIM('Peer-Review'!$B$2:$B$568)=C128 )+ (TRIM('Peer-Review'!$F$2:$F$568)=C128))),""No Reviews"")"),"22f3000651@ds.study.iitm.ac.in")</f>
        <v>22f3000651@ds.study.iitm.ac.in</v>
      </c>
      <c r="I128" s="3" t="str">
        <f>IFERROR(__xludf.DUMMYFUNCTION("""COMPUTED_VALUE"""),"23f1002608@ds.study.iitm.ac.in")</f>
        <v>23f1002608@ds.study.iitm.ac.in</v>
      </c>
      <c r="J128" s="3">
        <f>IF(D128="No R1",0,VLOOKUP(C128,'Peer-Review'!B:D,2,0))</f>
        <v>9</v>
      </c>
      <c r="K128" s="3">
        <f>IF(D128="No R1",0,VLOOKUP(C128,'Peer-Review'!B:D,3,0))</f>
        <v>9</v>
      </c>
      <c r="L128" s="3">
        <f>IF(E128="No R2",0,VLOOKUP(C128,'Peer-Review'!F:H,2,0))</f>
        <v>0</v>
      </c>
      <c r="M128" s="3">
        <f>IF(E128="No R2",0,VLOOKUP(C128,'Peer-Review'!F:H,3,0))</f>
        <v>0</v>
      </c>
    </row>
    <row r="129" hidden="1">
      <c r="A129" s="3" t="str">
        <f>IFERROR(__xludf.DUMMYFUNCTION("""COMPUTED_VALUE"""),"21f3002090@ds.study.iitm.ac.in")</f>
        <v>21f3002090@ds.study.iitm.ac.in</v>
      </c>
      <c r="B129" s="3">
        <f>IFERROR(__xludf.DUMMYFUNCTION("""COMPUTED_VALUE"""),17.0)</f>
        <v>17</v>
      </c>
      <c r="C129" s="5" t="str">
        <f>IFERROR(__xludf.DUMMYFUNCTION("""COMPUTED_VALUE"""),"https://github.com/Skyehackerdoge/github-london-users")</f>
        <v>https://github.com/Skyehackerdoge/github-london-users</v>
      </c>
      <c r="D129" s="3" t="str">
        <f>IFERROR(VLOOKUP(C129,'Peer-Review'!B:J,9,0),"No R1")</f>
        <v>No R1</v>
      </c>
      <c r="E129" s="3" t="str">
        <f>IFERROR(VLOOKUP(C129,'Peer-Review'!F:J,5,0),"No R2")</f>
        <v>21f3001919@ds.study.iitm.ac.in</v>
      </c>
      <c r="F129" s="3">
        <f>COUNTIF('Peer-Review'!B:B,C129)+COUNTIF('Peer-Review'!F:F,C129)</f>
        <v>1</v>
      </c>
      <c r="G129" s="3">
        <f t="shared" si="1"/>
        <v>1</v>
      </c>
      <c r="H129" s="3" t="str">
        <f>IFERROR(__xludf.DUMMYFUNCTION("IFERROR(TRANSPOSE(FILTER('Peer-Review'!$J$2:$J$568,(TRIM('Peer-Review'!$B$2:$B$568)=C129 )+ (TRIM('Peer-Review'!$F$2:$F$568)=C129))),""No Reviews"")"),"21f3001919@ds.study.iitm.ac.in")</f>
        <v>21f3001919@ds.study.iitm.ac.in</v>
      </c>
      <c r="J129" s="3">
        <f>IF(D129="No R1",0,VLOOKUP(C129,'Peer-Review'!B:D,2,0))</f>
        <v>0</v>
      </c>
      <c r="K129" s="3">
        <f>IF(D129="No R1",0,VLOOKUP(C129,'Peer-Review'!B:D,3,0))</f>
        <v>0</v>
      </c>
      <c r="L129" s="3">
        <f>IF(E129="No R2",0,VLOOKUP(C129,'Peer-Review'!F:H,2,0))</f>
        <v>10</v>
      </c>
      <c r="M129" s="3">
        <f>IF(E129="No R2",0,VLOOKUP(C129,'Peer-Review'!F:H,3,0))</f>
        <v>9</v>
      </c>
    </row>
    <row r="130" hidden="1">
      <c r="A130" s="3" t="str">
        <f>IFERROR(__xludf.DUMMYFUNCTION("""COMPUTED_VALUE"""),"21f3002125@ds.study.iitm.ac.in")</f>
        <v>21f3002125@ds.study.iitm.ac.in</v>
      </c>
      <c r="B130" s="3">
        <f>IFERROR(__xludf.DUMMYFUNCTION("""COMPUTED_VALUE"""),15.0)</f>
        <v>15</v>
      </c>
      <c r="C130" s="5" t="str">
        <f>IFERROR(__xludf.DUMMYFUNCTION("""COMPUTED_VALUE"""),"https://github.com/RachitGupta4102/TDS-project")</f>
        <v>https://github.com/RachitGupta4102/TDS-project</v>
      </c>
      <c r="D130" s="3" t="str">
        <f>IFERROR(VLOOKUP(C130,'Peer-Review'!B:J,9,0),"No R1")</f>
        <v>23f2001876@ds.study.iitm.ac.in</v>
      </c>
      <c r="E130" s="3" t="str">
        <f>IFERROR(VLOOKUP(C130,'Peer-Review'!F:J,5,0),"No R2")</f>
        <v>No R2</v>
      </c>
      <c r="F130" s="3">
        <f>COUNTIF('Peer-Review'!B:B,C130)+COUNTIF('Peer-Review'!F:F,C130)</f>
        <v>1</v>
      </c>
      <c r="G130" s="3">
        <f t="shared" si="1"/>
        <v>1</v>
      </c>
      <c r="H130" s="3" t="str">
        <f>IFERROR(__xludf.DUMMYFUNCTION("IFERROR(TRANSPOSE(FILTER('Peer-Review'!$J$2:$J$568,(TRIM('Peer-Review'!$B$2:$B$568)=C130 )+ (TRIM('Peer-Review'!$F$2:$F$568)=C130))),""No Reviews"")"),"23f2001876@ds.study.iitm.ac.in")</f>
        <v>23f2001876@ds.study.iitm.ac.in</v>
      </c>
      <c r="J130" s="3">
        <f>IF(D130="No R1",0,VLOOKUP(C130,'Peer-Review'!B:D,2,0))</f>
        <v>0</v>
      </c>
      <c r="K130" s="3">
        <f>IF(D130="No R1",0,VLOOKUP(C130,'Peer-Review'!B:D,3,0))</f>
        <v>0</v>
      </c>
      <c r="L130" s="3">
        <f>IF(E130="No R2",0,VLOOKUP(C130,'Peer-Review'!F:H,2,0))</f>
        <v>0</v>
      </c>
      <c r="M130" s="3">
        <f>IF(E130="No R2",0,VLOOKUP(C130,'Peer-Review'!F:H,3,0))</f>
        <v>0</v>
      </c>
    </row>
    <row r="131" hidden="1">
      <c r="A131" s="3" t="str">
        <f>IFERROR(__xludf.DUMMYFUNCTION("""COMPUTED_VALUE"""),"21f3002143@ds.study.iitm.ac.in")</f>
        <v>21f3002143@ds.study.iitm.ac.in</v>
      </c>
      <c r="B131" s="3">
        <f>IFERROR(__xludf.DUMMYFUNCTION("""COMPUTED_VALUE"""),17.0)</f>
        <v>17</v>
      </c>
      <c r="C131" s="5" t="str">
        <f>IFERROR(__xludf.DUMMYFUNCTION("""COMPUTED_VALUE"""),"https://github.com/kasturi190602/TDSProject")</f>
        <v>https://github.com/kasturi190602/TDSProject</v>
      </c>
      <c r="D131" s="3" t="str">
        <f>IFERROR(VLOOKUP(C131,'Peer-Review'!B:J,9,0),"No R1")</f>
        <v>No R1</v>
      </c>
      <c r="E131" s="3" t="str">
        <f>IFERROR(VLOOKUP(C131,'Peer-Review'!F:J,5,0),"No R2")</f>
        <v>21f3002090@ds.study.iitm.ac.in</v>
      </c>
      <c r="F131" s="3">
        <f>COUNTIF('Peer-Review'!B:B,C131)+COUNTIF('Peer-Review'!F:F,C131)</f>
        <v>2</v>
      </c>
      <c r="G131" s="3">
        <f t="shared" si="1"/>
        <v>1</v>
      </c>
      <c r="H131" s="3" t="str">
        <f>IFERROR(__xludf.DUMMYFUNCTION("IFERROR(TRANSPOSE(FILTER('Peer-Review'!$J$2:$J$568,(TRIM('Peer-Review'!$B$2:$B$568)=C131 )+ (TRIM('Peer-Review'!$F$2:$F$568)=C131))),""No Reviews"")"),"21f3002090@ds.study.iitm.ac.in")</f>
        <v>21f3002090@ds.study.iitm.ac.in</v>
      </c>
      <c r="I131" s="3" t="str">
        <f>IFERROR(__xludf.DUMMYFUNCTION("""COMPUTED_VALUE"""),"21f1000303@ds.study.iitm.ac.in")</f>
        <v>21f1000303@ds.study.iitm.ac.in</v>
      </c>
      <c r="J131" s="3">
        <f>IF(D131="No R1",0,VLOOKUP(C131,'Peer-Review'!B:D,2,0))</f>
        <v>0</v>
      </c>
      <c r="K131" s="3">
        <f>IF(D131="No R1",0,VLOOKUP(C131,'Peer-Review'!B:D,3,0))</f>
        <v>0</v>
      </c>
      <c r="L131" s="3">
        <f>IF(E131="No R2",0,VLOOKUP(C131,'Peer-Review'!F:H,2,0))</f>
        <v>5</v>
      </c>
      <c r="M131" s="3">
        <f>IF(E131="No R2",0,VLOOKUP(C131,'Peer-Review'!F:H,3,0))</f>
        <v>10</v>
      </c>
    </row>
    <row r="132" hidden="1">
      <c r="A132" s="3" t="str">
        <f>IFERROR(__xludf.DUMMYFUNCTION("""COMPUTED_VALUE"""),"21f3002257@ds.study.iitm.ac.in")</f>
        <v>21f3002257@ds.study.iitm.ac.in</v>
      </c>
      <c r="B132" s="3">
        <f>IFERROR(__xludf.DUMMYFUNCTION("""COMPUTED_VALUE"""),16.0)</f>
        <v>16</v>
      </c>
      <c r="C132" s="5" t="str">
        <f>IFERROR(__xludf.DUMMYFUNCTION("""COMPUTED_VALUE"""),"https://github.com/fahmeed1713/GitHub-Users-and-Repositories-Data-Scraper")</f>
        <v>https://github.com/fahmeed1713/GitHub-Users-and-Repositories-Data-Scraper</v>
      </c>
      <c r="D132" s="3" t="str">
        <f>IFERROR(VLOOKUP(C132,'Peer-Review'!B:J,9,0),"No R1")</f>
        <v>No R1</v>
      </c>
      <c r="E132" s="3" t="str">
        <f>IFERROR(VLOOKUP(C132,'Peer-Review'!F:J,5,0),"No R2")</f>
        <v>24f1002524@ds.study.iitm.ac.in</v>
      </c>
      <c r="F132" s="3">
        <f>COUNTIF('Peer-Review'!B:B,C132)+COUNTIF('Peer-Review'!F:F,C132)</f>
        <v>1</v>
      </c>
      <c r="G132" s="3">
        <f t="shared" si="1"/>
        <v>1</v>
      </c>
      <c r="H132" s="3" t="str">
        <f>IFERROR(__xludf.DUMMYFUNCTION("IFERROR(TRANSPOSE(FILTER('Peer-Review'!$J$2:$J$568,(TRIM('Peer-Review'!$B$2:$B$568)=C132 )+ (TRIM('Peer-Review'!$F$2:$F$568)=C132))),""No Reviews"")"),"24f1002524@ds.study.iitm.ac.in")</f>
        <v>24f1002524@ds.study.iitm.ac.in</v>
      </c>
      <c r="J132" s="3">
        <f>IF(D132="No R1",0,VLOOKUP(C132,'Peer-Review'!B:D,2,0))</f>
        <v>0</v>
      </c>
      <c r="K132" s="3">
        <f>IF(D132="No R1",0,VLOOKUP(C132,'Peer-Review'!B:D,3,0))</f>
        <v>0</v>
      </c>
      <c r="L132" s="3">
        <f>IF(E132="No R2",0,VLOOKUP(C132,'Peer-Review'!F:H,2,0))</f>
        <v>10</v>
      </c>
      <c r="M132" s="3">
        <f>IF(E132="No R2",0,VLOOKUP(C132,'Peer-Review'!F:H,3,0))</f>
        <v>10</v>
      </c>
    </row>
    <row r="133" hidden="1">
      <c r="A133" s="3" t="str">
        <f>IFERROR(__xludf.DUMMYFUNCTION("""COMPUTED_VALUE"""),"21f3002268@ds.study.iitm.ac.in")</f>
        <v>21f3002268@ds.study.iitm.ac.in</v>
      </c>
      <c r="B133" s="3">
        <f>IFERROR(__xludf.DUMMYFUNCTION("""COMPUTED_VALUE"""),17.0)</f>
        <v>17</v>
      </c>
      <c r="C133" s="5" t="str">
        <f>IFERROR(__xludf.DUMMYFUNCTION("""COMPUTED_VALUE"""),"https://github.com/Srinidhi-Krishnan30/TDSProject1")</f>
        <v>https://github.com/Srinidhi-Krishnan30/TDSProject1</v>
      </c>
      <c r="D133" s="3" t="str">
        <f>IFERROR(VLOOKUP(C133,'Peer-Review'!B:J,9,0),"No R1")</f>
        <v>No R1</v>
      </c>
      <c r="E133" s="3" t="str">
        <f>IFERROR(VLOOKUP(C133,'Peer-Review'!F:J,5,0),"No R2")</f>
        <v>21f3002143@ds.study.iitm.ac.in</v>
      </c>
      <c r="F133" s="3">
        <f>COUNTIF('Peer-Review'!B:B,C133)+COUNTIF('Peer-Review'!F:F,C133)</f>
        <v>1</v>
      </c>
      <c r="G133" s="3">
        <f t="shared" si="1"/>
        <v>1</v>
      </c>
      <c r="H133" s="3" t="str">
        <f>IFERROR(__xludf.DUMMYFUNCTION("IFERROR(TRANSPOSE(FILTER('Peer-Review'!$J$2:$J$568,(TRIM('Peer-Review'!$B$2:$B$568)=C133 )+ (TRIM('Peer-Review'!$F$2:$F$568)=C133))),""No Reviews"")"),"21f3002143@ds.study.iitm.ac.in")</f>
        <v>21f3002143@ds.study.iitm.ac.in</v>
      </c>
      <c r="J133" s="3">
        <f>IF(D133="No R1",0,VLOOKUP(C133,'Peer-Review'!B:D,2,0))</f>
        <v>0</v>
      </c>
      <c r="K133" s="3">
        <f>IF(D133="No R1",0,VLOOKUP(C133,'Peer-Review'!B:D,3,0))</f>
        <v>0</v>
      </c>
      <c r="L133" s="3">
        <f>IF(E133="No R2",0,VLOOKUP(C133,'Peer-Review'!F:H,2,0))</f>
        <v>10</v>
      </c>
      <c r="M133" s="3">
        <f>IF(E133="No R2",0,VLOOKUP(C133,'Peer-Review'!F:H,3,0))</f>
        <v>0</v>
      </c>
    </row>
    <row r="134" hidden="1">
      <c r="A134" s="3" t="str">
        <f>IFERROR(__xludf.DUMMYFUNCTION("""COMPUTED_VALUE"""),"21f3002290@ds.study.iitm.ac.in")</f>
        <v>21f3002290@ds.study.iitm.ac.in</v>
      </c>
      <c r="B134" s="3">
        <f>IFERROR(__xludf.DUMMYFUNCTION("""COMPUTED_VALUE"""),17.0)</f>
        <v>17</v>
      </c>
      <c r="C134" s="5" t="str">
        <f>IFERROR(__xludf.DUMMYFUNCTION("""COMPUTED_VALUE"""),"https://github.com/mayanktripathii/TDS-Project-1")</f>
        <v>https://github.com/mayanktripathii/TDS-Project-1</v>
      </c>
      <c r="D134" s="3" t="str">
        <f>IFERROR(VLOOKUP(C134,'Peer-Review'!B:J,9,0),"No R1")</f>
        <v>No R1</v>
      </c>
      <c r="E134" s="3" t="str">
        <f>IFERROR(VLOOKUP(C134,'Peer-Review'!F:J,5,0),"No R2")</f>
        <v>21f3002268@ds.study.iitm.ac.in</v>
      </c>
      <c r="F134" s="3">
        <f>COUNTIF('Peer-Review'!B:B,C134)+COUNTIF('Peer-Review'!F:F,C134)</f>
        <v>2</v>
      </c>
      <c r="G134" s="3">
        <f t="shared" si="1"/>
        <v>1</v>
      </c>
      <c r="H134" s="3" t="str">
        <f>IFERROR(__xludf.DUMMYFUNCTION("IFERROR(TRANSPOSE(FILTER('Peer-Review'!$J$2:$J$568,(TRIM('Peer-Review'!$B$2:$B$568)=C134 )+ (TRIM('Peer-Review'!$F$2:$F$568)=C134))),""No Reviews"")"),"21f3002268@ds.study.iitm.ac.in")</f>
        <v>21f3002268@ds.study.iitm.ac.in</v>
      </c>
      <c r="I134" s="3" t="str">
        <f>IFERROR(__xludf.DUMMYFUNCTION("""COMPUTED_VALUE"""),"21f1001204@ds.study.iitm.ac.in")</f>
        <v>21f1001204@ds.study.iitm.ac.in</v>
      </c>
      <c r="J134" s="3">
        <f>IF(D134="No R1",0,VLOOKUP(C134,'Peer-Review'!B:D,2,0))</f>
        <v>0</v>
      </c>
      <c r="K134" s="3">
        <f>IF(D134="No R1",0,VLOOKUP(C134,'Peer-Review'!B:D,3,0))</f>
        <v>0</v>
      </c>
      <c r="L134" s="3">
        <f>IF(E134="No R2",0,VLOOKUP(C134,'Peer-Review'!F:H,2,0))</f>
        <v>6</v>
      </c>
      <c r="M134" s="3">
        <f>IF(E134="No R2",0,VLOOKUP(C134,'Peer-Review'!F:H,3,0))</f>
        <v>9</v>
      </c>
    </row>
    <row r="135" hidden="1">
      <c r="A135" s="3" t="str">
        <f>IFERROR(__xludf.DUMMYFUNCTION("""COMPUTED_VALUE"""),"21f3002322@ds.study.iitm.ac.in")</f>
        <v>21f3002322@ds.study.iitm.ac.in</v>
      </c>
      <c r="B135" s="3">
        <f>IFERROR(__xludf.DUMMYFUNCTION("""COMPUTED_VALUE"""),17.0)</f>
        <v>17</v>
      </c>
      <c r="C135" s="5" t="str">
        <f>IFERROR(__xludf.DUMMYFUNCTION("""COMPUTED_VALUE"""),"https://github.com/KRISHBORANA/Sydney-100")</f>
        <v>https://github.com/KRISHBORANA/Sydney-100</v>
      </c>
      <c r="D135" s="3" t="str">
        <f>IFERROR(VLOOKUP(C135,'Peer-Review'!B:J,9,0),"No R1")</f>
        <v>No R1</v>
      </c>
      <c r="E135" s="3" t="str">
        <f>IFERROR(VLOOKUP(C135,'Peer-Review'!F:J,5,0),"No R2")</f>
        <v>21f1001940@ds.study.iitm.ac.in</v>
      </c>
      <c r="F135" s="3">
        <f>COUNTIF('Peer-Review'!B:B,C135)+COUNTIF('Peer-Review'!F:F,C135)</f>
        <v>2</v>
      </c>
      <c r="G135" s="3">
        <f t="shared" si="1"/>
        <v>1</v>
      </c>
      <c r="H135" s="3" t="str">
        <f>IFERROR(__xludf.DUMMYFUNCTION("IFERROR(TRANSPOSE(FILTER('Peer-Review'!$J$2:$J$568,(TRIM('Peer-Review'!$B$2:$B$568)=C135 )+ (TRIM('Peer-Review'!$F$2:$F$568)=C135))),""No Reviews"")"),"21f1001940@ds.study.iitm.ac.in")</f>
        <v>21f1001940@ds.study.iitm.ac.in</v>
      </c>
      <c r="I135" s="3" t="str">
        <f>IFERROR(__xludf.DUMMYFUNCTION("""COMPUTED_VALUE"""),"21f3002290@ds.study.iitm.ac.in")</f>
        <v>21f3002290@ds.study.iitm.ac.in</v>
      </c>
      <c r="J135" s="3">
        <f>IF(D135="No R1",0,VLOOKUP(C135,'Peer-Review'!B:D,2,0))</f>
        <v>0</v>
      </c>
      <c r="K135" s="3">
        <f>IF(D135="No R1",0,VLOOKUP(C135,'Peer-Review'!B:D,3,0))</f>
        <v>0</v>
      </c>
      <c r="L135" s="3">
        <f>IF(E135="No R2",0,VLOOKUP(C135,'Peer-Review'!F:H,2,0))</f>
        <v>10</v>
      </c>
      <c r="M135" s="3">
        <f>IF(E135="No R2",0,VLOOKUP(C135,'Peer-Review'!F:H,3,0))</f>
        <v>10</v>
      </c>
    </row>
    <row r="136" hidden="1">
      <c r="A136" s="3" t="str">
        <f>IFERROR(__xludf.DUMMYFUNCTION("""COMPUTED_VALUE"""),"21f3002397@ds.study.iitm.ac.in")</f>
        <v>21f3002397@ds.study.iitm.ac.in</v>
      </c>
      <c r="B136" s="3">
        <f>IFERROR(__xludf.DUMMYFUNCTION("""COMPUTED_VALUE"""),13.0)</f>
        <v>13</v>
      </c>
      <c r="C136" s="5" t="str">
        <f>IFERROR(__xludf.DUMMYFUNCTION("""COMPUTED_VALUE"""),"https://github.com/21f3002397/tds-project")</f>
        <v>https://github.com/21f3002397/tds-project</v>
      </c>
      <c r="D136" s="3" t="str">
        <f>IFERROR(VLOOKUP(C136,'Peer-Review'!B:J,9,0),"No R1")</f>
        <v>No R1</v>
      </c>
      <c r="E136" s="3" t="str">
        <f>IFERROR(VLOOKUP(C136,'Peer-Review'!F:J,5,0),"No R2")</f>
        <v>No R2</v>
      </c>
      <c r="F136" s="3">
        <f>COUNTIF('Peer-Review'!B:B,C136)+COUNTIF('Peer-Review'!F:F,C136)</f>
        <v>0</v>
      </c>
      <c r="G136" s="3">
        <f t="shared" si="1"/>
        <v>0</v>
      </c>
      <c r="H136" s="3" t="str">
        <f>IFERROR(__xludf.DUMMYFUNCTION("IFERROR(TRANSPOSE(FILTER('Peer-Review'!$J$2:$J$568,(TRIM('Peer-Review'!$B$2:$B$568)=C136 )+ (TRIM('Peer-Review'!$F$2:$F$568)=C136))),""No Reviews"")"),"No Reviews")</f>
        <v>No Reviews</v>
      </c>
      <c r="J136" s="3">
        <f>IF(D136="No R1",0,VLOOKUP(C136,'Peer-Review'!B:D,2,0))</f>
        <v>0</v>
      </c>
      <c r="K136" s="3">
        <f>IF(D136="No R1",0,VLOOKUP(C136,'Peer-Review'!B:D,3,0))</f>
        <v>0</v>
      </c>
      <c r="L136" s="3">
        <f>IF(E136="No R2",0,VLOOKUP(C136,'Peer-Review'!F:H,2,0))</f>
        <v>0</v>
      </c>
      <c r="M136" s="3">
        <f>IF(E136="No R2",0,VLOOKUP(C136,'Peer-Review'!F:H,3,0))</f>
        <v>0</v>
      </c>
    </row>
    <row r="137" hidden="1">
      <c r="A137" s="3" t="str">
        <f>IFERROR(__xludf.DUMMYFUNCTION("""COMPUTED_VALUE"""),"21f3002415@ds.study.iitm.ac.in")</f>
        <v>21f3002415@ds.study.iitm.ac.in</v>
      </c>
      <c r="B137" s="3">
        <f>IFERROR(__xludf.DUMMYFUNCTION("""COMPUTED_VALUE"""),14.0)</f>
        <v>14</v>
      </c>
      <c r="C137" s="5" t="str">
        <f>IFERROR(__xludf.DUMMYFUNCTION("""COMPUTED_VALUE"""),"https://github.com/sneh2105/tds_proj1")</f>
        <v>https://github.com/sneh2105/tds_proj1</v>
      </c>
      <c r="D137" s="3" t="str">
        <f>IFERROR(VLOOKUP(C137,'Peer-Review'!B:J,9,0),"No R1")</f>
        <v>21f3002950@ds.study.iitm.ac.in</v>
      </c>
      <c r="E137" s="3" t="str">
        <f>IFERROR(VLOOKUP(C137,'Peer-Review'!F:J,5,0),"No R2")</f>
        <v>22f3003055@ds.study.iitm.ac.in</v>
      </c>
      <c r="F137" s="3">
        <f>COUNTIF('Peer-Review'!B:B,C137)+COUNTIF('Peer-Review'!F:F,C137)</f>
        <v>2</v>
      </c>
      <c r="G137" s="3">
        <f t="shared" si="1"/>
        <v>2</v>
      </c>
      <c r="H137" s="3" t="str">
        <f>IFERROR(__xludf.DUMMYFUNCTION("IFERROR(TRANSPOSE(FILTER('Peer-Review'!$J$2:$J$568,(TRIM('Peer-Review'!$B$2:$B$568)=C137 )+ (TRIM('Peer-Review'!$F$2:$F$568)=C137))),""No Reviews"")"),"22f3003055@ds.study.iitm.ac.in")</f>
        <v>22f3003055@ds.study.iitm.ac.in</v>
      </c>
      <c r="I137" s="3" t="str">
        <f>IFERROR(__xludf.DUMMYFUNCTION("""COMPUTED_VALUE"""),"21f3002950@ds.study.iitm.ac.in")</f>
        <v>21f3002950@ds.study.iitm.ac.in</v>
      </c>
      <c r="J137" s="3">
        <f>IF(D137="No R1",0,VLOOKUP(C137,'Peer-Review'!B:D,2,0))</f>
        <v>6</v>
      </c>
      <c r="K137" s="3">
        <f>IF(D137="No R1",0,VLOOKUP(C137,'Peer-Review'!B:D,3,0))</f>
        <v>4</v>
      </c>
      <c r="L137" s="3">
        <f>IF(E137="No R2",0,VLOOKUP(C137,'Peer-Review'!F:H,2,0))</f>
        <v>9</v>
      </c>
      <c r="M137" s="3">
        <f>IF(E137="No R2",0,VLOOKUP(C137,'Peer-Review'!F:H,3,0))</f>
        <v>8</v>
      </c>
    </row>
    <row r="138" hidden="1">
      <c r="A138" s="3" t="str">
        <f>IFERROR(__xludf.DUMMYFUNCTION("""COMPUTED_VALUE"""),"21f3002425@ds.study.iitm.ac.in")</f>
        <v>21f3002425@ds.study.iitm.ac.in</v>
      </c>
      <c r="B138" s="3">
        <f>IFERROR(__xludf.DUMMYFUNCTION("""COMPUTED_VALUE"""),12.0)</f>
        <v>12</v>
      </c>
      <c r="C138" s="5" t="str">
        <f>IFERROR(__xludf.DUMMYFUNCTION("""COMPUTED_VALUE"""),"https://github.com/loki1512/TDS-Project-1")</f>
        <v>https://github.com/loki1512/TDS-Project-1</v>
      </c>
      <c r="D138" s="3" t="str">
        <f>IFERROR(VLOOKUP(C138,'Peer-Review'!B:J,9,0),"No R1")</f>
        <v>22f1000155@ds.study.iitm.ac.in</v>
      </c>
      <c r="E138" s="3" t="str">
        <f>IFERROR(VLOOKUP(C138,'Peer-Review'!F:J,5,0),"No R2")</f>
        <v>No R2</v>
      </c>
      <c r="F138" s="3">
        <f>COUNTIF('Peer-Review'!B:B,C138)+COUNTIF('Peer-Review'!F:F,C138)</f>
        <v>1</v>
      </c>
      <c r="G138" s="3">
        <f t="shared" si="1"/>
        <v>1</v>
      </c>
      <c r="H138" s="3" t="str">
        <f>IFERROR(__xludf.DUMMYFUNCTION("IFERROR(TRANSPOSE(FILTER('Peer-Review'!$J$2:$J$568,(TRIM('Peer-Review'!$B$2:$B$568)=C138 )+ (TRIM('Peer-Review'!$F$2:$F$568)=C138))),""No Reviews"")"),"22f1000155@ds.study.iitm.ac.in")</f>
        <v>22f1000155@ds.study.iitm.ac.in</v>
      </c>
      <c r="J138" s="3">
        <f>IF(D138="No R1",0,VLOOKUP(C138,'Peer-Review'!B:D,2,0))</f>
        <v>10</v>
      </c>
      <c r="K138" s="3">
        <f>IF(D138="No R1",0,VLOOKUP(C138,'Peer-Review'!B:D,3,0))</f>
        <v>10</v>
      </c>
      <c r="L138" s="3">
        <f>IF(E138="No R2",0,VLOOKUP(C138,'Peer-Review'!F:H,2,0))</f>
        <v>0</v>
      </c>
      <c r="M138" s="3">
        <f>IF(E138="No R2",0,VLOOKUP(C138,'Peer-Review'!F:H,3,0))</f>
        <v>0</v>
      </c>
    </row>
    <row r="139" hidden="1">
      <c r="A139" s="3" t="str">
        <f>IFERROR(__xludf.DUMMYFUNCTION("""COMPUTED_VALUE"""),"21f3002579@ds.study.iitm.ac.in")</f>
        <v>21f3002579@ds.study.iitm.ac.in</v>
      </c>
      <c r="B139" s="3">
        <f>IFERROR(__xludf.DUMMYFUNCTION("""COMPUTED_VALUE"""),13.0)</f>
        <v>13</v>
      </c>
      <c r="C139" s="5" t="str">
        <f>IFERROR(__xludf.DUMMYFUNCTION("""COMPUTED_VALUE"""),"https://github.com/SaarthakMaini/tds_project_1/")</f>
        <v>https://github.com/SaarthakMaini/tds_project_1/</v>
      </c>
      <c r="D139" s="3" t="str">
        <f>IFERROR(VLOOKUP(C139,'Peer-Review'!B:J,9,0),"No R1")</f>
        <v>22f1001105@ds.study.iitm.ac.in</v>
      </c>
      <c r="E139" s="3" t="str">
        <f>IFERROR(VLOOKUP(C139,'Peer-Review'!F:J,5,0),"No R2")</f>
        <v>No R2</v>
      </c>
      <c r="F139" s="3">
        <f>COUNTIF('Peer-Review'!B:B,C139)+COUNTIF('Peer-Review'!F:F,C139)</f>
        <v>2</v>
      </c>
      <c r="G139" s="3">
        <f t="shared" si="1"/>
        <v>1</v>
      </c>
      <c r="H139" s="3" t="str">
        <f>IFERROR(__xludf.DUMMYFUNCTION("IFERROR(TRANSPOSE(FILTER('Peer-Review'!$J$2:$J$568,(TRIM('Peer-Review'!$B$2:$B$568)=C139 )+ (TRIM('Peer-Review'!$F$2:$F$568)=C139))),""No Reviews"")"),"22f1001105@ds.study.iitm.ac.in")</f>
        <v>22f1001105@ds.study.iitm.ac.in</v>
      </c>
      <c r="I139" s="3" t="str">
        <f>IFERROR(__xludf.DUMMYFUNCTION("""COMPUTED_VALUE"""),"21f3002715@ds.study.iitm.ac.in")</f>
        <v>21f3002715@ds.study.iitm.ac.in</v>
      </c>
      <c r="J139" s="3">
        <f>IF(D139="No R1",0,VLOOKUP(C139,'Peer-Review'!B:D,2,0))</f>
        <v>8</v>
      </c>
      <c r="K139" s="3">
        <f>IF(D139="No R1",0,VLOOKUP(C139,'Peer-Review'!B:D,3,0))</f>
        <v>10</v>
      </c>
      <c r="L139" s="3">
        <f>IF(E139="No R2",0,VLOOKUP(C139,'Peer-Review'!F:H,2,0))</f>
        <v>0</v>
      </c>
      <c r="M139" s="3">
        <f>IF(E139="No R2",0,VLOOKUP(C139,'Peer-Review'!F:H,3,0))</f>
        <v>0</v>
      </c>
    </row>
    <row r="140" hidden="1">
      <c r="A140" s="3" t="str">
        <f>IFERROR(__xludf.DUMMYFUNCTION("""COMPUTED_VALUE"""),"21f3002711@ds.study.iitm.ac.in")</f>
        <v>21f3002711@ds.study.iitm.ac.in</v>
      </c>
      <c r="B140" s="3">
        <f>IFERROR(__xludf.DUMMYFUNCTION("""COMPUTED_VALUE"""),16.0)</f>
        <v>16</v>
      </c>
      <c r="C140" s="5" t="str">
        <f>IFERROR(__xludf.DUMMYFUNCTION("""COMPUTED_VALUE"""),"https://github.com/Sakthi-Balan-B/project1")</f>
        <v>https://github.com/Sakthi-Balan-B/project1</v>
      </c>
      <c r="D140" s="3" t="str">
        <f>IFERROR(VLOOKUP(C140,'Peer-Review'!B:J,9,0),"No R1")</f>
        <v>No R1</v>
      </c>
      <c r="E140" s="3" t="str">
        <f>IFERROR(VLOOKUP(C140,'Peer-Review'!F:J,5,0),"No R2")</f>
        <v>22f2000036@ds.study.iitm.ac.in</v>
      </c>
      <c r="F140" s="3">
        <f>COUNTIF('Peer-Review'!B:B,C140)+COUNTIF('Peer-Review'!F:F,C140)</f>
        <v>2</v>
      </c>
      <c r="G140" s="3">
        <f t="shared" si="1"/>
        <v>1</v>
      </c>
      <c r="H140" s="3" t="str">
        <f>IFERROR(__xludf.DUMMYFUNCTION("IFERROR(TRANSPOSE(FILTER('Peer-Review'!$J$2:$J$568,(TRIM('Peer-Review'!$B$2:$B$568)=C140 )+ (TRIM('Peer-Review'!$F$2:$F$568)=C140))),""No Reviews"")"),"22f2000036@ds.study.iitm.ac.in")</f>
        <v>22f2000036@ds.study.iitm.ac.in</v>
      </c>
      <c r="I140" s="3" t="str">
        <f>IFERROR(__xludf.DUMMYFUNCTION("""COMPUTED_VALUE"""),"21f3002257@ds.study.iitm.ac.in")</f>
        <v>21f3002257@ds.study.iitm.ac.in</v>
      </c>
      <c r="J140" s="3">
        <f>IF(D140="No R1",0,VLOOKUP(C140,'Peer-Review'!B:D,2,0))</f>
        <v>0</v>
      </c>
      <c r="K140" s="3">
        <f>IF(D140="No R1",0,VLOOKUP(C140,'Peer-Review'!B:D,3,0))</f>
        <v>0</v>
      </c>
      <c r="L140" s="3">
        <f>IF(E140="No R2",0,VLOOKUP(C140,'Peer-Review'!F:H,2,0))</f>
        <v>10</v>
      </c>
      <c r="M140" s="3">
        <f>IF(E140="No R2",0,VLOOKUP(C140,'Peer-Review'!F:H,3,0))</f>
        <v>10</v>
      </c>
    </row>
    <row r="141" hidden="1">
      <c r="A141" s="3" t="str">
        <f>IFERROR(__xludf.DUMMYFUNCTION("""COMPUTED_VALUE"""),"21f3002715@ds.study.iitm.ac.in")</f>
        <v>21f3002715@ds.study.iitm.ac.in</v>
      </c>
      <c r="B141" s="3">
        <f>IFERROR(__xludf.DUMMYFUNCTION("""COMPUTED_VALUE"""),13.0)</f>
        <v>13</v>
      </c>
      <c r="C141" s="5" t="str">
        <f>IFERROR(__xludf.DUMMYFUNCTION("""COMPUTED_VALUE"""),"https://github.com/UrielKAlistair/TDS_P1")</f>
        <v>https://github.com/UrielKAlistair/TDS_P1</v>
      </c>
      <c r="D141" s="3" t="str">
        <f>IFERROR(VLOOKUP(C141,'Peer-Review'!B:J,9,0),"No R1")</f>
        <v>22f1001182@ds.study.iitm.ac.in</v>
      </c>
      <c r="E141" s="3" t="str">
        <f>IFERROR(VLOOKUP(C141,'Peer-Review'!F:J,5,0),"No R2")</f>
        <v>No R2</v>
      </c>
      <c r="F141" s="3">
        <f>COUNTIF('Peer-Review'!B:B,C141)+COUNTIF('Peer-Review'!F:F,C141)</f>
        <v>1</v>
      </c>
      <c r="G141" s="3">
        <f t="shared" si="1"/>
        <v>1</v>
      </c>
      <c r="H141" s="3" t="str">
        <f>IFERROR(__xludf.DUMMYFUNCTION("IFERROR(TRANSPOSE(FILTER('Peer-Review'!$J$2:$J$568,(TRIM('Peer-Review'!$B$2:$B$568)=C141 )+ (TRIM('Peer-Review'!$F$2:$F$568)=C141))),""No Reviews"")"),"22f1001182@ds.study.iitm.ac.in")</f>
        <v>22f1001182@ds.study.iitm.ac.in</v>
      </c>
      <c r="J141" s="3">
        <f>IF(D141="No R1",0,VLOOKUP(C141,'Peer-Review'!B:D,2,0))</f>
        <v>10</v>
      </c>
      <c r="K141" s="3">
        <f>IF(D141="No R1",0,VLOOKUP(C141,'Peer-Review'!B:D,3,0))</f>
        <v>0</v>
      </c>
      <c r="L141" s="3">
        <f>IF(E141="No R2",0,VLOOKUP(C141,'Peer-Review'!F:H,2,0))</f>
        <v>0</v>
      </c>
      <c r="M141" s="3">
        <f>IF(E141="No R2",0,VLOOKUP(C141,'Peer-Review'!F:H,3,0))</f>
        <v>0</v>
      </c>
    </row>
    <row r="142" hidden="1">
      <c r="A142" s="3" t="str">
        <f>IFERROR(__xludf.DUMMYFUNCTION("""COMPUTED_VALUE"""),"21f3002780@ds.study.iitm.ac.in")</f>
        <v>21f3002780@ds.study.iitm.ac.in</v>
      </c>
      <c r="B142" s="3">
        <f>IFERROR(__xludf.DUMMYFUNCTION("""COMPUTED_VALUE"""),17.0)</f>
        <v>17</v>
      </c>
      <c r="C142" s="5" t="str">
        <f>IFERROR(__xludf.DUMMYFUNCTION("""COMPUTED_VALUE"""),"https://github.com/foriitm/p01")</f>
        <v>https://github.com/foriitm/p01</v>
      </c>
      <c r="D142" s="3" t="str">
        <f>IFERROR(VLOOKUP(C142,'Peer-Review'!B:J,9,0),"No R1")</f>
        <v>No R1</v>
      </c>
      <c r="E142" s="3" t="str">
        <f>IFERROR(VLOOKUP(C142,'Peer-Review'!F:J,5,0),"No R2")</f>
        <v>21f3002322@ds.study.iitm.ac.in</v>
      </c>
      <c r="F142" s="3">
        <f>COUNTIF('Peer-Review'!B:B,C142)+COUNTIF('Peer-Review'!F:F,C142)</f>
        <v>2</v>
      </c>
      <c r="G142" s="3">
        <f t="shared" si="1"/>
        <v>1</v>
      </c>
      <c r="H142" s="3" t="str">
        <f>IFERROR(__xludf.DUMMYFUNCTION("IFERROR(TRANSPOSE(FILTER('Peer-Review'!$J$2:$J$568,(TRIM('Peer-Review'!$B$2:$B$568)=C142 )+ (TRIM('Peer-Review'!$F$2:$F$568)=C142))),""No Reviews"")"),"21f3002322@ds.study.iitm.ac.in")</f>
        <v>21f3002322@ds.study.iitm.ac.in</v>
      </c>
      <c r="I142" s="3" t="str">
        <f>IFERROR(__xludf.DUMMYFUNCTION("""COMPUTED_VALUE"""),"21f1002570@ds.study.iitm.ac.in")</f>
        <v>21f1002570@ds.study.iitm.ac.in</v>
      </c>
      <c r="J142" s="3">
        <f>IF(D142="No R1",0,VLOOKUP(C142,'Peer-Review'!B:D,2,0))</f>
        <v>0</v>
      </c>
      <c r="K142" s="3">
        <f>IF(D142="No R1",0,VLOOKUP(C142,'Peer-Review'!B:D,3,0))</f>
        <v>0</v>
      </c>
      <c r="L142" s="3">
        <f>IF(E142="No R2",0,VLOOKUP(C142,'Peer-Review'!F:H,2,0))</f>
        <v>0</v>
      </c>
      <c r="M142" s="3">
        <f>IF(E142="No R2",0,VLOOKUP(C142,'Peer-Review'!F:H,3,0))</f>
        <v>0</v>
      </c>
    </row>
    <row r="143" hidden="1">
      <c r="A143" s="3" t="str">
        <f>IFERROR(__xludf.DUMMYFUNCTION("""COMPUTED_VALUE"""),"21f3002801@ds.study.iitm.ac.in")</f>
        <v>21f3002801@ds.study.iitm.ac.in</v>
      </c>
      <c r="B143" s="3">
        <f>IFERROR(__xludf.DUMMYFUNCTION("""COMPUTED_VALUE"""),15.0)</f>
        <v>15</v>
      </c>
      <c r="C143" s="5" t="str">
        <f>IFERROR(__xludf.DUMMYFUNCTION("""COMPUTED_VALUE"""),"https://github.com/Codephile14/TDS_Project1")</f>
        <v>https://github.com/Codephile14/TDS_Project1</v>
      </c>
      <c r="D143" s="3" t="str">
        <f>IFERROR(VLOOKUP(C143,'Peer-Review'!B:J,9,0),"No R1")</f>
        <v>22f1000753@ds.study.iitm.ac.in</v>
      </c>
      <c r="E143" s="3" t="str">
        <f>IFERROR(VLOOKUP(C143,'Peer-Review'!F:J,5,0),"No R2")</f>
        <v>No R2</v>
      </c>
      <c r="F143" s="3">
        <f>COUNTIF('Peer-Review'!B:B,C143)+COUNTIF('Peer-Review'!F:F,C143)</f>
        <v>1</v>
      </c>
      <c r="G143" s="3">
        <f t="shared" si="1"/>
        <v>1</v>
      </c>
      <c r="H143" s="3" t="str">
        <f>IFERROR(__xludf.DUMMYFUNCTION("IFERROR(TRANSPOSE(FILTER('Peer-Review'!$J$2:$J$568,(TRIM('Peer-Review'!$B$2:$B$568)=C143 )+ (TRIM('Peer-Review'!$F$2:$F$568)=C143))),""No Reviews"")"),"22f1000753@ds.study.iitm.ac.in")</f>
        <v>22f1000753@ds.study.iitm.ac.in</v>
      </c>
      <c r="J143" s="3">
        <f>IF(D143="No R1",0,VLOOKUP(C143,'Peer-Review'!B:D,2,0))</f>
        <v>10</v>
      </c>
      <c r="K143" s="3">
        <f>IF(D143="No R1",0,VLOOKUP(C143,'Peer-Review'!B:D,3,0))</f>
        <v>10</v>
      </c>
      <c r="L143" s="3">
        <f>IF(E143="No R2",0,VLOOKUP(C143,'Peer-Review'!F:H,2,0))</f>
        <v>0</v>
      </c>
      <c r="M143" s="3">
        <f>IF(E143="No R2",0,VLOOKUP(C143,'Peer-Review'!F:H,3,0))</f>
        <v>0</v>
      </c>
    </row>
    <row r="144" hidden="1">
      <c r="A144" s="3" t="str">
        <f>IFERROR(__xludf.DUMMYFUNCTION("""COMPUTED_VALUE"""),"21f3002811@ds.study.iitm.ac.in")</f>
        <v>21f3002811@ds.study.iitm.ac.in</v>
      </c>
      <c r="B144" s="3">
        <f>IFERROR(__xludf.DUMMYFUNCTION("""COMPUTED_VALUE"""),0.0)</f>
        <v>0</v>
      </c>
      <c r="C144" s="5" t="str">
        <f>IFERROR(__xludf.DUMMYFUNCTION("""COMPUTED_VALUE"""),"https://github.com/isha123navare/ISshaTDS1Proj")</f>
        <v>https://github.com/isha123navare/ISshaTDS1Proj</v>
      </c>
      <c r="D144" s="3" t="str">
        <f>IFERROR(VLOOKUP(C144,'Peer-Review'!B:J,9,0),"No R1")</f>
        <v>No R1</v>
      </c>
      <c r="E144" s="3" t="str">
        <f>IFERROR(VLOOKUP(C144,'Peer-Review'!F:J,5,0),"No R2")</f>
        <v>No R2</v>
      </c>
      <c r="F144" s="3">
        <f>COUNTIF('Peer-Review'!B:B,C144)+COUNTIF('Peer-Review'!F:F,C144)</f>
        <v>0</v>
      </c>
      <c r="G144" s="3">
        <f t="shared" si="1"/>
        <v>0</v>
      </c>
      <c r="H144" s="3" t="str">
        <f>IFERROR(__xludf.DUMMYFUNCTION("IFERROR(TRANSPOSE(FILTER('Peer-Review'!$J$2:$J$568,(TRIM('Peer-Review'!$B$2:$B$568)=C144 )+ (TRIM('Peer-Review'!$F$2:$F$568)=C144))),""No Reviews"")"),"No Reviews")</f>
        <v>No Reviews</v>
      </c>
      <c r="J144" s="3">
        <f>IF(D144="No R1",0,VLOOKUP(C144,'Peer-Review'!B:D,2,0))</f>
        <v>0</v>
      </c>
      <c r="K144" s="3">
        <f>IF(D144="No R1",0,VLOOKUP(C144,'Peer-Review'!B:D,3,0))</f>
        <v>0</v>
      </c>
      <c r="L144" s="3">
        <f>IF(E144="No R2",0,VLOOKUP(C144,'Peer-Review'!F:H,2,0))</f>
        <v>0</v>
      </c>
      <c r="M144" s="3">
        <f>IF(E144="No R2",0,VLOOKUP(C144,'Peer-Review'!F:H,3,0))</f>
        <v>0</v>
      </c>
    </row>
    <row r="145" hidden="1">
      <c r="A145" s="3" t="str">
        <f>IFERROR(__xludf.DUMMYFUNCTION("""COMPUTED_VALUE"""),"21f3002925@ds.study.iitm.ac.in")</f>
        <v>21f3002925@ds.study.iitm.ac.in</v>
      </c>
      <c r="B145" s="3">
        <f>IFERROR(__xludf.DUMMYFUNCTION("""COMPUTED_VALUE"""),17.0)</f>
        <v>17</v>
      </c>
      <c r="C145" s="5" t="str">
        <f>IFERROR(__xludf.DUMMYFUNCTION("""COMPUTED_VALUE"""),"https://github.com/ml1608/TDS-Project1")</f>
        <v>https://github.com/ml1608/TDS-Project1</v>
      </c>
      <c r="D145" s="3" t="str">
        <f>IFERROR(VLOOKUP(C145,'Peer-Review'!B:J,9,0),"No R1")</f>
        <v>No R1</v>
      </c>
      <c r="E145" s="3" t="str">
        <f>IFERROR(VLOOKUP(C145,'Peer-Review'!F:J,5,0),"No R2")</f>
        <v>21f1004929@ds.study.iitm.ac.in</v>
      </c>
      <c r="F145" s="3">
        <f>COUNTIF('Peer-Review'!B:B,C145)+COUNTIF('Peer-Review'!F:F,C145)</f>
        <v>1</v>
      </c>
      <c r="G145" s="3">
        <f t="shared" si="1"/>
        <v>1</v>
      </c>
      <c r="H145" s="3" t="str">
        <f>IFERROR(__xludf.DUMMYFUNCTION("IFERROR(TRANSPOSE(FILTER('Peer-Review'!$J$2:$J$568,(TRIM('Peer-Review'!$B$2:$B$568)=C145 )+ (TRIM('Peer-Review'!$F$2:$F$568)=C145))),""No Reviews"")"),"21f1004929@ds.study.iitm.ac.in")</f>
        <v>21f1004929@ds.study.iitm.ac.in</v>
      </c>
      <c r="J145" s="3">
        <f>IF(D145="No R1",0,VLOOKUP(C145,'Peer-Review'!B:D,2,0))</f>
        <v>0</v>
      </c>
      <c r="K145" s="3">
        <f>IF(D145="No R1",0,VLOOKUP(C145,'Peer-Review'!B:D,3,0))</f>
        <v>0</v>
      </c>
      <c r="L145" s="3">
        <f>IF(E145="No R2",0,VLOOKUP(C145,'Peer-Review'!F:H,2,0))</f>
        <v>6</v>
      </c>
      <c r="M145" s="3">
        <f>IF(E145="No R2",0,VLOOKUP(C145,'Peer-Review'!F:H,3,0))</f>
        <v>10</v>
      </c>
    </row>
    <row r="146" hidden="1">
      <c r="A146" s="3" t="str">
        <f>IFERROR(__xludf.DUMMYFUNCTION("""COMPUTED_VALUE"""),"21f3002950@ds.study.iitm.ac.in")</f>
        <v>21f3002950@ds.study.iitm.ac.in</v>
      </c>
      <c r="B146" s="3">
        <f>IFERROR(__xludf.DUMMYFUNCTION("""COMPUTED_VALUE"""),14.0)</f>
        <v>14</v>
      </c>
      <c r="C146" s="5" t="str">
        <f>IFERROR(__xludf.DUMMYFUNCTION("""COMPUTED_VALUE"""),"https://github.com/kvaishnavidevi/tds-project-tokyo-200")</f>
        <v>https://github.com/kvaishnavidevi/tds-project-tokyo-200</v>
      </c>
      <c r="D146" s="3" t="str">
        <f>IFERROR(VLOOKUP(C146,'Peer-Review'!B:J,9,0),"No R1")</f>
        <v>22f3003067@ds.study.iitm.ac.in</v>
      </c>
      <c r="E146" s="3" t="str">
        <f>IFERROR(VLOOKUP(C146,'Peer-Review'!F:J,5,0),"No R2")</f>
        <v>No R2</v>
      </c>
      <c r="F146" s="3">
        <f>COUNTIF('Peer-Review'!B:B,C146)+COUNTIF('Peer-Review'!F:F,C146)</f>
        <v>1</v>
      </c>
      <c r="G146" s="3">
        <f t="shared" si="1"/>
        <v>1</v>
      </c>
      <c r="H146" s="3" t="str">
        <f>IFERROR(__xludf.DUMMYFUNCTION("IFERROR(TRANSPOSE(FILTER('Peer-Review'!$J$2:$J$568,(TRIM('Peer-Review'!$B$2:$B$568)=C146 )+ (TRIM('Peer-Review'!$F$2:$F$568)=C146))),""No Reviews"")"),"22f3003067@ds.study.iitm.ac.in")</f>
        <v>22f3003067@ds.study.iitm.ac.in</v>
      </c>
      <c r="J146" s="3">
        <f>IF(D146="No R1",0,VLOOKUP(C146,'Peer-Review'!B:D,2,0))</f>
        <v>7</v>
      </c>
      <c r="K146" s="3">
        <f>IF(D146="No R1",0,VLOOKUP(C146,'Peer-Review'!B:D,3,0))</f>
        <v>9</v>
      </c>
      <c r="L146" s="3">
        <f>IF(E146="No R2",0,VLOOKUP(C146,'Peer-Review'!F:H,2,0))</f>
        <v>0</v>
      </c>
      <c r="M146" s="3">
        <f>IF(E146="No R2",0,VLOOKUP(C146,'Peer-Review'!F:H,3,0))</f>
        <v>0</v>
      </c>
    </row>
    <row r="147" hidden="1">
      <c r="A147" s="3" t="str">
        <f>IFERROR(__xludf.DUMMYFUNCTION("""COMPUTED_VALUE"""),"21f3002970@ds.study.iitm.ac.in")</f>
        <v>21f3002970@ds.study.iitm.ac.in</v>
      </c>
      <c r="B147" s="3">
        <f>IFERROR(__xludf.DUMMYFUNCTION("""COMPUTED_VALUE"""),0.0)</f>
        <v>0</v>
      </c>
      <c r="C147" s="5" t="str">
        <f>IFERROR(__xludf.DUMMYFUNCTION("""COMPUTED_VALUE"""),"https://github.com/Swagat-pati/TDS_project1")</f>
        <v>https://github.com/Swagat-pati/TDS_project1</v>
      </c>
      <c r="D147" s="3" t="str">
        <f>IFERROR(VLOOKUP(C147,'Peer-Review'!B:J,9,0),"No R1")</f>
        <v>No R1</v>
      </c>
      <c r="E147" s="3" t="str">
        <f>IFERROR(VLOOKUP(C147,'Peer-Review'!F:J,5,0),"No R2")</f>
        <v>No R2</v>
      </c>
      <c r="F147" s="3">
        <f>COUNTIF('Peer-Review'!B:B,C147)+COUNTIF('Peer-Review'!F:F,C147)</f>
        <v>0</v>
      </c>
      <c r="G147" s="3">
        <f t="shared" si="1"/>
        <v>0</v>
      </c>
      <c r="H147" s="3" t="str">
        <f>IFERROR(__xludf.DUMMYFUNCTION("IFERROR(TRANSPOSE(FILTER('Peer-Review'!$J$2:$J$568,(TRIM('Peer-Review'!$B$2:$B$568)=C147 )+ (TRIM('Peer-Review'!$F$2:$F$568)=C147))),""No Reviews"")"),"No Reviews")</f>
        <v>No Reviews</v>
      </c>
      <c r="J147" s="3">
        <f>IF(D147="No R1",0,VLOOKUP(C147,'Peer-Review'!B:D,2,0))</f>
        <v>0</v>
      </c>
      <c r="K147" s="3">
        <f>IF(D147="No R1",0,VLOOKUP(C147,'Peer-Review'!B:D,3,0))</f>
        <v>0</v>
      </c>
      <c r="L147" s="3">
        <f>IF(E147="No R2",0,VLOOKUP(C147,'Peer-Review'!F:H,2,0))</f>
        <v>0</v>
      </c>
      <c r="M147" s="3">
        <f>IF(E147="No R2",0,VLOOKUP(C147,'Peer-Review'!F:H,3,0))</f>
        <v>0</v>
      </c>
    </row>
    <row r="148" hidden="1">
      <c r="A148" s="3" t="str">
        <f>IFERROR(__xludf.DUMMYFUNCTION("""COMPUTED_VALUE"""),"21f3003136@ds.study.iitm.ac.in")</f>
        <v>21f3003136@ds.study.iitm.ac.in</v>
      </c>
      <c r="B148" s="3">
        <f>IFERROR(__xludf.DUMMYFUNCTION("""COMPUTED_VALUE"""),16.0)</f>
        <v>16</v>
      </c>
      <c r="C148" s="5" t="str">
        <f>IFERROR(__xludf.DUMMYFUNCTION("""COMPUTED_VALUE"""),"https://github.com/21f3003136/TokyoScrape")</f>
        <v>https://github.com/21f3003136/TokyoScrape</v>
      </c>
      <c r="D148" s="3" t="str">
        <f>IFERROR(VLOOKUP(C148,'Peer-Review'!B:J,9,0),"No R1")</f>
        <v>No R1</v>
      </c>
      <c r="E148" s="3" t="str">
        <f>IFERROR(VLOOKUP(C148,'Peer-Review'!F:J,5,0),"No R2")</f>
        <v>21f3002711@ds.study.iitm.ac.in</v>
      </c>
      <c r="F148" s="3">
        <f>COUNTIF('Peer-Review'!B:B,C148)+COUNTIF('Peer-Review'!F:F,C148)</f>
        <v>2</v>
      </c>
      <c r="G148" s="3">
        <f t="shared" si="1"/>
        <v>1</v>
      </c>
      <c r="H148" s="3" t="str">
        <f>IFERROR(__xludf.DUMMYFUNCTION("IFERROR(TRANSPOSE(FILTER('Peer-Review'!$J$2:$J$568,(TRIM('Peer-Review'!$B$2:$B$568)=C148 )+ (TRIM('Peer-Review'!$F$2:$F$568)=C148))),""No Reviews"")"),"21f3002711@ds.study.iitm.ac.in")</f>
        <v>21f3002711@ds.study.iitm.ac.in</v>
      </c>
      <c r="I148" s="3" t="str">
        <f>IFERROR(__xludf.DUMMYFUNCTION("""COMPUTED_VALUE"""),"22f3001485@ds.study.iitm.ac.in")</f>
        <v>22f3001485@ds.study.iitm.ac.in</v>
      </c>
      <c r="J148" s="3">
        <f>IF(D148="No R1",0,VLOOKUP(C148,'Peer-Review'!B:D,2,0))</f>
        <v>0</v>
      </c>
      <c r="K148" s="3">
        <f>IF(D148="No R1",0,VLOOKUP(C148,'Peer-Review'!B:D,3,0))</f>
        <v>0</v>
      </c>
      <c r="L148" s="3">
        <f>IF(E148="No R2",0,VLOOKUP(C148,'Peer-Review'!F:H,2,0))</f>
        <v>10</v>
      </c>
      <c r="M148" s="3">
        <f>IF(E148="No R2",0,VLOOKUP(C148,'Peer-Review'!F:H,3,0))</f>
        <v>10</v>
      </c>
    </row>
    <row r="149" hidden="1">
      <c r="A149" s="3" t="str">
        <f>IFERROR(__xludf.DUMMYFUNCTION("""COMPUTED_VALUE"""),"22ds1000131@ds.study.iitm.ac.in")</f>
        <v>22ds1000131@ds.study.iitm.ac.in</v>
      </c>
      <c r="B149" s="3">
        <f>IFERROR(__xludf.DUMMYFUNCTION("""COMPUTED_VALUE"""),16.0)</f>
        <v>16</v>
      </c>
      <c r="C149" s="5" t="str">
        <f>IFERROR(__xludf.DUMMYFUNCTION("""COMPUTED_VALUE"""),"https://github.com/IITM-AnandK/AK-Project-Shanghai-200-Followers")</f>
        <v>https://github.com/IITM-AnandK/AK-Project-Shanghai-200-Followers</v>
      </c>
      <c r="D149" s="3" t="str">
        <f>IFERROR(VLOOKUP(C149,'Peer-Review'!B:J,9,0),"No R1")</f>
        <v>21f3003136@ds.study.iitm.ac.in</v>
      </c>
      <c r="E149" s="3" t="str">
        <f>IFERROR(VLOOKUP(C149,'Peer-Review'!F:J,5,0),"No R2")</f>
        <v>22f1001981@ds.study.iitm.ac.in</v>
      </c>
      <c r="F149" s="3">
        <f>COUNTIF('Peer-Review'!B:B,C149)+COUNTIF('Peer-Review'!F:F,C149)</f>
        <v>2</v>
      </c>
      <c r="G149" s="3">
        <f t="shared" si="1"/>
        <v>2</v>
      </c>
      <c r="H149" s="3" t="str">
        <f>IFERROR(__xludf.DUMMYFUNCTION("IFERROR(TRANSPOSE(FILTER('Peer-Review'!$J$2:$J$568,(TRIM('Peer-Review'!$B$2:$B$568)=C149 )+ (TRIM('Peer-Review'!$F$2:$F$568)=C149))),""No Reviews"")"),"21f3003136@ds.study.iitm.ac.in")</f>
        <v>21f3003136@ds.study.iitm.ac.in</v>
      </c>
      <c r="I149" s="3" t="str">
        <f>IFERROR(__xludf.DUMMYFUNCTION("""COMPUTED_VALUE"""),"22f1001981@ds.study.iitm.ac.in")</f>
        <v>22f1001981@ds.study.iitm.ac.in</v>
      </c>
      <c r="J149" s="3">
        <f>IF(D149="No R1",0,VLOOKUP(C149,'Peer-Review'!B:D,2,0))</f>
        <v>10</v>
      </c>
      <c r="K149" s="3">
        <f>IF(D149="No R1",0,VLOOKUP(C149,'Peer-Review'!B:D,3,0))</f>
        <v>10</v>
      </c>
      <c r="L149" s="3">
        <f>IF(E149="No R2",0,VLOOKUP(C149,'Peer-Review'!F:H,2,0))</f>
        <v>10</v>
      </c>
      <c r="M149" s="3">
        <f>IF(E149="No R2",0,VLOOKUP(C149,'Peer-Review'!F:H,3,0))</f>
        <v>10</v>
      </c>
    </row>
    <row r="150" hidden="1">
      <c r="A150" s="3" t="str">
        <f>IFERROR(__xludf.DUMMYFUNCTION("""COMPUTED_VALUE"""),"22ds2000035@ds.study.iitm.ac.in")</f>
        <v>22ds2000035@ds.study.iitm.ac.in</v>
      </c>
      <c r="B150" s="3">
        <f>IFERROR(__xludf.DUMMYFUNCTION("""COMPUTED_VALUE"""),16.0)</f>
        <v>16</v>
      </c>
      <c r="C150" s="5" t="str">
        <f>IFERROR(__xludf.DUMMYFUNCTION("""COMPUTED_VALUE"""),"https://github.com/palavallichaitanya/TDS-Project-1")</f>
        <v>https://github.com/palavallichaitanya/TDS-Project-1</v>
      </c>
      <c r="D150" s="3" t="str">
        <f>IFERROR(VLOOKUP(C150,'Peer-Review'!B:J,9,0),"No R1")</f>
        <v>No R1</v>
      </c>
      <c r="E150" s="3" t="str">
        <f>IFERROR(VLOOKUP(C150,'Peer-Review'!F:J,5,0),"No R2")</f>
        <v>22ds1000131@ds.study.iitm.ac.in</v>
      </c>
      <c r="F150" s="3">
        <f>COUNTIF('Peer-Review'!B:B,C150)+COUNTIF('Peer-Review'!F:F,C150)</f>
        <v>1</v>
      </c>
      <c r="G150" s="3">
        <f t="shared" si="1"/>
        <v>1</v>
      </c>
      <c r="H150" s="3" t="str">
        <f>IFERROR(__xludf.DUMMYFUNCTION("IFERROR(TRANSPOSE(FILTER('Peer-Review'!$J$2:$J$568,(TRIM('Peer-Review'!$B$2:$B$568)=C150 )+ (TRIM('Peer-Review'!$F$2:$F$568)=C150))),""No Reviews"")"),"22ds1000131@ds.study.iitm.ac.in")</f>
        <v>22ds1000131@ds.study.iitm.ac.in</v>
      </c>
      <c r="J150" s="3">
        <f>IF(D150="No R1",0,VLOOKUP(C150,'Peer-Review'!B:D,2,0))</f>
        <v>0</v>
      </c>
      <c r="K150" s="3">
        <f>IF(D150="No R1",0,VLOOKUP(C150,'Peer-Review'!B:D,3,0))</f>
        <v>0</v>
      </c>
      <c r="L150" s="3">
        <f>IF(E150="No R2",0,VLOOKUP(C150,'Peer-Review'!F:H,2,0))</f>
        <v>9</v>
      </c>
      <c r="M150" s="3">
        <f>IF(E150="No R2",0,VLOOKUP(C150,'Peer-Review'!F:H,3,0))</f>
        <v>10</v>
      </c>
    </row>
    <row r="151" hidden="1">
      <c r="A151" s="3" t="str">
        <f>IFERROR(__xludf.DUMMYFUNCTION("""COMPUTED_VALUE"""),"22ds2000045@ds.study.iitm.ac.in")</f>
        <v>22ds2000045@ds.study.iitm.ac.in</v>
      </c>
      <c r="B151" s="3">
        <f>IFERROR(__xludf.DUMMYFUNCTION("""COMPUTED_VALUE"""),0.0)</f>
        <v>0</v>
      </c>
      <c r="C151" s="5" t="str">
        <f>IFERROR(__xludf.DUMMYFUNCTION("""COMPUTED_VALUE"""),"https://github.com/ASIF-I-KHAN/github_bangalore_user_data")</f>
        <v>https://github.com/ASIF-I-KHAN/github_bangalore_user_data</v>
      </c>
      <c r="D151" s="3" t="str">
        <f>IFERROR(VLOOKUP(C151,'Peer-Review'!B:J,9,0),"No R1")</f>
        <v>No R1</v>
      </c>
      <c r="E151" s="3" t="str">
        <f>IFERROR(VLOOKUP(C151,'Peer-Review'!F:J,5,0),"No R2")</f>
        <v>No R2</v>
      </c>
      <c r="F151" s="3">
        <f>COUNTIF('Peer-Review'!B:B,C151)+COUNTIF('Peer-Review'!F:F,C151)</f>
        <v>0</v>
      </c>
      <c r="G151" s="3">
        <f t="shared" si="1"/>
        <v>0</v>
      </c>
      <c r="H151" s="3" t="str">
        <f>IFERROR(__xludf.DUMMYFUNCTION("IFERROR(TRANSPOSE(FILTER('Peer-Review'!$J$2:$J$568,(TRIM('Peer-Review'!$B$2:$B$568)=C151 )+ (TRIM('Peer-Review'!$F$2:$F$568)=C151))),""No Reviews"")"),"No Reviews")</f>
        <v>No Reviews</v>
      </c>
      <c r="J151" s="3">
        <f>IF(D151="No R1",0,VLOOKUP(C151,'Peer-Review'!B:D,2,0))</f>
        <v>0</v>
      </c>
      <c r="K151" s="3">
        <f>IF(D151="No R1",0,VLOOKUP(C151,'Peer-Review'!B:D,3,0))</f>
        <v>0</v>
      </c>
      <c r="L151" s="3">
        <f>IF(E151="No R2",0,VLOOKUP(C151,'Peer-Review'!F:H,2,0))</f>
        <v>0</v>
      </c>
      <c r="M151" s="3">
        <f>IF(E151="No R2",0,VLOOKUP(C151,'Peer-Review'!F:H,3,0))</f>
        <v>0</v>
      </c>
    </row>
    <row r="152" hidden="1">
      <c r="A152" s="3" t="str">
        <f>IFERROR(__xludf.DUMMYFUNCTION("""COMPUTED_VALUE"""),"22ds2000111@ds.study.iitm.ac.in")</f>
        <v>22ds2000111@ds.study.iitm.ac.in</v>
      </c>
      <c r="B152" s="3">
        <f>IFERROR(__xludf.DUMMYFUNCTION("""COMPUTED_VALUE"""),17.0)</f>
        <v>17</v>
      </c>
      <c r="C152" s="5" t="str">
        <f>IFERROR(__xludf.DUMMYFUNCTION("""COMPUTED_VALUE"""),"https://github.com/Praviniitm/Project_Moscow")</f>
        <v>https://github.com/Praviniitm/Project_Moscow</v>
      </c>
      <c r="D152" s="3" t="str">
        <f>IFERROR(VLOOKUP(C152,'Peer-Review'!B:J,9,0),"No R1")</f>
        <v>No R1</v>
      </c>
      <c r="E152" s="3" t="str">
        <f>IFERROR(VLOOKUP(C152,'Peer-Review'!F:J,5,0),"No R2")</f>
        <v>21f1005006@ds.study.iitm.ac.in</v>
      </c>
      <c r="F152" s="3">
        <f>COUNTIF('Peer-Review'!B:B,C152)+COUNTIF('Peer-Review'!F:F,C152)</f>
        <v>2</v>
      </c>
      <c r="G152" s="3">
        <f t="shared" si="1"/>
        <v>1</v>
      </c>
      <c r="H152" s="3" t="str">
        <f>IFERROR(__xludf.DUMMYFUNCTION("IFERROR(TRANSPOSE(FILTER('Peer-Review'!$J$2:$J$568,(TRIM('Peer-Review'!$B$2:$B$568)=C152 )+ (TRIM('Peer-Review'!$F$2:$F$568)=C152))),""No Reviews"")"),"21f1005006@ds.study.iitm.ac.in")</f>
        <v>21f1005006@ds.study.iitm.ac.in</v>
      </c>
      <c r="I152" s="3" t="str">
        <f>IFERROR(__xludf.DUMMYFUNCTION("""COMPUTED_VALUE"""),"21f3002925@ds.study.iitm.ac.in")</f>
        <v>21f3002925@ds.study.iitm.ac.in</v>
      </c>
      <c r="J152" s="3">
        <f>IF(D152="No R1",0,VLOOKUP(C152,'Peer-Review'!B:D,2,0))</f>
        <v>0</v>
      </c>
      <c r="K152" s="3">
        <f>IF(D152="No R1",0,VLOOKUP(C152,'Peer-Review'!B:D,3,0))</f>
        <v>0</v>
      </c>
      <c r="L152" s="3">
        <f>IF(E152="No R2",0,VLOOKUP(C152,'Peer-Review'!F:H,2,0))</f>
        <v>10</v>
      </c>
      <c r="M152" s="3">
        <f>IF(E152="No R2",0,VLOOKUP(C152,'Peer-Review'!F:H,3,0))</f>
        <v>10</v>
      </c>
    </row>
    <row r="153" hidden="1">
      <c r="A153" s="3" t="str">
        <f>IFERROR(__xludf.DUMMYFUNCTION("""COMPUTED_VALUE"""),"22ds3000009@ds.study.iitm.ac.in")</f>
        <v>22ds3000009@ds.study.iitm.ac.in</v>
      </c>
      <c r="B153" s="3">
        <f>IFERROR(__xludf.DUMMYFUNCTION("""COMPUTED_VALUE"""),16.0)</f>
        <v>16</v>
      </c>
      <c r="C153" s="5" t="str">
        <f>IFERROR(__xludf.DUMMYFUNCTION("""COMPUTED_VALUE"""),"https://github.com/Akashkansal/TDS_Project1")</f>
        <v>https://github.com/Akashkansal/TDS_Project1</v>
      </c>
      <c r="D153" s="3" t="str">
        <f>IFERROR(VLOOKUP(C153,'Peer-Review'!B:J,9,0),"No R1")</f>
        <v>No R1</v>
      </c>
      <c r="E153" s="3" t="str">
        <f>IFERROR(VLOOKUP(C153,'Peer-Review'!F:J,5,0),"No R2")</f>
        <v>22ds2000035@ds.study.iitm.ac.in</v>
      </c>
      <c r="F153" s="3">
        <f>COUNTIF('Peer-Review'!B:B,C153)+COUNTIF('Peer-Review'!F:F,C153)</f>
        <v>1</v>
      </c>
      <c r="G153" s="3">
        <f t="shared" si="1"/>
        <v>1</v>
      </c>
      <c r="H153" s="3" t="str">
        <f>IFERROR(__xludf.DUMMYFUNCTION("IFERROR(TRANSPOSE(FILTER('Peer-Review'!$J$2:$J$568,(TRIM('Peer-Review'!$B$2:$B$568)=C153 )+ (TRIM('Peer-Review'!$F$2:$F$568)=C153))),""No Reviews"")"),"22ds2000035@ds.study.iitm.ac.in")</f>
        <v>22ds2000035@ds.study.iitm.ac.in</v>
      </c>
      <c r="J153" s="3">
        <f>IF(D153="No R1",0,VLOOKUP(C153,'Peer-Review'!B:D,2,0))</f>
        <v>0</v>
      </c>
      <c r="K153" s="3">
        <f>IF(D153="No R1",0,VLOOKUP(C153,'Peer-Review'!B:D,3,0))</f>
        <v>0</v>
      </c>
      <c r="L153" s="3">
        <f>IF(E153="No R2",0,VLOOKUP(C153,'Peer-Review'!F:H,2,0))</f>
        <v>10</v>
      </c>
      <c r="M153" s="3">
        <f>IF(E153="No R2",0,VLOOKUP(C153,'Peer-Review'!F:H,3,0))</f>
        <v>10</v>
      </c>
    </row>
    <row r="154" hidden="1">
      <c r="A154" s="3" t="str">
        <f>IFERROR(__xludf.DUMMYFUNCTION("""COMPUTED_VALUE"""),"22ds3000053@ds.study.iitm.ac.in")</f>
        <v>22ds3000053@ds.study.iitm.ac.in</v>
      </c>
      <c r="B154" s="3">
        <f>IFERROR(__xludf.DUMMYFUNCTION("""COMPUTED_VALUE"""),0.0)</f>
        <v>0</v>
      </c>
      <c r="C154" s="5" t="str">
        <f>IFERROR(__xludf.DUMMYFUNCTION("""COMPUTED_VALUE"""),"https://github.com/Nila2023-d/TDS-Project-1")</f>
        <v>https://github.com/Nila2023-d/TDS-Project-1</v>
      </c>
      <c r="D154" s="3" t="str">
        <f>IFERROR(VLOOKUP(C154,'Peer-Review'!B:J,9,0),"No R1")</f>
        <v>No R1</v>
      </c>
      <c r="E154" s="3" t="str">
        <f>IFERROR(VLOOKUP(C154,'Peer-Review'!F:J,5,0),"No R2")</f>
        <v>No R2</v>
      </c>
      <c r="F154" s="3">
        <f>COUNTIF('Peer-Review'!B:B,C154)+COUNTIF('Peer-Review'!F:F,C154)</f>
        <v>0</v>
      </c>
      <c r="G154" s="3">
        <f t="shared" si="1"/>
        <v>0</v>
      </c>
      <c r="H154" s="3" t="str">
        <f>IFERROR(__xludf.DUMMYFUNCTION("IFERROR(TRANSPOSE(FILTER('Peer-Review'!$J$2:$J$568,(TRIM('Peer-Review'!$B$2:$B$568)=C154 )+ (TRIM('Peer-Review'!$F$2:$F$568)=C154))),""No Reviews"")"),"No Reviews")</f>
        <v>No Reviews</v>
      </c>
      <c r="J154" s="3">
        <f>IF(D154="No R1",0,VLOOKUP(C154,'Peer-Review'!B:D,2,0))</f>
        <v>0</v>
      </c>
      <c r="K154" s="3">
        <f>IF(D154="No R1",0,VLOOKUP(C154,'Peer-Review'!B:D,3,0))</f>
        <v>0</v>
      </c>
      <c r="L154" s="3">
        <f>IF(E154="No R2",0,VLOOKUP(C154,'Peer-Review'!F:H,2,0))</f>
        <v>0</v>
      </c>
      <c r="M154" s="3">
        <f>IF(E154="No R2",0,VLOOKUP(C154,'Peer-Review'!F:H,3,0))</f>
        <v>0</v>
      </c>
    </row>
    <row r="155" hidden="1">
      <c r="A155" s="3" t="str">
        <f>IFERROR(__xludf.DUMMYFUNCTION("""COMPUTED_VALUE"""),"22ds3000122@ds.study.iitm.ac.in")</f>
        <v>22ds3000122@ds.study.iitm.ac.in</v>
      </c>
      <c r="B155" s="3">
        <f>IFERROR(__xludf.DUMMYFUNCTION("""COMPUTED_VALUE"""),11.0)</f>
        <v>11</v>
      </c>
      <c r="C155" s="5" t="str">
        <f>IFERROR(__xludf.DUMMYFUNCTION("""COMPUTED_VALUE"""),"https://github.com/Raksha120799/tds-proj-1")</f>
        <v>https://github.com/Raksha120799/tds-proj-1</v>
      </c>
      <c r="D155" s="3" t="str">
        <f>IFERROR(VLOOKUP(C155,'Peer-Review'!B:J,9,0),"No R1")</f>
        <v>23f2003803@ds.study.iitm.ac.in</v>
      </c>
      <c r="E155" s="3" t="str">
        <f>IFERROR(VLOOKUP(C155,'Peer-Review'!F:J,5,0),"No R2")</f>
        <v>No R2</v>
      </c>
      <c r="F155" s="3">
        <f>COUNTIF('Peer-Review'!B:B,C155)+COUNTIF('Peer-Review'!F:F,C155)</f>
        <v>1</v>
      </c>
      <c r="G155" s="3">
        <f t="shared" si="1"/>
        <v>1</v>
      </c>
      <c r="H155" s="3" t="str">
        <f>IFERROR(__xludf.DUMMYFUNCTION("IFERROR(TRANSPOSE(FILTER('Peer-Review'!$J$2:$J$568,(TRIM('Peer-Review'!$B$2:$B$568)=C155 )+ (TRIM('Peer-Review'!$F$2:$F$568)=C155))),""No Reviews"")"),"23f2003803@ds.study.iitm.ac.in")</f>
        <v>23f2003803@ds.study.iitm.ac.in</v>
      </c>
      <c r="J155" s="3">
        <f>IF(D155="No R1",0,VLOOKUP(C155,'Peer-Review'!B:D,2,0))</f>
        <v>0</v>
      </c>
      <c r="K155" s="3">
        <f>IF(D155="No R1",0,VLOOKUP(C155,'Peer-Review'!B:D,3,0))</f>
        <v>0</v>
      </c>
      <c r="L155" s="3">
        <f>IF(E155="No R2",0,VLOOKUP(C155,'Peer-Review'!F:H,2,0))</f>
        <v>0</v>
      </c>
      <c r="M155" s="3">
        <f>IF(E155="No R2",0,VLOOKUP(C155,'Peer-Review'!F:H,3,0))</f>
        <v>0</v>
      </c>
    </row>
    <row r="156" hidden="1">
      <c r="A156" s="3" t="str">
        <f>IFERROR(__xludf.DUMMYFUNCTION("""COMPUTED_VALUE"""),"22f1000099@ds.study.iitm.ac.in")</f>
        <v>22f1000099@ds.study.iitm.ac.in</v>
      </c>
      <c r="B156" s="3">
        <f>IFERROR(__xludf.DUMMYFUNCTION("""COMPUTED_VALUE"""),14.0)</f>
        <v>14</v>
      </c>
      <c r="C156" s="5" t="str">
        <f>IFERROR(__xludf.DUMMYFUNCTION("""COMPUTED_VALUE"""),"https://github.com/gotherwal/TDS_Project1")</f>
        <v>https://github.com/gotherwal/TDS_Project1</v>
      </c>
      <c r="D156" s="3" t="str">
        <f>IFERROR(VLOOKUP(C156,'Peer-Review'!B:J,9,0),"No R1")</f>
        <v>22f3003157@ds.study.iitm.ac.in</v>
      </c>
      <c r="E156" s="3" t="str">
        <f>IFERROR(VLOOKUP(C156,'Peer-Review'!F:J,5,0),"No R2")</f>
        <v>No R2</v>
      </c>
      <c r="F156" s="3">
        <f>COUNTIF('Peer-Review'!B:B,C156)+COUNTIF('Peer-Review'!F:F,C156)</f>
        <v>1</v>
      </c>
      <c r="G156" s="3">
        <f t="shared" si="1"/>
        <v>1</v>
      </c>
      <c r="H156" s="3" t="str">
        <f>IFERROR(__xludf.DUMMYFUNCTION("IFERROR(TRANSPOSE(FILTER('Peer-Review'!$J$2:$J$568,(TRIM('Peer-Review'!$B$2:$B$568)=C156 )+ (TRIM('Peer-Review'!$F$2:$F$568)=C156))),""No Reviews"")"),"22f3003157@ds.study.iitm.ac.in")</f>
        <v>22f3003157@ds.study.iitm.ac.in</v>
      </c>
      <c r="J156" s="3">
        <f>IF(D156="No R1",0,VLOOKUP(C156,'Peer-Review'!B:D,2,0))</f>
        <v>10</v>
      </c>
      <c r="K156" s="3">
        <f>IF(D156="No R1",0,VLOOKUP(C156,'Peer-Review'!B:D,3,0))</f>
        <v>0</v>
      </c>
      <c r="L156" s="3">
        <f>IF(E156="No R2",0,VLOOKUP(C156,'Peer-Review'!F:H,2,0))</f>
        <v>0</v>
      </c>
      <c r="M156" s="3">
        <f>IF(E156="No R2",0,VLOOKUP(C156,'Peer-Review'!F:H,3,0))</f>
        <v>0</v>
      </c>
    </row>
    <row r="157" hidden="1">
      <c r="A157" s="3" t="str">
        <f>IFERROR(__xludf.DUMMYFUNCTION("""COMPUTED_VALUE"""),"22f1000144@ds.study.iitm.ac.in")</f>
        <v>22f1000144@ds.study.iitm.ac.in</v>
      </c>
      <c r="B157" s="3">
        <f>IFERROR(__xludf.DUMMYFUNCTION("""COMPUTED_VALUE"""),13.0)</f>
        <v>13</v>
      </c>
      <c r="C157" s="5" t="str">
        <f>IFERROR(__xludf.DUMMYFUNCTION("""COMPUTED_VALUE"""),"https://github.com/22f1000144/TDS_project_1")</f>
        <v>https://github.com/22f1000144/TDS_project_1</v>
      </c>
      <c r="D157" s="3" t="str">
        <f>IFERROR(VLOOKUP(C157,'Peer-Review'!B:J,9,0),"No R1")</f>
        <v>22f1001602@ds.study.iitm.ac.in</v>
      </c>
      <c r="E157" s="3" t="str">
        <f>IFERROR(VLOOKUP(C157,'Peer-Review'!F:J,5,0),"No R2")</f>
        <v>No R2</v>
      </c>
      <c r="F157" s="3">
        <f>COUNTIF('Peer-Review'!B:B,C157)+COUNTIF('Peer-Review'!F:F,C157)</f>
        <v>1</v>
      </c>
      <c r="G157" s="3">
        <f t="shared" si="1"/>
        <v>1</v>
      </c>
      <c r="H157" s="3" t="str">
        <f>IFERROR(__xludf.DUMMYFUNCTION("IFERROR(TRANSPOSE(FILTER('Peer-Review'!$J$2:$J$568,(TRIM('Peer-Review'!$B$2:$B$568)=C157 )+ (TRIM('Peer-Review'!$F$2:$F$568)=C157))),""No Reviews"")"),"22f1001602@ds.study.iitm.ac.in")</f>
        <v>22f1001602@ds.study.iitm.ac.in</v>
      </c>
      <c r="J157" s="3">
        <f>IF(D157="No R1",0,VLOOKUP(C157,'Peer-Review'!B:D,2,0))</f>
        <v>8</v>
      </c>
      <c r="K157" s="3">
        <f>IF(D157="No R1",0,VLOOKUP(C157,'Peer-Review'!B:D,3,0))</f>
        <v>7</v>
      </c>
      <c r="L157" s="3">
        <f>IF(E157="No R2",0,VLOOKUP(C157,'Peer-Review'!F:H,2,0))</f>
        <v>0</v>
      </c>
      <c r="M157" s="3">
        <f>IF(E157="No R2",0,VLOOKUP(C157,'Peer-Review'!F:H,3,0))</f>
        <v>0</v>
      </c>
    </row>
    <row r="158" hidden="1">
      <c r="A158" s="3" t="str">
        <f>IFERROR(__xludf.DUMMYFUNCTION("""COMPUTED_VALUE"""),"22f1000155@ds.study.iitm.ac.in")</f>
        <v>22f1000155@ds.study.iitm.ac.in</v>
      </c>
      <c r="B158" s="3">
        <f>IFERROR(__xludf.DUMMYFUNCTION("""COMPUTED_VALUE"""),12.0)</f>
        <v>12</v>
      </c>
      <c r="C158" s="5" t="str">
        <f>IFERROR(__xludf.DUMMYFUNCTION("""COMPUTED_VALUE"""),"https://github.com/Kirthictrl/TDS-Project-1")</f>
        <v>https://github.com/Kirthictrl/TDS-Project-1</v>
      </c>
      <c r="D158" s="3" t="str">
        <f>IFERROR(VLOOKUP(C158,'Peer-Review'!B:J,9,0),"No R1")</f>
        <v>21f2000042@ds.study.iitm.ac.in</v>
      </c>
      <c r="E158" s="3" t="str">
        <f>IFERROR(VLOOKUP(C158,'Peer-Review'!F:J,5,0),"No R2")</f>
        <v>No R2</v>
      </c>
      <c r="F158" s="3">
        <f>COUNTIF('Peer-Review'!B:B,C158)+COUNTIF('Peer-Review'!F:F,C158)</f>
        <v>2</v>
      </c>
      <c r="G158" s="3">
        <f t="shared" si="1"/>
        <v>1</v>
      </c>
      <c r="H158" s="3" t="str">
        <f>IFERROR(__xludf.DUMMYFUNCTION("IFERROR(TRANSPOSE(FILTER('Peer-Review'!$J$2:$J$568,(TRIM('Peer-Review'!$B$2:$B$568)=C158 )+ (TRIM('Peer-Review'!$F$2:$F$568)=C158))),""No Reviews"")"),"21f2000042@ds.study.iitm.ac.in")</f>
        <v>21f2000042@ds.study.iitm.ac.in</v>
      </c>
      <c r="I158" s="3" t="str">
        <f>IFERROR(__xludf.DUMMYFUNCTION("""COMPUTED_VALUE"""),"22f1001203@ds.study.iitm.ac.in")</f>
        <v>22f1001203@ds.study.iitm.ac.in</v>
      </c>
      <c r="J158" s="3">
        <f>IF(D158="No R1",0,VLOOKUP(C158,'Peer-Review'!B:D,2,0))</f>
        <v>8</v>
      </c>
      <c r="K158" s="3">
        <f>IF(D158="No R1",0,VLOOKUP(C158,'Peer-Review'!B:D,3,0))</f>
        <v>0</v>
      </c>
      <c r="L158" s="3">
        <f>IF(E158="No R2",0,VLOOKUP(C158,'Peer-Review'!F:H,2,0))</f>
        <v>0</v>
      </c>
      <c r="M158" s="3">
        <f>IF(E158="No R2",0,VLOOKUP(C158,'Peer-Review'!F:H,3,0))</f>
        <v>0</v>
      </c>
    </row>
    <row r="159" hidden="1">
      <c r="A159" s="3" t="str">
        <f>IFERROR(__xludf.DUMMYFUNCTION("""COMPUTED_VALUE"""),"22f1000213@ds.study.iitm.ac.in")</f>
        <v>22f1000213@ds.study.iitm.ac.in</v>
      </c>
      <c r="B159" s="3">
        <f>IFERROR(__xludf.DUMMYFUNCTION("""COMPUTED_VALUE"""),10.0)</f>
        <v>10</v>
      </c>
      <c r="C159" s="5" t="str">
        <f>IFERROR(__xludf.DUMMYFUNCTION("""COMPUTED_VALUE"""),"https://github.com/rahul-jha-2001/TDS")</f>
        <v>https://github.com/rahul-jha-2001/TDS</v>
      </c>
      <c r="D159" s="3" t="str">
        <f>IFERROR(VLOOKUP(C159,'Peer-Review'!B:J,9,0),"No R1")</f>
        <v>23ds3000249@ds.study.iitm.ac.in</v>
      </c>
      <c r="E159" s="3" t="str">
        <f>IFERROR(VLOOKUP(C159,'Peer-Review'!F:J,5,0),"No R2")</f>
        <v>No R2</v>
      </c>
      <c r="F159" s="3">
        <f>COUNTIF('Peer-Review'!B:B,C159)+COUNTIF('Peer-Review'!F:F,C159)</f>
        <v>2</v>
      </c>
      <c r="G159" s="3">
        <f t="shared" si="1"/>
        <v>1</v>
      </c>
      <c r="H159" s="3" t="str">
        <f>IFERROR(__xludf.DUMMYFUNCTION("IFERROR(TRANSPOSE(FILTER('Peer-Review'!$J$2:$J$568,(TRIM('Peer-Review'!$B$2:$B$568)=C159 )+ (TRIM('Peer-Review'!$F$2:$F$568)=C159))),""No Reviews"")"),"23ds3000249@ds.study.iitm.ac.in")</f>
        <v>23ds3000249@ds.study.iitm.ac.in</v>
      </c>
      <c r="I159" s="3" t="str">
        <f>IFERROR(__xludf.DUMMYFUNCTION("""COMPUTED_VALUE"""),"22f1000599@ds.study.iitm.ac.in")</f>
        <v>22f1000599@ds.study.iitm.ac.in</v>
      </c>
      <c r="J159" s="3">
        <f>IF(D159="No R1",0,VLOOKUP(C159,'Peer-Review'!B:D,2,0))</f>
        <v>10</v>
      </c>
      <c r="K159" s="3">
        <f>IF(D159="No R1",0,VLOOKUP(C159,'Peer-Review'!B:D,3,0))</f>
        <v>10</v>
      </c>
      <c r="L159" s="3">
        <f>IF(E159="No R2",0,VLOOKUP(C159,'Peer-Review'!F:H,2,0))</f>
        <v>0</v>
      </c>
      <c r="M159" s="3">
        <f>IF(E159="No R2",0,VLOOKUP(C159,'Peer-Review'!F:H,3,0))</f>
        <v>0</v>
      </c>
    </row>
    <row r="160" hidden="1">
      <c r="A160" s="3" t="str">
        <f>IFERROR(__xludf.DUMMYFUNCTION("""COMPUTED_VALUE"""),"22f1000259@ds.study.iitm.ac.in")</f>
        <v>22f1000259@ds.study.iitm.ac.in</v>
      </c>
      <c r="B160" s="3">
        <f>IFERROR(__xludf.DUMMYFUNCTION("""COMPUTED_VALUE"""),17.0)</f>
        <v>17</v>
      </c>
      <c r="C160" s="5" t="str">
        <f>IFERROR(__xludf.DUMMYFUNCTION("""COMPUTED_VALUE"""),"https://github.com/22f1000259/TDS-PROJECT-1")</f>
        <v>https://github.com/22f1000259/TDS-PROJECT-1</v>
      </c>
      <c r="D160" s="3" t="str">
        <f>IFERROR(VLOOKUP(C160,'Peer-Review'!B:J,9,0),"No R1")</f>
        <v>No R1</v>
      </c>
      <c r="E160" s="3" t="str">
        <f>IFERROR(VLOOKUP(C160,'Peer-Review'!F:J,5,0),"No R2")</f>
        <v>21f1006031@ds.study.iitm.ac.in</v>
      </c>
      <c r="F160" s="3">
        <f>COUNTIF('Peer-Review'!B:B,C160)+COUNTIF('Peer-Review'!F:F,C160)</f>
        <v>1</v>
      </c>
      <c r="G160" s="3">
        <f t="shared" si="1"/>
        <v>1</v>
      </c>
      <c r="H160" s="3" t="str">
        <f>IFERROR(__xludf.DUMMYFUNCTION("IFERROR(TRANSPOSE(FILTER('Peer-Review'!$J$2:$J$568,(TRIM('Peer-Review'!$B$2:$B$568)=C160 )+ (TRIM('Peer-Review'!$F$2:$F$568)=C160))),""No Reviews"")"),"21f1006031@ds.study.iitm.ac.in")</f>
        <v>21f1006031@ds.study.iitm.ac.in</v>
      </c>
      <c r="J160" s="3">
        <f>IF(D160="No R1",0,VLOOKUP(C160,'Peer-Review'!B:D,2,0))</f>
        <v>0</v>
      </c>
      <c r="K160" s="3">
        <f>IF(D160="No R1",0,VLOOKUP(C160,'Peer-Review'!B:D,3,0))</f>
        <v>0</v>
      </c>
      <c r="L160" s="3">
        <f>IF(E160="No R2",0,VLOOKUP(C160,'Peer-Review'!F:H,2,0))</f>
        <v>9</v>
      </c>
      <c r="M160" s="3">
        <f>IF(E160="No R2",0,VLOOKUP(C160,'Peer-Review'!F:H,3,0))</f>
        <v>10</v>
      </c>
    </row>
    <row r="161" hidden="1">
      <c r="A161" s="3" t="str">
        <f>IFERROR(__xludf.DUMMYFUNCTION("""COMPUTED_VALUE"""),"22f1000386@ds.study.iitm.ac.in")</f>
        <v>22f1000386@ds.study.iitm.ac.in</v>
      </c>
      <c r="B161" s="3">
        <f>IFERROR(__xludf.DUMMYFUNCTION("""COMPUTED_VALUE"""),14.0)</f>
        <v>14</v>
      </c>
      <c r="C161" s="5" t="str">
        <f>IFERROR(__xludf.DUMMYFUNCTION("""COMPUTED_VALUE"""),"https://github.com/Kanishk90/Project1")</f>
        <v>https://github.com/Kanishk90/Project1</v>
      </c>
      <c r="D161" s="3" t="str">
        <f>IFERROR(VLOOKUP(C161,'Peer-Review'!B:J,9,0),"No R1")</f>
        <v>22f1001144@ds.study.iitm.ac.in</v>
      </c>
      <c r="E161" s="3" t="str">
        <f>IFERROR(VLOOKUP(C161,'Peer-Review'!F:J,5,0),"No R2")</f>
        <v>No R2</v>
      </c>
      <c r="F161" s="3">
        <f>COUNTIF('Peer-Review'!B:B,C161)+COUNTIF('Peer-Review'!F:F,C161)</f>
        <v>1</v>
      </c>
      <c r="G161" s="3">
        <f t="shared" si="1"/>
        <v>1</v>
      </c>
      <c r="H161" s="3" t="str">
        <f>IFERROR(__xludf.DUMMYFUNCTION("IFERROR(TRANSPOSE(FILTER('Peer-Review'!$J$2:$J$568,(TRIM('Peer-Review'!$B$2:$B$568)=C161 )+ (TRIM('Peer-Review'!$F$2:$F$568)=C161))),""No Reviews"")"),"22f1001144@ds.study.iitm.ac.in")</f>
        <v>22f1001144@ds.study.iitm.ac.in</v>
      </c>
      <c r="J161" s="3">
        <f>IF(D161="No R1",0,VLOOKUP(C161,'Peer-Review'!B:D,2,0))</f>
        <v>10</v>
      </c>
      <c r="K161" s="3">
        <f>IF(D161="No R1",0,VLOOKUP(C161,'Peer-Review'!B:D,3,0))</f>
        <v>8</v>
      </c>
      <c r="L161" s="3">
        <f>IF(E161="No R2",0,VLOOKUP(C161,'Peer-Review'!F:H,2,0))</f>
        <v>0</v>
      </c>
      <c r="M161" s="3">
        <f>IF(E161="No R2",0,VLOOKUP(C161,'Peer-Review'!F:H,3,0))</f>
        <v>0</v>
      </c>
    </row>
    <row r="162" hidden="1">
      <c r="A162" s="3" t="str">
        <f>IFERROR(__xludf.DUMMYFUNCTION("""COMPUTED_VALUE"""),"22f1000472@ds.study.iitm.ac.in")</f>
        <v>22f1000472@ds.study.iitm.ac.in</v>
      </c>
      <c r="B162" s="3">
        <f>IFERROR(__xludf.DUMMYFUNCTION("""COMPUTED_VALUE"""),16.0)</f>
        <v>16</v>
      </c>
      <c r="C162" s="5" t="str">
        <f>IFERROR(__xludf.DUMMYFUNCTION("""COMPUTED_VALUE"""),"https://github.com/terminator7x/tds-project/tree/main")</f>
        <v>https://github.com/terminator7x/tds-project/tree/main</v>
      </c>
      <c r="D162" s="3" t="str">
        <f>IFERROR(VLOOKUP(C162,'Peer-Review'!B:J,9,0),"No R1")</f>
        <v>23ds3000044@ds.study.iitm.ac.in</v>
      </c>
      <c r="E162" s="3" t="str">
        <f>IFERROR(VLOOKUP(C162,'Peer-Review'!F:J,5,0),"No R2")</f>
        <v>22ds3000009@ds.study.iitm.ac.in</v>
      </c>
      <c r="F162" s="3">
        <f>COUNTIF('Peer-Review'!B:B,C162)+COUNTIF('Peer-Review'!F:F,C162)</f>
        <v>2</v>
      </c>
      <c r="G162" s="3">
        <f t="shared" si="1"/>
        <v>2</v>
      </c>
      <c r="H162" s="3" t="str">
        <f>IFERROR(__xludf.DUMMYFUNCTION("IFERROR(TRANSPOSE(FILTER('Peer-Review'!$J$2:$J$568,(TRIM('Peer-Review'!$B$2:$B$568)=C162 )+ (TRIM('Peer-Review'!$F$2:$F$568)=C162))),""No Reviews"")"),"22ds3000009@ds.study.iitm.ac.in")</f>
        <v>22ds3000009@ds.study.iitm.ac.in</v>
      </c>
      <c r="I162" s="3" t="str">
        <f>IFERROR(__xludf.DUMMYFUNCTION("""COMPUTED_VALUE"""),"23ds3000044@ds.study.iitm.ac.in")</f>
        <v>23ds3000044@ds.study.iitm.ac.in</v>
      </c>
      <c r="J162" s="3">
        <f>IF(D162="No R1",0,VLOOKUP(C162,'Peer-Review'!B:D,2,0))</f>
        <v>10</v>
      </c>
      <c r="K162" s="3">
        <f>IF(D162="No R1",0,VLOOKUP(C162,'Peer-Review'!B:D,3,0))</f>
        <v>10</v>
      </c>
      <c r="L162" s="3">
        <f>IF(E162="No R2",0,VLOOKUP(C162,'Peer-Review'!F:H,2,0))</f>
        <v>7</v>
      </c>
      <c r="M162" s="3">
        <f>IF(E162="No R2",0,VLOOKUP(C162,'Peer-Review'!F:H,3,0))</f>
        <v>10</v>
      </c>
    </row>
    <row r="163" hidden="1">
      <c r="A163" s="3" t="str">
        <f>IFERROR(__xludf.DUMMYFUNCTION("""COMPUTED_VALUE"""),"22f1000493@ds.study.iitm.ac.in")</f>
        <v>22f1000493@ds.study.iitm.ac.in</v>
      </c>
      <c r="B163" s="3">
        <f>IFERROR(__xludf.DUMMYFUNCTION("""COMPUTED_VALUE"""),16.0)</f>
        <v>16</v>
      </c>
      <c r="C163" s="5" t="str">
        <f>IFERROR(__xludf.DUMMYFUNCTION("""COMPUTED_VALUE"""),"https://github.com/anshikaatiwari/tdsp1")</f>
        <v>https://github.com/anshikaatiwari/tdsp1</v>
      </c>
      <c r="D163" s="3" t="str">
        <f>IFERROR(VLOOKUP(C163,'Peer-Review'!B:J,9,0),"No R1")</f>
        <v>22f1000472@ds.study.iitm.ac.in</v>
      </c>
      <c r="E163" s="3" t="str">
        <f>IFERROR(VLOOKUP(C163,'Peer-Review'!F:J,5,0),"No R2")</f>
        <v>21f2000615@ds.study.iitm.ac.in</v>
      </c>
      <c r="F163" s="3">
        <f>COUNTIF('Peer-Review'!B:B,C163)+COUNTIF('Peer-Review'!F:F,C163)</f>
        <v>2</v>
      </c>
      <c r="G163" s="3">
        <f t="shared" si="1"/>
        <v>2</v>
      </c>
      <c r="H163" s="3" t="str">
        <f>IFERROR(__xludf.DUMMYFUNCTION("IFERROR(TRANSPOSE(FILTER('Peer-Review'!$J$2:$J$568,(TRIM('Peer-Review'!$B$2:$B$568)=C163 )+ (TRIM('Peer-Review'!$F$2:$F$568)=C163))),""No Reviews"")"),"22f1000472@ds.study.iitm.ac.in")</f>
        <v>22f1000472@ds.study.iitm.ac.in</v>
      </c>
      <c r="I163" s="3" t="str">
        <f>IFERROR(__xludf.DUMMYFUNCTION("""COMPUTED_VALUE"""),"21f2000615@ds.study.iitm.ac.in")</f>
        <v>21f2000615@ds.study.iitm.ac.in</v>
      </c>
      <c r="J163" s="3">
        <f>IF(D163="No R1",0,VLOOKUP(C163,'Peer-Review'!B:D,2,0))</f>
        <v>10</v>
      </c>
      <c r="K163" s="3">
        <f>IF(D163="No R1",0,VLOOKUP(C163,'Peer-Review'!B:D,3,0))</f>
        <v>10</v>
      </c>
      <c r="L163" s="3">
        <f>IF(E163="No R2",0,VLOOKUP(C163,'Peer-Review'!F:H,2,0))</f>
        <v>9</v>
      </c>
      <c r="M163" s="3">
        <f>IF(E163="No R2",0,VLOOKUP(C163,'Peer-Review'!F:H,3,0))</f>
        <v>10</v>
      </c>
    </row>
    <row r="164" hidden="1">
      <c r="A164" s="3" t="str">
        <f>IFERROR(__xludf.DUMMYFUNCTION("""COMPUTED_VALUE"""),"22f1000522@ds.study.iitm.ac.in")</f>
        <v>22f1000522@ds.study.iitm.ac.in</v>
      </c>
      <c r="B164" s="3">
        <f>IFERROR(__xludf.DUMMYFUNCTION("""COMPUTED_VALUE"""),17.0)</f>
        <v>17</v>
      </c>
      <c r="C164" s="5" t="str">
        <f>IFERROR(__xludf.DUMMYFUNCTION("""COMPUTED_VALUE"""),"https://github.com/aniko1806/GitHub_API_Analysis_Boston")</f>
        <v>https://github.com/aniko1806/GitHub_API_Analysis_Boston</v>
      </c>
      <c r="D164" s="3" t="str">
        <f>IFERROR(VLOOKUP(C164,'Peer-Review'!B:J,9,0),"No R1")</f>
        <v>No R1</v>
      </c>
      <c r="E164" s="3" t="str">
        <f>IFERROR(VLOOKUP(C164,'Peer-Review'!F:J,5,0),"No R2")</f>
        <v>22f1000259@ds.study.iitm.ac.in</v>
      </c>
      <c r="F164" s="3">
        <f>COUNTIF('Peer-Review'!B:B,C164)+COUNTIF('Peer-Review'!F:F,C164)</f>
        <v>2</v>
      </c>
      <c r="G164" s="3">
        <f t="shared" si="1"/>
        <v>1</v>
      </c>
      <c r="H164" s="3" t="str">
        <f>IFERROR(__xludf.DUMMYFUNCTION("IFERROR(TRANSPOSE(FILTER('Peer-Review'!$J$2:$J$568,(TRIM('Peer-Review'!$B$2:$B$568)=C164 )+ (TRIM('Peer-Review'!$F$2:$F$568)=C164))),""No Reviews"")"),"22f1000259@ds.study.iitm.ac.in")</f>
        <v>22f1000259@ds.study.iitm.ac.in</v>
      </c>
      <c r="I164" s="3" t="str">
        <f>IFERROR(__xludf.DUMMYFUNCTION("""COMPUTED_VALUE"""),"21f2000099@ds.study.iitm.ac.in")</f>
        <v>21f2000099@ds.study.iitm.ac.in</v>
      </c>
      <c r="J164" s="3">
        <f>IF(D164="No R1",0,VLOOKUP(C164,'Peer-Review'!B:D,2,0))</f>
        <v>0</v>
      </c>
      <c r="K164" s="3">
        <f>IF(D164="No R1",0,VLOOKUP(C164,'Peer-Review'!B:D,3,0))</f>
        <v>0</v>
      </c>
      <c r="L164" s="3">
        <f>IF(E164="No R2",0,VLOOKUP(C164,'Peer-Review'!F:H,2,0))</f>
        <v>10</v>
      </c>
      <c r="M164" s="3">
        <f>IF(E164="No R2",0,VLOOKUP(C164,'Peer-Review'!F:H,3,0))</f>
        <v>10</v>
      </c>
    </row>
    <row r="165" hidden="1">
      <c r="A165" s="3" t="str">
        <f>IFERROR(__xludf.DUMMYFUNCTION("""COMPUTED_VALUE"""),"22f1000543@ds.study.iitm.ac.in")</f>
        <v>22f1000543@ds.study.iitm.ac.in</v>
      </c>
      <c r="B165" s="3">
        <f>IFERROR(__xludf.DUMMYFUNCTION("""COMPUTED_VALUE"""),4.0)</f>
        <v>4</v>
      </c>
      <c r="C165" s="5" t="str">
        <f>IFERROR(__xludf.DUMMYFUNCTION("""COMPUTED_VALUE"""),"https://github.com/BOBandNODDY/SquashDaw")</f>
        <v>https://github.com/BOBandNODDY/SquashDaw</v>
      </c>
      <c r="D165" s="3" t="str">
        <f>IFERROR(VLOOKUP(C165,'Peer-Review'!B:J,9,0),"No R1")</f>
        <v>23f1001585@ds.study.iitm.ac.in</v>
      </c>
      <c r="E165" s="3" t="str">
        <f>IFERROR(VLOOKUP(C165,'Peer-Review'!F:J,5,0),"No R2")</f>
        <v>No R2</v>
      </c>
      <c r="F165" s="3">
        <f>COUNTIF('Peer-Review'!B:B,C165)+COUNTIF('Peer-Review'!F:F,C165)</f>
        <v>1</v>
      </c>
      <c r="G165" s="3">
        <f t="shared" si="1"/>
        <v>1</v>
      </c>
      <c r="H165" s="3" t="str">
        <f>IFERROR(__xludf.DUMMYFUNCTION("IFERROR(TRANSPOSE(FILTER('Peer-Review'!$J$2:$J$568,(TRIM('Peer-Review'!$B$2:$B$568)=C165 )+ (TRIM('Peer-Review'!$F$2:$F$568)=C165))),""No Reviews"")"),"23f1001585@ds.study.iitm.ac.in")</f>
        <v>23f1001585@ds.study.iitm.ac.in</v>
      </c>
      <c r="J165" s="3">
        <f>IF(D165="No R1",0,VLOOKUP(C165,'Peer-Review'!B:D,2,0))</f>
        <v>8</v>
      </c>
      <c r="K165" s="3">
        <f>IF(D165="No R1",0,VLOOKUP(C165,'Peer-Review'!B:D,3,0))</f>
        <v>0</v>
      </c>
      <c r="L165" s="3">
        <f>IF(E165="No R2",0,VLOOKUP(C165,'Peer-Review'!F:H,2,0))</f>
        <v>0</v>
      </c>
      <c r="M165" s="3">
        <f>IF(E165="No R2",0,VLOOKUP(C165,'Peer-Review'!F:H,3,0))</f>
        <v>0</v>
      </c>
    </row>
    <row r="166" hidden="1">
      <c r="A166" s="3" t="str">
        <f>IFERROR(__xludf.DUMMYFUNCTION("""COMPUTED_VALUE"""),"22f1000599@ds.study.iitm.ac.in")</f>
        <v>22f1000599@ds.study.iitm.ac.in</v>
      </c>
      <c r="B166" s="3">
        <f>IFERROR(__xludf.DUMMYFUNCTION("""COMPUTED_VALUE"""),10.0)</f>
        <v>10</v>
      </c>
      <c r="C166" s="5" t="str">
        <f>IFERROR(__xludf.DUMMYFUNCTION("""COMPUTED_VALUE"""),"https://github.com/niki7777777/TDS-Project-1")</f>
        <v>https://github.com/niki7777777/TDS-Project-1</v>
      </c>
      <c r="D166" s="3" t="str">
        <f>IFERROR(VLOOKUP(C166,'Peer-Review'!B:J,9,0),"No R1")</f>
        <v>23f1000356@ds.study.iitm.ac.in</v>
      </c>
      <c r="E166" s="3" t="str">
        <f>IFERROR(VLOOKUP(C166,'Peer-Review'!F:J,5,0),"No R2")</f>
        <v>No R2</v>
      </c>
      <c r="F166" s="3">
        <f>COUNTIF('Peer-Review'!B:B,C166)+COUNTIF('Peer-Review'!F:F,C166)</f>
        <v>2</v>
      </c>
      <c r="G166" s="3">
        <f t="shared" si="1"/>
        <v>1</v>
      </c>
      <c r="H166" s="3" t="str">
        <f>IFERROR(__xludf.DUMMYFUNCTION("IFERROR(TRANSPOSE(FILTER('Peer-Review'!$J$2:$J$568,(TRIM('Peer-Review'!$B$2:$B$568)=C166 )+ (TRIM('Peer-Review'!$F$2:$F$568)=C166))),""No Reviews"")"),"23f1000356@ds.study.iitm.ac.in")</f>
        <v>23f1000356@ds.study.iitm.ac.in</v>
      </c>
      <c r="I166" s="3" t="str">
        <f>IFERROR(__xludf.DUMMYFUNCTION("""COMPUTED_VALUE"""),"22f1000990@ds.study.iitm.ac.in")</f>
        <v>22f1000990@ds.study.iitm.ac.in</v>
      </c>
      <c r="J166" s="3">
        <f>IF(D166="No R1",0,VLOOKUP(C166,'Peer-Review'!B:D,2,0))</f>
        <v>7</v>
      </c>
      <c r="K166" s="3">
        <f>IF(D166="No R1",0,VLOOKUP(C166,'Peer-Review'!B:D,3,0))</f>
        <v>7</v>
      </c>
      <c r="L166" s="3">
        <f>IF(E166="No R2",0,VLOOKUP(C166,'Peer-Review'!F:H,2,0))</f>
        <v>0</v>
      </c>
      <c r="M166" s="3">
        <f>IF(E166="No R2",0,VLOOKUP(C166,'Peer-Review'!F:H,3,0))</f>
        <v>0</v>
      </c>
    </row>
    <row r="167" hidden="1">
      <c r="A167" s="3" t="str">
        <f>IFERROR(__xludf.DUMMYFUNCTION("""COMPUTED_VALUE"""),"22f1000605@ds.study.iitm.ac.in")</f>
        <v>22f1000605@ds.study.iitm.ac.in</v>
      </c>
      <c r="B167" s="3">
        <f>IFERROR(__xludf.DUMMYFUNCTION("""COMPUTED_VALUE"""),11.0)</f>
        <v>11</v>
      </c>
      <c r="C167" s="5" t="str">
        <f>IFERROR(__xludf.DUMMYFUNCTION("""COMPUTED_VALUE"""),"https://github.com/rishitaguptaaa/IITM_TDS_Project1")</f>
        <v>https://github.com/rishitaguptaaa/IITM_TDS_Project1</v>
      </c>
      <c r="D167" s="3" t="str">
        <f>IFERROR(VLOOKUP(C167,'Peer-Review'!B:J,9,0),"No R1")</f>
        <v>22f3000757@ds.study.iitm.ac.in</v>
      </c>
      <c r="E167" s="3" t="str">
        <f>IFERROR(VLOOKUP(C167,'Peer-Review'!F:J,5,0),"No R2")</f>
        <v>No R2</v>
      </c>
      <c r="F167" s="3">
        <f>COUNTIF('Peer-Review'!B:B,C167)+COUNTIF('Peer-Review'!F:F,C167)</f>
        <v>2</v>
      </c>
      <c r="G167" s="3">
        <f t="shared" si="1"/>
        <v>1</v>
      </c>
      <c r="H167" s="3" t="str">
        <f>IFERROR(__xludf.DUMMYFUNCTION("IFERROR(TRANSPOSE(FILTER('Peer-Review'!$J$2:$J$568,(TRIM('Peer-Review'!$B$2:$B$568)=C167 )+ (TRIM('Peer-Review'!$F$2:$F$568)=C167))),""No Reviews"")"),"22f3000757@ds.study.iitm.ac.in")</f>
        <v>22f3000757@ds.study.iitm.ac.in</v>
      </c>
      <c r="I167" s="3" t="str">
        <f>IFERROR(__xludf.DUMMYFUNCTION("""COMPUTED_VALUE"""),"23f2003986@ds.study.iitm.ac.in")</f>
        <v>23f2003986@ds.study.iitm.ac.in</v>
      </c>
      <c r="J167" s="3">
        <f>IF(D167="No R1",0,VLOOKUP(C167,'Peer-Review'!B:D,2,0))</f>
        <v>8</v>
      </c>
      <c r="K167" s="3">
        <f>IF(D167="No R1",0,VLOOKUP(C167,'Peer-Review'!B:D,3,0))</f>
        <v>10</v>
      </c>
      <c r="L167" s="3">
        <f>IF(E167="No R2",0,VLOOKUP(C167,'Peer-Review'!F:H,2,0))</f>
        <v>0</v>
      </c>
      <c r="M167" s="3">
        <f>IF(E167="No R2",0,VLOOKUP(C167,'Peer-Review'!F:H,3,0))</f>
        <v>0</v>
      </c>
    </row>
    <row r="168" hidden="1">
      <c r="A168" s="3" t="str">
        <f>IFERROR(__xludf.DUMMYFUNCTION("""COMPUTED_VALUE"""),"22f1000619@ds.study.iitm.ac.in")</f>
        <v>22f1000619@ds.study.iitm.ac.in</v>
      </c>
      <c r="B168" s="3">
        <f>IFERROR(__xludf.DUMMYFUNCTION("""COMPUTED_VALUE"""),13.0)</f>
        <v>13</v>
      </c>
      <c r="C168" s="5" t="str">
        <f>IFERROR(__xludf.DUMMYFUNCTION("""COMPUTED_VALUE"""),"https://github.com/Lakshay777s/TDS-project")</f>
        <v>https://github.com/Lakshay777s/TDS-project</v>
      </c>
      <c r="D168" s="3" t="str">
        <f>IFERROR(VLOOKUP(C168,'Peer-Review'!B:J,9,0),"No R1")</f>
        <v>22f1000699@ds.study.iitm.ac.in</v>
      </c>
      <c r="E168" s="3" t="str">
        <f>IFERROR(VLOOKUP(C168,'Peer-Review'!F:J,5,0),"No R2")</f>
        <v>No R2</v>
      </c>
      <c r="F168" s="3">
        <f>COUNTIF('Peer-Review'!B:B,C168)+COUNTIF('Peer-Review'!F:F,C168)</f>
        <v>2</v>
      </c>
      <c r="G168" s="3">
        <f t="shared" si="1"/>
        <v>1</v>
      </c>
      <c r="H168" s="3" t="str">
        <f>IFERROR(__xludf.DUMMYFUNCTION("IFERROR(TRANSPOSE(FILTER('Peer-Review'!$J$2:$J$568,(TRIM('Peer-Review'!$B$2:$B$568)=C168 )+ (TRIM('Peer-Review'!$F$2:$F$568)=C168))),""No Reviews"")"),"22f1000699@ds.study.iitm.ac.in")</f>
        <v>22f1000699@ds.study.iitm.ac.in</v>
      </c>
      <c r="I168" s="3" t="str">
        <f>IFERROR(__xludf.DUMMYFUNCTION("""COMPUTED_VALUE"""),"22f1001645@ds.study.iitm.ac.in")</f>
        <v>22f1001645@ds.study.iitm.ac.in</v>
      </c>
      <c r="J168" s="3">
        <f>IF(D168="No R1",0,VLOOKUP(C168,'Peer-Review'!B:D,2,0))</f>
        <v>10</v>
      </c>
      <c r="K168" s="3">
        <f>IF(D168="No R1",0,VLOOKUP(C168,'Peer-Review'!B:D,3,0))</f>
        <v>10</v>
      </c>
      <c r="L168" s="3">
        <f>IF(E168="No R2",0,VLOOKUP(C168,'Peer-Review'!F:H,2,0))</f>
        <v>0</v>
      </c>
      <c r="M168" s="3">
        <f>IF(E168="No R2",0,VLOOKUP(C168,'Peer-Review'!F:H,3,0))</f>
        <v>0</v>
      </c>
    </row>
    <row r="169" hidden="1">
      <c r="A169" s="3" t="str">
        <f>IFERROR(__xludf.DUMMYFUNCTION("""COMPUTED_VALUE"""),"22f1000653@ds.study.iitm.ac.in")</f>
        <v>22f1000653@ds.study.iitm.ac.in</v>
      </c>
      <c r="B169" s="3">
        <f>IFERROR(__xludf.DUMMYFUNCTION("""COMPUTED_VALUE"""),17.0)</f>
        <v>17</v>
      </c>
      <c r="C169" s="5" t="str">
        <f>IFERROR(__xludf.DUMMYFUNCTION("""COMPUTED_VALUE"""),"https://github.com/pranavdarak/TDS_P1")</f>
        <v>https://github.com/pranavdarak/TDS_P1</v>
      </c>
      <c r="D169" s="3" t="str">
        <f>IFERROR(VLOOKUP(C169,'Peer-Review'!B:J,9,0),"No R1")</f>
        <v>No R1</v>
      </c>
      <c r="E169" s="3" t="str">
        <f>IFERROR(VLOOKUP(C169,'Peer-Review'!F:J,5,0),"No R2")</f>
        <v>22f1000522@ds.study.iitm.ac.in</v>
      </c>
      <c r="F169" s="3">
        <f>COUNTIF('Peer-Review'!B:B,C169)+COUNTIF('Peer-Review'!F:F,C169)</f>
        <v>2</v>
      </c>
      <c r="G169" s="3">
        <f t="shared" si="1"/>
        <v>1</v>
      </c>
      <c r="H169" s="3" t="str">
        <f>IFERROR(__xludf.DUMMYFUNCTION("IFERROR(TRANSPOSE(FILTER('Peer-Review'!$J$2:$J$568,(TRIM('Peer-Review'!$B$2:$B$568)=C169 )+ (TRIM('Peer-Review'!$F$2:$F$568)=C169))),""No Reviews"")"),"22f1000522@ds.study.iitm.ac.in")</f>
        <v>22f1000522@ds.study.iitm.ac.in</v>
      </c>
      <c r="I169" s="3" t="str">
        <f>IFERROR(__xludf.DUMMYFUNCTION("""COMPUTED_VALUE"""),"21f2000608@ds.study.iitm.ac.in")</f>
        <v>21f2000608@ds.study.iitm.ac.in</v>
      </c>
      <c r="J169" s="3">
        <f>IF(D169="No R1",0,VLOOKUP(C169,'Peer-Review'!B:D,2,0))</f>
        <v>0</v>
      </c>
      <c r="K169" s="3">
        <f>IF(D169="No R1",0,VLOOKUP(C169,'Peer-Review'!B:D,3,0))</f>
        <v>0</v>
      </c>
      <c r="L169" s="3">
        <f>IF(E169="No R2",0,VLOOKUP(C169,'Peer-Review'!F:H,2,0))</f>
        <v>10</v>
      </c>
      <c r="M169" s="3">
        <f>IF(E169="No R2",0,VLOOKUP(C169,'Peer-Review'!F:H,3,0))</f>
        <v>8</v>
      </c>
    </row>
    <row r="170" hidden="1">
      <c r="A170" s="3" t="str">
        <f>IFERROR(__xludf.DUMMYFUNCTION("""COMPUTED_VALUE"""),"22f1000693@ds.study.iitm.ac.in")</f>
        <v>22f1000693@ds.study.iitm.ac.in</v>
      </c>
      <c r="B170" s="3">
        <f>IFERROR(__xludf.DUMMYFUNCTION("""COMPUTED_VALUE"""),17.0)</f>
        <v>17</v>
      </c>
      <c r="C170" s="5" t="str">
        <f>IFERROR(__xludf.DUMMYFUNCTION("""COMPUTED_VALUE"""),"https://github.com/sg-sparsh-goyal/TDS-project1-22f1000693")</f>
        <v>https://github.com/sg-sparsh-goyal/TDS-project1-22f1000693</v>
      </c>
      <c r="D170" s="3" t="str">
        <f>IFERROR(VLOOKUP(C170,'Peer-Review'!B:J,9,0),"No R1")</f>
        <v>No R1</v>
      </c>
      <c r="E170" s="3" t="str">
        <f>IFERROR(VLOOKUP(C170,'Peer-Review'!F:J,5,0),"No R2")</f>
        <v>22f1000653@ds.study.iitm.ac.in</v>
      </c>
      <c r="F170" s="3">
        <f>COUNTIF('Peer-Review'!B:B,C170)+COUNTIF('Peer-Review'!F:F,C170)</f>
        <v>2</v>
      </c>
      <c r="G170" s="3">
        <f t="shared" si="1"/>
        <v>1</v>
      </c>
      <c r="H170" s="3" t="str">
        <f>IFERROR(__xludf.DUMMYFUNCTION("IFERROR(TRANSPOSE(FILTER('Peer-Review'!$J$2:$J$568,(TRIM('Peer-Review'!$B$2:$B$568)=C170 )+ (TRIM('Peer-Review'!$F$2:$F$568)=C170))),""No Reviews"")"),"22f1000653@ds.study.iitm.ac.in")</f>
        <v>22f1000653@ds.study.iitm.ac.in</v>
      </c>
      <c r="I170" s="3" t="str">
        <f>IFERROR(__xludf.DUMMYFUNCTION("""COMPUTED_VALUE"""),"21f2001230@ds.study.iitm.ac.in")</f>
        <v>21f2001230@ds.study.iitm.ac.in</v>
      </c>
      <c r="J170" s="3">
        <f>IF(D170="No R1",0,VLOOKUP(C170,'Peer-Review'!B:D,2,0))</f>
        <v>0</v>
      </c>
      <c r="K170" s="3">
        <f>IF(D170="No R1",0,VLOOKUP(C170,'Peer-Review'!B:D,3,0))</f>
        <v>0</v>
      </c>
      <c r="L170" s="3">
        <f>IF(E170="No R2",0,VLOOKUP(C170,'Peer-Review'!F:H,2,0))</f>
        <v>5</v>
      </c>
      <c r="M170" s="3">
        <f>IF(E170="No R2",0,VLOOKUP(C170,'Peer-Review'!F:H,3,0))</f>
        <v>0</v>
      </c>
    </row>
    <row r="171" hidden="1">
      <c r="A171" s="3" t="str">
        <f>IFERROR(__xludf.DUMMYFUNCTION("""COMPUTED_VALUE"""),"22f1000699@ds.study.iitm.ac.in")</f>
        <v>22f1000699@ds.study.iitm.ac.in</v>
      </c>
      <c r="B171" s="3">
        <f>IFERROR(__xludf.DUMMYFUNCTION("""COMPUTED_VALUE"""),13.0)</f>
        <v>13</v>
      </c>
      <c r="C171" s="5" t="str">
        <f>IFERROR(__xludf.DUMMYFUNCTION("""COMPUTED_VALUE"""),"https://github.com/Atharva-Garajkar/TDS")</f>
        <v>https://github.com/Atharva-Garajkar/TDS</v>
      </c>
      <c r="D171" s="3" t="str">
        <f>IFERROR(VLOOKUP(C171,'Peer-Review'!B:J,9,0),"No R1")</f>
        <v>22f1001680@ds.study.iitm.ac.in</v>
      </c>
      <c r="E171" s="3" t="str">
        <f>IFERROR(VLOOKUP(C171,'Peer-Review'!F:J,5,0),"No R2")</f>
        <v>No R2</v>
      </c>
      <c r="F171" s="3">
        <f>COUNTIF('Peer-Review'!B:B,C171)+COUNTIF('Peer-Review'!F:F,C171)</f>
        <v>2</v>
      </c>
      <c r="G171" s="3">
        <f t="shared" si="1"/>
        <v>1</v>
      </c>
      <c r="H171" s="3" t="str">
        <f>IFERROR(__xludf.DUMMYFUNCTION("IFERROR(TRANSPOSE(FILTER('Peer-Review'!$J$2:$J$568,(TRIM('Peer-Review'!$B$2:$B$568)=C171 )+ (TRIM('Peer-Review'!$F$2:$F$568)=C171))),""No Reviews"")"),"22f1001680@ds.study.iitm.ac.in")</f>
        <v>22f1001680@ds.study.iitm.ac.in</v>
      </c>
      <c r="I171" s="3" t="str">
        <f>IFERROR(__xludf.DUMMYFUNCTION("""COMPUTED_VALUE"""),"22f1000998@ds.study.iitm.ac.in")</f>
        <v>22f1000998@ds.study.iitm.ac.in</v>
      </c>
      <c r="J171" s="3">
        <f>IF(D171="No R1",0,VLOOKUP(C171,'Peer-Review'!B:D,2,0))</f>
        <v>10</v>
      </c>
      <c r="K171" s="3">
        <f>IF(D171="No R1",0,VLOOKUP(C171,'Peer-Review'!B:D,3,0))</f>
        <v>10</v>
      </c>
      <c r="L171" s="3">
        <f>IF(E171="No R2",0,VLOOKUP(C171,'Peer-Review'!F:H,2,0))</f>
        <v>0</v>
      </c>
      <c r="M171" s="3">
        <f>IF(E171="No R2",0,VLOOKUP(C171,'Peer-Review'!F:H,3,0))</f>
        <v>0</v>
      </c>
    </row>
    <row r="172" hidden="1">
      <c r="A172" s="3" t="str">
        <f>IFERROR(__xludf.DUMMYFUNCTION("""COMPUTED_VALUE"""),"22f1000753@ds.study.iitm.ac.in")</f>
        <v>22f1000753@ds.study.iitm.ac.in</v>
      </c>
      <c r="B172" s="3">
        <f>IFERROR(__xludf.DUMMYFUNCTION("""COMPUTED_VALUE"""),15.0)</f>
        <v>15</v>
      </c>
      <c r="C172" s="5" t="str">
        <f>IFERROR(__xludf.DUMMYFUNCTION("""COMPUTED_VALUE"""),"https://github.com/Avinash94567/tdsp1")</f>
        <v>https://github.com/Avinash94567/tdsp1</v>
      </c>
      <c r="D172" s="3" t="str">
        <f>IFERROR(VLOOKUP(C172,'Peer-Review'!B:J,9,0),"No R1")</f>
        <v>23f2002105@ds.study.iitm.ac.in</v>
      </c>
      <c r="E172" s="3" t="str">
        <f>IFERROR(VLOOKUP(C172,'Peer-Review'!F:J,5,0),"No R2")</f>
        <v>No R2</v>
      </c>
      <c r="F172" s="3">
        <f>COUNTIF('Peer-Review'!B:B,C172)+COUNTIF('Peer-Review'!F:F,C172)</f>
        <v>1</v>
      </c>
      <c r="G172" s="3">
        <f t="shared" si="1"/>
        <v>1</v>
      </c>
      <c r="H172" s="3" t="str">
        <f>IFERROR(__xludf.DUMMYFUNCTION("IFERROR(TRANSPOSE(FILTER('Peer-Review'!$J$2:$J$568,(TRIM('Peer-Review'!$B$2:$B$568)=C172 )+ (TRIM('Peer-Review'!$F$2:$F$568)=C172))),""No Reviews"")"),"23f2002105@ds.study.iitm.ac.in")</f>
        <v>23f2002105@ds.study.iitm.ac.in</v>
      </c>
      <c r="J172" s="3">
        <f>IF(D172="No R1",0,VLOOKUP(C172,'Peer-Review'!B:D,2,0))</f>
        <v>9</v>
      </c>
      <c r="K172" s="3">
        <f>IF(D172="No R1",0,VLOOKUP(C172,'Peer-Review'!B:D,3,0))</f>
        <v>9</v>
      </c>
      <c r="L172" s="3">
        <f>IF(E172="No R2",0,VLOOKUP(C172,'Peer-Review'!F:H,2,0))</f>
        <v>0</v>
      </c>
      <c r="M172" s="3">
        <f>IF(E172="No R2",0,VLOOKUP(C172,'Peer-Review'!F:H,3,0))</f>
        <v>0</v>
      </c>
    </row>
    <row r="173" hidden="1">
      <c r="A173" s="3" t="str">
        <f>IFERROR(__xludf.DUMMYFUNCTION("""COMPUTED_VALUE"""),"22f1000824@ds.study.iitm.ac.in")</f>
        <v>22f1000824@ds.study.iitm.ac.in</v>
      </c>
      <c r="B173" s="3">
        <f>IFERROR(__xludf.DUMMYFUNCTION("""COMPUTED_VALUE"""),16.0)</f>
        <v>16</v>
      </c>
      <c r="C173" s="5" t="str">
        <f>IFERROR(__xludf.DUMMYFUNCTION("""COMPUTED_VALUE"""),"https://github.com/itsrohithreddy/TDS_Project1")</f>
        <v>https://github.com/itsrohithreddy/TDS_Project1</v>
      </c>
      <c r="D173" s="3" t="str">
        <f>IFERROR(VLOOKUP(C173,'Peer-Review'!B:J,9,0),"No R1")</f>
        <v>No R1</v>
      </c>
      <c r="E173" s="3" t="str">
        <f>IFERROR(VLOOKUP(C173,'Peer-Review'!F:J,5,0),"No R2")</f>
        <v>22f1000493@ds.study.iitm.ac.in</v>
      </c>
      <c r="F173" s="3">
        <f>COUNTIF('Peer-Review'!B:B,C173)+COUNTIF('Peer-Review'!F:F,C173)</f>
        <v>2</v>
      </c>
      <c r="G173" s="3">
        <f t="shared" si="1"/>
        <v>1</v>
      </c>
      <c r="H173" s="3" t="str">
        <f>IFERROR(__xludf.DUMMYFUNCTION("IFERROR(TRANSPOSE(FILTER('Peer-Review'!$J$2:$J$568,(TRIM('Peer-Review'!$B$2:$B$568)=C173 )+ (TRIM('Peer-Review'!$F$2:$F$568)=C173))),""No Reviews"")"),"22f1000493@ds.study.iitm.ac.in")</f>
        <v>22f1000493@ds.study.iitm.ac.in</v>
      </c>
      <c r="I173" s="3" t="str">
        <f>IFERROR(__xludf.DUMMYFUNCTION("""COMPUTED_VALUE"""),"22f1001118@ds.study.iitm.ac.in")</f>
        <v>22f1001118@ds.study.iitm.ac.in</v>
      </c>
      <c r="J173" s="3">
        <f>IF(D173="No R1",0,VLOOKUP(C173,'Peer-Review'!B:D,2,0))</f>
        <v>0</v>
      </c>
      <c r="K173" s="3">
        <f>IF(D173="No R1",0,VLOOKUP(C173,'Peer-Review'!B:D,3,0))</f>
        <v>0</v>
      </c>
      <c r="L173" s="3">
        <f>IF(E173="No R2",0,VLOOKUP(C173,'Peer-Review'!F:H,2,0))</f>
        <v>10</v>
      </c>
      <c r="M173" s="3">
        <f>IF(E173="No R2",0,VLOOKUP(C173,'Peer-Review'!F:H,3,0))</f>
        <v>10</v>
      </c>
    </row>
    <row r="174" hidden="1">
      <c r="A174" s="3" t="str">
        <f>IFERROR(__xludf.DUMMYFUNCTION("""COMPUTED_VALUE"""),"22f1000894@ds.study.iitm.ac.in")</f>
        <v>22f1000894@ds.study.iitm.ac.in</v>
      </c>
      <c r="B174" s="3">
        <f>IFERROR(__xludf.DUMMYFUNCTION("""COMPUTED_VALUE"""),17.0)</f>
        <v>17</v>
      </c>
      <c r="C174" s="5" t="str">
        <f>IFERROR(__xludf.DUMMYFUNCTION("""COMPUTED_VALUE"""),"https://github.com/code-kalrav/IITM-P1/tree/main")</f>
        <v>https://github.com/code-kalrav/IITM-P1/tree/main</v>
      </c>
      <c r="D174" s="3" t="str">
        <f>IFERROR(VLOOKUP(C174,'Peer-Review'!B:J,9,0),"No R1")</f>
        <v>No R1</v>
      </c>
      <c r="E174" s="3" t="str">
        <f>IFERROR(VLOOKUP(C174,'Peer-Review'!F:J,5,0),"No R2")</f>
        <v>22f1000693@ds.study.iitm.ac.in</v>
      </c>
      <c r="F174" s="3">
        <f>COUNTIF('Peer-Review'!B:B,C174)+COUNTIF('Peer-Review'!F:F,C174)</f>
        <v>1</v>
      </c>
      <c r="G174" s="3">
        <f t="shared" si="1"/>
        <v>1</v>
      </c>
      <c r="H174" s="3" t="str">
        <f>IFERROR(__xludf.DUMMYFUNCTION("IFERROR(TRANSPOSE(FILTER('Peer-Review'!$J$2:$J$568,(TRIM('Peer-Review'!$B$2:$B$568)=C174 )+ (TRIM('Peer-Review'!$F$2:$F$568)=C174))),""No Reviews"")"),"22f1000693@ds.study.iitm.ac.in")</f>
        <v>22f1000693@ds.study.iitm.ac.in</v>
      </c>
      <c r="J174" s="3">
        <f>IF(D174="No R1",0,VLOOKUP(C174,'Peer-Review'!B:D,2,0))</f>
        <v>0</v>
      </c>
      <c r="K174" s="3">
        <f>IF(D174="No R1",0,VLOOKUP(C174,'Peer-Review'!B:D,3,0))</f>
        <v>0</v>
      </c>
      <c r="L174" s="3">
        <f>IF(E174="No R2",0,VLOOKUP(C174,'Peer-Review'!F:H,2,0))</f>
        <v>8</v>
      </c>
      <c r="M174" s="3">
        <f>IF(E174="No R2",0,VLOOKUP(C174,'Peer-Review'!F:H,3,0))</f>
        <v>9</v>
      </c>
    </row>
    <row r="175" hidden="1">
      <c r="A175" s="3" t="str">
        <f>IFERROR(__xludf.DUMMYFUNCTION("""COMPUTED_VALUE"""),"22f1000935@ds.study.iitm.ac.in")</f>
        <v>22f1000935@ds.study.iitm.ac.in</v>
      </c>
      <c r="B175" s="3">
        <f>IFERROR(__xludf.DUMMYFUNCTION("""COMPUTED_VALUE"""),0.0)</f>
        <v>0</v>
      </c>
      <c r="C175" s="5" t="str">
        <f>IFERROR(__xludf.DUMMYFUNCTION("""COMPUTED_VALUE"""),"https://github.com/nitharsh935/project-p1")</f>
        <v>https://github.com/nitharsh935/project-p1</v>
      </c>
      <c r="D175" s="3" t="str">
        <f>IFERROR(VLOOKUP(C175,'Peer-Review'!B:J,9,0),"No R1")</f>
        <v>No R1</v>
      </c>
      <c r="E175" s="3" t="str">
        <f>IFERROR(VLOOKUP(C175,'Peer-Review'!F:J,5,0),"No R2")</f>
        <v>No R2</v>
      </c>
      <c r="F175" s="3">
        <f>COUNTIF('Peer-Review'!B:B,C175)+COUNTIF('Peer-Review'!F:F,C175)</f>
        <v>0</v>
      </c>
      <c r="G175" s="3">
        <f t="shared" si="1"/>
        <v>0</v>
      </c>
      <c r="H175" s="3" t="str">
        <f>IFERROR(__xludf.DUMMYFUNCTION("IFERROR(TRANSPOSE(FILTER('Peer-Review'!$J$2:$J$568,(TRIM('Peer-Review'!$B$2:$B$568)=C175 )+ (TRIM('Peer-Review'!$F$2:$F$568)=C175))),""No Reviews"")"),"No Reviews")</f>
        <v>No Reviews</v>
      </c>
      <c r="J175" s="3">
        <f>IF(D175="No R1",0,VLOOKUP(C175,'Peer-Review'!B:D,2,0))</f>
        <v>0</v>
      </c>
      <c r="K175" s="3">
        <f>IF(D175="No R1",0,VLOOKUP(C175,'Peer-Review'!B:D,3,0))</f>
        <v>0</v>
      </c>
      <c r="L175" s="3">
        <f>IF(E175="No R2",0,VLOOKUP(C175,'Peer-Review'!F:H,2,0))</f>
        <v>0</v>
      </c>
      <c r="M175" s="3">
        <f>IF(E175="No R2",0,VLOOKUP(C175,'Peer-Review'!F:H,3,0))</f>
        <v>0</v>
      </c>
    </row>
    <row r="176" hidden="1">
      <c r="A176" s="3" t="str">
        <f>IFERROR(__xludf.DUMMYFUNCTION("""COMPUTED_VALUE"""),"22f1000952@ds.study.iitm.ac.in")</f>
        <v>22f1000952@ds.study.iitm.ac.in</v>
      </c>
      <c r="B176" s="3">
        <f>IFERROR(__xludf.DUMMYFUNCTION("""COMPUTED_VALUE"""),17.0)</f>
        <v>17</v>
      </c>
      <c r="C176" s="5" t="str">
        <f>IFERROR(__xludf.DUMMYFUNCTION("""COMPUTED_VALUE"""),"https://github.com/22f1000952/basel-users-analysis")</f>
        <v>https://github.com/22f1000952/basel-users-analysis</v>
      </c>
      <c r="D176" s="3" t="str">
        <f>IFERROR(VLOOKUP(C176,'Peer-Review'!B:J,9,0),"No R1")</f>
        <v>22f1000894@ds.study.iitm.ac.in</v>
      </c>
      <c r="E176" s="3" t="str">
        <f>IFERROR(VLOOKUP(C176,'Peer-Review'!F:J,5,0),"No R2")</f>
        <v>21f3002397@ds.study.iitm.ac.in</v>
      </c>
      <c r="F176" s="3">
        <f>COUNTIF('Peer-Review'!B:B,C176)+COUNTIF('Peer-Review'!F:F,C176)</f>
        <v>2</v>
      </c>
      <c r="G176" s="3">
        <f t="shared" si="1"/>
        <v>2</v>
      </c>
      <c r="H176" s="3" t="str">
        <f>IFERROR(__xludf.DUMMYFUNCTION("IFERROR(TRANSPOSE(FILTER('Peer-Review'!$J$2:$J$568,(TRIM('Peer-Review'!$B$2:$B$568)=C176 )+ (TRIM('Peer-Review'!$F$2:$F$568)=C176))),""No Reviews"")"),"21f3002397@ds.study.iitm.ac.in")</f>
        <v>21f3002397@ds.study.iitm.ac.in</v>
      </c>
      <c r="I176" s="3" t="str">
        <f>IFERROR(__xludf.DUMMYFUNCTION("""COMPUTED_VALUE"""),"22f1000894@ds.study.iitm.ac.in")</f>
        <v>22f1000894@ds.study.iitm.ac.in</v>
      </c>
      <c r="J176" s="3">
        <f>IF(D176="No R1",0,VLOOKUP(C176,'Peer-Review'!B:D,2,0))</f>
        <v>9</v>
      </c>
      <c r="K176" s="3">
        <f>IF(D176="No R1",0,VLOOKUP(C176,'Peer-Review'!B:D,3,0))</f>
        <v>10</v>
      </c>
      <c r="L176" s="3">
        <f>IF(E176="No R2",0,VLOOKUP(C176,'Peer-Review'!F:H,2,0))</f>
        <v>10</v>
      </c>
      <c r="M176" s="3">
        <f>IF(E176="No R2",0,VLOOKUP(C176,'Peer-Review'!F:H,3,0))</f>
        <v>10</v>
      </c>
    </row>
    <row r="177" hidden="1">
      <c r="A177" s="3" t="str">
        <f>IFERROR(__xludf.DUMMYFUNCTION("""COMPUTED_VALUE"""),"22f1000990@ds.study.iitm.ac.in")</f>
        <v>22f1000990@ds.study.iitm.ac.in</v>
      </c>
      <c r="B177" s="3">
        <f>IFERROR(__xludf.DUMMYFUNCTION("""COMPUTED_VALUE"""),10.0)</f>
        <v>10</v>
      </c>
      <c r="C177" s="5" t="str">
        <f>IFERROR(__xludf.DUMMYFUNCTION("""COMPUTED_VALUE"""),"https://github.com/KrishnaDhankar/Project_TDS")</f>
        <v>https://github.com/KrishnaDhankar/Project_TDS</v>
      </c>
      <c r="D177" s="3" t="str">
        <f>IFERROR(VLOOKUP(C177,'Peer-Review'!B:J,9,0),"No R1")</f>
        <v>23f1000965@ds.study.iitm.ac.in</v>
      </c>
      <c r="E177" s="3" t="str">
        <f>IFERROR(VLOOKUP(C177,'Peer-Review'!F:J,5,0),"No R2")</f>
        <v>No R2</v>
      </c>
      <c r="F177" s="3">
        <f>COUNTIF('Peer-Review'!B:B,C177)+COUNTIF('Peer-Review'!F:F,C177)</f>
        <v>2</v>
      </c>
      <c r="G177" s="3">
        <f t="shared" si="1"/>
        <v>1</v>
      </c>
      <c r="H177" s="3" t="str">
        <f>IFERROR(__xludf.DUMMYFUNCTION("IFERROR(TRANSPOSE(FILTER('Peer-Review'!$J$2:$J$568,(TRIM('Peer-Review'!$B$2:$B$568)=C177 )+ (TRIM('Peer-Review'!$F$2:$F$568)=C177))),""No Reviews"")"),"23f1000965@ds.study.iitm.ac.in")</f>
        <v>23f1000965@ds.study.iitm.ac.in</v>
      </c>
      <c r="I177" s="3" t="str">
        <f>IFERROR(__xludf.DUMMYFUNCTION("""COMPUTED_VALUE"""),"22f3001142@ds.study.iitm.ac.in")</f>
        <v>22f3001142@ds.study.iitm.ac.in</v>
      </c>
      <c r="J177" s="3">
        <f>IF(D177="No R1",0,VLOOKUP(C177,'Peer-Review'!B:D,2,0))</f>
        <v>10</v>
      </c>
      <c r="K177" s="3">
        <f>IF(D177="No R1",0,VLOOKUP(C177,'Peer-Review'!B:D,3,0))</f>
        <v>10</v>
      </c>
      <c r="L177" s="3">
        <f>IF(E177="No R2",0,VLOOKUP(C177,'Peer-Review'!F:H,2,0))</f>
        <v>0</v>
      </c>
      <c r="M177" s="3">
        <f>IF(E177="No R2",0,VLOOKUP(C177,'Peer-Review'!F:H,3,0))</f>
        <v>0</v>
      </c>
    </row>
    <row r="178" hidden="1">
      <c r="A178" s="3" t="str">
        <f>IFERROR(__xludf.DUMMYFUNCTION("""COMPUTED_VALUE"""),"22f1000998@ds.study.iitm.ac.in")</f>
        <v>22f1000998@ds.study.iitm.ac.in</v>
      </c>
      <c r="B178" s="3">
        <f>IFERROR(__xludf.DUMMYFUNCTION("""COMPUTED_VALUE"""),13.0)</f>
        <v>13</v>
      </c>
      <c r="C178" s="5" t="str">
        <f>IFERROR(__xludf.DUMMYFUNCTION("""COMPUTED_VALUE"""),"https://github.com/22f1000998/TDS-Project-1")</f>
        <v>https://github.com/22f1000998/TDS-Project-1</v>
      </c>
      <c r="D178" s="3" t="str">
        <f>IFERROR(VLOOKUP(C178,'Peer-Review'!B:J,9,0),"No R1")</f>
        <v>22f1001445@ds.study.iitm.ac.in</v>
      </c>
      <c r="E178" s="3" t="str">
        <f>IFERROR(VLOOKUP(C178,'Peer-Review'!F:J,5,0),"No R2")</f>
        <v>No R2</v>
      </c>
      <c r="F178" s="3">
        <f>COUNTIF('Peer-Review'!B:B,C178)+COUNTIF('Peer-Review'!F:F,C178)</f>
        <v>2</v>
      </c>
      <c r="G178" s="3">
        <f t="shared" si="1"/>
        <v>1</v>
      </c>
      <c r="H178" s="3" t="str">
        <f>IFERROR(__xludf.DUMMYFUNCTION("IFERROR(TRANSPOSE(FILTER('Peer-Review'!$J$2:$J$568,(TRIM('Peer-Review'!$B$2:$B$568)=C178 )+ (TRIM('Peer-Review'!$F$2:$F$568)=C178))),""No Reviews"")"),"22f1001445@ds.study.iitm.ac.in")</f>
        <v>22f1001445@ds.study.iitm.ac.in</v>
      </c>
      <c r="I178" s="3" t="str">
        <f>IFERROR(__xludf.DUMMYFUNCTION("""COMPUTED_VALUE"""),"22f1001738@ds.study.iitm.ac.in")</f>
        <v>22f1001738@ds.study.iitm.ac.in</v>
      </c>
      <c r="J178" s="3">
        <f>IF(D178="No R1",0,VLOOKUP(C178,'Peer-Review'!B:D,2,0))</f>
        <v>7</v>
      </c>
      <c r="K178" s="3">
        <f>IF(D178="No R1",0,VLOOKUP(C178,'Peer-Review'!B:D,3,0))</f>
        <v>9</v>
      </c>
      <c r="L178" s="3">
        <f>IF(E178="No R2",0,VLOOKUP(C178,'Peer-Review'!F:H,2,0))</f>
        <v>0</v>
      </c>
      <c r="M178" s="3">
        <f>IF(E178="No R2",0,VLOOKUP(C178,'Peer-Review'!F:H,3,0))</f>
        <v>0</v>
      </c>
    </row>
    <row r="179" hidden="1">
      <c r="A179" s="3" t="str">
        <f>IFERROR(__xludf.DUMMYFUNCTION("""COMPUTED_VALUE"""),"22f1001082@ds.study.iitm.ac.in")</f>
        <v>22f1001082@ds.study.iitm.ac.in</v>
      </c>
      <c r="B179" s="3">
        <f>IFERROR(__xludf.DUMMYFUNCTION("""COMPUTED_VALUE"""),8.0)</f>
        <v>8</v>
      </c>
      <c r="C179" s="5" t="str">
        <f>IFERROR(__xludf.DUMMYFUNCTION("""COMPUTED_VALUE"""),"https://github.com/GIT1001082/TDS_project_1")</f>
        <v>https://github.com/GIT1001082/TDS_project_1</v>
      </c>
      <c r="D179" s="3" t="str">
        <f>IFERROR(VLOOKUP(C179,'Peer-Review'!B:J,9,0),"No R1")</f>
        <v>23ds3000089@ds.study.iitm.ac.in</v>
      </c>
      <c r="E179" s="3" t="str">
        <f>IFERROR(VLOOKUP(C179,'Peer-Review'!F:J,5,0),"No R2")</f>
        <v>No R2</v>
      </c>
      <c r="F179" s="3">
        <f>COUNTIF('Peer-Review'!B:B,C179)+COUNTIF('Peer-Review'!F:F,C179)</f>
        <v>1</v>
      </c>
      <c r="G179" s="3">
        <f t="shared" si="1"/>
        <v>1</v>
      </c>
      <c r="H179" s="3" t="str">
        <f>IFERROR(__xludf.DUMMYFUNCTION("IFERROR(TRANSPOSE(FILTER('Peer-Review'!$J$2:$J$568,(TRIM('Peer-Review'!$B$2:$B$568)=C179 )+ (TRIM('Peer-Review'!$F$2:$F$568)=C179))),""No Reviews"")"),"23ds3000089@ds.study.iitm.ac.in")</f>
        <v>23ds3000089@ds.study.iitm.ac.in</v>
      </c>
      <c r="J179" s="3">
        <f>IF(D179="No R1",0,VLOOKUP(C179,'Peer-Review'!B:D,2,0))</f>
        <v>10</v>
      </c>
      <c r="K179" s="3">
        <f>IF(D179="No R1",0,VLOOKUP(C179,'Peer-Review'!B:D,3,0))</f>
        <v>0</v>
      </c>
      <c r="L179" s="3">
        <f>IF(E179="No R2",0,VLOOKUP(C179,'Peer-Review'!F:H,2,0))</f>
        <v>0</v>
      </c>
      <c r="M179" s="3">
        <f>IF(E179="No R2",0,VLOOKUP(C179,'Peer-Review'!F:H,3,0))</f>
        <v>0</v>
      </c>
    </row>
    <row r="180" hidden="1">
      <c r="A180" s="3" t="str">
        <f>IFERROR(__xludf.DUMMYFUNCTION("""COMPUTED_VALUE"""),"22f1001105@ds.study.iitm.ac.in")</f>
        <v>22f1001105@ds.study.iitm.ac.in</v>
      </c>
      <c r="B180" s="3">
        <f>IFERROR(__xludf.DUMMYFUNCTION("""COMPUTED_VALUE"""),17.0)</f>
        <v>17</v>
      </c>
      <c r="C180" s="5" t="str">
        <f>IFERROR(__xludf.DUMMYFUNCTION("""COMPUTED_VALUE"""),"https://github.com/22f1001105/TDSPROJECT1")</f>
        <v>https://github.com/22f1001105/TDSPROJECT1</v>
      </c>
      <c r="D180" s="3" t="str">
        <f>IFERROR(VLOOKUP(C180,'Peer-Review'!B:J,9,0),"No R1")</f>
        <v>No R1</v>
      </c>
      <c r="E180" s="3" t="str">
        <f>IFERROR(VLOOKUP(C180,'Peer-Review'!F:J,5,0),"No R2")</f>
        <v>No R2</v>
      </c>
      <c r="F180" s="3">
        <f>COUNTIF('Peer-Review'!B:B,C180)+COUNTIF('Peer-Review'!F:F,C180)</f>
        <v>0</v>
      </c>
      <c r="G180" s="3">
        <f t="shared" si="1"/>
        <v>0</v>
      </c>
      <c r="H180" s="3" t="str">
        <f>IFERROR(__xludf.DUMMYFUNCTION("IFERROR(TRANSPOSE(FILTER('Peer-Review'!$J$2:$J$568,(TRIM('Peer-Review'!$B$2:$B$568)=C180 )+ (TRIM('Peer-Review'!$F$2:$F$568)=C180))),""No Reviews"")"),"No Reviews")</f>
        <v>No Reviews</v>
      </c>
      <c r="J180" s="3">
        <f>IF(D180="No R1",0,VLOOKUP(C180,'Peer-Review'!B:D,2,0))</f>
        <v>0</v>
      </c>
      <c r="K180" s="3">
        <f>IF(D180="No R1",0,VLOOKUP(C180,'Peer-Review'!B:D,3,0))</f>
        <v>0</v>
      </c>
      <c r="L180" s="3">
        <f>IF(E180="No R2",0,VLOOKUP(C180,'Peer-Review'!F:H,2,0))</f>
        <v>0</v>
      </c>
      <c r="M180" s="3">
        <f>IF(E180="No R2",0,VLOOKUP(C180,'Peer-Review'!F:H,3,0))</f>
        <v>0</v>
      </c>
    </row>
    <row r="181" hidden="1">
      <c r="A181" s="3" t="str">
        <f>IFERROR(__xludf.DUMMYFUNCTION("""COMPUTED_VALUE"""),"22f1001118@ds.study.iitm.ac.in")</f>
        <v>22f1001118@ds.study.iitm.ac.in</v>
      </c>
      <c r="B181" s="3">
        <f>IFERROR(__xludf.DUMMYFUNCTION("""COMPUTED_VALUE"""),3.0)</f>
        <v>3</v>
      </c>
      <c r="C181" s="5" t="str">
        <f>IFERROR(__xludf.DUMMYFUNCTION("""COMPUTED_VALUE"""),"https://github.com/Swag2002/TDS_Main_Project")</f>
        <v>https://github.com/Swag2002/TDS_Main_Project</v>
      </c>
      <c r="D181" s="3" t="str">
        <f>IFERROR(VLOOKUP(C181,'Peer-Review'!B:J,9,0),"No R1")</f>
        <v>No R1</v>
      </c>
      <c r="E181" s="3" t="str">
        <f>IFERROR(VLOOKUP(C181,'Peer-Review'!F:J,5,0),"No R2")</f>
        <v>22f1000824@ds.study.iitm.ac.in</v>
      </c>
      <c r="F181" s="3">
        <f>COUNTIF('Peer-Review'!B:B,C181)+COUNTIF('Peer-Review'!F:F,C181)</f>
        <v>1</v>
      </c>
      <c r="G181" s="3">
        <f t="shared" si="1"/>
        <v>1</v>
      </c>
      <c r="H181" s="3" t="str">
        <f>IFERROR(__xludf.DUMMYFUNCTION("IFERROR(TRANSPOSE(FILTER('Peer-Review'!$J$2:$J$568,(TRIM('Peer-Review'!$B$2:$B$568)=C181 )+ (TRIM('Peer-Review'!$F$2:$F$568)=C181))),""No Reviews"")"),"22f1000824@ds.study.iitm.ac.in")</f>
        <v>22f1000824@ds.study.iitm.ac.in</v>
      </c>
      <c r="J181" s="3">
        <f>IF(D181="No R1",0,VLOOKUP(C181,'Peer-Review'!B:D,2,0))</f>
        <v>0</v>
      </c>
      <c r="K181" s="3">
        <f>IF(D181="No R1",0,VLOOKUP(C181,'Peer-Review'!B:D,3,0))</f>
        <v>0</v>
      </c>
      <c r="L181" s="3">
        <f>IF(E181="No R2",0,VLOOKUP(C181,'Peer-Review'!F:H,2,0))</f>
        <v>5</v>
      </c>
      <c r="M181" s="3">
        <f>IF(E181="No R2",0,VLOOKUP(C181,'Peer-Review'!F:H,3,0))</f>
        <v>0</v>
      </c>
    </row>
    <row r="182" hidden="1">
      <c r="A182" s="3" t="str">
        <f>IFERROR(__xludf.DUMMYFUNCTION("""COMPUTED_VALUE"""),"22f1001144@ds.study.iitm.ac.in")</f>
        <v>22f1001144@ds.study.iitm.ac.in</v>
      </c>
      <c r="B182" s="3">
        <f>IFERROR(__xludf.DUMMYFUNCTION("""COMPUTED_VALUE"""),14.0)</f>
        <v>14</v>
      </c>
      <c r="C182" s="5" t="str">
        <f>IFERROR(__xludf.DUMMYFUNCTION("""COMPUTED_VALUE"""),"https://github.com/rishisni/TDS-Project-1")</f>
        <v>https://github.com/rishisni/TDS-Project-1</v>
      </c>
      <c r="D182" s="3" t="str">
        <f>IFERROR(VLOOKUP(C182,'Peer-Review'!B:J,9,0),"No R1")</f>
        <v>22f1001637@ds.study.iitm.ac.in</v>
      </c>
      <c r="E182" s="3" t="str">
        <f>IFERROR(VLOOKUP(C182,'Peer-Review'!F:J,5,0),"No R2")</f>
        <v>No R2</v>
      </c>
      <c r="F182" s="3">
        <f>COUNTIF('Peer-Review'!B:B,C182)+COUNTIF('Peer-Review'!F:F,C182)</f>
        <v>1</v>
      </c>
      <c r="G182" s="3">
        <f t="shared" si="1"/>
        <v>1</v>
      </c>
      <c r="H182" s="3" t="str">
        <f>IFERROR(__xludf.DUMMYFUNCTION("IFERROR(TRANSPOSE(FILTER('Peer-Review'!$J$2:$J$568,(TRIM('Peer-Review'!$B$2:$B$568)=C182 )+ (TRIM('Peer-Review'!$F$2:$F$568)=C182))),""No Reviews"")"),"22f1001637@ds.study.iitm.ac.in")</f>
        <v>22f1001637@ds.study.iitm.ac.in</v>
      </c>
      <c r="J182" s="3">
        <f>IF(D182="No R1",0,VLOOKUP(C182,'Peer-Review'!B:D,2,0))</f>
        <v>10</v>
      </c>
      <c r="K182" s="3">
        <f>IF(D182="No R1",0,VLOOKUP(C182,'Peer-Review'!B:D,3,0))</f>
        <v>10</v>
      </c>
      <c r="L182" s="3">
        <f>IF(E182="No R2",0,VLOOKUP(C182,'Peer-Review'!F:H,2,0))</f>
        <v>0</v>
      </c>
      <c r="M182" s="3">
        <f>IF(E182="No R2",0,VLOOKUP(C182,'Peer-Review'!F:H,3,0))</f>
        <v>0</v>
      </c>
    </row>
    <row r="183" hidden="1">
      <c r="A183" s="3" t="str">
        <f>IFERROR(__xludf.DUMMYFUNCTION("""COMPUTED_VALUE"""),"22f1001182@ds.study.iitm.ac.in")</f>
        <v>22f1001182@ds.study.iitm.ac.in</v>
      </c>
      <c r="B183" s="3">
        <f>IFERROR(__xludf.DUMMYFUNCTION("""COMPUTED_VALUE"""),17.0)</f>
        <v>17</v>
      </c>
      <c r="C183" s="5" t="str">
        <f>IFERROR(__xludf.DUMMYFUNCTION("""COMPUTED_VALUE"""),"https://github.com/404aalu/tds-project1")</f>
        <v>https://github.com/404aalu/tds-project1</v>
      </c>
      <c r="D183" s="3" t="str">
        <f>IFERROR(VLOOKUP(C183,'Peer-Review'!B:J,9,0),"No R1")</f>
        <v>No R1</v>
      </c>
      <c r="E183" s="3" t="str">
        <f>IFERROR(VLOOKUP(C183,'Peer-Review'!F:J,5,0),"No R2")</f>
        <v>22f1001105@ds.study.iitm.ac.in</v>
      </c>
      <c r="F183" s="3">
        <f>COUNTIF('Peer-Review'!B:B,C183)+COUNTIF('Peer-Review'!F:F,C183)</f>
        <v>1</v>
      </c>
      <c r="G183" s="3">
        <f t="shared" si="1"/>
        <v>1</v>
      </c>
      <c r="H183" s="3" t="str">
        <f>IFERROR(__xludf.DUMMYFUNCTION("IFERROR(TRANSPOSE(FILTER('Peer-Review'!$J$2:$J$568,(TRIM('Peer-Review'!$B$2:$B$568)=C183 )+ (TRIM('Peer-Review'!$F$2:$F$568)=C183))),""No Reviews"")"),"22f1001105@ds.study.iitm.ac.in")</f>
        <v>22f1001105@ds.study.iitm.ac.in</v>
      </c>
      <c r="J183" s="3">
        <f>IF(D183="No R1",0,VLOOKUP(C183,'Peer-Review'!B:D,2,0))</f>
        <v>0</v>
      </c>
      <c r="K183" s="3">
        <f>IF(D183="No R1",0,VLOOKUP(C183,'Peer-Review'!B:D,3,0))</f>
        <v>0</v>
      </c>
      <c r="L183" s="3">
        <f>IF(E183="No R2",0,VLOOKUP(C183,'Peer-Review'!F:H,2,0))</f>
        <v>0</v>
      </c>
      <c r="M183" s="3">
        <f>IF(E183="No R2",0,VLOOKUP(C183,'Peer-Review'!F:H,3,0))</f>
        <v>0</v>
      </c>
    </row>
    <row r="184" hidden="1">
      <c r="A184" s="3" t="str">
        <f>IFERROR(__xludf.DUMMYFUNCTION("""COMPUTED_VALUE"""),"22f1001203@ds.study.iitm.ac.in")</f>
        <v>22f1001203@ds.study.iitm.ac.in</v>
      </c>
      <c r="B184" s="3">
        <f>IFERROR(__xludf.DUMMYFUNCTION("""COMPUTED_VALUE"""),12.0)</f>
        <v>12</v>
      </c>
      <c r="C184" s="5" t="str">
        <f>IFERROR(__xludf.DUMMYFUNCTION("""COMPUTED_VALUE"""),"https://github.com/anand-ballabh/TDS-Project-1")</f>
        <v>https://github.com/anand-ballabh/TDS-Project-1</v>
      </c>
      <c r="D184" s="3" t="str">
        <f>IFERROR(VLOOKUP(C184,'Peer-Review'!B:J,9,0),"No R1")</f>
        <v>22f1001972@ds.study.iitm.ac.in</v>
      </c>
      <c r="E184" s="3" t="str">
        <f>IFERROR(VLOOKUP(C184,'Peer-Review'!F:J,5,0),"No R2")</f>
        <v>No R2</v>
      </c>
      <c r="F184" s="3">
        <f>COUNTIF('Peer-Review'!B:B,C184)+COUNTIF('Peer-Review'!F:F,C184)</f>
        <v>2</v>
      </c>
      <c r="G184" s="3">
        <f t="shared" si="1"/>
        <v>1</v>
      </c>
      <c r="H184" s="3" t="str">
        <f>IFERROR(__xludf.DUMMYFUNCTION("IFERROR(TRANSPOSE(FILTER('Peer-Review'!$J$2:$J$568,(TRIM('Peer-Review'!$B$2:$B$568)=C184 )+ (TRIM('Peer-Review'!$F$2:$F$568)=C184))),""No Reviews"")"),"22f1001972@ds.study.iitm.ac.in")</f>
        <v>22f1001972@ds.study.iitm.ac.in</v>
      </c>
      <c r="I184" s="3" t="str">
        <f>IFERROR(__xludf.DUMMYFUNCTION("""COMPUTED_VALUE"""),"21f2000047@ds.study.iitm.ac.in")</f>
        <v>21f2000047@ds.study.iitm.ac.in</v>
      </c>
      <c r="J184" s="3">
        <f>IF(D184="No R1",0,VLOOKUP(C184,'Peer-Review'!B:D,2,0))</f>
        <v>6</v>
      </c>
      <c r="K184" s="3">
        <f>IF(D184="No R1",0,VLOOKUP(C184,'Peer-Review'!B:D,3,0))</f>
        <v>8</v>
      </c>
      <c r="L184" s="3">
        <f>IF(E184="No R2",0,VLOOKUP(C184,'Peer-Review'!F:H,2,0))</f>
        <v>0</v>
      </c>
      <c r="M184" s="3">
        <f>IF(E184="No R2",0,VLOOKUP(C184,'Peer-Review'!F:H,3,0))</f>
        <v>0</v>
      </c>
    </row>
    <row r="185" hidden="1">
      <c r="A185" s="3" t="str">
        <f>IFERROR(__xludf.DUMMYFUNCTION("""COMPUTED_VALUE"""),"22f1001210@ds.study.iitm.ac.in")</f>
        <v>22f1001210@ds.study.iitm.ac.in</v>
      </c>
      <c r="B185" s="3">
        <f>IFERROR(__xludf.DUMMYFUNCTION("""COMPUTED_VALUE"""),16.0)</f>
        <v>16</v>
      </c>
      <c r="C185" s="5" t="str">
        <f>IFERROR(__xludf.DUMMYFUNCTION("""COMPUTED_VALUE"""),"https://github.com/ankit-ksh/tds_mini_project_i")</f>
        <v>https://github.com/ankit-ksh/tds_mini_project_i</v>
      </c>
      <c r="D185" s="3" t="str">
        <f>IFERROR(VLOOKUP(C185,'Peer-Review'!B:J,9,0),"No R1")</f>
        <v>22f1000824@ds.study.iitm.ac.in</v>
      </c>
      <c r="E185" s="3" t="str">
        <f>IFERROR(VLOOKUP(C185,'Peer-Review'!F:J,5,0),"No R2")</f>
        <v>No R2</v>
      </c>
      <c r="F185" s="3">
        <f>COUNTIF('Peer-Review'!B:B,C185)+COUNTIF('Peer-Review'!F:F,C185)</f>
        <v>1</v>
      </c>
      <c r="G185" s="3">
        <f t="shared" si="1"/>
        <v>1</v>
      </c>
      <c r="H185" s="3" t="str">
        <f>IFERROR(__xludf.DUMMYFUNCTION("IFERROR(TRANSPOSE(FILTER('Peer-Review'!$J$2:$J$568,(TRIM('Peer-Review'!$B$2:$B$568)=C185 )+ (TRIM('Peer-Review'!$F$2:$F$568)=C185))),""No Reviews"")"),"22f1000824@ds.study.iitm.ac.in")</f>
        <v>22f1000824@ds.study.iitm.ac.in</v>
      </c>
      <c r="J185" s="3">
        <f>IF(D185="No R1",0,VLOOKUP(C185,'Peer-Review'!B:D,2,0))</f>
        <v>2</v>
      </c>
      <c r="K185" s="3">
        <f>IF(D185="No R1",0,VLOOKUP(C185,'Peer-Review'!B:D,3,0))</f>
        <v>0</v>
      </c>
      <c r="L185" s="3">
        <f>IF(E185="No R2",0,VLOOKUP(C185,'Peer-Review'!F:H,2,0))</f>
        <v>0</v>
      </c>
      <c r="M185" s="3">
        <f>IF(E185="No R2",0,VLOOKUP(C185,'Peer-Review'!F:H,3,0))</f>
        <v>0</v>
      </c>
    </row>
    <row r="186" hidden="1">
      <c r="A186" s="3" t="str">
        <f>IFERROR(__xludf.DUMMYFUNCTION("""COMPUTED_VALUE"""),"22f1001432@ds.study.iitm.ac.in")</f>
        <v>22f1001432@ds.study.iitm.ac.in</v>
      </c>
      <c r="B186" s="3">
        <f>IFERROR(__xludf.DUMMYFUNCTION("""COMPUTED_VALUE"""),16.0)</f>
        <v>16</v>
      </c>
      <c r="C186" s="5" t="str">
        <f>IFERROR(__xludf.DUMMYFUNCTION("""COMPUTED_VALUE"""),"https://github.com/ishitabhalla16/TDS-Project-1")</f>
        <v>https://github.com/ishitabhalla16/TDS-Project-1</v>
      </c>
      <c r="D186" s="3" t="str">
        <f>IFERROR(VLOOKUP(C186,'Peer-Review'!B:J,9,0),"No R1")</f>
        <v>No R1</v>
      </c>
      <c r="E186" s="3" t="str">
        <f>IFERROR(VLOOKUP(C186,'Peer-Review'!F:J,5,0),"No R2")</f>
        <v>23f2004408@ds.study.iitm.ac.in</v>
      </c>
      <c r="F186" s="3">
        <f>COUNTIF('Peer-Review'!B:B,C186)+COUNTIF('Peer-Review'!F:F,C186)</f>
        <v>2</v>
      </c>
      <c r="G186" s="3">
        <f t="shared" si="1"/>
        <v>1</v>
      </c>
      <c r="H186" s="3" t="str">
        <f>IFERROR(__xludf.DUMMYFUNCTION("IFERROR(TRANSPOSE(FILTER('Peer-Review'!$J$2:$J$568,(TRIM('Peer-Review'!$B$2:$B$568)=C186 )+ (TRIM('Peer-Review'!$F$2:$F$568)=C186))),""No Reviews"")"),"23f2004408@ds.study.iitm.ac.in")</f>
        <v>23f2004408@ds.study.iitm.ac.in</v>
      </c>
      <c r="I186" s="3" t="str">
        <f>IFERROR(__xludf.DUMMYFUNCTION("""COMPUTED_VALUE"""),"22f1001210@ds.study.iitm.ac.in")</f>
        <v>22f1001210@ds.study.iitm.ac.in</v>
      </c>
      <c r="J186" s="3">
        <f>IF(D186="No R1",0,VLOOKUP(C186,'Peer-Review'!B:D,2,0))</f>
        <v>0</v>
      </c>
      <c r="K186" s="3">
        <f>IF(D186="No R1",0,VLOOKUP(C186,'Peer-Review'!B:D,3,0))</f>
        <v>0</v>
      </c>
      <c r="L186" s="3">
        <f>IF(E186="No R2",0,VLOOKUP(C186,'Peer-Review'!F:H,2,0))</f>
        <v>8</v>
      </c>
      <c r="M186" s="3">
        <f>IF(E186="No R2",0,VLOOKUP(C186,'Peer-Review'!F:H,3,0))</f>
        <v>0</v>
      </c>
    </row>
    <row r="187" hidden="1">
      <c r="A187" s="3" t="str">
        <f>IFERROR(__xludf.DUMMYFUNCTION("""COMPUTED_VALUE"""),"22f1001445@ds.study.iitm.ac.in")</f>
        <v>22f1001445@ds.study.iitm.ac.in</v>
      </c>
      <c r="B187" s="3">
        <f>IFERROR(__xludf.DUMMYFUNCTION("""COMPUTED_VALUE"""),13.0)</f>
        <v>13</v>
      </c>
      <c r="C187" s="5" t="str">
        <f>IFERROR(__xludf.DUMMYFUNCTION("""COMPUTED_VALUE"""),"https://github.com/AbdulHadiCreator/TDSproject1")</f>
        <v>https://github.com/AbdulHadiCreator/TDSproject1</v>
      </c>
      <c r="D187" s="3" t="str">
        <f>IFERROR(VLOOKUP(C187,'Peer-Review'!B:J,9,0),"No R1")</f>
        <v>22f1001766@ds.study.iitm.ac.in</v>
      </c>
      <c r="E187" s="3" t="str">
        <f>IFERROR(VLOOKUP(C187,'Peer-Review'!F:J,5,0),"No R2")</f>
        <v>No R2</v>
      </c>
      <c r="F187" s="3">
        <f>COUNTIF('Peer-Review'!B:B,C187)+COUNTIF('Peer-Review'!F:F,C187)</f>
        <v>2</v>
      </c>
      <c r="G187" s="3">
        <f t="shared" si="1"/>
        <v>1</v>
      </c>
      <c r="H187" s="3" t="str">
        <f>IFERROR(__xludf.DUMMYFUNCTION("IFERROR(TRANSPOSE(FILTER('Peer-Review'!$J$2:$J$568,(TRIM('Peer-Review'!$B$2:$B$568)=C187 )+ (TRIM('Peer-Review'!$F$2:$F$568)=C187))),""No Reviews"")"),"22f1001766@ds.study.iitm.ac.in")</f>
        <v>22f1001766@ds.study.iitm.ac.in</v>
      </c>
      <c r="I187" s="3" t="str">
        <f>IFERROR(__xludf.DUMMYFUNCTION("""COMPUTED_VALUE"""),"22f1001711@ds.study.iitm.ac.in")</f>
        <v>22f1001711@ds.study.iitm.ac.in</v>
      </c>
      <c r="J187" s="3">
        <f>IF(D187="No R1",0,VLOOKUP(C187,'Peer-Review'!B:D,2,0))</f>
        <v>9</v>
      </c>
      <c r="K187" s="3">
        <f>IF(D187="No R1",0,VLOOKUP(C187,'Peer-Review'!B:D,3,0))</f>
        <v>4</v>
      </c>
      <c r="L187" s="3">
        <f>IF(E187="No R2",0,VLOOKUP(C187,'Peer-Review'!F:H,2,0))</f>
        <v>0</v>
      </c>
      <c r="M187" s="3">
        <f>IF(E187="No R2",0,VLOOKUP(C187,'Peer-Review'!F:H,3,0))</f>
        <v>0</v>
      </c>
    </row>
    <row r="188" hidden="1">
      <c r="A188" s="3" t="str">
        <f>IFERROR(__xludf.DUMMYFUNCTION("""COMPUTED_VALUE"""),"22f1001595@ds.study.iitm.ac.in")</f>
        <v>22f1001595@ds.study.iitm.ac.in</v>
      </c>
      <c r="B188" s="3">
        <f>IFERROR(__xludf.DUMMYFUNCTION("""COMPUTED_VALUE"""),16.0)</f>
        <v>16</v>
      </c>
      <c r="C188" s="5" t="str">
        <f>IFERROR(__xludf.DUMMYFUNCTION("""COMPUTED_VALUE"""),"https://github.com/ashuiitm/tdsproject1/")</f>
        <v>https://github.com/ashuiitm/tdsproject1/</v>
      </c>
      <c r="D188" s="3" t="str">
        <f>IFERROR(VLOOKUP(C188,'Peer-Review'!B:J,9,0),"No R1")</f>
        <v>No R1</v>
      </c>
      <c r="E188" s="3" t="str">
        <f>IFERROR(VLOOKUP(C188,'Peer-Review'!F:J,5,0),"No R2")</f>
        <v>22f1001432@ds.study.iitm.ac.in</v>
      </c>
      <c r="F188" s="3">
        <f>COUNTIF('Peer-Review'!B:B,C188)+COUNTIF('Peer-Review'!F:F,C188)</f>
        <v>1</v>
      </c>
      <c r="G188" s="3">
        <f t="shared" si="1"/>
        <v>1</v>
      </c>
      <c r="H188" s="3" t="str">
        <f>IFERROR(__xludf.DUMMYFUNCTION("IFERROR(TRANSPOSE(FILTER('Peer-Review'!$J$2:$J$568,(TRIM('Peer-Review'!$B$2:$B$568)=C188 )+ (TRIM('Peer-Review'!$F$2:$F$568)=C188))),""No Reviews"")"),"22f1001432@ds.study.iitm.ac.in")</f>
        <v>22f1001432@ds.study.iitm.ac.in</v>
      </c>
      <c r="J188" s="3">
        <f>IF(D188="No R1",0,VLOOKUP(C188,'Peer-Review'!B:D,2,0))</f>
        <v>0</v>
      </c>
      <c r="K188" s="3">
        <f>IF(D188="No R1",0,VLOOKUP(C188,'Peer-Review'!B:D,3,0))</f>
        <v>0</v>
      </c>
      <c r="L188" s="3">
        <f>IF(E188="No R2",0,VLOOKUP(C188,'Peer-Review'!F:H,2,0))</f>
        <v>7</v>
      </c>
      <c r="M188" s="3">
        <f>IF(E188="No R2",0,VLOOKUP(C188,'Peer-Review'!F:H,3,0))</f>
        <v>7</v>
      </c>
    </row>
    <row r="189" hidden="1">
      <c r="A189" s="3" t="str">
        <f>IFERROR(__xludf.DUMMYFUNCTION("""COMPUTED_VALUE"""),"22f1001602@ds.study.iitm.ac.in")</f>
        <v>22f1001602@ds.study.iitm.ac.in</v>
      </c>
      <c r="B189" s="3">
        <f>IFERROR(__xludf.DUMMYFUNCTION("""COMPUTED_VALUE"""),17.0)</f>
        <v>17</v>
      </c>
      <c r="C189" s="5" t="str">
        <f>IFERROR(__xludf.DUMMYFUNCTION("""COMPUTED_VALUE"""),"https://github.com/Sunidhi912/TDSProject1")</f>
        <v>https://github.com/Sunidhi912/TDSProject1</v>
      </c>
      <c r="D189" s="3" t="str">
        <f>IFERROR(VLOOKUP(C189,'Peer-Review'!B:J,9,0),"No R1")</f>
        <v>No R1</v>
      </c>
      <c r="E189" s="3" t="str">
        <f>IFERROR(VLOOKUP(C189,'Peer-Review'!F:J,5,0),"No R2")</f>
        <v>22f1001182@ds.study.iitm.ac.in</v>
      </c>
      <c r="F189" s="3">
        <f>COUNTIF('Peer-Review'!B:B,C189)+COUNTIF('Peer-Review'!F:F,C189)</f>
        <v>1</v>
      </c>
      <c r="G189" s="3">
        <f t="shared" si="1"/>
        <v>1</v>
      </c>
      <c r="H189" s="3" t="str">
        <f>IFERROR(__xludf.DUMMYFUNCTION("IFERROR(TRANSPOSE(FILTER('Peer-Review'!$J$2:$J$568,(TRIM('Peer-Review'!$B$2:$B$568)=C189 )+ (TRIM('Peer-Review'!$F$2:$F$568)=C189))),""No Reviews"")"),"22f1001182@ds.study.iitm.ac.in")</f>
        <v>22f1001182@ds.study.iitm.ac.in</v>
      </c>
      <c r="J189" s="3">
        <f>IF(D189="No R1",0,VLOOKUP(C189,'Peer-Review'!B:D,2,0))</f>
        <v>0</v>
      </c>
      <c r="K189" s="3">
        <f>IF(D189="No R1",0,VLOOKUP(C189,'Peer-Review'!B:D,3,0))</f>
        <v>0</v>
      </c>
      <c r="L189" s="3">
        <f>IF(E189="No R2",0,VLOOKUP(C189,'Peer-Review'!F:H,2,0))</f>
        <v>8</v>
      </c>
      <c r="M189" s="3">
        <f>IF(E189="No R2",0,VLOOKUP(C189,'Peer-Review'!F:H,3,0))</f>
        <v>9</v>
      </c>
    </row>
    <row r="190" hidden="1">
      <c r="A190" s="3" t="str">
        <f>IFERROR(__xludf.DUMMYFUNCTION("""COMPUTED_VALUE"""),"22f1001615@ds.study.iitm.ac.in")</f>
        <v>22f1001615@ds.study.iitm.ac.in</v>
      </c>
      <c r="B190" s="3">
        <f>IFERROR(__xludf.DUMMYFUNCTION("""COMPUTED_VALUE"""),16.0)</f>
        <v>16</v>
      </c>
      <c r="C190" s="5" t="str">
        <f>IFERROR(__xludf.DUMMYFUNCTION("""COMPUTED_VALUE"""),"https://github.com/divyanshdixit09/tds_project1")</f>
        <v>https://github.com/divyanshdixit09/tds_project1</v>
      </c>
      <c r="D190" s="3" t="str">
        <f>IFERROR(VLOOKUP(C190,'Peer-Review'!B:J,9,0),"No R1")</f>
        <v>No R1</v>
      </c>
      <c r="E190" s="3" t="str">
        <f>IFERROR(VLOOKUP(C190,'Peer-Review'!F:J,5,0),"No R2")</f>
        <v>23f1001585@ds.study.iitm.ac.in</v>
      </c>
      <c r="F190" s="3">
        <f>COUNTIF('Peer-Review'!B:B,C190)+COUNTIF('Peer-Review'!F:F,C190)</f>
        <v>2</v>
      </c>
      <c r="G190" s="3">
        <f t="shared" si="1"/>
        <v>1</v>
      </c>
      <c r="H190" s="3" t="str">
        <f>IFERROR(__xludf.DUMMYFUNCTION("IFERROR(TRANSPOSE(FILTER('Peer-Review'!$J$2:$J$568,(TRIM('Peer-Review'!$B$2:$B$568)=C190 )+ (TRIM('Peer-Review'!$F$2:$F$568)=C190))),""No Reviews"")"),"23f1001585@ds.study.iitm.ac.in")</f>
        <v>23f1001585@ds.study.iitm.ac.in</v>
      </c>
      <c r="J190" s="3">
        <f>IF(D190="No R1",0,VLOOKUP(C190,'Peer-Review'!B:D,2,0))</f>
        <v>0</v>
      </c>
      <c r="K190" s="3">
        <f>IF(D190="No R1",0,VLOOKUP(C190,'Peer-Review'!B:D,3,0))</f>
        <v>0</v>
      </c>
      <c r="L190" s="3">
        <f>IF(E190="No R2",0,VLOOKUP(C190,'Peer-Review'!F:H,2,0))</f>
        <v>10</v>
      </c>
      <c r="M190" s="3">
        <f>IF(E190="No R2",0,VLOOKUP(C190,'Peer-Review'!F:H,3,0))</f>
        <v>10</v>
      </c>
    </row>
    <row r="191" hidden="1">
      <c r="A191" s="3" t="str">
        <f>IFERROR(__xludf.DUMMYFUNCTION("""COMPUTED_VALUE"""),"22f1001626@ds.study.iitm.ac.in")</f>
        <v>22f1001626@ds.study.iitm.ac.in</v>
      </c>
      <c r="B191" s="3">
        <f>IFERROR(__xludf.DUMMYFUNCTION("""COMPUTED_VALUE"""),15.0)</f>
        <v>15</v>
      </c>
      <c r="C191" s="5" t="str">
        <f>IFERROR(__xludf.DUMMYFUNCTION("""COMPUTED_VALUE"""),"https://github.com/Ananya200314/IITM_TDS_P1")</f>
        <v>https://github.com/Ananya200314/IITM_TDS_P1</v>
      </c>
      <c r="D191" s="3" t="str">
        <f>IFERROR(VLOOKUP(C191,'Peer-Review'!B:J,9,0),"No R1")</f>
        <v>23f2002166@ds.study.iitm.ac.in</v>
      </c>
      <c r="E191" s="3" t="str">
        <f>IFERROR(VLOOKUP(C191,'Peer-Review'!F:J,5,0),"No R2")</f>
        <v>No R2</v>
      </c>
      <c r="F191" s="3">
        <f>COUNTIF('Peer-Review'!B:B,C191)+COUNTIF('Peer-Review'!F:F,C191)</f>
        <v>2</v>
      </c>
      <c r="G191" s="3">
        <f t="shared" si="1"/>
        <v>1</v>
      </c>
      <c r="H191" s="3" t="str">
        <f>IFERROR(__xludf.DUMMYFUNCTION("IFERROR(TRANSPOSE(FILTER('Peer-Review'!$J$2:$J$568,(TRIM('Peer-Review'!$B$2:$B$568)=C191 )+ (TRIM('Peer-Review'!$F$2:$F$568)=C191))),""No Reviews"")"),"23f2002166@ds.study.iitm.ac.in")</f>
        <v>23f2002166@ds.study.iitm.ac.in</v>
      </c>
      <c r="I191" s="3" t="str">
        <f>IFERROR(__xludf.DUMMYFUNCTION("""COMPUTED_VALUE"""),"22f2000354@ds.study.iitm.ac.in")</f>
        <v>22f2000354@ds.study.iitm.ac.in</v>
      </c>
      <c r="J191" s="3">
        <f>IF(D191="No R1",0,VLOOKUP(C191,'Peer-Review'!B:D,2,0))</f>
        <v>10</v>
      </c>
      <c r="K191" s="3">
        <f>IF(D191="No R1",0,VLOOKUP(C191,'Peer-Review'!B:D,3,0))</f>
        <v>10</v>
      </c>
      <c r="L191" s="3">
        <f>IF(E191="No R2",0,VLOOKUP(C191,'Peer-Review'!F:H,2,0))</f>
        <v>0</v>
      </c>
      <c r="M191" s="3">
        <f>IF(E191="No R2",0,VLOOKUP(C191,'Peer-Review'!F:H,3,0))</f>
        <v>0</v>
      </c>
    </row>
    <row r="192" hidden="1">
      <c r="A192" s="3" t="str">
        <f>IFERROR(__xludf.DUMMYFUNCTION("""COMPUTED_VALUE"""),"22f1001630@ds.study.iitm.ac.in")</f>
        <v>22f1001630@ds.study.iitm.ac.in</v>
      </c>
      <c r="B192" s="3">
        <f>IFERROR(__xludf.DUMMYFUNCTION("""COMPUTED_VALUE"""),9.0)</f>
        <v>9</v>
      </c>
      <c r="C192" s="5" t="str">
        <f>IFERROR(__xludf.DUMMYFUNCTION("""COMPUTED_VALUE"""),"https://github.com/umeshrai01/web_scraping")</f>
        <v>https://github.com/umeshrai01/web_scraping</v>
      </c>
      <c r="D192" s="3" t="str">
        <f>IFERROR(VLOOKUP(C192,'Peer-Review'!B:J,9,0),"No R1")</f>
        <v>22f3002566@ds.study.iitm.ac.in</v>
      </c>
      <c r="E192" s="3" t="str">
        <f>IFERROR(VLOOKUP(C192,'Peer-Review'!F:J,5,0),"No R2")</f>
        <v>No R2</v>
      </c>
      <c r="F192" s="3">
        <f>COUNTIF('Peer-Review'!B:B,C192)+COUNTIF('Peer-Review'!F:F,C192)</f>
        <v>1</v>
      </c>
      <c r="G192" s="3">
        <f t="shared" si="1"/>
        <v>1</v>
      </c>
      <c r="H192" s="3" t="str">
        <f>IFERROR(__xludf.DUMMYFUNCTION("IFERROR(TRANSPOSE(FILTER('Peer-Review'!$J$2:$J$568,(TRIM('Peer-Review'!$B$2:$B$568)=C192 )+ (TRIM('Peer-Review'!$F$2:$F$568)=C192))),""No Reviews"")"),"22f3002566@ds.study.iitm.ac.in")</f>
        <v>22f3002566@ds.study.iitm.ac.in</v>
      </c>
      <c r="J192" s="3">
        <f>IF(D192="No R1",0,VLOOKUP(C192,'Peer-Review'!B:D,2,0))</f>
        <v>8</v>
      </c>
      <c r="K192" s="3">
        <f>IF(D192="No R1",0,VLOOKUP(C192,'Peer-Review'!B:D,3,0))</f>
        <v>10</v>
      </c>
      <c r="L192" s="3">
        <f>IF(E192="No R2",0,VLOOKUP(C192,'Peer-Review'!F:H,2,0))</f>
        <v>0</v>
      </c>
      <c r="M192" s="3">
        <f>IF(E192="No R2",0,VLOOKUP(C192,'Peer-Review'!F:H,3,0))</f>
        <v>0</v>
      </c>
    </row>
    <row r="193" hidden="1">
      <c r="A193" s="3" t="str">
        <f>IFERROR(__xludf.DUMMYFUNCTION("""COMPUTED_VALUE"""),"22f1001637@ds.study.iitm.ac.in")</f>
        <v>22f1001637@ds.study.iitm.ac.in</v>
      </c>
      <c r="B193" s="3">
        <f>IFERROR(__xludf.DUMMYFUNCTION("""COMPUTED_VALUE"""),14.0)</f>
        <v>14</v>
      </c>
      <c r="C193" s="5" t="str">
        <f>IFERROR(__xludf.DUMMYFUNCTION("""COMPUTED_VALUE"""),"https://github.com/IITMSAPNA/Sapna_tds_proj_1")</f>
        <v>https://github.com/IITMSAPNA/Sapna_tds_proj_1</v>
      </c>
      <c r="D193" s="3" t="str">
        <f>IFERROR(VLOOKUP(C193,'Peer-Review'!B:J,9,0),"No R1")</f>
        <v>23ds1000057@ds.study.iitm.ac.in</v>
      </c>
      <c r="E193" s="3" t="str">
        <f>IFERROR(VLOOKUP(C193,'Peer-Review'!F:J,5,0),"No R2")</f>
        <v>No R2</v>
      </c>
      <c r="F193" s="3">
        <f>COUNTIF('Peer-Review'!B:B,C193)+COUNTIF('Peer-Review'!F:F,C193)</f>
        <v>2</v>
      </c>
      <c r="G193" s="3">
        <f t="shared" si="1"/>
        <v>1</v>
      </c>
      <c r="H193" s="3" t="str">
        <f>IFERROR(__xludf.DUMMYFUNCTION("IFERROR(TRANSPOSE(FILTER('Peer-Review'!$J$2:$J$568,(TRIM('Peer-Review'!$B$2:$B$568)=C193 )+ (TRIM('Peer-Review'!$F$2:$F$568)=C193))),""No Reviews"")"),"23ds1000057@ds.study.iitm.ac.in")</f>
        <v>23ds1000057@ds.study.iitm.ac.in</v>
      </c>
      <c r="I193" s="3" t="str">
        <f>IFERROR(__xludf.DUMMYFUNCTION("""COMPUTED_VALUE"""),"22f1001807@ds.study.iitm.ac.in")</f>
        <v>22f1001807@ds.study.iitm.ac.in</v>
      </c>
      <c r="J193" s="3">
        <f>IF(D193="No R1",0,VLOOKUP(C193,'Peer-Review'!B:D,2,0))</f>
        <v>10</v>
      </c>
      <c r="K193" s="3">
        <f>IF(D193="No R1",0,VLOOKUP(C193,'Peer-Review'!B:D,3,0))</f>
        <v>10</v>
      </c>
      <c r="L193" s="3">
        <f>IF(E193="No R2",0,VLOOKUP(C193,'Peer-Review'!F:H,2,0))</f>
        <v>0</v>
      </c>
      <c r="M193" s="3">
        <f>IF(E193="No R2",0,VLOOKUP(C193,'Peer-Review'!F:H,3,0))</f>
        <v>0</v>
      </c>
    </row>
    <row r="194" hidden="1">
      <c r="A194" s="3" t="str">
        <f>IFERROR(__xludf.DUMMYFUNCTION("""COMPUTED_VALUE"""),"22f1001645@ds.study.iitm.ac.in")</f>
        <v>22f1001645@ds.study.iitm.ac.in</v>
      </c>
      <c r="B194" s="3">
        <f>IFERROR(__xludf.DUMMYFUNCTION("""COMPUTED_VALUE"""),17.0)</f>
        <v>17</v>
      </c>
      <c r="C194" s="5" t="str">
        <f>IFERROR(__xludf.DUMMYFUNCTION("""COMPUTED_VALUE"""),"https://github.com/Vish2BDev/tds-project1-Barcelona")</f>
        <v>https://github.com/Vish2BDev/tds-project1-Barcelona</v>
      </c>
      <c r="D194" s="3" t="str">
        <f>IFERROR(VLOOKUP(C194,'Peer-Review'!B:J,9,0),"No R1")</f>
        <v>No R1</v>
      </c>
      <c r="E194" s="3" t="str">
        <f>IFERROR(VLOOKUP(C194,'Peer-Review'!F:J,5,0),"No R2")</f>
        <v>22f1001602@ds.study.iitm.ac.in</v>
      </c>
      <c r="F194" s="3">
        <f>COUNTIF('Peer-Review'!B:B,C194)+COUNTIF('Peer-Review'!F:F,C194)</f>
        <v>1</v>
      </c>
      <c r="G194" s="3">
        <f t="shared" si="1"/>
        <v>1</v>
      </c>
      <c r="H194" s="3" t="str">
        <f>IFERROR(__xludf.DUMMYFUNCTION("IFERROR(TRANSPOSE(FILTER('Peer-Review'!$J$2:$J$568,(TRIM('Peer-Review'!$B$2:$B$568)=C194 )+ (TRIM('Peer-Review'!$F$2:$F$568)=C194))),""No Reviews"")"),"22f1001602@ds.study.iitm.ac.in")</f>
        <v>22f1001602@ds.study.iitm.ac.in</v>
      </c>
      <c r="J194" s="3">
        <f>IF(D194="No R1",0,VLOOKUP(C194,'Peer-Review'!B:D,2,0))</f>
        <v>0</v>
      </c>
      <c r="K194" s="3">
        <f>IF(D194="No R1",0,VLOOKUP(C194,'Peer-Review'!B:D,3,0))</f>
        <v>0</v>
      </c>
      <c r="L194" s="3">
        <f>IF(E194="No R2",0,VLOOKUP(C194,'Peer-Review'!F:H,2,0))</f>
        <v>10</v>
      </c>
      <c r="M194" s="3">
        <f>IF(E194="No R2",0,VLOOKUP(C194,'Peer-Review'!F:H,3,0))</f>
        <v>10</v>
      </c>
    </row>
    <row r="195" hidden="1">
      <c r="A195" s="3" t="str">
        <f>IFERROR(__xludf.DUMMYFUNCTION("""COMPUTED_VALUE"""),"22f1001680@ds.study.iitm.ac.in")</f>
        <v>22f1001680@ds.study.iitm.ac.in</v>
      </c>
      <c r="B195" s="3">
        <f>IFERROR(__xludf.DUMMYFUNCTION("""COMPUTED_VALUE"""),17.0)</f>
        <v>17</v>
      </c>
      <c r="C195" s="5" t="str">
        <f>IFERROR(__xludf.DUMMYFUNCTION("""COMPUTED_VALUE"""),"https://github.com/rahulyadav46691499/TDS_project")</f>
        <v>https://github.com/rahulyadav46691499/TDS_project</v>
      </c>
      <c r="D195" s="3" t="str">
        <f>IFERROR(VLOOKUP(C195,'Peer-Review'!B:J,9,0),"No R1")</f>
        <v>No R1</v>
      </c>
      <c r="E195" s="3" t="str">
        <f>IFERROR(VLOOKUP(C195,'Peer-Review'!F:J,5,0),"No R2")</f>
        <v>22f1000699@ds.study.iitm.ac.in</v>
      </c>
      <c r="F195" s="3">
        <f>COUNTIF('Peer-Review'!B:B,C195)+COUNTIF('Peer-Review'!F:F,C195)</f>
        <v>2</v>
      </c>
      <c r="G195" s="3">
        <f t="shared" si="1"/>
        <v>1</v>
      </c>
      <c r="H195" s="3" t="str">
        <f>IFERROR(__xludf.DUMMYFUNCTION("IFERROR(TRANSPOSE(FILTER('Peer-Review'!$J$2:$J$568,(TRIM('Peer-Review'!$B$2:$B$568)=C195 )+ (TRIM('Peer-Review'!$F$2:$F$568)=C195))),""No Reviews"")"),"22f1000699@ds.study.iitm.ac.in")</f>
        <v>22f1000699@ds.study.iitm.ac.in</v>
      </c>
      <c r="I195" s="3" t="str">
        <f>IFERROR(__xludf.DUMMYFUNCTION("""COMPUTED_VALUE"""),"22f1001645@ds.study.iitm.ac.in")</f>
        <v>22f1001645@ds.study.iitm.ac.in</v>
      </c>
      <c r="J195" s="3">
        <f>IF(D195="No R1",0,VLOOKUP(C195,'Peer-Review'!B:D,2,0))</f>
        <v>0</v>
      </c>
      <c r="K195" s="3">
        <f>IF(D195="No R1",0,VLOOKUP(C195,'Peer-Review'!B:D,3,0))</f>
        <v>0</v>
      </c>
      <c r="L195" s="3">
        <f>IF(E195="No R2",0,VLOOKUP(C195,'Peer-Review'!F:H,2,0))</f>
        <v>10</v>
      </c>
      <c r="M195" s="3">
        <f>IF(E195="No R2",0,VLOOKUP(C195,'Peer-Review'!F:H,3,0))</f>
        <v>10</v>
      </c>
    </row>
    <row r="196" hidden="1">
      <c r="A196" s="3" t="str">
        <f>IFERROR(__xludf.DUMMYFUNCTION("""COMPUTED_VALUE"""),"22f1001711@ds.study.iitm.ac.in")</f>
        <v>22f1001711@ds.study.iitm.ac.in</v>
      </c>
      <c r="B196" s="3">
        <f>IFERROR(__xludf.DUMMYFUNCTION("""COMPUTED_VALUE"""),13.0)</f>
        <v>13</v>
      </c>
      <c r="C196" s="5" t="str">
        <f>IFERROR(__xludf.DUMMYFUNCTION("""COMPUTED_VALUE"""),"https://github.com/rharini1402/mumbai50")</f>
        <v>https://github.com/rharini1402/mumbai50</v>
      </c>
      <c r="D196" s="3" t="str">
        <f>IFERROR(VLOOKUP(C196,'Peer-Review'!B:J,9,0),"No R1")</f>
        <v>22f2000082@ds.study.iitm.ac.in</v>
      </c>
      <c r="E196" s="3" t="str">
        <f>IFERROR(VLOOKUP(C196,'Peer-Review'!F:J,5,0),"No R2")</f>
        <v>No R2</v>
      </c>
      <c r="F196" s="3">
        <f>COUNTIF('Peer-Review'!B:B,C196)+COUNTIF('Peer-Review'!F:F,C196)</f>
        <v>1</v>
      </c>
      <c r="G196" s="3">
        <f t="shared" si="1"/>
        <v>1</v>
      </c>
      <c r="H196" s="3" t="str">
        <f>IFERROR(__xludf.DUMMYFUNCTION("IFERROR(TRANSPOSE(FILTER('Peer-Review'!$J$2:$J$568,(TRIM('Peer-Review'!$B$2:$B$568)=C196 )+ (TRIM('Peer-Review'!$F$2:$F$568)=C196))),""No Reviews"")"),"22f2000082@ds.study.iitm.ac.in")</f>
        <v>22f2000082@ds.study.iitm.ac.in</v>
      </c>
      <c r="J196" s="3">
        <f>IF(D196="No R1",0,VLOOKUP(C196,'Peer-Review'!B:D,2,0))</f>
        <v>10</v>
      </c>
      <c r="K196" s="3">
        <f>IF(D196="No R1",0,VLOOKUP(C196,'Peer-Review'!B:D,3,0))</f>
        <v>10</v>
      </c>
      <c r="L196" s="3">
        <f>IF(E196="No R2",0,VLOOKUP(C196,'Peer-Review'!F:H,2,0))</f>
        <v>0</v>
      </c>
      <c r="M196" s="3">
        <f>IF(E196="No R2",0,VLOOKUP(C196,'Peer-Review'!F:H,3,0))</f>
        <v>0</v>
      </c>
    </row>
    <row r="197" hidden="1">
      <c r="A197" s="3" t="str">
        <f>IFERROR(__xludf.DUMMYFUNCTION("""COMPUTED_VALUE"""),"22f1001738@ds.study.iitm.ac.in")</f>
        <v>22f1001738@ds.study.iitm.ac.in</v>
      </c>
      <c r="B197" s="3">
        <f>IFERROR(__xludf.DUMMYFUNCTION("""COMPUTED_VALUE"""),17.0)</f>
        <v>17</v>
      </c>
      <c r="C197" s="5" t="str">
        <f>IFERROR(__xludf.DUMMYFUNCTION("""COMPUTED_VALUE"""),"https://github.com/Ashiskushwaha/project-1")</f>
        <v>https://github.com/Ashiskushwaha/project-1</v>
      </c>
      <c r="D197" s="3" t="str">
        <f>IFERROR(VLOOKUP(C197,'Peer-Review'!B:J,9,0),"No R1")</f>
        <v>No R1</v>
      </c>
      <c r="E197" s="3" t="str">
        <f>IFERROR(VLOOKUP(C197,'Peer-Review'!F:J,5,0),"No R2")</f>
        <v>22f1001680@ds.study.iitm.ac.in</v>
      </c>
      <c r="F197" s="3">
        <f>COUNTIF('Peer-Review'!B:B,C197)+COUNTIF('Peer-Review'!F:F,C197)</f>
        <v>2</v>
      </c>
      <c r="G197" s="3">
        <f t="shared" si="1"/>
        <v>1</v>
      </c>
      <c r="H197" s="3" t="str">
        <f>IFERROR(__xludf.DUMMYFUNCTION("IFERROR(TRANSPOSE(FILTER('Peer-Review'!$J$2:$J$568,(TRIM('Peer-Review'!$B$2:$B$568)=C197 )+ (TRIM('Peer-Review'!$F$2:$F$568)=C197))),""No Reviews"")"),"22f1001680@ds.study.iitm.ac.in")</f>
        <v>22f1001680@ds.study.iitm.ac.in</v>
      </c>
      <c r="I197" s="3" t="str">
        <f>IFERROR(__xludf.DUMMYFUNCTION("""COMPUTED_VALUE"""),"22f1000998@ds.study.iitm.ac.in")</f>
        <v>22f1000998@ds.study.iitm.ac.in</v>
      </c>
      <c r="J197" s="3">
        <f>IF(D197="No R1",0,VLOOKUP(C197,'Peer-Review'!B:D,2,0))</f>
        <v>0</v>
      </c>
      <c r="K197" s="3">
        <f>IF(D197="No R1",0,VLOOKUP(C197,'Peer-Review'!B:D,3,0))</f>
        <v>0</v>
      </c>
      <c r="L197" s="3">
        <f>IF(E197="No R2",0,VLOOKUP(C197,'Peer-Review'!F:H,2,0))</f>
        <v>10</v>
      </c>
      <c r="M197" s="3">
        <f>IF(E197="No R2",0,VLOOKUP(C197,'Peer-Review'!F:H,3,0))</f>
        <v>10</v>
      </c>
    </row>
    <row r="198" hidden="1">
      <c r="A198" s="3" t="str">
        <f>IFERROR(__xludf.DUMMYFUNCTION("""COMPUTED_VALUE"""),"22f1001766@ds.study.iitm.ac.in")</f>
        <v>22f1001766@ds.study.iitm.ac.in</v>
      </c>
      <c r="B198" s="3">
        <f>IFERROR(__xludf.DUMMYFUNCTION("""COMPUTED_VALUE"""),17.0)</f>
        <v>17</v>
      </c>
      <c r="C198" s="5" t="str">
        <f>IFERROR(__xludf.DUMMYFUNCTION("""COMPUTED_VALUE"""),"https://github.com/psmidhunreddy/tdsp1")</f>
        <v>https://github.com/psmidhunreddy/tdsp1</v>
      </c>
      <c r="D198" s="3" t="str">
        <f>IFERROR(VLOOKUP(C198,'Peer-Review'!B:J,9,0),"No R1")</f>
        <v>No R1</v>
      </c>
      <c r="E198" s="3" t="str">
        <f>IFERROR(VLOOKUP(C198,'Peer-Review'!F:J,5,0),"No R2")</f>
        <v>22f1001445@ds.study.iitm.ac.in</v>
      </c>
      <c r="F198" s="3">
        <f>COUNTIF('Peer-Review'!B:B,C198)+COUNTIF('Peer-Review'!F:F,C198)</f>
        <v>2</v>
      </c>
      <c r="G198" s="3">
        <f t="shared" si="1"/>
        <v>1</v>
      </c>
      <c r="H198" s="3" t="str">
        <f>IFERROR(__xludf.DUMMYFUNCTION("IFERROR(TRANSPOSE(FILTER('Peer-Review'!$J$2:$J$568,(TRIM('Peer-Review'!$B$2:$B$568)=C198 )+ (TRIM('Peer-Review'!$F$2:$F$568)=C198))),""No Reviews"")"),"22f1001445@ds.study.iitm.ac.in")</f>
        <v>22f1001445@ds.study.iitm.ac.in</v>
      </c>
      <c r="I198" s="3" t="str">
        <f>IFERROR(__xludf.DUMMYFUNCTION("""COMPUTED_VALUE"""),"22f1001738@ds.study.iitm.ac.in")</f>
        <v>22f1001738@ds.study.iitm.ac.in</v>
      </c>
      <c r="J198" s="3">
        <f>IF(D198="No R1",0,VLOOKUP(C198,'Peer-Review'!B:D,2,0))</f>
        <v>0</v>
      </c>
      <c r="K198" s="3">
        <f>IF(D198="No R1",0,VLOOKUP(C198,'Peer-Review'!B:D,3,0))</f>
        <v>0</v>
      </c>
      <c r="L198" s="3">
        <f>IF(E198="No R2",0,VLOOKUP(C198,'Peer-Review'!F:H,2,0))</f>
        <v>8</v>
      </c>
      <c r="M198" s="3">
        <f>IF(E198="No R2",0,VLOOKUP(C198,'Peer-Review'!F:H,3,0))</f>
        <v>9</v>
      </c>
    </row>
    <row r="199" hidden="1">
      <c r="A199" s="3" t="str">
        <f>IFERROR(__xludf.DUMMYFUNCTION("""COMPUTED_VALUE"""),"22f1001786@ds.study.iitm.ac.in")</f>
        <v>22f1001786@ds.study.iitm.ac.in</v>
      </c>
      <c r="B199" s="3">
        <f>IFERROR(__xludf.DUMMYFUNCTION("""COMPUTED_VALUE"""),13.0)</f>
        <v>13</v>
      </c>
      <c r="C199" s="5" t="str">
        <f>IFERROR(__xludf.DUMMYFUNCTION("""COMPUTED_VALUE"""),"https://github.com/22f1001786-iitm/-Shanghai-200")</f>
        <v>https://github.com/22f1001786-iitm/-Shanghai-200</v>
      </c>
      <c r="D199" s="3" t="str">
        <f>IFERROR(VLOOKUP(C199,'Peer-Review'!B:J,9,0),"No R1")</f>
        <v>22f2000169@ds.study.iitm.ac.in</v>
      </c>
      <c r="E199" s="3" t="str">
        <f>IFERROR(VLOOKUP(C199,'Peer-Review'!F:J,5,0),"No R2")</f>
        <v>No R2</v>
      </c>
      <c r="F199" s="3">
        <f>COUNTIF('Peer-Review'!B:B,C199)+COUNTIF('Peer-Review'!F:F,C199)</f>
        <v>2</v>
      </c>
      <c r="G199" s="3">
        <f t="shared" si="1"/>
        <v>1</v>
      </c>
      <c r="H199" s="3" t="str">
        <f>IFERROR(__xludf.DUMMYFUNCTION("IFERROR(TRANSPOSE(FILTER('Peer-Review'!$J$2:$J$568,(TRIM('Peer-Review'!$B$2:$B$568)=C199 )+ (TRIM('Peer-Review'!$F$2:$F$568)=C199))),""No Reviews"")"),"22f2000169@ds.study.iitm.ac.in")</f>
        <v>22f2000169@ds.study.iitm.ac.in</v>
      </c>
      <c r="I199" s="3" t="str">
        <f>IFERROR(__xludf.DUMMYFUNCTION("""COMPUTED_VALUE"""),"22f1001832@ds.study.iitm.ac.in")</f>
        <v>22f1001832@ds.study.iitm.ac.in</v>
      </c>
      <c r="J199" s="3">
        <f>IF(D199="No R1",0,VLOOKUP(C199,'Peer-Review'!B:D,2,0))</f>
        <v>8</v>
      </c>
      <c r="K199" s="3">
        <f>IF(D199="No R1",0,VLOOKUP(C199,'Peer-Review'!B:D,3,0))</f>
        <v>8</v>
      </c>
      <c r="L199" s="3">
        <f>IF(E199="No R2",0,VLOOKUP(C199,'Peer-Review'!F:H,2,0))</f>
        <v>0</v>
      </c>
      <c r="M199" s="3">
        <f>IF(E199="No R2",0,VLOOKUP(C199,'Peer-Review'!F:H,3,0))</f>
        <v>0</v>
      </c>
    </row>
    <row r="200" hidden="1">
      <c r="A200" s="3" t="str">
        <f>IFERROR(__xludf.DUMMYFUNCTION("""COMPUTED_VALUE"""),"22f1001807@ds.study.iitm.ac.in")</f>
        <v>22f1001807@ds.study.iitm.ac.in</v>
      </c>
      <c r="B200" s="3">
        <f>IFERROR(__xludf.DUMMYFUNCTION("""COMPUTED_VALUE"""),14.0)</f>
        <v>14</v>
      </c>
      <c r="C200" s="5" t="str">
        <f>IFERROR(__xludf.DUMMYFUNCTION("""COMPUTED_VALUE"""),"https://github.com/Wamikmk/My-tds-Project-1")</f>
        <v>https://github.com/Wamikmk/My-tds-Project-1</v>
      </c>
      <c r="D200" s="3" t="str">
        <f>IFERROR(VLOOKUP(C200,'Peer-Review'!B:J,9,0),"No R1")</f>
        <v>23ds2000023@ds.study.iitm.ac.in</v>
      </c>
      <c r="E200" s="3" t="str">
        <f>IFERROR(VLOOKUP(C200,'Peer-Review'!F:J,5,0),"No R2")</f>
        <v>No R2</v>
      </c>
      <c r="F200" s="3">
        <f>COUNTIF('Peer-Review'!B:B,C200)+COUNTIF('Peer-Review'!F:F,C200)</f>
        <v>2</v>
      </c>
      <c r="G200" s="3">
        <f t="shared" si="1"/>
        <v>1</v>
      </c>
      <c r="H200" s="3" t="str">
        <f>IFERROR(__xludf.DUMMYFUNCTION("IFERROR(TRANSPOSE(FILTER('Peer-Review'!$J$2:$J$568,(TRIM('Peer-Review'!$B$2:$B$568)=C200 )+ (TRIM('Peer-Review'!$F$2:$F$568)=C200))),""No Reviews"")"),"23ds2000023@ds.study.iitm.ac.in")</f>
        <v>23ds2000023@ds.study.iitm.ac.in</v>
      </c>
      <c r="I200" s="3" t="str">
        <f>IFERROR(__xludf.DUMMYFUNCTION("""COMPUTED_VALUE"""),"22f2000078@ds.study.iitm.ac.in")</f>
        <v>22f2000078@ds.study.iitm.ac.in</v>
      </c>
      <c r="J200" s="3">
        <f>IF(D200="No R1",0,VLOOKUP(C200,'Peer-Review'!B:D,2,0))</f>
        <v>8</v>
      </c>
      <c r="K200" s="3">
        <f>IF(D200="No R1",0,VLOOKUP(C200,'Peer-Review'!B:D,3,0))</f>
        <v>7</v>
      </c>
      <c r="L200" s="3">
        <f>IF(E200="No R2",0,VLOOKUP(C200,'Peer-Review'!F:H,2,0))</f>
        <v>0</v>
      </c>
      <c r="M200" s="3">
        <f>IF(E200="No R2",0,VLOOKUP(C200,'Peer-Review'!F:H,3,0))</f>
        <v>0</v>
      </c>
    </row>
    <row r="201" hidden="1">
      <c r="A201" s="3" t="str">
        <f>IFERROR(__xludf.DUMMYFUNCTION("""COMPUTED_VALUE"""),"22f1001832@ds.study.iitm.ac.in")</f>
        <v>22f1001832@ds.study.iitm.ac.in</v>
      </c>
      <c r="B201" s="3">
        <f>IFERROR(__xludf.DUMMYFUNCTION("""COMPUTED_VALUE"""),13.0)</f>
        <v>13</v>
      </c>
      <c r="C201" s="5" t="str">
        <f>IFERROR(__xludf.DUMMYFUNCTION("""COMPUTED_VALUE"""),"https://github.com/AswinBala007/IITM_TDS_PROJECT1")</f>
        <v>https://github.com/AswinBala007/IITM_TDS_PROJECT1</v>
      </c>
      <c r="D201" s="3" t="str">
        <f>IFERROR(VLOOKUP(C201,'Peer-Review'!B:J,9,0),"No R1")</f>
        <v>22f1001834@ds.study.iitm.ac.in</v>
      </c>
      <c r="E201" s="3" t="str">
        <f>IFERROR(VLOOKUP(C201,'Peer-Review'!F:J,5,0),"No R2")</f>
        <v>No R2</v>
      </c>
      <c r="F201" s="3">
        <f>COUNTIF('Peer-Review'!B:B,C201)+COUNTIF('Peer-Review'!F:F,C201)</f>
        <v>1</v>
      </c>
      <c r="G201" s="3">
        <f t="shared" si="1"/>
        <v>1</v>
      </c>
      <c r="H201" s="3" t="str">
        <f>IFERROR(__xludf.DUMMYFUNCTION("IFERROR(TRANSPOSE(FILTER('Peer-Review'!$J$2:$J$568,(TRIM('Peer-Review'!$B$2:$B$568)=C201 )+ (TRIM('Peer-Review'!$F$2:$F$568)=C201))),""No Reviews"")"),"22f1001834@ds.study.iitm.ac.in")</f>
        <v>22f1001834@ds.study.iitm.ac.in</v>
      </c>
      <c r="J201" s="3">
        <f>IF(D201="No R1",0,VLOOKUP(C201,'Peer-Review'!B:D,2,0))</f>
        <v>7</v>
      </c>
      <c r="K201" s="3">
        <f>IF(D201="No R1",0,VLOOKUP(C201,'Peer-Review'!B:D,3,0))</f>
        <v>8</v>
      </c>
      <c r="L201" s="3">
        <f>IF(E201="No R2",0,VLOOKUP(C201,'Peer-Review'!F:H,2,0))</f>
        <v>0</v>
      </c>
      <c r="M201" s="3">
        <f>IF(E201="No R2",0,VLOOKUP(C201,'Peer-Review'!F:H,3,0))</f>
        <v>0</v>
      </c>
    </row>
    <row r="202" hidden="1">
      <c r="A202" s="3" t="str">
        <f>IFERROR(__xludf.DUMMYFUNCTION("""COMPUTED_VALUE"""),"22f1001834@ds.study.iitm.ac.in")</f>
        <v>22f1001834@ds.study.iitm.ac.in</v>
      </c>
      <c r="B202" s="3">
        <f>IFERROR(__xludf.DUMMYFUNCTION("""COMPUTED_VALUE"""),13.0)</f>
        <v>13</v>
      </c>
      <c r="C202" s="5" t="str">
        <f>IFERROR(__xludf.DUMMYFUNCTION("""COMPUTED_VALUE"""),"https://github.com/Danniiiaaaa/TDS-proj-1")</f>
        <v>https://github.com/Danniiiaaaa/TDS-proj-1</v>
      </c>
      <c r="D202" s="3" t="str">
        <f>IFERROR(VLOOKUP(C202,'Peer-Review'!B:J,9,0),"No R1")</f>
        <v>22f1001853@ds.study.iitm.ac.in</v>
      </c>
      <c r="E202" s="3" t="str">
        <f>IFERROR(VLOOKUP(C202,'Peer-Review'!F:J,5,0),"No R2")</f>
        <v>No R2</v>
      </c>
      <c r="F202" s="3">
        <f>COUNTIF('Peer-Review'!B:B,C202)+COUNTIF('Peer-Review'!F:F,C202)</f>
        <v>2</v>
      </c>
      <c r="G202" s="3">
        <f t="shared" si="1"/>
        <v>1</v>
      </c>
      <c r="H202" s="3" t="str">
        <f>IFERROR(__xludf.DUMMYFUNCTION("IFERROR(TRANSPOSE(FILTER('Peer-Review'!$J$2:$J$568,(TRIM('Peer-Review'!$B$2:$B$568)=C202 )+ (TRIM('Peer-Review'!$F$2:$F$568)=C202))),""No Reviews"")"),"22f1001853@ds.study.iitm.ac.in")</f>
        <v>22f1001853@ds.study.iitm.ac.in</v>
      </c>
      <c r="I202" s="3" t="str">
        <f>IFERROR(__xludf.DUMMYFUNCTION("""COMPUTED_VALUE"""),"22f2000445@ds.study.iitm.ac.in")</f>
        <v>22f2000445@ds.study.iitm.ac.in</v>
      </c>
      <c r="J202" s="3">
        <f>IF(D202="No R1",0,VLOOKUP(C202,'Peer-Review'!B:D,2,0))</f>
        <v>10</v>
      </c>
      <c r="K202" s="3">
        <f>IF(D202="No R1",0,VLOOKUP(C202,'Peer-Review'!B:D,3,0))</f>
        <v>10</v>
      </c>
      <c r="L202" s="3">
        <f>IF(E202="No R2",0,VLOOKUP(C202,'Peer-Review'!F:H,2,0))</f>
        <v>0</v>
      </c>
      <c r="M202" s="3">
        <f>IF(E202="No R2",0,VLOOKUP(C202,'Peer-Review'!F:H,3,0))</f>
        <v>0</v>
      </c>
    </row>
    <row r="203" hidden="1">
      <c r="A203" s="3" t="str">
        <f>IFERROR(__xludf.DUMMYFUNCTION("""COMPUTED_VALUE"""),"22f1001853@ds.study.iitm.ac.in")</f>
        <v>22f1001853@ds.study.iitm.ac.in</v>
      </c>
      <c r="B203" s="3">
        <f>IFERROR(__xludf.DUMMYFUNCTION("""COMPUTED_VALUE"""),13.0)</f>
        <v>13</v>
      </c>
      <c r="C203" s="5" t="str">
        <f>IFERROR(__xludf.DUMMYFUNCTION("""COMPUTED_VALUE"""),"https://github.com/akshaykashyap003/tds_project1")</f>
        <v>https://github.com/akshaykashyap003/tds_project1</v>
      </c>
      <c r="D203" s="3" t="str">
        <f>IFERROR(VLOOKUP(C203,'Peer-Review'!B:J,9,0),"No R1")</f>
        <v>22f2000455@ds.study.iitm.ac.in</v>
      </c>
      <c r="E203" s="3" t="str">
        <f>IFERROR(VLOOKUP(C203,'Peer-Review'!F:J,5,0),"No R2")</f>
        <v>No R2</v>
      </c>
      <c r="F203" s="3">
        <f>COUNTIF('Peer-Review'!B:B,C203)+COUNTIF('Peer-Review'!F:F,C203)</f>
        <v>2</v>
      </c>
      <c r="G203" s="3">
        <f t="shared" si="1"/>
        <v>1</v>
      </c>
      <c r="H203" s="3" t="str">
        <f>IFERROR(__xludf.DUMMYFUNCTION("IFERROR(TRANSPOSE(FILTER('Peer-Review'!$J$2:$J$568,(TRIM('Peer-Review'!$B$2:$B$568)=C203 )+ (TRIM('Peer-Review'!$F$2:$F$568)=C203))),""No Reviews"")"),"22f2000455@ds.study.iitm.ac.in")</f>
        <v>22f2000455@ds.study.iitm.ac.in</v>
      </c>
      <c r="I203" s="3" t="str">
        <f>IFERROR(__xludf.DUMMYFUNCTION("""COMPUTED_VALUE"""),"22f2000703@ds.study.iitm.ac.in")</f>
        <v>22f2000703@ds.study.iitm.ac.in</v>
      </c>
      <c r="J203" s="3">
        <f>IF(D203="No R1",0,VLOOKUP(C203,'Peer-Review'!B:D,2,0))</f>
        <v>6</v>
      </c>
      <c r="K203" s="3">
        <f>IF(D203="No R1",0,VLOOKUP(C203,'Peer-Review'!B:D,3,0))</f>
        <v>10</v>
      </c>
      <c r="L203" s="3">
        <f>IF(E203="No R2",0,VLOOKUP(C203,'Peer-Review'!F:H,2,0))</f>
        <v>0</v>
      </c>
      <c r="M203" s="3">
        <f>IF(E203="No R2",0,VLOOKUP(C203,'Peer-Review'!F:H,3,0))</f>
        <v>0</v>
      </c>
    </row>
    <row r="204" hidden="1">
      <c r="A204" s="3" t="str">
        <f>IFERROR(__xludf.DUMMYFUNCTION("""COMPUTED_VALUE"""),"22f1001972@ds.study.iitm.ac.in")</f>
        <v>22f1001972@ds.study.iitm.ac.in</v>
      </c>
      <c r="B204" s="3">
        <f>IFERROR(__xludf.DUMMYFUNCTION("""COMPUTED_VALUE"""),12.0)</f>
        <v>12</v>
      </c>
      <c r="C204" s="5" t="str">
        <f>IFERROR(__xludf.DUMMYFUNCTION("""COMPUTED_VALUE"""),"https://github.com/SAM8402/tds-project1")</f>
        <v>https://github.com/SAM8402/tds-project1</v>
      </c>
      <c r="D204" s="3" t="str">
        <f>IFERROR(VLOOKUP(C204,'Peer-Review'!B:J,9,0),"No R1")</f>
        <v>21f2000168@ds.study.iitm.ac.in</v>
      </c>
      <c r="E204" s="3" t="str">
        <f>IFERROR(VLOOKUP(C204,'Peer-Review'!F:J,5,0),"No R2")</f>
        <v>No R2</v>
      </c>
      <c r="F204" s="3">
        <f>COUNTIF('Peer-Review'!B:B,C204)+COUNTIF('Peer-Review'!F:F,C204)</f>
        <v>1</v>
      </c>
      <c r="G204" s="3">
        <f t="shared" si="1"/>
        <v>1</v>
      </c>
      <c r="H204" s="3" t="str">
        <f>IFERROR(__xludf.DUMMYFUNCTION("IFERROR(TRANSPOSE(FILTER('Peer-Review'!$J$2:$J$568,(TRIM('Peer-Review'!$B$2:$B$568)=C204 )+ (TRIM('Peer-Review'!$F$2:$F$568)=C204))),""No Reviews"")"),"21f2000168@ds.study.iitm.ac.in")</f>
        <v>21f2000168@ds.study.iitm.ac.in</v>
      </c>
      <c r="J204" s="3">
        <f>IF(D204="No R1",0,VLOOKUP(C204,'Peer-Review'!B:D,2,0))</f>
        <v>10</v>
      </c>
      <c r="K204" s="3">
        <f>IF(D204="No R1",0,VLOOKUP(C204,'Peer-Review'!B:D,3,0))</f>
        <v>10</v>
      </c>
      <c r="L204" s="3">
        <f>IF(E204="No R2",0,VLOOKUP(C204,'Peer-Review'!F:H,2,0))</f>
        <v>0</v>
      </c>
      <c r="M204" s="3">
        <f>IF(E204="No R2",0,VLOOKUP(C204,'Peer-Review'!F:H,3,0))</f>
        <v>0</v>
      </c>
    </row>
    <row r="205" hidden="1">
      <c r="A205" s="3" t="str">
        <f>IFERROR(__xludf.DUMMYFUNCTION("""COMPUTED_VALUE"""),"22f1001981@ds.study.iitm.ac.in")</f>
        <v>22f1001981@ds.study.iitm.ac.in</v>
      </c>
      <c r="B205" s="3">
        <f>IFERROR(__xludf.DUMMYFUNCTION("""COMPUTED_VALUE"""),2.0)</f>
        <v>2</v>
      </c>
      <c r="C205" s="5" t="str">
        <f>IFERROR(__xludf.DUMMYFUNCTION("""COMPUTED_VALUE"""),"https://github.com/Reena-Ydv/TDS")</f>
        <v>https://github.com/Reena-Ydv/TDS</v>
      </c>
      <c r="D205" s="3" t="str">
        <f>IFERROR(VLOOKUP(C205,'Peer-Review'!B:J,9,0),"No R1")</f>
        <v>22ds1000131@ds.study.iitm.ac.in</v>
      </c>
      <c r="E205" s="3" t="str">
        <f>IFERROR(VLOOKUP(C205,'Peer-Review'!F:J,5,0),"No R2")</f>
        <v>No R2</v>
      </c>
      <c r="F205" s="3">
        <f>COUNTIF('Peer-Review'!B:B,C205)+COUNTIF('Peer-Review'!F:F,C205)</f>
        <v>1</v>
      </c>
      <c r="G205" s="3">
        <f t="shared" si="1"/>
        <v>1</v>
      </c>
      <c r="H205" s="3" t="str">
        <f>IFERROR(__xludf.DUMMYFUNCTION("IFERROR(TRANSPOSE(FILTER('Peer-Review'!$J$2:$J$568,(TRIM('Peer-Review'!$B$2:$B$568)=C205 )+ (TRIM('Peer-Review'!$F$2:$F$568)=C205))),""No Reviews"")"),"22ds1000131@ds.study.iitm.ac.in")</f>
        <v>22ds1000131@ds.study.iitm.ac.in</v>
      </c>
      <c r="J205" s="3">
        <f>IF(D205="No R1",0,VLOOKUP(C205,'Peer-Review'!B:D,2,0))</f>
        <v>10</v>
      </c>
      <c r="K205" s="3">
        <f>IF(D205="No R1",0,VLOOKUP(C205,'Peer-Review'!B:D,3,0))</f>
        <v>10</v>
      </c>
      <c r="L205" s="3">
        <f>IF(E205="No R2",0,VLOOKUP(C205,'Peer-Review'!F:H,2,0))</f>
        <v>0</v>
      </c>
      <c r="M205" s="3">
        <f>IF(E205="No R2",0,VLOOKUP(C205,'Peer-Review'!F:H,3,0))</f>
        <v>0</v>
      </c>
    </row>
    <row r="206" hidden="1">
      <c r="A206" s="3" t="str">
        <f>IFERROR(__xludf.DUMMYFUNCTION("""COMPUTED_VALUE"""),"22f2000036@ds.study.iitm.ac.in")</f>
        <v>22f2000036@ds.study.iitm.ac.in</v>
      </c>
      <c r="B206" s="3">
        <f>IFERROR(__xludf.DUMMYFUNCTION("""COMPUTED_VALUE"""),1.0)</f>
        <v>1</v>
      </c>
      <c r="C206" s="5" t="str">
        <f>IFERROR(__xludf.DUMMYFUNCTION("""COMPUTED_VALUE"""),"https://github.com/mohitbakshi04/tds-project-1")</f>
        <v>https://github.com/mohitbakshi04/tds-project-1</v>
      </c>
      <c r="D206" s="3" t="str">
        <f>IFERROR(VLOOKUP(C206,'Peer-Review'!B:J,9,0),"No R1")</f>
        <v>21f3002711@ds.study.iitm.ac.in</v>
      </c>
      <c r="E206" s="3" t="str">
        <f>IFERROR(VLOOKUP(C206,'Peer-Review'!F:J,5,0),"No R2")</f>
        <v>No R2</v>
      </c>
      <c r="F206" s="3">
        <f>COUNTIF('Peer-Review'!B:B,C206)+COUNTIF('Peer-Review'!F:F,C206)</f>
        <v>2</v>
      </c>
      <c r="G206" s="3">
        <f t="shared" si="1"/>
        <v>1</v>
      </c>
      <c r="H206" s="3" t="str">
        <f>IFERROR(__xludf.DUMMYFUNCTION("IFERROR(TRANSPOSE(FILTER('Peer-Review'!$J$2:$J$568,(TRIM('Peer-Review'!$B$2:$B$568)=C206 )+ (TRIM('Peer-Review'!$F$2:$F$568)=C206))),""No Reviews"")"),"21f3002711@ds.study.iitm.ac.in")</f>
        <v>21f3002711@ds.study.iitm.ac.in</v>
      </c>
      <c r="I206" s="3" t="str">
        <f>IFERROR(__xludf.DUMMYFUNCTION("""COMPUTED_VALUE"""),"22f3001485@ds.study.iitm.ac.in")</f>
        <v>22f3001485@ds.study.iitm.ac.in</v>
      </c>
      <c r="J206" s="3">
        <f>IF(D206="No R1",0,VLOOKUP(C206,'Peer-Review'!B:D,2,0))</f>
        <v>10</v>
      </c>
      <c r="K206" s="3">
        <f>IF(D206="No R1",0,VLOOKUP(C206,'Peer-Review'!B:D,3,0))</f>
        <v>9</v>
      </c>
      <c r="L206" s="3">
        <f>IF(E206="No R2",0,VLOOKUP(C206,'Peer-Review'!F:H,2,0))</f>
        <v>0</v>
      </c>
      <c r="M206" s="3">
        <f>IF(E206="No R2",0,VLOOKUP(C206,'Peer-Review'!F:H,3,0))</f>
        <v>0</v>
      </c>
    </row>
    <row r="207" hidden="1">
      <c r="A207" s="3" t="str">
        <f>IFERROR(__xludf.DUMMYFUNCTION("""COMPUTED_VALUE"""),"22f2000078@ds.study.iitm.ac.in")</f>
        <v>22f2000078@ds.study.iitm.ac.in</v>
      </c>
      <c r="B207" s="3">
        <f>IFERROR(__xludf.DUMMYFUNCTION("""COMPUTED_VALUE"""),14.0)</f>
        <v>14</v>
      </c>
      <c r="C207" s="5" t="str">
        <f>IFERROR(__xludf.DUMMYFUNCTION("""COMPUTED_VALUE"""),"https://github.com/sri-4122/TDS-PROJECT1-FINAL")</f>
        <v>https://github.com/sri-4122/TDS-PROJECT1-FINAL</v>
      </c>
      <c r="D207" s="3" t="str">
        <f>IFERROR(VLOOKUP(C207,'Peer-Review'!B:J,9,0),"No R1")</f>
        <v>22f2000774@ds.study.iitm.ac.in</v>
      </c>
      <c r="E207" s="3" t="str">
        <f>IFERROR(VLOOKUP(C207,'Peer-Review'!F:J,5,0),"No R2")</f>
        <v>No R2</v>
      </c>
      <c r="F207" s="3">
        <f>COUNTIF('Peer-Review'!B:B,C207)+COUNTIF('Peer-Review'!F:F,C207)</f>
        <v>2</v>
      </c>
      <c r="G207" s="3">
        <f t="shared" si="1"/>
        <v>1</v>
      </c>
      <c r="H207" s="3" t="str">
        <f>IFERROR(__xludf.DUMMYFUNCTION("IFERROR(TRANSPOSE(FILTER('Peer-Review'!$J$2:$J$568,(TRIM('Peer-Review'!$B$2:$B$568)=C207 )+ (TRIM('Peer-Review'!$F$2:$F$568)=C207))),""No Reviews"")"),"22f2000774@ds.study.iitm.ac.in")</f>
        <v>22f2000774@ds.study.iitm.ac.in</v>
      </c>
      <c r="I207" s="3" t="str">
        <f>IFERROR(__xludf.DUMMYFUNCTION("""COMPUTED_VALUE"""),"23ds2000155@ds.study.iitm.ac.in")</f>
        <v>23ds2000155@ds.study.iitm.ac.in</v>
      </c>
      <c r="J207" s="3">
        <f>IF(D207="No R1",0,VLOOKUP(C207,'Peer-Review'!B:D,2,0))</f>
        <v>10</v>
      </c>
      <c r="K207" s="3">
        <f>IF(D207="No R1",0,VLOOKUP(C207,'Peer-Review'!B:D,3,0))</f>
        <v>8</v>
      </c>
      <c r="L207" s="3">
        <f>IF(E207="No R2",0,VLOOKUP(C207,'Peer-Review'!F:H,2,0))</f>
        <v>0</v>
      </c>
      <c r="M207" s="3">
        <f>IF(E207="No R2",0,VLOOKUP(C207,'Peer-Review'!F:H,3,0))</f>
        <v>0</v>
      </c>
    </row>
    <row r="208" hidden="1">
      <c r="A208" s="3" t="str">
        <f>IFERROR(__xludf.DUMMYFUNCTION("""COMPUTED_VALUE"""),"22f2000082@ds.study.iitm.ac.in")</f>
        <v>22f2000082@ds.study.iitm.ac.in</v>
      </c>
      <c r="B208" s="3">
        <f>IFERROR(__xludf.DUMMYFUNCTION("""COMPUTED_VALUE"""),17.0)</f>
        <v>17</v>
      </c>
      <c r="C208" s="5" t="str">
        <f>IFERROR(__xludf.DUMMYFUNCTION("""COMPUTED_VALUE"""),"https://github.com/sashank-e/TDS_P1")</f>
        <v>https://github.com/sashank-e/TDS_P1</v>
      </c>
      <c r="D208" s="3" t="str">
        <f>IFERROR(VLOOKUP(C208,'Peer-Review'!B:J,9,0),"No R1")</f>
        <v>No R1</v>
      </c>
      <c r="E208" s="3" t="str">
        <f>IFERROR(VLOOKUP(C208,'Peer-Review'!F:J,5,0),"No R2")</f>
        <v>22f1001766@ds.study.iitm.ac.in</v>
      </c>
      <c r="F208" s="3">
        <f>COUNTIF('Peer-Review'!B:B,C208)+COUNTIF('Peer-Review'!F:F,C208)</f>
        <v>2</v>
      </c>
      <c r="G208" s="3">
        <f t="shared" si="1"/>
        <v>1</v>
      </c>
      <c r="H208" s="3" t="str">
        <f>IFERROR(__xludf.DUMMYFUNCTION("IFERROR(TRANSPOSE(FILTER('Peer-Review'!$J$2:$J$568,(TRIM('Peer-Review'!$B$2:$B$568)=C208 )+ (TRIM('Peer-Review'!$F$2:$F$568)=C208))),""No Reviews"")"),"22f1001766@ds.study.iitm.ac.in")</f>
        <v>22f1001766@ds.study.iitm.ac.in</v>
      </c>
      <c r="I208" s="3" t="str">
        <f>IFERROR(__xludf.DUMMYFUNCTION("""COMPUTED_VALUE"""),"22f1001711@ds.study.iitm.ac.in")</f>
        <v>22f1001711@ds.study.iitm.ac.in</v>
      </c>
      <c r="J208" s="3">
        <f>IF(D208="No R1",0,VLOOKUP(C208,'Peer-Review'!B:D,2,0))</f>
        <v>0</v>
      </c>
      <c r="K208" s="3">
        <f>IF(D208="No R1",0,VLOOKUP(C208,'Peer-Review'!B:D,3,0))</f>
        <v>0</v>
      </c>
      <c r="L208" s="3">
        <f>IF(E208="No R2",0,VLOOKUP(C208,'Peer-Review'!F:H,2,0))</f>
        <v>6</v>
      </c>
      <c r="M208" s="3">
        <f>IF(E208="No R2",0,VLOOKUP(C208,'Peer-Review'!F:H,3,0))</f>
        <v>5</v>
      </c>
    </row>
    <row r="209" hidden="1">
      <c r="A209" s="3" t="str">
        <f>IFERROR(__xludf.DUMMYFUNCTION("""COMPUTED_VALUE"""),"22f2000169@ds.study.iitm.ac.in")</f>
        <v>22f2000169@ds.study.iitm.ac.in</v>
      </c>
      <c r="B209" s="3">
        <f>IFERROR(__xludf.DUMMYFUNCTION("""COMPUTED_VALUE"""),17.0)</f>
        <v>17</v>
      </c>
      <c r="C209" s="5" t="str">
        <f>IFERROR(__xludf.DUMMYFUNCTION("""COMPUTED_VALUE"""),"https://github.com/ArnoldMathew1998/TDS-project")</f>
        <v>https://github.com/ArnoldMathew1998/TDS-project</v>
      </c>
      <c r="D209" s="3" t="str">
        <f>IFERROR(VLOOKUP(C209,'Peer-Review'!B:J,9,0),"No R1")</f>
        <v>No R1</v>
      </c>
      <c r="E209" s="3" t="str">
        <f>IFERROR(VLOOKUP(C209,'Peer-Review'!F:J,5,0),"No R2")</f>
        <v>22f2000082@ds.study.iitm.ac.in</v>
      </c>
      <c r="F209" s="3">
        <f>COUNTIF('Peer-Review'!B:B,C209)+COUNTIF('Peer-Review'!F:F,C209)</f>
        <v>1</v>
      </c>
      <c r="G209" s="3">
        <f t="shared" si="1"/>
        <v>1</v>
      </c>
      <c r="H209" s="3" t="str">
        <f>IFERROR(__xludf.DUMMYFUNCTION("IFERROR(TRANSPOSE(FILTER('Peer-Review'!$J$2:$J$568,(TRIM('Peer-Review'!$B$2:$B$568)=C209 )+ (TRIM('Peer-Review'!$F$2:$F$568)=C209))),""No Reviews"")"),"22f2000082@ds.study.iitm.ac.in")</f>
        <v>22f2000082@ds.study.iitm.ac.in</v>
      </c>
      <c r="J209" s="3">
        <f>IF(D209="No R1",0,VLOOKUP(C209,'Peer-Review'!B:D,2,0))</f>
        <v>0</v>
      </c>
      <c r="K209" s="3">
        <f>IF(D209="No R1",0,VLOOKUP(C209,'Peer-Review'!B:D,3,0))</f>
        <v>0</v>
      </c>
      <c r="L209" s="3">
        <f>IF(E209="No R2",0,VLOOKUP(C209,'Peer-Review'!F:H,2,0))</f>
        <v>10</v>
      </c>
      <c r="M209" s="3">
        <f>IF(E209="No R2",0,VLOOKUP(C209,'Peer-Review'!F:H,3,0))</f>
        <v>10</v>
      </c>
    </row>
    <row r="210" hidden="1">
      <c r="A210" s="3" t="str">
        <f>IFERROR(__xludf.DUMMYFUNCTION("""COMPUTED_VALUE"""),"22f2000240@ds.study.iitm.ac.in")</f>
        <v>22f2000240@ds.study.iitm.ac.in</v>
      </c>
      <c r="B210" s="3">
        <f>IFERROR(__xludf.DUMMYFUNCTION("""COMPUTED_VALUE"""),16.0)</f>
        <v>16</v>
      </c>
      <c r="C210" s="5" t="str">
        <f>IFERROR(__xludf.DUMMYFUNCTION("""COMPUTED_VALUE"""),"https://github.com/Synchrotron-21/tds-project-1")</f>
        <v>https://github.com/Synchrotron-21/tds-project-1</v>
      </c>
      <c r="D210" s="3" t="str">
        <f>IFERROR(VLOOKUP(C210,'Peer-Review'!B:J,9,0),"No R1")</f>
        <v>No R1</v>
      </c>
      <c r="E210" s="3" t="str">
        <f>IFERROR(VLOOKUP(C210,'Peer-Review'!F:J,5,0),"No R2")</f>
        <v>22f1001615@ds.study.iitm.ac.in</v>
      </c>
      <c r="F210" s="3">
        <f>COUNTIF('Peer-Review'!B:B,C210)+COUNTIF('Peer-Review'!F:F,C210)</f>
        <v>1</v>
      </c>
      <c r="G210" s="3">
        <f t="shared" si="1"/>
        <v>1</v>
      </c>
      <c r="H210" s="3" t="str">
        <f>IFERROR(__xludf.DUMMYFUNCTION("IFERROR(TRANSPOSE(FILTER('Peer-Review'!$J$2:$J$568,(TRIM('Peer-Review'!$B$2:$B$568)=C210 )+ (TRIM('Peer-Review'!$F$2:$F$568)=C210))),""No Reviews"")"),"22f1001615@ds.study.iitm.ac.in")</f>
        <v>22f1001615@ds.study.iitm.ac.in</v>
      </c>
      <c r="J210" s="3">
        <f>IF(D210="No R1",0,VLOOKUP(C210,'Peer-Review'!B:D,2,0))</f>
        <v>0</v>
      </c>
      <c r="K210" s="3">
        <f>IF(D210="No R1",0,VLOOKUP(C210,'Peer-Review'!B:D,3,0))</f>
        <v>0</v>
      </c>
      <c r="L210" s="3">
        <f>IF(E210="No R2",0,VLOOKUP(C210,'Peer-Review'!F:H,2,0))</f>
        <v>10</v>
      </c>
      <c r="M210" s="3">
        <f>IF(E210="No R2",0,VLOOKUP(C210,'Peer-Review'!F:H,3,0))</f>
        <v>0</v>
      </c>
    </row>
    <row r="211" hidden="1">
      <c r="A211" s="3" t="str">
        <f>IFERROR(__xludf.DUMMYFUNCTION("""COMPUTED_VALUE"""),"22f2000245@ds.study.iitm.ac.in")</f>
        <v>22f2000245@ds.study.iitm.ac.in</v>
      </c>
      <c r="B211" s="3">
        <f>IFERROR(__xludf.DUMMYFUNCTION("""COMPUTED_VALUE"""),16.0)</f>
        <v>16</v>
      </c>
      <c r="C211" s="5" t="str">
        <f>IFERROR(__xludf.DUMMYFUNCTION("""COMPUTED_VALUE"""),"https://github.com/Jayaprakash1710/TDS-Project-1")</f>
        <v>https://github.com/Jayaprakash1710/TDS-Project-1</v>
      </c>
      <c r="D211" s="3" t="str">
        <f>IFERROR(VLOOKUP(C211,'Peer-Review'!B:J,9,0),"No R1")</f>
        <v>No R1</v>
      </c>
      <c r="E211" s="3" t="str">
        <f>IFERROR(VLOOKUP(C211,'Peer-Review'!F:J,5,0),"No R2")</f>
        <v>21f1005443@ds.study.iitm.ac.in</v>
      </c>
      <c r="F211" s="3">
        <f>COUNTIF('Peer-Review'!B:B,C211)+COUNTIF('Peer-Review'!F:F,C211)</f>
        <v>2</v>
      </c>
      <c r="G211" s="3">
        <f t="shared" si="1"/>
        <v>1</v>
      </c>
      <c r="H211" s="3" t="str">
        <f>IFERROR(__xludf.DUMMYFUNCTION("IFERROR(TRANSPOSE(FILTER('Peer-Review'!$J$2:$J$568,(TRIM('Peer-Review'!$B$2:$B$568)=C211 )+ (TRIM('Peer-Review'!$F$2:$F$568)=C211))),""No Reviews"")"),"21f1005443@ds.study.iitm.ac.in")</f>
        <v>21f1005443@ds.study.iitm.ac.in</v>
      </c>
      <c r="I211" s="3" t="str">
        <f>IFERROR(__xludf.DUMMYFUNCTION("""COMPUTED_VALUE"""),"22f2000240@ds.study.iitm.ac.in")</f>
        <v>22f2000240@ds.study.iitm.ac.in</v>
      </c>
      <c r="J211" s="3">
        <f>IF(D211="No R1",0,VLOOKUP(C211,'Peer-Review'!B:D,2,0))</f>
        <v>0</v>
      </c>
      <c r="K211" s="3">
        <f>IF(D211="No R1",0,VLOOKUP(C211,'Peer-Review'!B:D,3,0))</f>
        <v>0</v>
      </c>
      <c r="L211" s="3">
        <f>IF(E211="No R2",0,VLOOKUP(C211,'Peer-Review'!F:H,2,0))</f>
        <v>9</v>
      </c>
      <c r="M211" s="3">
        <f>IF(E211="No R2",0,VLOOKUP(C211,'Peer-Review'!F:H,3,0))</f>
        <v>8</v>
      </c>
    </row>
    <row r="212" hidden="1">
      <c r="A212" s="3" t="str">
        <f>IFERROR(__xludf.DUMMYFUNCTION("""COMPUTED_VALUE"""),"22f2000309@ds.study.iitm.ac.in")</f>
        <v>22f2000309@ds.study.iitm.ac.in</v>
      </c>
      <c r="B212" s="3">
        <f>IFERROR(__xludf.DUMMYFUNCTION("""COMPUTED_VALUE"""),17.0)</f>
        <v>17</v>
      </c>
      <c r="C212" s="5" t="str">
        <f>IFERROR(__xludf.DUMMYFUNCTION("""COMPUTED_VALUE"""),"https://github.com/surbhi553/Toronto100")</f>
        <v>https://github.com/surbhi553/Toronto100</v>
      </c>
      <c r="D212" s="3" t="str">
        <f>IFERROR(VLOOKUP(C212,'Peer-Review'!B:J,9,0),"No R1")</f>
        <v>No R1</v>
      </c>
      <c r="E212" s="3" t="str">
        <f>IFERROR(VLOOKUP(C212,'Peer-Review'!F:J,5,0),"No R2")</f>
        <v>22f2000169@ds.study.iitm.ac.in</v>
      </c>
      <c r="F212" s="3">
        <f>COUNTIF('Peer-Review'!B:B,C212)+COUNTIF('Peer-Review'!F:F,C212)</f>
        <v>2</v>
      </c>
      <c r="G212" s="3">
        <f t="shared" si="1"/>
        <v>1</v>
      </c>
      <c r="H212" s="3" t="str">
        <f>IFERROR(__xludf.DUMMYFUNCTION("IFERROR(TRANSPOSE(FILTER('Peer-Review'!$J$2:$J$568,(TRIM('Peer-Review'!$B$2:$B$568)=C212 )+ (TRIM('Peer-Review'!$F$2:$F$568)=C212))),""No Reviews"")"),"22f2000169@ds.study.iitm.ac.in")</f>
        <v>22f2000169@ds.study.iitm.ac.in</v>
      </c>
      <c r="I212" s="3" t="str">
        <f>IFERROR(__xludf.DUMMYFUNCTION("""COMPUTED_VALUE"""),"22f1001832@ds.study.iitm.ac.in")</f>
        <v>22f1001832@ds.study.iitm.ac.in</v>
      </c>
      <c r="J212" s="3">
        <f>IF(D212="No R1",0,VLOOKUP(C212,'Peer-Review'!B:D,2,0))</f>
        <v>0</v>
      </c>
      <c r="K212" s="3">
        <f>IF(D212="No R1",0,VLOOKUP(C212,'Peer-Review'!B:D,3,0))</f>
        <v>0</v>
      </c>
      <c r="L212" s="3">
        <f>IF(E212="No R2",0,VLOOKUP(C212,'Peer-Review'!F:H,2,0))</f>
        <v>0</v>
      </c>
      <c r="M212" s="3">
        <f>IF(E212="No R2",0,VLOOKUP(C212,'Peer-Review'!F:H,3,0))</f>
        <v>0</v>
      </c>
    </row>
    <row r="213" hidden="1">
      <c r="A213" s="3" t="str">
        <f>IFERROR(__xludf.DUMMYFUNCTION("""COMPUTED_VALUE"""),"22f2000354@ds.study.iitm.ac.in")</f>
        <v>22f2000354@ds.study.iitm.ac.in</v>
      </c>
      <c r="B213" s="3">
        <f>IFERROR(__xludf.DUMMYFUNCTION("""COMPUTED_VALUE"""),15.0)</f>
        <v>15</v>
      </c>
      <c r="C213" s="5" t="str">
        <f>IFERROR(__xludf.DUMMYFUNCTION("""COMPUTED_VALUE"""),"https://github.com/LavinyaIITM/Project01_TDS")</f>
        <v>https://github.com/LavinyaIITM/Project01_TDS</v>
      </c>
      <c r="D213" s="3" t="str">
        <f>IFERROR(VLOOKUP(C213,'Peer-Review'!B:J,9,0),"No R1")</f>
        <v>23f2002702@ds.study.iitm.ac.in</v>
      </c>
      <c r="E213" s="3" t="str">
        <f>IFERROR(VLOOKUP(C213,'Peer-Review'!F:J,5,0),"No R2")</f>
        <v>No R2</v>
      </c>
      <c r="F213" s="3">
        <f>COUNTIF('Peer-Review'!B:B,C213)+COUNTIF('Peer-Review'!F:F,C213)</f>
        <v>1</v>
      </c>
      <c r="G213" s="3">
        <f t="shared" si="1"/>
        <v>1</v>
      </c>
      <c r="H213" s="3" t="str">
        <f>IFERROR(__xludf.DUMMYFUNCTION("IFERROR(TRANSPOSE(FILTER('Peer-Review'!$J$2:$J$568,(TRIM('Peer-Review'!$B$2:$B$568)=C213 )+ (TRIM('Peer-Review'!$F$2:$F$568)=C213))),""No Reviews"")"),"23f2002702@ds.study.iitm.ac.in")</f>
        <v>23f2002702@ds.study.iitm.ac.in</v>
      </c>
      <c r="J213" s="3">
        <f>IF(D213="No R1",0,VLOOKUP(C213,'Peer-Review'!B:D,2,0))</f>
        <v>10</v>
      </c>
      <c r="K213" s="3">
        <f>IF(D213="No R1",0,VLOOKUP(C213,'Peer-Review'!B:D,3,0))</f>
        <v>10</v>
      </c>
      <c r="L213" s="3">
        <f>IF(E213="No R2",0,VLOOKUP(C213,'Peer-Review'!F:H,2,0))</f>
        <v>0</v>
      </c>
      <c r="M213" s="3">
        <f>IF(E213="No R2",0,VLOOKUP(C213,'Peer-Review'!F:H,3,0))</f>
        <v>0</v>
      </c>
    </row>
    <row r="214" hidden="1">
      <c r="A214" s="3" t="str">
        <f>IFERROR(__xludf.DUMMYFUNCTION("""COMPUTED_VALUE"""),"22f2000438@ds.study.iitm.ac.in")</f>
        <v>22f2000438@ds.study.iitm.ac.in</v>
      </c>
      <c r="B214" s="3">
        <f>IFERROR(__xludf.DUMMYFUNCTION("""COMPUTED_VALUE"""),15.0)</f>
        <v>15</v>
      </c>
      <c r="C214" s="5" t="str">
        <f>IFERROR(__xludf.DUMMYFUNCTION("""COMPUTED_VALUE"""),"https://github.com/salmanulfaris/tds-project")</f>
        <v>https://github.com/salmanulfaris/tds-project</v>
      </c>
      <c r="D214" s="3" t="str">
        <f>IFERROR(VLOOKUP(C214,'Peer-Review'!B:J,9,0),"No R1")</f>
        <v>23f2002742@ds.study.iitm.ac.in</v>
      </c>
      <c r="E214" s="3" t="str">
        <f>IFERROR(VLOOKUP(C214,'Peer-Review'!F:J,5,0),"No R2")</f>
        <v>No R2</v>
      </c>
      <c r="F214" s="3">
        <f>COUNTIF('Peer-Review'!B:B,C214)+COUNTIF('Peer-Review'!F:F,C214)</f>
        <v>2</v>
      </c>
      <c r="G214" s="3">
        <f t="shared" si="1"/>
        <v>1</v>
      </c>
      <c r="H214" s="3" t="str">
        <f>IFERROR(__xludf.DUMMYFUNCTION("IFERROR(TRANSPOSE(FILTER('Peer-Review'!$J$2:$J$568,(TRIM('Peer-Review'!$B$2:$B$568)=C214 )+ (TRIM('Peer-Review'!$F$2:$F$568)=C214))),""No Reviews"")"),"23f2002742@ds.study.iitm.ac.in")</f>
        <v>23f2002742@ds.study.iitm.ac.in</v>
      </c>
      <c r="I214" s="3" t="str">
        <f>IFERROR(__xludf.DUMMYFUNCTION("""COMPUTED_VALUE"""),"22f2000625@ds.study.iitm.ac.in")</f>
        <v>22f2000625@ds.study.iitm.ac.in</v>
      </c>
      <c r="J214" s="3">
        <f>IF(D214="No R1",0,VLOOKUP(C214,'Peer-Review'!B:D,2,0))</f>
        <v>10</v>
      </c>
      <c r="K214" s="3">
        <f>IF(D214="No R1",0,VLOOKUP(C214,'Peer-Review'!B:D,3,0))</f>
        <v>10</v>
      </c>
      <c r="L214" s="3">
        <f>IF(E214="No R2",0,VLOOKUP(C214,'Peer-Review'!F:H,2,0))</f>
        <v>0</v>
      </c>
      <c r="M214" s="3">
        <f>IF(E214="No R2",0,VLOOKUP(C214,'Peer-Review'!F:H,3,0))</f>
        <v>0</v>
      </c>
    </row>
    <row r="215" hidden="1">
      <c r="A215" s="3" t="str">
        <f>IFERROR(__xludf.DUMMYFUNCTION("""COMPUTED_VALUE"""),"22f2000445@ds.study.iitm.ac.in")</f>
        <v>22f2000445@ds.study.iitm.ac.in</v>
      </c>
      <c r="B215" s="3">
        <f>IFERROR(__xludf.DUMMYFUNCTION("""COMPUTED_VALUE"""),17.0)</f>
        <v>17</v>
      </c>
      <c r="C215" s="5" t="str">
        <f>IFERROR(__xludf.DUMMYFUNCTION("""COMPUTED_VALUE"""),"https://github.com/Imranrasheedpm/tds_proj_1")</f>
        <v>https://github.com/Imranrasheedpm/tds_proj_1</v>
      </c>
      <c r="D215" s="3" t="str">
        <f>IFERROR(VLOOKUP(C215,'Peer-Review'!B:J,9,0),"No R1")</f>
        <v>No R1</v>
      </c>
      <c r="E215" s="3" t="str">
        <f>IFERROR(VLOOKUP(C215,'Peer-Review'!F:J,5,0),"No R2")</f>
        <v>22f1001834@ds.study.iitm.ac.in</v>
      </c>
      <c r="F215" s="3">
        <f>COUNTIF('Peer-Review'!B:B,C215)+COUNTIF('Peer-Review'!F:F,C215)</f>
        <v>1</v>
      </c>
      <c r="G215" s="3">
        <f t="shared" si="1"/>
        <v>1</v>
      </c>
      <c r="H215" s="3" t="str">
        <f>IFERROR(__xludf.DUMMYFUNCTION("IFERROR(TRANSPOSE(FILTER('Peer-Review'!$J$2:$J$568,(TRIM('Peer-Review'!$B$2:$B$568)=C215 )+ (TRIM('Peer-Review'!$F$2:$F$568)=C215))),""No Reviews"")"),"22f1001834@ds.study.iitm.ac.in")</f>
        <v>22f1001834@ds.study.iitm.ac.in</v>
      </c>
      <c r="J215" s="3">
        <f>IF(D215="No R1",0,VLOOKUP(C215,'Peer-Review'!B:D,2,0))</f>
        <v>0</v>
      </c>
      <c r="K215" s="3">
        <f>IF(D215="No R1",0,VLOOKUP(C215,'Peer-Review'!B:D,3,0))</f>
        <v>0</v>
      </c>
      <c r="L215" s="3">
        <f>IF(E215="No R2",0,VLOOKUP(C215,'Peer-Review'!F:H,2,0))</f>
        <v>6</v>
      </c>
      <c r="M215" s="3">
        <f>IF(E215="No R2",0,VLOOKUP(C215,'Peer-Review'!F:H,3,0))</f>
        <v>0</v>
      </c>
    </row>
    <row r="216" hidden="1">
      <c r="A216" s="3" t="str">
        <f>IFERROR(__xludf.DUMMYFUNCTION("""COMPUTED_VALUE"""),"22f2000455@ds.study.iitm.ac.in")</f>
        <v>22f2000455@ds.study.iitm.ac.in</v>
      </c>
      <c r="B216" s="3">
        <f>IFERROR(__xludf.DUMMYFUNCTION("""COMPUTED_VALUE"""),17.0)</f>
        <v>17</v>
      </c>
      <c r="C216" s="5" t="str">
        <f>IFERROR(__xludf.DUMMYFUNCTION("""COMPUTED_VALUE"""),"https://github.com/mdjawed372/tds-project1")</f>
        <v>https://github.com/mdjawed372/tds-project1</v>
      </c>
      <c r="D216" s="3" t="str">
        <f>IFERROR(VLOOKUP(C216,'Peer-Review'!B:J,9,0),"No R1")</f>
        <v>No R1</v>
      </c>
      <c r="E216" s="3" t="str">
        <f>IFERROR(VLOOKUP(C216,'Peer-Review'!F:J,5,0),"No R2")</f>
        <v>22f1001853@ds.study.iitm.ac.in</v>
      </c>
      <c r="F216" s="3">
        <f>COUNTIF('Peer-Review'!B:B,C216)+COUNTIF('Peer-Review'!F:F,C216)</f>
        <v>2</v>
      </c>
      <c r="G216" s="3">
        <f t="shared" si="1"/>
        <v>1</v>
      </c>
      <c r="H216" s="3" t="str">
        <f>IFERROR(__xludf.DUMMYFUNCTION("IFERROR(TRANSPOSE(FILTER('Peer-Review'!$J$2:$J$568,(TRIM('Peer-Review'!$B$2:$B$568)=C216 )+ (TRIM('Peer-Review'!$F$2:$F$568)=C216))),""No Reviews"")"),"22f1001853@ds.study.iitm.ac.in")</f>
        <v>22f1001853@ds.study.iitm.ac.in</v>
      </c>
      <c r="I216" s="3" t="str">
        <f>IFERROR(__xludf.DUMMYFUNCTION("""COMPUTED_VALUE"""),"22f2000445@ds.study.iitm.ac.in")</f>
        <v>22f2000445@ds.study.iitm.ac.in</v>
      </c>
      <c r="J216" s="3">
        <f>IF(D216="No R1",0,VLOOKUP(C216,'Peer-Review'!B:D,2,0))</f>
        <v>0</v>
      </c>
      <c r="K216" s="3">
        <f>IF(D216="No R1",0,VLOOKUP(C216,'Peer-Review'!B:D,3,0))</f>
        <v>0</v>
      </c>
      <c r="L216" s="3">
        <f>IF(E216="No R2",0,VLOOKUP(C216,'Peer-Review'!F:H,2,0))</f>
        <v>8</v>
      </c>
      <c r="M216" s="3">
        <f>IF(E216="No R2",0,VLOOKUP(C216,'Peer-Review'!F:H,3,0))</f>
        <v>10</v>
      </c>
    </row>
    <row r="217" hidden="1">
      <c r="A217" s="3" t="str">
        <f>IFERROR(__xludf.DUMMYFUNCTION("""COMPUTED_VALUE"""),"22f2000481@ds.study.iitm.ac.in")</f>
        <v>22f2000481@ds.study.iitm.ac.in</v>
      </c>
      <c r="B217" s="3">
        <f>IFERROR(__xludf.DUMMYFUNCTION("""COMPUTED_VALUE"""),16.0)</f>
        <v>16</v>
      </c>
      <c r="C217" s="5" t="str">
        <f>IFERROR(__xludf.DUMMYFUNCTION("""COMPUTED_VALUE"""),"https://github.com/Chinmoydass/TDS_Project1")</f>
        <v>https://github.com/Chinmoydass/TDS_Project1</v>
      </c>
      <c r="D217" s="3" t="str">
        <f>IFERROR(VLOOKUP(C217,'Peer-Review'!B:J,9,0),"No R1")</f>
        <v>No R1</v>
      </c>
      <c r="E217" s="3" t="str">
        <f>IFERROR(VLOOKUP(C217,'Peer-Review'!F:J,5,0),"No R2")</f>
        <v>22f2000245@ds.study.iitm.ac.in</v>
      </c>
      <c r="F217" s="3">
        <f>COUNTIF('Peer-Review'!B:B,C217)+COUNTIF('Peer-Review'!F:F,C217)</f>
        <v>1</v>
      </c>
      <c r="G217" s="3">
        <f t="shared" si="1"/>
        <v>1</v>
      </c>
      <c r="H217" s="3" t="str">
        <f>IFERROR(__xludf.DUMMYFUNCTION("IFERROR(TRANSPOSE(FILTER('Peer-Review'!$J$2:$J$568,(TRIM('Peer-Review'!$B$2:$B$568)=C217 )+ (TRIM('Peer-Review'!$F$2:$F$568)=C217))),""No Reviews"")"),"22f2000245@ds.study.iitm.ac.in")</f>
        <v>22f2000245@ds.study.iitm.ac.in</v>
      </c>
      <c r="J217" s="3">
        <f>IF(D217="No R1",0,VLOOKUP(C217,'Peer-Review'!B:D,2,0))</f>
        <v>0</v>
      </c>
      <c r="K217" s="3">
        <f>IF(D217="No R1",0,VLOOKUP(C217,'Peer-Review'!B:D,3,0))</f>
        <v>0</v>
      </c>
      <c r="L217" s="3">
        <f>IF(E217="No R2",0,VLOOKUP(C217,'Peer-Review'!F:H,2,0))</f>
        <v>6</v>
      </c>
      <c r="M217" s="3">
        <f>IF(E217="No R2",0,VLOOKUP(C217,'Peer-Review'!F:H,3,0))</f>
        <v>0</v>
      </c>
    </row>
    <row r="218" hidden="1">
      <c r="A218" s="3" t="str">
        <f>IFERROR(__xludf.DUMMYFUNCTION("""COMPUTED_VALUE"""),"22f2000517@ds.study.iitm.ac.in")</f>
        <v>22f2000517@ds.study.iitm.ac.in</v>
      </c>
      <c r="B218" s="3">
        <f>IFERROR(__xludf.DUMMYFUNCTION("""COMPUTED_VALUE"""),0.0)</f>
        <v>0</v>
      </c>
      <c r="C218" s="5" t="str">
        <f>IFERROR(__xludf.DUMMYFUNCTION("""COMPUTED_VALUE"""),"https://github.com/monikabhalerao/tds_project_1")</f>
        <v>https://github.com/monikabhalerao/tds_project_1</v>
      </c>
      <c r="D218" s="3" t="str">
        <f>IFERROR(VLOOKUP(C218,'Peer-Review'!B:J,9,0),"No R1")</f>
        <v>No R1</v>
      </c>
      <c r="E218" s="3" t="str">
        <f>IFERROR(VLOOKUP(C218,'Peer-Review'!F:J,5,0),"No R2")</f>
        <v>No R2</v>
      </c>
      <c r="F218" s="3">
        <f>COUNTIF('Peer-Review'!B:B,C218)+COUNTIF('Peer-Review'!F:F,C218)</f>
        <v>0</v>
      </c>
      <c r="G218" s="3">
        <f t="shared" si="1"/>
        <v>0</v>
      </c>
      <c r="H218" s="3" t="str">
        <f>IFERROR(__xludf.DUMMYFUNCTION("IFERROR(TRANSPOSE(FILTER('Peer-Review'!$J$2:$J$568,(TRIM('Peer-Review'!$B$2:$B$568)=C218 )+ (TRIM('Peer-Review'!$F$2:$F$568)=C218))),""No Reviews"")"),"No Reviews")</f>
        <v>No Reviews</v>
      </c>
      <c r="J218" s="3">
        <f>IF(D218="No R1",0,VLOOKUP(C218,'Peer-Review'!B:D,2,0))</f>
        <v>0</v>
      </c>
      <c r="K218" s="3">
        <f>IF(D218="No R1",0,VLOOKUP(C218,'Peer-Review'!B:D,3,0))</f>
        <v>0</v>
      </c>
      <c r="L218" s="3">
        <f>IF(E218="No R2",0,VLOOKUP(C218,'Peer-Review'!F:H,2,0))</f>
        <v>0</v>
      </c>
      <c r="M218" s="3">
        <f>IF(E218="No R2",0,VLOOKUP(C218,'Peer-Review'!F:H,3,0))</f>
        <v>0</v>
      </c>
    </row>
    <row r="219" hidden="1">
      <c r="A219" s="3" t="str">
        <f>IFERROR(__xludf.DUMMYFUNCTION("""COMPUTED_VALUE"""),"22f2000545@ds.study.iitm.ac.in")</f>
        <v>22f2000545@ds.study.iitm.ac.in</v>
      </c>
      <c r="B219" s="3">
        <f>IFERROR(__xludf.DUMMYFUNCTION("""COMPUTED_VALUE"""),17.0)</f>
        <v>17</v>
      </c>
      <c r="C219" s="5" t="str">
        <f>IFERROR(__xludf.DUMMYFUNCTION("""COMPUTED_VALUE"""),"https://github.com/kik893/Project-1")</f>
        <v>https://github.com/kik893/Project-1</v>
      </c>
      <c r="D219" s="3" t="str">
        <f>IFERROR(VLOOKUP(C219,'Peer-Review'!B:J,9,0),"No R1")</f>
        <v>No R1</v>
      </c>
      <c r="E219" s="3" t="str">
        <f>IFERROR(VLOOKUP(C219,'Peer-Review'!F:J,5,0),"No R2")</f>
        <v>22f2000455@ds.study.iitm.ac.in</v>
      </c>
      <c r="F219" s="3">
        <f>COUNTIF('Peer-Review'!B:B,C219)+COUNTIF('Peer-Review'!F:F,C219)</f>
        <v>2</v>
      </c>
      <c r="G219" s="3">
        <f t="shared" si="1"/>
        <v>1</v>
      </c>
      <c r="H219" s="3" t="str">
        <f>IFERROR(__xludf.DUMMYFUNCTION("IFERROR(TRANSPOSE(FILTER('Peer-Review'!$J$2:$J$568,(TRIM('Peer-Review'!$B$2:$B$568)=C219 )+ (TRIM('Peer-Review'!$F$2:$F$568)=C219))),""No Reviews"")"),"22f2000455@ds.study.iitm.ac.in")</f>
        <v>22f2000455@ds.study.iitm.ac.in</v>
      </c>
      <c r="I219" s="3" t="str">
        <f>IFERROR(__xludf.DUMMYFUNCTION("""COMPUTED_VALUE"""),"22f2000703@ds.study.iitm.ac.in")</f>
        <v>22f2000703@ds.study.iitm.ac.in</v>
      </c>
      <c r="J219" s="3">
        <f>IF(D219="No R1",0,VLOOKUP(C219,'Peer-Review'!B:D,2,0))</f>
        <v>0</v>
      </c>
      <c r="K219" s="3">
        <f>IF(D219="No R1",0,VLOOKUP(C219,'Peer-Review'!B:D,3,0))</f>
        <v>0</v>
      </c>
      <c r="L219" s="3">
        <f>IF(E219="No R2",0,VLOOKUP(C219,'Peer-Review'!F:H,2,0))</f>
        <v>10</v>
      </c>
      <c r="M219" s="3">
        <f>IF(E219="No R2",0,VLOOKUP(C219,'Peer-Review'!F:H,3,0))</f>
        <v>10</v>
      </c>
    </row>
    <row r="220" hidden="1">
      <c r="A220" s="3" t="str">
        <f>IFERROR(__xludf.DUMMYFUNCTION("""COMPUTED_VALUE"""),"22f2000625@ds.study.iitm.ac.in")</f>
        <v>22f2000625@ds.study.iitm.ac.in</v>
      </c>
      <c r="B220" s="3">
        <f>IFERROR(__xludf.DUMMYFUNCTION("""COMPUTED_VALUE"""),15.0)</f>
        <v>15</v>
      </c>
      <c r="C220" s="5" t="str">
        <f>IFERROR(__xludf.DUMMYFUNCTION("""COMPUTED_VALUE"""),"https://github.com/0rajnishk/tds-p1")</f>
        <v>https://github.com/0rajnishk/tds-p1</v>
      </c>
      <c r="D220" s="3" t="str">
        <f>IFERROR(VLOOKUP(C220,'Peer-Review'!B:J,9,0),"No R1")</f>
        <v>22f2000784@ds.study.iitm.ac.in</v>
      </c>
      <c r="E220" s="3" t="str">
        <f>IFERROR(VLOOKUP(C220,'Peer-Review'!F:J,5,0),"No R2")</f>
        <v>No R2</v>
      </c>
      <c r="F220" s="3">
        <f>COUNTIF('Peer-Review'!B:B,C220)+COUNTIF('Peer-Review'!F:F,C220)</f>
        <v>2</v>
      </c>
      <c r="G220" s="3">
        <f t="shared" si="1"/>
        <v>1</v>
      </c>
      <c r="H220" s="3" t="str">
        <f>IFERROR(__xludf.DUMMYFUNCTION("IFERROR(TRANSPOSE(FILTER('Peer-Review'!$J$2:$J$568,(TRIM('Peer-Review'!$B$2:$B$568)=C220 )+ (TRIM('Peer-Review'!$F$2:$F$568)=C220))),""No Reviews"")"),"22f2000784@ds.study.iitm.ac.in")</f>
        <v>22f2000784@ds.study.iitm.ac.in</v>
      </c>
      <c r="I220" s="3" t="str">
        <f>IFERROR(__xludf.DUMMYFUNCTION("""COMPUTED_VALUE"""),"23f2003080@ds.study.iitm.ac.in")</f>
        <v>23f2003080@ds.study.iitm.ac.in</v>
      </c>
      <c r="J220" s="3">
        <f>IF(D220="No R1",0,VLOOKUP(C220,'Peer-Review'!B:D,2,0))</f>
        <v>10</v>
      </c>
      <c r="K220" s="3">
        <f>IF(D220="No R1",0,VLOOKUP(C220,'Peer-Review'!B:D,3,0))</f>
        <v>10</v>
      </c>
      <c r="L220" s="3">
        <f>IF(E220="No R2",0,VLOOKUP(C220,'Peer-Review'!F:H,2,0))</f>
        <v>0</v>
      </c>
      <c r="M220" s="3">
        <f>IF(E220="No R2",0,VLOOKUP(C220,'Peer-Review'!F:H,3,0))</f>
        <v>0</v>
      </c>
    </row>
    <row r="221" hidden="1">
      <c r="A221" s="3" t="str">
        <f>IFERROR(__xludf.DUMMYFUNCTION("""COMPUTED_VALUE"""),"22f2000703@ds.study.iitm.ac.in")</f>
        <v>22f2000703@ds.study.iitm.ac.in</v>
      </c>
      <c r="B221" s="3">
        <f>IFERROR(__xludf.DUMMYFUNCTION("""COMPUTED_VALUE"""),13.0)</f>
        <v>13</v>
      </c>
      <c r="C221" s="5" t="str">
        <f>IFERROR(__xludf.DUMMYFUNCTION("""COMPUTED_VALUE"""),"https://github.com/Akash7190/TDS-Project-1")</f>
        <v>https://github.com/Akash7190/TDS-Project-1</v>
      </c>
      <c r="D221" s="3" t="str">
        <f>IFERROR(VLOOKUP(C221,'Peer-Review'!B:J,9,0),"No R1")</f>
        <v>22f2000894@ds.study.iitm.ac.in</v>
      </c>
      <c r="E221" s="3" t="str">
        <f>IFERROR(VLOOKUP(C221,'Peer-Review'!F:J,5,0),"No R2")</f>
        <v>No R2</v>
      </c>
      <c r="F221" s="3">
        <f>COUNTIF('Peer-Review'!B:B,C221)+COUNTIF('Peer-Review'!F:F,C221)</f>
        <v>2</v>
      </c>
      <c r="G221" s="3">
        <f t="shared" si="1"/>
        <v>1</v>
      </c>
      <c r="H221" s="3" t="str">
        <f>IFERROR(__xludf.DUMMYFUNCTION("IFERROR(TRANSPOSE(FILTER('Peer-Review'!$J$2:$J$568,(TRIM('Peer-Review'!$B$2:$B$568)=C221 )+ (TRIM('Peer-Review'!$F$2:$F$568)=C221))),""No Reviews"")"),"22f2000894@ds.study.iitm.ac.in")</f>
        <v>22f2000894@ds.study.iitm.ac.in</v>
      </c>
      <c r="I221" s="3" t="str">
        <f>IFERROR(__xludf.DUMMYFUNCTION("""COMPUTED_VALUE"""),"22f2000545@ds.study.iitm.ac.in")</f>
        <v>22f2000545@ds.study.iitm.ac.in</v>
      </c>
      <c r="J221" s="3">
        <f>IF(D221="No R1",0,VLOOKUP(C221,'Peer-Review'!B:D,2,0))</f>
        <v>10</v>
      </c>
      <c r="K221" s="3">
        <f>IF(D221="No R1",0,VLOOKUP(C221,'Peer-Review'!B:D,3,0))</f>
        <v>8</v>
      </c>
      <c r="L221" s="3">
        <f>IF(E221="No R2",0,VLOOKUP(C221,'Peer-Review'!F:H,2,0))</f>
        <v>0</v>
      </c>
      <c r="M221" s="3">
        <f>IF(E221="No R2",0,VLOOKUP(C221,'Peer-Review'!F:H,3,0))</f>
        <v>0</v>
      </c>
    </row>
    <row r="222" hidden="1">
      <c r="A222" s="3" t="str">
        <f>IFERROR(__xludf.DUMMYFUNCTION("""COMPUTED_VALUE"""),"22f2000713@ds.study.iitm.ac.in")</f>
        <v>22f2000713@ds.study.iitm.ac.in</v>
      </c>
      <c r="B222" s="3">
        <f>IFERROR(__xludf.DUMMYFUNCTION("""COMPUTED_VALUE"""),17.0)</f>
        <v>17</v>
      </c>
      <c r="C222" s="5" t="str">
        <f>IFERROR(__xludf.DUMMYFUNCTION("""COMPUTED_VALUE"""),"https://github.com/importAmmar/TDS-Project-1")</f>
        <v>https://github.com/importAmmar/TDS-Project-1</v>
      </c>
      <c r="D222" s="3" t="str">
        <f>IFERROR(VLOOKUP(C222,'Peer-Review'!B:J,9,0),"No R1")</f>
        <v>No R1</v>
      </c>
      <c r="E222" s="3" t="str">
        <f>IFERROR(VLOOKUP(C222,'Peer-Review'!F:J,5,0),"No R2")</f>
        <v>22f2000894@ds.study.iitm.ac.in</v>
      </c>
      <c r="F222" s="3">
        <f>COUNTIF('Peer-Review'!B:B,C222)+COUNTIF('Peer-Review'!F:F,C222)</f>
        <v>2</v>
      </c>
      <c r="G222" s="3">
        <f t="shared" si="1"/>
        <v>1</v>
      </c>
      <c r="H222" s="3" t="str">
        <f>IFERROR(__xludf.DUMMYFUNCTION("IFERROR(TRANSPOSE(FILTER('Peer-Review'!$J$2:$J$568,(TRIM('Peer-Review'!$B$2:$B$568)=C222 )+ (TRIM('Peer-Review'!$F$2:$F$568)=C222))),""No Reviews"")"),"22f2000894@ds.study.iitm.ac.in")</f>
        <v>22f2000894@ds.study.iitm.ac.in</v>
      </c>
      <c r="I222" s="3" t="str">
        <f>IFERROR(__xludf.DUMMYFUNCTION("""COMPUTED_VALUE"""),"22f2000545@ds.study.iitm.ac.in")</f>
        <v>22f2000545@ds.study.iitm.ac.in</v>
      </c>
      <c r="J222" s="3">
        <f>IF(D222="No R1",0,VLOOKUP(C222,'Peer-Review'!B:D,2,0))</f>
        <v>0</v>
      </c>
      <c r="K222" s="3">
        <f>IF(D222="No R1",0,VLOOKUP(C222,'Peer-Review'!B:D,3,0))</f>
        <v>0</v>
      </c>
      <c r="L222" s="3">
        <f>IF(E222="No R2",0,VLOOKUP(C222,'Peer-Review'!F:H,2,0))</f>
        <v>10</v>
      </c>
      <c r="M222" s="3">
        <f>IF(E222="No R2",0,VLOOKUP(C222,'Peer-Review'!F:H,3,0))</f>
        <v>7</v>
      </c>
    </row>
    <row r="223" hidden="1">
      <c r="A223" s="3" t="str">
        <f>IFERROR(__xludf.DUMMYFUNCTION("""COMPUTED_VALUE"""),"22f2000761@ds.study.iitm.ac.in")</f>
        <v>22f2000761@ds.study.iitm.ac.in</v>
      </c>
      <c r="B223" s="3">
        <f>IFERROR(__xludf.DUMMYFUNCTION("""COMPUTED_VALUE"""),17.0)</f>
        <v>17</v>
      </c>
      <c r="C223" s="5" t="str">
        <f>IFERROR(__xludf.DUMMYFUNCTION("""COMPUTED_VALUE"""),"https://github.com/phanthomx/TDS_PROJECT")</f>
        <v>https://github.com/phanthomx/TDS_PROJECT</v>
      </c>
      <c r="D223" s="3" t="str">
        <f>IFERROR(VLOOKUP(C223,'Peer-Review'!B:J,9,0),"No R1")</f>
        <v>No R1</v>
      </c>
      <c r="E223" s="3" t="str">
        <f>IFERROR(VLOOKUP(C223,'Peer-Review'!F:J,5,0),"No R2")</f>
        <v>22f2000713@ds.study.iitm.ac.in</v>
      </c>
      <c r="F223" s="3">
        <f>COUNTIF('Peer-Review'!B:B,C223)+COUNTIF('Peer-Review'!F:F,C223)</f>
        <v>2</v>
      </c>
      <c r="G223" s="3">
        <f t="shared" si="1"/>
        <v>1</v>
      </c>
      <c r="H223" s="3" t="str">
        <f>IFERROR(__xludf.DUMMYFUNCTION("IFERROR(TRANSPOSE(FILTER('Peer-Review'!$J$2:$J$568,(TRIM('Peer-Review'!$B$2:$B$568)=C223 )+ (TRIM('Peer-Review'!$F$2:$F$568)=C223))),""No Reviews"")"),"22f2000713@ds.study.iitm.ac.in")</f>
        <v>22f2000713@ds.study.iitm.ac.in</v>
      </c>
      <c r="I223" s="3" t="str">
        <f>IFERROR(__xludf.DUMMYFUNCTION("""COMPUTED_VALUE"""),"22f2000902@ds.study.iitm.ac.in")</f>
        <v>22f2000902@ds.study.iitm.ac.in</v>
      </c>
      <c r="J223" s="3">
        <f>IF(D223="No R1",0,VLOOKUP(C223,'Peer-Review'!B:D,2,0))</f>
        <v>0</v>
      </c>
      <c r="K223" s="3">
        <f>IF(D223="No R1",0,VLOOKUP(C223,'Peer-Review'!B:D,3,0))</f>
        <v>0</v>
      </c>
      <c r="L223" s="3">
        <f>IF(E223="No R2",0,VLOOKUP(C223,'Peer-Review'!F:H,2,0))</f>
        <v>9</v>
      </c>
      <c r="M223" s="3">
        <f>IF(E223="No R2",0,VLOOKUP(C223,'Peer-Review'!F:H,3,0))</f>
        <v>9</v>
      </c>
    </row>
    <row r="224" hidden="1">
      <c r="A224" s="3" t="str">
        <f>IFERROR(__xludf.DUMMYFUNCTION("""COMPUTED_VALUE"""),"22f2000774@ds.study.iitm.ac.in")</f>
        <v>22f2000774@ds.study.iitm.ac.in</v>
      </c>
      <c r="B224" s="3">
        <f>IFERROR(__xludf.DUMMYFUNCTION("""COMPUTED_VALUE"""),14.0)</f>
        <v>14</v>
      </c>
      <c r="C224" s="5" t="str">
        <f>IFERROR(__xludf.DUMMYFUNCTION("""COMPUTED_VALUE"""),"https://github.com/karthikeyan456/tdsproject1")</f>
        <v>https://github.com/karthikeyan456/tdsproject1</v>
      </c>
      <c r="D224" s="3" t="str">
        <f>IFERROR(VLOOKUP(C224,'Peer-Review'!B:J,9,0),"No R1")</f>
        <v>22f2000809@ds.study.iitm.ac.in</v>
      </c>
      <c r="E224" s="3" t="str">
        <f>IFERROR(VLOOKUP(C224,'Peer-Review'!F:J,5,0),"No R2")</f>
        <v>No R2</v>
      </c>
      <c r="F224" s="3">
        <f>COUNTIF('Peer-Review'!B:B,C224)+COUNTIF('Peer-Review'!F:F,C224)</f>
        <v>2</v>
      </c>
      <c r="G224" s="3">
        <f t="shared" si="1"/>
        <v>1</v>
      </c>
      <c r="H224" s="3" t="str">
        <f>IFERROR(__xludf.DUMMYFUNCTION("IFERROR(TRANSPOSE(FILTER('Peer-Review'!$J$2:$J$568,(TRIM('Peer-Review'!$B$2:$B$568)=C224 )+ (TRIM('Peer-Review'!$F$2:$F$568)=C224))),""No Reviews"")"),"22f2000809@ds.study.iitm.ac.in")</f>
        <v>22f2000809@ds.study.iitm.ac.in</v>
      </c>
      <c r="I224" s="3" t="str">
        <f>IFERROR(__xludf.DUMMYFUNCTION("""COMPUTED_VALUE"""),"23ds3000066@ds.study.iitm.ac.in")</f>
        <v>23ds3000066@ds.study.iitm.ac.in</v>
      </c>
      <c r="J224" s="3">
        <f>IF(D224="No R1",0,VLOOKUP(C224,'Peer-Review'!B:D,2,0))</f>
        <v>10</v>
      </c>
      <c r="K224" s="3">
        <f>IF(D224="No R1",0,VLOOKUP(C224,'Peer-Review'!B:D,3,0))</f>
        <v>10</v>
      </c>
      <c r="L224" s="3">
        <f>IF(E224="No R2",0,VLOOKUP(C224,'Peer-Review'!F:H,2,0))</f>
        <v>0</v>
      </c>
      <c r="M224" s="3">
        <f>IF(E224="No R2",0,VLOOKUP(C224,'Peer-Review'!F:H,3,0))</f>
        <v>0</v>
      </c>
    </row>
    <row r="225" hidden="1">
      <c r="A225" s="3" t="str">
        <f>IFERROR(__xludf.DUMMYFUNCTION("""COMPUTED_VALUE"""),"22f2000778@ds.study.iitm.ac.in")</f>
        <v>22f2000778@ds.study.iitm.ac.in</v>
      </c>
      <c r="B225" s="3">
        <f>IFERROR(__xludf.DUMMYFUNCTION("""COMPUTED_VALUE"""),0.0)</f>
        <v>0</v>
      </c>
      <c r="C225" s="5" t="str">
        <f>IFERROR(__xludf.DUMMYFUNCTION("""COMPUTED_VALUE"""),"https://github.com/VivekIITM1/VivekIITM")</f>
        <v>https://github.com/VivekIITM1/VivekIITM</v>
      </c>
      <c r="D225" s="3" t="str">
        <f>IFERROR(VLOOKUP(C225,'Peer-Review'!B:J,9,0),"No R1")</f>
        <v>No R1</v>
      </c>
      <c r="E225" s="3" t="str">
        <f>IFERROR(VLOOKUP(C225,'Peer-Review'!F:J,5,0),"No R2")</f>
        <v>No R2</v>
      </c>
      <c r="F225" s="3">
        <f>COUNTIF('Peer-Review'!B:B,C225)+COUNTIF('Peer-Review'!F:F,C225)</f>
        <v>0</v>
      </c>
      <c r="G225" s="3">
        <f t="shared" si="1"/>
        <v>0</v>
      </c>
      <c r="H225" s="3" t="str">
        <f>IFERROR(__xludf.DUMMYFUNCTION("IFERROR(TRANSPOSE(FILTER('Peer-Review'!$J$2:$J$568,(TRIM('Peer-Review'!$B$2:$B$568)=C225 )+ (TRIM('Peer-Review'!$F$2:$F$568)=C225))),""No Reviews"")"),"No Reviews")</f>
        <v>No Reviews</v>
      </c>
      <c r="J225" s="3">
        <f>IF(D225="No R1",0,VLOOKUP(C225,'Peer-Review'!B:D,2,0))</f>
        <v>0</v>
      </c>
      <c r="K225" s="3">
        <f>IF(D225="No R1",0,VLOOKUP(C225,'Peer-Review'!B:D,3,0))</f>
        <v>0</v>
      </c>
      <c r="L225" s="3">
        <f>IF(E225="No R2",0,VLOOKUP(C225,'Peer-Review'!F:H,2,0))</f>
        <v>0</v>
      </c>
      <c r="M225" s="3">
        <f>IF(E225="No R2",0,VLOOKUP(C225,'Peer-Review'!F:H,3,0))</f>
        <v>0</v>
      </c>
    </row>
    <row r="226" hidden="1">
      <c r="A226" s="3" t="str">
        <f>IFERROR(__xludf.DUMMYFUNCTION("""COMPUTED_VALUE"""),"22f2000784@ds.study.iitm.ac.in")</f>
        <v>22f2000784@ds.study.iitm.ac.in</v>
      </c>
      <c r="B226" s="3">
        <f>IFERROR(__xludf.DUMMYFUNCTION("""COMPUTED_VALUE"""),15.0)</f>
        <v>15</v>
      </c>
      <c r="C226" s="5" t="str">
        <f>IFERROR(__xludf.DUMMYFUNCTION("""COMPUTED_VALUE"""),"https://github.com/22f2000784/basel-github-data-analysis")</f>
        <v>https://github.com/22f2000784/basel-github-data-analysis</v>
      </c>
      <c r="D226" s="3" t="str">
        <f>IFERROR(VLOOKUP(C226,'Peer-Review'!B:J,9,0),"No R1")</f>
        <v>22f2001074@ds.study.iitm.ac.in</v>
      </c>
      <c r="E226" s="3" t="str">
        <f>IFERROR(VLOOKUP(C226,'Peer-Review'!F:J,5,0),"No R2")</f>
        <v>No R2</v>
      </c>
      <c r="F226" s="3">
        <f>COUNTIF('Peer-Review'!B:B,C226)+COUNTIF('Peer-Review'!F:F,C226)</f>
        <v>2</v>
      </c>
      <c r="G226" s="3">
        <f t="shared" si="1"/>
        <v>1</v>
      </c>
      <c r="H226" s="3" t="str">
        <f>IFERROR(__xludf.DUMMYFUNCTION("IFERROR(TRANSPOSE(FILTER('Peer-Review'!$J$2:$J$568,(TRIM('Peer-Review'!$B$2:$B$568)=C226 )+ (TRIM('Peer-Review'!$F$2:$F$568)=C226))),""No Reviews"")"),"22f2001074@ds.study.iitm.ac.in")</f>
        <v>22f2001074@ds.study.iitm.ac.in</v>
      </c>
      <c r="I226" s="3" t="str">
        <f>IFERROR(__xludf.DUMMYFUNCTION("""COMPUTED_VALUE"""),"23f2003412@ds.study.iitm.ac.in")</f>
        <v>23f2003412@ds.study.iitm.ac.in</v>
      </c>
      <c r="J226" s="3">
        <f>IF(D226="No R1",0,VLOOKUP(C226,'Peer-Review'!B:D,2,0))</f>
        <v>8</v>
      </c>
      <c r="K226" s="3">
        <f>IF(D226="No R1",0,VLOOKUP(C226,'Peer-Review'!B:D,3,0))</f>
        <v>8</v>
      </c>
      <c r="L226" s="3">
        <f>IF(E226="No R2",0,VLOOKUP(C226,'Peer-Review'!F:H,2,0))</f>
        <v>0</v>
      </c>
      <c r="M226" s="3">
        <f>IF(E226="No R2",0,VLOOKUP(C226,'Peer-Review'!F:H,3,0))</f>
        <v>0</v>
      </c>
    </row>
    <row r="227" hidden="1">
      <c r="A227" s="3" t="str">
        <f>IFERROR(__xludf.DUMMYFUNCTION("""COMPUTED_VALUE"""),"22f2000809@ds.study.iitm.ac.in")</f>
        <v>22f2000809@ds.study.iitm.ac.in</v>
      </c>
      <c r="B227" s="3">
        <f>IFERROR(__xludf.DUMMYFUNCTION("""COMPUTED_VALUE"""),14.0)</f>
        <v>14</v>
      </c>
      <c r="C227" s="5" t="str">
        <f>IFERROR(__xludf.DUMMYFUNCTION("""COMPUTED_VALUE"""),"https://github.com/22f2000809/project_1")</f>
        <v>https://github.com/22f2000809/project_1</v>
      </c>
      <c r="D227" s="3" t="str">
        <f>IFERROR(VLOOKUP(C227,'Peer-Review'!B:J,9,0),"No R1")</f>
        <v>22f2000854@ds.study.iitm.ac.in</v>
      </c>
      <c r="E227" s="3" t="str">
        <f>IFERROR(VLOOKUP(C227,'Peer-Review'!F:J,5,0),"No R2")</f>
        <v>No R2</v>
      </c>
      <c r="F227" s="3">
        <f>COUNTIF('Peer-Review'!B:B,C227)+COUNTIF('Peer-Review'!F:F,C227)</f>
        <v>2</v>
      </c>
      <c r="G227" s="3">
        <f t="shared" si="1"/>
        <v>1</v>
      </c>
      <c r="H227" s="3" t="str">
        <f>IFERROR(__xludf.DUMMYFUNCTION("IFERROR(TRANSPOSE(FILTER('Peer-Review'!$J$2:$J$568,(TRIM('Peer-Review'!$B$2:$B$568)=C227 )+ (TRIM('Peer-Review'!$F$2:$F$568)=C227))),""No Reviews"")"),"22f2000854@ds.study.iitm.ac.in")</f>
        <v>22f2000854@ds.study.iitm.ac.in</v>
      </c>
      <c r="I227" s="3" t="str">
        <f>IFERROR(__xludf.DUMMYFUNCTION("""COMPUTED_VALUE"""),"23ds3000081@ds.study.iitm.ac.in")</f>
        <v>23ds3000081@ds.study.iitm.ac.in</v>
      </c>
      <c r="J227" s="3">
        <f>IF(D227="No R1",0,VLOOKUP(C227,'Peer-Review'!B:D,2,0))</f>
        <v>9</v>
      </c>
      <c r="K227" s="3">
        <f>IF(D227="No R1",0,VLOOKUP(C227,'Peer-Review'!B:D,3,0))</f>
        <v>9</v>
      </c>
      <c r="L227" s="3">
        <f>IF(E227="No R2",0,VLOOKUP(C227,'Peer-Review'!F:H,2,0))</f>
        <v>0</v>
      </c>
      <c r="M227" s="3">
        <f>IF(E227="No R2",0,VLOOKUP(C227,'Peer-Review'!F:H,3,0))</f>
        <v>0</v>
      </c>
    </row>
    <row r="228" hidden="1">
      <c r="A228" s="3" t="str">
        <f>IFERROR(__xludf.DUMMYFUNCTION("""COMPUTED_VALUE"""),"22f2000816@ds.study.iitm.ac.in")</f>
        <v>22f2000816@ds.study.iitm.ac.in</v>
      </c>
      <c r="B228" s="3">
        <f>IFERROR(__xludf.DUMMYFUNCTION("""COMPUTED_VALUE"""),17.0)</f>
        <v>17</v>
      </c>
      <c r="C228" s="5" t="str">
        <f>IFERROR(__xludf.DUMMYFUNCTION("""COMPUTED_VALUE"""),"https://github.com/joy-pro26/TDSProject1")</f>
        <v>https://github.com/joy-pro26/TDSProject1</v>
      </c>
      <c r="D228" s="3" t="str">
        <f>IFERROR(VLOOKUP(C228,'Peer-Review'!B:J,9,0),"No R1")</f>
        <v>No R1</v>
      </c>
      <c r="E228" s="3" t="str">
        <f>IFERROR(VLOOKUP(C228,'Peer-Review'!F:J,5,0),"No R2")</f>
        <v>22f2000761@ds.study.iitm.ac.in</v>
      </c>
      <c r="F228" s="3">
        <f>COUNTIF('Peer-Review'!B:B,C228)+COUNTIF('Peer-Review'!F:F,C228)</f>
        <v>2</v>
      </c>
      <c r="G228" s="3">
        <f t="shared" si="1"/>
        <v>1</v>
      </c>
      <c r="H228" s="3" t="str">
        <f>IFERROR(__xludf.DUMMYFUNCTION("IFERROR(TRANSPOSE(FILTER('Peer-Review'!$J$2:$J$568,(TRIM('Peer-Review'!$B$2:$B$568)=C228 )+ (TRIM('Peer-Review'!$F$2:$F$568)=C228))),""No Reviews"")"),"22f2000761@ds.study.iitm.ac.in")</f>
        <v>22f2000761@ds.study.iitm.ac.in</v>
      </c>
      <c r="I228" s="3" t="str">
        <f>IFERROR(__xludf.DUMMYFUNCTION("""COMPUTED_VALUE"""),"22f2001335@ds.study.iitm.ac.in")</f>
        <v>22f2001335@ds.study.iitm.ac.in</v>
      </c>
      <c r="J228" s="3">
        <f>IF(D228="No R1",0,VLOOKUP(C228,'Peer-Review'!B:D,2,0))</f>
        <v>0</v>
      </c>
      <c r="K228" s="3">
        <f>IF(D228="No R1",0,VLOOKUP(C228,'Peer-Review'!B:D,3,0))</f>
        <v>0</v>
      </c>
      <c r="L228" s="3">
        <f>IF(E228="No R2",0,VLOOKUP(C228,'Peer-Review'!F:H,2,0))</f>
        <v>10</v>
      </c>
      <c r="M228" s="3">
        <f>IF(E228="No R2",0,VLOOKUP(C228,'Peer-Review'!F:H,3,0))</f>
        <v>10</v>
      </c>
    </row>
    <row r="229" hidden="1">
      <c r="A229" s="3" t="str">
        <f>IFERROR(__xludf.DUMMYFUNCTION("""COMPUTED_VALUE"""),"22f2000852@ds.study.iitm.ac.in")</f>
        <v>22f2000852@ds.study.iitm.ac.in</v>
      </c>
      <c r="B229" s="3">
        <f>IFERROR(__xludf.DUMMYFUNCTION("""COMPUTED_VALUE"""),17.0)</f>
        <v>17</v>
      </c>
      <c r="C229" s="5" t="str">
        <f>IFERROR(__xludf.DUMMYFUNCTION("""COMPUTED_VALUE"""),"https://github.com/Sa007tish/hyd-gitanalysis")</f>
        <v>https://github.com/Sa007tish/hyd-gitanalysis</v>
      </c>
      <c r="D229" s="3" t="str">
        <f>IFERROR(VLOOKUP(C229,'Peer-Review'!B:J,9,0),"No R1")</f>
        <v>No R1</v>
      </c>
      <c r="E229" s="3" t="str">
        <f>IFERROR(VLOOKUP(C229,'Peer-Review'!F:J,5,0),"No R2")</f>
        <v>22f2000816@ds.study.iitm.ac.in</v>
      </c>
      <c r="F229" s="3">
        <f>COUNTIF('Peer-Review'!B:B,C229)+COUNTIF('Peer-Review'!F:F,C229)</f>
        <v>1</v>
      </c>
      <c r="G229" s="3">
        <f t="shared" si="1"/>
        <v>1</v>
      </c>
      <c r="H229" s="3" t="str">
        <f>IFERROR(__xludf.DUMMYFUNCTION("IFERROR(TRANSPOSE(FILTER('Peer-Review'!$J$2:$J$568,(TRIM('Peer-Review'!$B$2:$B$568)=C229 )+ (TRIM('Peer-Review'!$F$2:$F$568)=C229))),""No Reviews"")"),"22f2000816@ds.study.iitm.ac.in")</f>
        <v>22f2000816@ds.study.iitm.ac.in</v>
      </c>
      <c r="J229" s="3">
        <f>IF(D229="No R1",0,VLOOKUP(C229,'Peer-Review'!B:D,2,0))</f>
        <v>0</v>
      </c>
      <c r="K229" s="3">
        <f>IF(D229="No R1",0,VLOOKUP(C229,'Peer-Review'!B:D,3,0))</f>
        <v>0</v>
      </c>
      <c r="L229" s="3">
        <f>IF(E229="No R2",0,VLOOKUP(C229,'Peer-Review'!F:H,2,0))</f>
        <v>8</v>
      </c>
      <c r="M229" s="3">
        <f>IF(E229="No R2",0,VLOOKUP(C229,'Peer-Review'!F:H,3,0))</f>
        <v>5</v>
      </c>
    </row>
    <row r="230" hidden="1">
      <c r="A230" s="3" t="str">
        <f>IFERROR(__xludf.DUMMYFUNCTION("""COMPUTED_VALUE"""),"22f2000854@ds.study.iitm.ac.in")</f>
        <v>22f2000854@ds.study.iitm.ac.in</v>
      </c>
      <c r="B230" s="3">
        <f>IFERROR(__xludf.DUMMYFUNCTION("""COMPUTED_VALUE"""),14.0)</f>
        <v>14</v>
      </c>
      <c r="C230" s="5" t="str">
        <f>IFERROR(__xludf.DUMMYFUNCTION("""COMPUTED_VALUE"""),"https://github.com/RealFalseGod/Project1")</f>
        <v>https://github.com/RealFalseGod/Project1</v>
      </c>
      <c r="D230" s="3" t="str">
        <f>IFERROR(VLOOKUP(C230,'Peer-Review'!B:J,9,0),"No R1")</f>
        <v>23ds3000139@ds.study.iitm.ac.in</v>
      </c>
      <c r="E230" s="3" t="str">
        <f>IFERROR(VLOOKUP(C230,'Peer-Review'!F:J,5,0),"No R2")</f>
        <v>No R2</v>
      </c>
      <c r="F230" s="3">
        <f>COUNTIF('Peer-Review'!B:B,C230)+COUNTIF('Peer-Review'!F:F,C230)</f>
        <v>2</v>
      </c>
      <c r="G230" s="3">
        <f t="shared" si="1"/>
        <v>1</v>
      </c>
      <c r="H230" s="3" t="str">
        <f>IFERROR(__xludf.DUMMYFUNCTION("IFERROR(TRANSPOSE(FILTER('Peer-Review'!$J$2:$J$568,(TRIM('Peer-Review'!$B$2:$B$568)=C230 )+ (TRIM('Peer-Review'!$F$2:$F$568)=C230))),""No Reviews"")"),"23ds3000139@ds.study.iitm.ac.in")</f>
        <v>23ds3000139@ds.study.iitm.ac.in</v>
      </c>
      <c r="I230" s="3" t="str">
        <f>IFERROR(__xludf.DUMMYFUNCTION("""COMPUTED_VALUE"""),"22f2001075@ds.study.iitm.ac.in")</f>
        <v>22f2001075@ds.study.iitm.ac.in</v>
      </c>
      <c r="J230" s="3">
        <f>IF(D230="No R1",0,VLOOKUP(C230,'Peer-Review'!B:D,2,0))</f>
        <v>5</v>
      </c>
      <c r="K230" s="3">
        <f>IF(D230="No R1",0,VLOOKUP(C230,'Peer-Review'!B:D,3,0))</f>
        <v>0</v>
      </c>
      <c r="L230" s="3">
        <f>IF(E230="No R2",0,VLOOKUP(C230,'Peer-Review'!F:H,2,0))</f>
        <v>0</v>
      </c>
      <c r="M230" s="3">
        <f>IF(E230="No R2",0,VLOOKUP(C230,'Peer-Review'!F:H,3,0))</f>
        <v>0</v>
      </c>
    </row>
    <row r="231" hidden="1">
      <c r="A231" s="3" t="str">
        <f>IFERROR(__xludf.DUMMYFUNCTION("""COMPUTED_VALUE"""),"22f2000894@ds.study.iitm.ac.in")</f>
        <v>22f2000894@ds.study.iitm.ac.in</v>
      </c>
      <c r="B231" s="3">
        <f>IFERROR(__xludf.DUMMYFUNCTION("""COMPUTED_VALUE"""),13.0)</f>
        <v>13</v>
      </c>
      <c r="C231" s="5" t="str">
        <f>IFERROR(__xludf.DUMMYFUNCTION("""COMPUTED_VALUE"""),"https://github.com/22f2000894/tds-project-1")</f>
        <v>https://github.com/22f2000894/tds-project-1</v>
      </c>
      <c r="D231" s="3" t="str">
        <f>IFERROR(VLOOKUP(C231,'Peer-Review'!B:J,9,0),"No R1")</f>
        <v>22f2000713@ds.study.iitm.ac.in</v>
      </c>
      <c r="E231" s="3" t="str">
        <f>IFERROR(VLOOKUP(C231,'Peer-Review'!F:J,5,0),"No R2")</f>
        <v>No R2</v>
      </c>
      <c r="F231" s="3">
        <f>COUNTIF('Peer-Review'!B:B,C231)+COUNTIF('Peer-Review'!F:F,C231)</f>
        <v>2</v>
      </c>
      <c r="G231" s="3">
        <f t="shared" si="1"/>
        <v>1</v>
      </c>
      <c r="H231" s="3" t="str">
        <f>IFERROR(__xludf.DUMMYFUNCTION("IFERROR(TRANSPOSE(FILTER('Peer-Review'!$J$2:$J$568,(TRIM('Peer-Review'!$B$2:$B$568)=C231 )+ (TRIM('Peer-Review'!$F$2:$F$568)=C231))),""No Reviews"")"),"22f2000713@ds.study.iitm.ac.in")</f>
        <v>22f2000713@ds.study.iitm.ac.in</v>
      </c>
      <c r="I231" s="3" t="str">
        <f>IFERROR(__xludf.DUMMYFUNCTION("""COMPUTED_VALUE"""),"22f2000902@ds.study.iitm.ac.in")</f>
        <v>22f2000902@ds.study.iitm.ac.in</v>
      </c>
      <c r="J231" s="3">
        <f>IF(D231="No R1",0,VLOOKUP(C231,'Peer-Review'!B:D,2,0))</f>
        <v>9</v>
      </c>
      <c r="K231" s="3">
        <f>IF(D231="No R1",0,VLOOKUP(C231,'Peer-Review'!B:D,3,0))</f>
        <v>10</v>
      </c>
      <c r="L231" s="3">
        <f>IF(E231="No R2",0,VLOOKUP(C231,'Peer-Review'!F:H,2,0))</f>
        <v>0</v>
      </c>
      <c r="M231" s="3">
        <f>IF(E231="No R2",0,VLOOKUP(C231,'Peer-Review'!F:H,3,0))</f>
        <v>0</v>
      </c>
    </row>
    <row r="232" hidden="1">
      <c r="A232" s="3" t="str">
        <f>IFERROR(__xludf.DUMMYFUNCTION("""COMPUTED_VALUE"""),"22f2000902@ds.study.iitm.ac.in")</f>
        <v>22f2000902@ds.study.iitm.ac.in</v>
      </c>
      <c r="B232" s="3">
        <f>IFERROR(__xludf.DUMMYFUNCTION("""COMPUTED_VALUE"""),13.0)</f>
        <v>13</v>
      </c>
      <c r="C232" s="5" t="str">
        <f>IFERROR(__xludf.DUMMYFUNCTION("""COMPUTED_VALUE"""),"https://github.com/infamous-01/TDS-Project-1")</f>
        <v>https://github.com/infamous-01/TDS-Project-1</v>
      </c>
      <c r="D232" s="3" t="str">
        <f>IFERROR(VLOOKUP(C232,'Peer-Review'!B:J,9,0),"No R1")</f>
        <v>22f2000761@ds.study.iitm.ac.in</v>
      </c>
      <c r="E232" s="3" t="str">
        <f>IFERROR(VLOOKUP(C232,'Peer-Review'!F:J,5,0),"No R2")</f>
        <v>No R2</v>
      </c>
      <c r="F232" s="3">
        <f>COUNTIF('Peer-Review'!B:B,C232)+COUNTIF('Peer-Review'!F:F,C232)</f>
        <v>2</v>
      </c>
      <c r="G232" s="3">
        <f t="shared" si="1"/>
        <v>1</v>
      </c>
      <c r="H232" s="3" t="str">
        <f>IFERROR(__xludf.DUMMYFUNCTION("IFERROR(TRANSPOSE(FILTER('Peer-Review'!$J$2:$J$568,(TRIM('Peer-Review'!$B$2:$B$568)=C232 )+ (TRIM('Peer-Review'!$F$2:$F$568)=C232))),""No Reviews"")"),"22f2000761@ds.study.iitm.ac.in")</f>
        <v>22f2000761@ds.study.iitm.ac.in</v>
      </c>
      <c r="I232" s="3" t="str">
        <f>IFERROR(__xludf.DUMMYFUNCTION("""COMPUTED_VALUE"""),"22f2001335@ds.study.iitm.ac.in")</f>
        <v>22f2001335@ds.study.iitm.ac.in</v>
      </c>
      <c r="J232" s="3">
        <f>IF(D232="No R1",0,VLOOKUP(C232,'Peer-Review'!B:D,2,0))</f>
        <v>10</v>
      </c>
      <c r="K232" s="3">
        <f>IF(D232="No R1",0,VLOOKUP(C232,'Peer-Review'!B:D,3,0))</f>
        <v>0</v>
      </c>
      <c r="L232" s="3">
        <f>IF(E232="No R2",0,VLOOKUP(C232,'Peer-Review'!F:H,2,0))</f>
        <v>0</v>
      </c>
      <c r="M232" s="3">
        <f>IF(E232="No R2",0,VLOOKUP(C232,'Peer-Review'!F:H,3,0))</f>
        <v>0</v>
      </c>
    </row>
    <row r="233" hidden="1">
      <c r="A233" s="3" t="str">
        <f>IFERROR(__xludf.DUMMYFUNCTION("""COMPUTED_VALUE"""),"22f2000931@ds.study.iitm.ac.in")</f>
        <v>22f2000931@ds.study.iitm.ac.in</v>
      </c>
      <c r="B233" s="3">
        <f>IFERROR(__xludf.DUMMYFUNCTION("""COMPUTED_VALUE"""),17.0)</f>
        <v>17</v>
      </c>
      <c r="C233" s="5" t="str">
        <f>IFERROR(__xludf.DUMMYFUNCTION("""COMPUTED_VALUE"""),"https://github.com/darshu2806/tdsproj1")</f>
        <v>https://github.com/darshu2806/tdsproj1</v>
      </c>
      <c r="D233" s="3" t="str">
        <f>IFERROR(VLOOKUP(C233,'Peer-Review'!B:J,9,0),"No R1")</f>
        <v>No R1</v>
      </c>
      <c r="E233" s="3" t="str">
        <f>IFERROR(VLOOKUP(C233,'Peer-Review'!F:J,5,0),"No R2")</f>
        <v>22f2000852@ds.study.iitm.ac.in</v>
      </c>
      <c r="F233" s="3">
        <f>COUNTIF('Peer-Review'!B:B,C233)+COUNTIF('Peer-Review'!F:F,C233)</f>
        <v>2</v>
      </c>
      <c r="G233" s="3">
        <f t="shared" si="1"/>
        <v>1</v>
      </c>
      <c r="H233" s="3" t="str">
        <f>IFERROR(__xludf.DUMMYFUNCTION("IFERROR(TRANSPOSE(FILTER('Peer-Review'!$J$2:$J$568,(TRIM('Peer-Review'!$B$2:$B$568)=C233 )+ (TRIM('Peer-Review'!$F$2:$F$568)=C233))),""No Reviews"")"),"22f2000852@ds.study.iitm.ac.in")</f>
        <v>22f2000852@ds.study.iitm.ac.in</v>
      </c>
      <c r="I233" s="3" t="str">
        <f>IFERROR(__xludf.DUMMYFUNCTION("""COMPUTED_VALUE"""),"22f3000312@ds.study.iitm.ac.in")</f>
        <v>22f3000312@ds.study.iitm.ac.in</v>
      </c>
      <c r="J233" s="3">
        <f>IF(D233="No R1",0,VLOOKUP(C233,'Peer-Review'!B:D,2,0))</f>
        <v>0</v>
      </c>
      <c r="K233" s="3">
        <f>IF(D233="No R1",0,VLOOKUP(C233,'Peer-Review'!B:D,3,0))</f>
        <v>0</v>
      </c>
      <c r="L233" s="3">
        <f>IF(E233="No R2",0,VLOOKUP(C233,'Peer-Review'!F:H,2,0))</f>
        <v>7</v>
      </c>
      <c r="M233" s="3">
        <f>IF(E233="No R2",0,VLOOKUP(C233,'Peer-Review'!F:H,3,0))</f>
        <v>0</v>
      </c>
    </row>
    <row r="234" hidden="1">
      <c r="A234" s="3" t="str">
        <f>IFERROR(__xludf.DUMMYFUNCTION("""COMPUTED_VALUE"""),"22f2000945@ds.study.iitm.ac.in")</f>
        <v>22f2000945@ds.study.iitm.ac.in</v>
      </c>
      <c r="B234" s="3">
        <f>IFERROR(__xludf.DUMMYFUNCTION("""COMPUTED_VALUE"""),17.0)</f>
        <v>17</v>
      </c>
      <c r="C234" s="5" t="str">
        <f>IFERROR(__xludf.DUMMYFUNCTION("""COMPUTED_VALUE"""),"https://github.com/Kabilan-18/TDS-Project1/")</f>
        <v>https://github.com/Kabilan-18/TDS-Project1/</v>
      </c>
      <c r="D234" s="3" t="str">
        <f>IFERROR(VLOOKUP(C234,'Peer-Review'!B:J,9,0),"No R1")</f>
        <v>No R1</v>
      </c>
      <c r="E234" s="3" t="str">
        <f>IFERROR(VLOOKUP(C234,'Peer-Review'!F:J,5,0),"No R2")</f>
        <v>22f3000803@ds.study.iitm.ac.in</v>
      </c>
      <c r="F234" s="3">
        <f>COUNTIF('Peer-Review'!B:B,C234)+COUNTIF('Peer-Review'!F:F,C234)</f>
        <v>1</v>
      </c>
      <c r="G234" s="3">
        <f t="shared" si="1"/>
        <v>1</v>
      </c>
      <c r="H234" s="3" t="str">
        <f>IFERROR(__xludf.DUMMYFUNCTION("IFERROR(TRANSPOSE(FILTER('Peer-Review'!$J$2:$J$568,(TRIM('Peer-Review'!$B$2:$B$568)=C234 )+ (TRIM('Peer-Review'!$F$2:$F$568)=C234))),""No Reviews"")"),"22f3000803@ds.study.iitm.ac.in")</f>
        <v>22f3000803@ds.study.iitm.ac.in</v>
      </c>
      <c r="J234" s="3">
        <f>IF(D234="No R1",0,VLOOKUP(C234,'Peer-Review'!B:D,2,0))</f>
        <v>0</v>
      </c>
      <c r="K234" s="3">
        <f>IF(D234="No R1",0,VLOOKUP(C234,'Peer-Review'!B:D,3,0))</f>
        <v>0</v>
      </c>
      <c r="L234" s="3">
        <f>IF(E234="No R2",0,VLOOKUP(C234,'Peer-Review'!F:H,2,0))</f>
        <v>10</v>
      </c>
      <c r="M234" s="3">
        <f>IF(E234="No R2",0,VLOOKUP(C234,'Peer-Review'!F:H,3,0))</f>
        <v>10</v>
      </c>
    </row>
    <row r="235" hidden="1">
      <c r="A235" s="3" t="str">
        <f>IFERROR(__xludf.DUMMYFUNCTION("""COMPUTED_VALUE"""),"22f2000946@ds.study.iitm.ac.in")</f>
        <v>22f2000946@ds.study.iitm.ac.in</v>
      </c>
      <c r="B235" s="3">
        <f>IFERROR(__xludf.DUMMYFUNCTION("""COMPUTED_VALUE"""),9.0)</f>
        <v>9</v>
      </c>
      <c r="C235" s="5" t="str">
        <f>IFERROR(__xludf.DUMMYFUNCTION("""COMPUTED_VALUE"""),"https://github.com/Akashkunwar/TDS-Project-1")</f>
        <v>https://github.com/Akashkunwar/TDS-Project-1</v>
      </c>
      <c r="D235" s="3" t="str">
        <f>IFERROR(VLOOKUP(C235,'Peer-Review'!B:J,9,0),"No R1")</f>
        <v>22f3002885@ds.study.iitm.ac.in</v>
      </c>
      <c r="E235" s="3" t="str">
        <f>IFERROR(VLOOKUP(C235,'Peer-Review'!F:J,5,0),"No R2")</f>
        <v>No R2</v>
      </c>
      <c r="F235" s="3">
        <f>COUNTIF('Peer-Review'!B:B,C235)+COUNTIF('Peer-Review'!F:F,C235)</f>
        <v>1</v>
      </c>
      <c r="G235" s="3">
        <f t="shared" si="1"/>
        <v>1</v>
      </c>
      <c r="H235" s="3" t="str">
        <f>IFERROR(__xludf.DUMMYFUNCTION("IFERROR(TRANSPOSE(FILTER('Peer-Review'!$J$2:$J$568,(TRIM('Peer-Review'!$B$2:$B$568)=C235 )+ (TRIM('Peer-Review'!$F$2:$F$568)=C235))),""No Reviews"")"),"22f3002885@ds.study.iitm.ac.in")</f>
        <v>22f3002885@ds.study.iitm.ac.in</v>
      </c>
      <c r="J235" s="3">
        <f>IF(D235="No R1",0,VLOOKUP(C235,'Peer-Review'!B:D,2,0))</f>
        <v>0</v>
      </c>
      <c r="K235" s="3">
        <f>IF(D235="No R1",0,VLOOKUP(C235,'Peer-Review'!B:D,3,0))</f>
        <v>5</v>
      </c>
      <c r="L235" s="3">
        <f>IF(E235="No R2",0,VLOOKUP(C235,'Peer-Review'!F:H,2,0))</f>
        <v>0</v>
      </c>
      <c r="M235" s="3">
        <f>IF(E235="No R2",0,VLOOKUP(C235,'Peer-Review'!F:H,3,0))</f>
        <v>0</v>
      </c>
    </row>
    <row r="236" hidden="1">
      <c r="A236" s="3" t="str">
        <f>IFERROR(__xludf.DUMMYFUNCTION("""COMPUTED_VALUE"""),"22f2001019@ds.study.iitm.ac.in")</f>
        <v>22f2001019@ds.study.iitm.ac.in</v>
      </c>
      <c r="B236" s="3">
        <f>IFERROR(__xludf.DUMMYFUNCTION("""COMPUTED_VALUE"""),17.0)</f>
        <v>17</v>
      </c>
      <c r="C236" s="5" t="str">
        <f>IFERROR(__xludf.DUMMYFUNCTION("""COMPUTED_VALUE"""),"https://github.com/jayandral/TDS_Project1")</f>
        <v>https://github.com/jayandral/TDS_Project1</v>
      </c>
      <c r="D236" s="3" t="str">
        <f>IFERROR(VLOOKUP(C236,'Peer-Review'!B:J,9,0),"No R1")</f>
        <v>No R1</v>
      </c>
      <c r="E236" s="3" t="str">
        <f>IFERROR(VLOOKUP(C236,'Peer-Review'!F:J,5,0),"No R2")</f>
        <v>22f2000945@ds.study.iitm.ac.in</v>
      </c>
      <c r="F236" s="3">
        <f>COUNTIF('Peer-Review'!B:B,C236)+COUNTIF('Peer-Review'!F:F,C236)</f>
        <v>2</v>
      </c>
      <c r="G236" s="3">
        <f t="shared" si="1"/>
        <v>1</v>
      </c>
      <c r="H236" s="3" t="str">
        <f>IFERROR(__xludf.DUMMYFUNCTION("IFERROR(TRANSPOSE(FILTER('Peer-Review'!$J$2:$J$568,(TRIM('Peer-Review'!$B$2:$B$568)=C236 )+ (TRIM('Peer-Review'!$F$2:$F$568)=C236))),""No Reviews"")"),"22f2000945@ds.study.iitm.ac.in")</f>
        <v>22f2000945@ds.study.iitm.ac.in</v>
      </c>
      <c r="I236" s="3" t="str">
        <f>IFERROR(__xludf.DUMMYFUNCTION("""COMPUTED_VALUE"""),"22f3000966@ds.study.iitm.ac.in")</f>
        <v>22f3000966@ds.study.iitm.ac.in</v>
      </c>
      <c r="J236" s="3">
        <f>IF(D236="No R1",0,VLOOKUP(C236,'Peer-Review'!B:D,2,0))</f>
        <v>0</v>
      </c>
      <c r="K236" s="3">
        <f>IF(D236="No R1",0,VLOOKUP(C236,'Peer-Review'!B:D,3,0))</f>
        <v>0</v>
      </c>
      <c r="L236" s="3">
        <f>IF(E236="No R2",0,VLOOKUP(C236,'Peer-Review'!F:H,2,0))</f>
        <v>5</v>
      </c>
      <c r="M236" s="3">
        <f>IF(E236="No R2",0,VLOOKUP(C236,'Peer-Review'!F:H,3,0))</f>
        <v>10</v>
      </c>
    </row>
    <row r="237" hidden="1">
      <c r="A237" s="3" t="str">
        <f>IFERROR(__xludf.DUMMYFUNCTION("""COMPUTED_VALUE"""),"22f2001062@ds.study.iitm.ac.in")</f>
        <v>22f2001062@ds.study.iitm.ac.in</v>
      </c>
      <c r="B237" s="3">
        <f>IFERROR(__xludf.DUMMYFUNCTION("""COMPUTED_VALUE"""),17.0)</f>
        <v>17</v>
      </c>
      <c r="C237" s="5" t="str">
        <f>IFERROR(__xludf.DUMMYFUNCTION("""COMPUTED_VALUE"""),"https://github.com/Karanshrivastav/tds_project_1")</f>
        <v>https://github.com/Karanshrivastav/tds_project_1</v>
      </c>
      <c r="D237" s="3" t="str">
        <f>IFERROR(VLOOKUP(C237,'Peer-Review'!B:J,9,0),"No R1")</f>
        <v>No R1</v>
      </c>
      <c r="E237" s="3" t="str">
        <f>IFERROR(VLOOKUP(C237,'Peer-Review'!F:J,5,0),"No R2")</f>
        <v>22f2001019@ds.study.iitm.ac.in</v>
      </c>
      <c r="F237" s="3">
        <f>COUNTIF('Peer-Review'!B:B,C237)+COUNTIF('Peer-Review'!F:F,C237)</f>
        <v>2</v>
      </c>
      <c r="G237" s="3">
        <f t="shared" si="1"/>
        <v>1</v>
      </c>
      <c r="H237" s="3" t="str">
        <f>IFERROR(__xludf.DUMMYFUNCTION("IFERROR(TRANSPOSE(FILTER('Peer-Review'!$J$2:$J$568,(TRIM('Peer-Review'!$B$2:$B$568)=C237 )+ (TRIM('Peer-Review'!$F$2:$F$568)=C237))),""No Reviews"")"),"22f2001019@ds.study.iitm.ac.in")</f>
        <v>22f2001019@ds.study.iitm.ac.in</v>
      </c>
      <c r="I237" s="3" t="str">
        <f>IFERROR(__xludf.DUMMYFUNCTION("""COMPUTED_VALUE"""),"22f3001059@ds.study.iitm.ac.in")</f>
        <v>22f3001059@ds.study.iitm.ac.in</v>
      </c>
      <c r="J237" s="3">
        <f>IF(D237="No R1",0,VLOOKUP(C237,'Peer-Review'!B:D,2,0))</f>
        <v>0</v>
      </c>
      <c r="K237" s="3">
        <f>IF(D237="No R1",0,VLOOKUP(C237,'Peer-Review'!B:D,3,0))</f>
        <v>0</v>
      </c>
      <c r="L237" s="3">
        <f>IF(E237="No R2",0,VLOOKUP(C237,'Peer-Review'!F:H,2,0))</f>
        <v>0</v>
      </c>
      <c r="M237" s="3">
        <f>IF(E237="No R2",0,VLOOKUP(C237,'Peer-Review'!F:H,3,0))</f>
        <v>10</v>
      </c>
    </row>
    <row r="238" hidden="1">
      <c r="A238" s="3" t="str">
        <f>IFERROR(__xludf.DUMMYFUNCTION("""COMPUTED_VALUE"""),"22f2001074@ds.study.iitm.ac.in")</f>
        <v>22f2001074@ds.study.iitm.ac.in</v>
      </c>
      <c r="B238" s="3">
        <f>IFERROR(__xludf.DUMMYFUNCTION("""COMPUTED_VALUE"""),15.0)</f>
        <v>15</v>
      </c>
      <c r="C238" s="5" t="str">
        <f>IFERROR(__xludf.DUMMYFUNCTION("""COMPUTED_VALUE"""),"https://github.com/KaustubhaRam/London_GitHub_Users")</f>
        <v>https://github.com/KaustubhaRam/London_GitHub_Users</v>
      </c>
      <c r="D238" s="3" t="str">
        <f>IFERROR(VLOOKUP(C238,'Peer-Review'!B:J,9,0),"No R1")</f>
        <v>23f2003415@ds.study.iitm.ac.in</v>
      </c>
      <c r="E238" s="3" t="str">
        <f>IFERROR(VLOOKUP(C238,'Peer-Review'!F:J,5,0),"No R2")</f>
        <v>No R2</v>
      </c>
      <c r="F238" s="3">
        <f>COUNTIF('Peer-Review'!B:B,C238)+COUNTIF('Peer-Review'!F:F,C238)</f>
        <v>2</v>
      </c>
      <c r="G238" s="3">
        <f t="shared" si="1"/>
        <v>1</v>
      </c>
      <c r="H238" s="3" t="str">
        <f>IFERROR(__xludf.DUMMYFUNCTION("IFERROR(TRANSPOSE(FILTER('Peer-Review'!$J$2:$J$568,(TRIM('Peer-Review'!$B$2:$B$568)=C238 )+ (TRIM('Peer-Review'!$F$2:$F$568)=C238))),""No Reviews"")"),"23f2003415@ds.study.iitm.ac.in")</f>
        <v>23f2003415@ds.study.iitm.ac.in</v>
      </c>
      <c r="I238" s="3" t="str">
        <f>IFERROR(__xludf.DUMMYFUNCTION("""COMPUTED_VALUE"""),"22f2001196@ds.study.iitm.ac.in")</f>
        <v>22f2001196@ds.study.iitm.ac.in</v>
      </c>
      <c r="J238" s="3">
        <f>IF(D238="No R1",0,VLOOKUP(C238,'Peer-Review'!B:D,2,0))</f>
        <v>10</v>
      </c>
      <c r="K238" s="3">
        <f>IF(D238="No R1",0,VLOOKUP(C238,'Peer-Review'!B:D,3,0))</f>
        <v>10</v>
      </c>
      <c r="L238" s="3">
        <f>IF(E238="No R2",0,VLOOKUP(C238,'Peer-Review'!F:H,2,0))</f>
        <v>0</v>
      </c>
      <c r="M238" s="3">
        <f>IF(E238="No R2",0,VLOOKUP(C238,'Peer-Review'!F:H,3,0))</f>
        <v>0</v>
      </c>
    </row>
    <row r="239" hidden="1">
      <c r="A239" s="3" t="str">
        <f>IFERROR(__xludf.DUMMYFUNCTION("""COMPUTED_VALUE"""),"22f2001075@ds.study.iitm.ac.in")</f>
        <v>22f2001075@ds.study.iitm.ac.in</v>
      </c>
      <c r="B239" s="3">
        <f>IFERROR(__xludf.DUMMYFUNCTION("""COMPUTED_VALUE"""),14.0)</f>
        <v>14</v>
      </c>
      <c r="C239" s="5" t="str">
        <f>IFERROR(__xludf.DUMMYFUNCTION("""COMPUTED_VALUE"""),"https://github.com/KK17811/Github-repo")</f>
        <v>https://github.com/KK17811/Github-repo</v>
      </c>
      <c r="D239" s="3" t="str">
        <f>IFERROR(VLOOKUP(C239,'Peer-Review'!B:J,9,0),"No R1")</f>
        <v>23ds3000176@ds.study.iitm.ac.in</v>
      </c>
      <c r="E239" s="3" t="str">
        <f>IFERROR(VLOOKUP(C239,'Peer-Review'!F:J,5,0),"No R2")</f>
        <v>No R2</v>
      </c>
      <c r="F239" s="3">
        <f>COUNTIF('Peer-Review'!B:B,C239)+COUNTIF('Peer-Review'!F:F,C239)</f>
        <v>1</v>
      </c>
      <c r="G239" s="3">
        <f t="shared" si="1"/>
        <v>1</v>
      </c>
      <c r="H239" s="3" t="str">
        <f>IFERROR(__xludf.DUMMYFUNCTION("IFERROR(TRANSPOSE(FILTER('Peer-Review'!$J$2:$J$568,(TRIM('Peer-Review'!$B$2:$B$568)=C239 )+ (TRIM('Peer-Review'!$F$2:$F$568)=C239))),""No Reviews"")"),"23ds3000176@ds.study.iitm.ac.in")</f>
        <v>23ds3000176@ds.study.iitm.ac.in</v>
      </c>
      <c r="J239" s="3">
        <f>IF(D239="No R1",0,VLOOKUP(C239,'Peer-Review'!B:D,2,0))</f>
        <v>0</v>
      </c>
      <c r="K239" s="3">
        <f>IF(D239="No R1",0,VLOOKUP(C239,'Peer-Review'!B:D,3,0))</f>
        <v>0</v>
      </c>
      <c r="L239" s="3">
        <f>IF(E239="No R2",0,VLOOKUP(C239,'Peer-Review'!F:H,2,0))</f>
        <v>0</v>
      </c>
      <c r="M239" s="3">
        <f>IF(E239="No R2",0,VLOOKUP(C239,'Peer-Review'!F:H,3,0))</f>
        <v>0</v>
      </c>
    </row>
    <row r="240" hidden="1">
      <c r="A240" s="3" t="str">
        <f>IFERROR(__xludf.DUMMYFUNCTION("""COMPUTED_VALUE"""),"22f2001076@ds.study.iitm.ac.in")</f>
        <v>22f2001076@ds.study.iitm.ac.in</v>
      </c>
      <c r="B240" s="3">
        <f>IFERROR(__xludf.DUMMYFUNCTION("""COMPUTED_VALUE"""),9.0)</f>
        <v>9</v>
      </c>
      <c r="C240" s="5" t="str">
        <f>IFERROR(__xludf.DUMMYFUNCTION("""COMPUTED_VALUE"""),"https://github.com/Kavya792/boston-github-users")</f>
        <v>https://github.com/Kavya792/boston-github-users</v>
      </c>
      <c r="D240" s="3" t="str">
        <f>IFERROR(VLOOKUP(C240,'Peer-Review'!B:J,9,0),"No R1")</f>
        <v>22f3002981@ds.study.iitm.ac.in</v>
      </c>
      <c r="E240" s="3" t="str">
        <f>IFERROR(VLOOKUP(C240,'Peer-Review'!F:J,5,0),"No R2")</f>
        <v>No R2</v>
      </c>
      <c r="F240" s="3">
        <f>COUNTIF('Peer-Review'!B:B,C240)+COUNTIF('Peer-Review'!F:F,C240)</f>
        <v>1</v>
      </c>
      <c r="G240" s="3">
        <f t="shared" si="1"/>
        <v>1</v>
      </c>
      <c r="H240" s="3" t="str">
        <f>IFERROR(__xludf.DUMMYFUNCTION("IFERROR(TRANSPOSE(FILTER('Peer-Review'!$J$2:$J$568,(TRIM('Peer-Review'!$B$2:$B$568)=C240 )+ (TRIM('Peer-Review'!$F$2:$F$568)=C240))),""No Reviews"")"),"22f3002981@ds.study.iitm.ac.in")</f>
        <v>22f3002981@ds.study.iitm.ac.in</v>
      </c>
      <c r="J240" s="3">
        <f>IF(D240="No R1",0,VLOOKUP(C240,'Peer-Review'!B:D,2,0))</f>
        <v>10</v>
      </c>
      <c r="K240" s="3">
        <f>IF(D240="No R1",0,VLOOKUP(C240,'Peer-Review'!B:D,3,0))</f>
        <v>10</v>
      </c>
      <c r="L240" s="3">
        <f>IF(E240="No R2",0,VLOOKUP(C240,'Peer-Review'!F:H,2,0))</f>
        <v>0</v>
      </c>
      <c r="M240" s="3">
        <f>IF(E240="No R2",0,VLOOKUP(C240,'Peer-Review'!F:H,3,0))</f>
        <v>0</v>
      </c>
    </row>
    <row r="241" hidden="1">
      <c r="A241" s="3" t="str">
        <f>IFERROR(__xludf.DUMMYFUNCTION("""COMPUTED_VALUE"""),"22f2001150@ds.study.iitm.ac.in")</f>
        <v>22f2001150@ds.study.iitm.ac.in</v>
      </c>
      <c r="B241" s="3">
        <f>IFERROR(__xludf.DUMMYFUNCTION("""COMPUTED_VALUE"""),16.0)</f>
        <v>16</v>
      </c>
      <c r="C241" s="5" t="str">
        <f>IFERROR(__xludf.DUMMYFUNCTION("""COMPUTED_VALUE"""),"https://github.com/22f2001150/TDS-project-1")</f>
        <v>https://github.com/22f2001150/TDS-project-1</v>
      </c>
      <c r="D241" s="3" t="str">
        <f>IFERROR(VLOOKUP(C241,'Peer-Review'!B:J,9,0),"No R1")</f>
        <v>No R1</v>
      </c>
      <c r="E241" s="3" t="str">
        <f>IFERROR(VLOOKUP(C241,'Peer-Review'!F:J,5,0),"No R2")</f>
        <v>22f2000481@ds.study.iitm.ac.in</v>
      </c>
      <c r="F241" s="3">
        <f>COUNTIF('Peer-Review'!B:B,C241)+COUNTIF('Peer-Review'!F:F,C241)</f>
        <v>2</v>
      </c>
      <c r="G241" s="3">
        <f t="shared" si="1"/>
        <v>1</v>
      </c>
      <c r="H241" s="3" t="str">
        <f>IFERROR(__xludf.DUMMYFUNCTION("IFERROR(TRANSPOSE(FILTER('Peer-Review'!$J$2:$J$568,(TRIM('Peer-Review'!$B$2:$B$568)=C241 )+ (TRIM('Peer-Review'!$F$2:$F$568)=C241))),""No Reviews"")"),"22f2000481@ds.study.iitm.ac.in")</f>
        <v>22f2000481@ds.study.iitm.ac.in</v>
      </c>
      <c r="I241" s="3" t="str">
        <f>IFERROR(__xludf.DUMMYFUNCTION("""COMPUTED_VALUE"""),"22f3002442@ds.study.iitm.ac.in")</f>
        <v>22f3002442@ds.study.iitm.ac.in</v>
      </c>
      <c r="J241" s="3">
        <f>IF(D241="No R1",0,VLOOKUP(C241,'Peer-Review'!B:D,2,0))</f>
        <v>0</v>
      </c>
      <c r="K241" s="3">
        <f>IF(D241="No R1",0,VLOOKUP(C241,'Peer-Review'!B:D,3,0))</f>
        <v>0</v>
      </c>
      <c r="L241" s="3">
        <f>IF(E241="No R2",0,VLOOKUP(C241,'Peer-Review'!F:H,2,0))</f>
        <v>7</v>
      </c>
      <c r="M241" s="3">
        <f>IF(E241="No R2",0,VLOOKUP(C241,'Peer-Review'!F:H,3,0))</f>
        <v>8</v>
      </c>
    </row>
    <row r="242" hidden="1">
      <c r="A242" s="3" t="str">
        <f>IFERROR(__xludf.DUMMYFUNCTION("""COMPUTED_VALUE"""),"22f2001166@ds.study.iitm.ac.in")</f>
        <v>22f2001166@ds.study.iitm.ac.in</v>
      </c>
      <c r="B242" s="3">
        <f>IFERROR(__xludf.DUMMYFUNCTION("""COMPUTED_VALUE"""),17.0)</f>
        <v>17</v>
      </c>
      <c r="C242" s="5" t="str">
        <f>IFERROR(__xludf.DUMMYFUNCTION("""COMPUTED_VALUE"""),"https://github.com/lakshyaonweb22/TDS_Project1")</f>
        <v>https://github.com/lakshyaonweb22/TDS_Project1</v>
      </c>
      <c r="D242" s="3" t="str">
        <f>IFERROR(VLOOKUP(C242,'Peer-Review'!B:J,9,0),"No R1")</f>
        <v>No R1</v>
      </c>
      <c r="E242" s="3" t="str">
        <f>IFERROR(VLOOKUP(C242,'Peer-Review'!F:J,5,0),"No R2")</f>
        <v>22f2001062@ds.study.iitm.ac.in</v>
      </c>
      <c r="F242" s="3">
        <f>COUNTIF('Peer-Review'!B:B,C242)+COUNTIF('Peer-Review'!F:F,C242)</f>
        <v>2</v>
      </c>
      <c r="G242" s="3">
        <f t="shared" si="1"/>
        <v>1</v>
      </c>
      <c r="H242" s="3" t="str">
        <f>IFERROR(__xludf.DUMMYFUNCTION("IFERROR(TRANSPOSE(FILTER('Peer-Review'!$J$2:$J$568,(TRIM('Peer-Review'!$B$2:$B$568)=C242 )+ (TRIM('Peer-Review'!$F$2:$F$568)=C242))),""No Reviews"")"),"22f2001062@ds.study.iitm.ac.in")</f>
        <v>22f2001062@ds.study.iitm.ac.in</v>
      </c>
      <c r="I242" s="3" t="str">
        <f>IFERROR(__xludf.DUMMYFUNCTION("""COMPUTED_VALUE"""),"22f3001350@ds.study.iitm.ac.in")</f>
        <v>22f3001350@ds.study.iitm.ac.in</v>
      </c>
      <c r="J242" s="3">
        <f>IF(D242="No R1",0,VLOOKUP(C242,'Peer-Review'!B:D,2,0))</f>
        <v>0</v>
      </c>
      <c r="K242" s="3">
        <f>IF(D242="No R1",0,VLOOKUP(C242,'Peer-Review'!B:D,3,0))</f>
        <v>0</v>
      </c>
      <c r="L242" s="3">
        <f>IF(E242="No R2",0,VLOOKUP(C242,'Peer-Review'!F:H,2,0))</f>
        <v>8</v>
      </c>
      <c r="M242" s="3">
        <f>IF(E242="No R2",0,VLOOKUP(C242,'Peer-Review'!F:H,3,0))</f>
        <v>7</v>
      </c>
    </row>
    <row r="243" hidden="1">
      <c r="A243" s="3" t="str">
        <f>IFERROR(__xludf.DUMMYFUNCTION("""COMPUTED_VALUE"""),"22f2001193@ds.study.iitm.ac.in")</f>
        <v>22f2001193@ds.study.iitm.ac.in</v>
      </c>
      <c r="B243" s="3">
        <f>IFERROR(__xludf.DUMMYFUNCTION("""COMPUTED_VALUE"""),17.0)</f>
        <v>17</v>
      </c>
      <c r="C243" s="5" t="str">
        <f>IFERROR(__xludf.DUMMYFUNCTION("""COMPUTED_VALUE"""),"https://github.com/22f2001193-neeraj-menon-iitm/TDS_Project_1")</f>
        <v>https://github.com/22f2001193-neeraj-menon-iitm/TDS_Project_1</v>
      </c>
      <c r="D243" s="3" t="str">
        <f>IFERROR(VLOOKUP(C243,'Peer-Review'!B:J,9,0),"No R1")</f>
        <v>No R1</v>
      </c>
      <c r="E243" s="3" t="str">
        <f>IFERROR(VLOOKUP(C243,'Peer-Review'!F:J,5,0),"No R2")</f>
        <v>22f2001166@ds.study.iitm.ac.in</v>
      </c>
      <c r="F243" s="3">
        <f>COUNTIF('Peer-Review'!B:B,C243)+COUNTIF('Peer-Review'!F:F,C243)</f>
        <v>1</v>
      </c>
      <c r="G243" s="3">
        <f t="shared" si="1"/>
        <v>1</v>
      </c>
      <c r="H243" s="3" t="str">
        <f>IFERROR(__xludf.DUMMYFUNCTION("IFERROR(TRANSPOSE(FILTER('Peer-Review'!$J$2:$J$568,(TRIM('Peer-Review'!$B$2:$B$568)=C243 )+ (TRIM('Peer-Review'!$F$2:$F$568)=C243))),""No Reviews"")"),"22f2001166@ds.study.iitm.ac.in")</f>
        <v>22f2001166@ds.study.iitm.ac.in</v>
      </c>
      <c r="J243" s="3">
        <f>IF(D243="No R1",0,VLOOKUP(C243,'Peer-Review'!B:D,2,0))</f>
        <v>0</v>
      </c>
      <c r="K243" s="3">
        <f>IF(D243="No R1",0,VLOOKUP(C243,'Peer-Review'!B:D,3,0))</f>
        <v>0</v>
      </c>
      <c r="L243" s="3">
        <f>IF(E243="No R2",0,VLOOKUP(C243,'Peer-Review'!F:H,2,0))</f>
        <v>10</v>
      </c>
      <c r="M243" s="3">
        <f>IF(E243="No R2",0,VLOOKUP(C243,'Peer-Review'!F:H,3,0))</f>
        <v>10</v>
      </c>
    </row>
    <row r="244" hidden="1">
      <c r="A244" s="3" t="str">
        <f>IFERROR(__xludf.DUMMYFUNCTION("""COMPUTED_VALUE"""),"22f2001196@ds.study.iitm.ac.in")</f>
        <v>22f2001196@ds.study.iitm.ac.in</v>
      </c>
      <c r="B244" s="3">
        <f>IFERROR(__xludf.DUMMYFUNCTION("""COMPUTED_VALUE"""),15.0)</f>
        <v>15</v>
      </c>
      <c r="C244" s="5" t="str">
        <f>IFERROR(__xludf.DUMMYFUNCTION("""COMPUTED_VALUE"""),"https://github.com/Keshav22f2001196/TDS-project1")</f>
        <v>https://github.com/Keshav22f2001196/TDS-project1</v>
      </c>
      <c r="D244" s="3" t="str">
        <f>IFERROR(VLOOKUP(C244,'Peer-Review'!B:J,9,0),"No R1")</f>
        <v>23f2003662@ds.study.iitm.ac.in</v>
      </c>
      <c r="E244" s="3" t="str">
        <f>IFERROR(VLOOKUP(C244,'Peer-Review'!F:J,5,0),"No R2")</f>
        <v>No R2</v>
      </c>
      <c r="F244" s="3">
        <f>COUNTIF('Peer-Review'!B:B,C244)+COUNTIF('Peer-Review'!F:F,C244)</f>
        <v>2</v>
      </c>
      <c r="G244" s="3">
        <f t="shared" si="1"/>
        <v>1</v>
      </c>
      <c r="H244" s="3" t="str">
        <f>IFERROR(__xludf.DUMMYFUNCTION("IFERROR(TRANSPOSE(FILTER('Peer-Review'!$J$2:$J$568,(TRIM('Peer-Review'!$B$2:$B$568)=C244 )+ (TRIM('Peer-Review'!$F$2:$F$568)=C244))),""No Reviews"")"),"23f2003662@ds.study.iitm.ac.in")</f>
        <v>23f2003662@ds.study.iitm.ac.in</v>
      </c>
      <c r="I244" s="3" t="str">
        <f>IFERROR(__xludf.DUMMYFUNCTION("""COMPUTED_VALUE"""),"22f2001264@ds.study.iitm.ac.in")</f>
        <v>22f2001264@ds.study.iitm.ac.in</v>
      </c>
      <c r="J244" s="3">
        <f>IF(D244="No R1",0,VLOOKUP(C244,'Peer-Review'!B:D,2,0))</f>
        <v>4</v>
      </c>
      <c r="K244" s="3">
        <f>IF(D244="No R1",0,VLOOKUP(C244,'Peer-Review'!B:D,3,0))</f>
        <v>4</v>
      </c>
      <c r="L244" s="3">
        <f>IF(E244="No R2",0,VLOOKUP(C244,'Peer-Review'!F:H,2,0))</f>
        <v>0</v>
      </c>
      <c r="M244" s="3">
        <f>IF(E244="No R2",0,VLOOKUP(C244,'Peer-Review'!F:H,3,0))</f>
        <v>0</v>
      </c>
    </row>
    <row r="245" hidden="1">
      <c r="A245" s="3" t="str">
        <f>IFERROR(__xludf.DUMMYFUNCTION("""COMPUTED_VALUE"""),"22f2001226@ds.study.iitm.ac.in")</f>
        <v>22f2001226@ds.study.iitm.ac.in</v>
      </c>
      <c r="B245" s="3">
        <f>IFERROR(__xludf.DUMMYFUNCTION("""COMPUTED_VALUE"""),16.0)</f>
        <v>16</v>
      </c>
      <c r="C245" s="5" t="str">
        <f>IFERROR(__xludf.DUMMYFUNCTION("""COMPUTED_VALUE"""),"https://github.com/Namangoel1904/TDS-Project1")</f>
        <v>https://github.com/Namangoel1904/TDS-Project1</v>
      </c>
      <c r="D245" s="3" t="str">
        <f>IFERROR(VLOOKUP(C245,'Peer-Review'!B:J,9,0),"No R1")</f>
        <v>No R1</v>
      </c>
      <c r="E245" s="3" t="str">
        <f>IFERROR(VLOOKUP(C245,'Peer-Review'!F:J,5,0),"No R2")</f>
        <v>No R2</v>
      </c>
      <c r="F245" s="3">
        <f>COUNTIF('Peer-Review'!B:B,C245)+COUNTIF('Peer-Review'!F:F,C245)</f>
        <v>0</v>
      </c>
      <c r="G245" s="3">
        <f t="shared" si="1"/>
        <v>0</v>
      </c>
      <c r="H245" s="3" t="str">
        <f>IFERROR(__xludf.DUMMYFUNCTION("IFERROR(TRANSPOSE(FILTER('Peer-Review'!$J$2:$J$568,(TRIM('Peer-Review'!$B$2:$B$568)=C245 )+ (TRIM('Peer-Review'!$F$2:$F$568)=C245))),""No Reviews"")"),"No Reviews")</f>
        <v>No Reviews</v>
      </c>
      <c r="J245" s="3">
        <f>IF(D245="No R1",0,VLOOKUP(C245,'Peer-Review'!B:D,2,0))</f>
        <v>0</v>
      </c>
      <c r="K245" s="3">
        <f>IF(D245="No R1",0,VLOOKUP(C245,'Peer-Review'!B:D,3,0))</f>
        <v>0</v>
      </c>
      <c r="L245" s="3">
        <f>IF(E245="No R2",0,VLOOKUP(C245,'Peer-Review'!F:H,2,0))</f>
        <v>0</v>
      </c>
      <c r="M245" s="3">
        <f>IF(E245="No R2",0,VLOOKUP(C245,'Peer-Review'!F:H,3,0))</f>
        <v>0</v>
      </c>
    </row>
    <row r="246" hidden="1">
      <c r="A246" s="3" t="str">
        <f>IFERROR(__xludf.DUMMYFUNCTION("""COMPUTED_VALUE"""),"22f2001246@ds.study.iitm.ac.in")</f>
        <v>22f2001246@ds.study.iitm.ac.in</v>
      </c>
      <c r="B246" s="3">
        <f>IFERROR(__xludf.DUMMYFUNCTION("""COMPUTED_VALUE"""),17.0)</f>
        <v>17</v>
      </c>
      <c r="C246" s="5" t="str">
        <f>IFERROR(__xludf.DUMMYFUNCTION("""COMPUTED_VALUE"""),"https://github.com/nirmaldeep-p/TDS-Project-1")</f>
        <v>https://github.com/nirmaldeep-p/TDS-Project-1</v>
      </c>
      <c r="D246" s="3" t="str">
        <f>IFERROR(VLOOKUP(C246,'Peer-Review'!B:J,9,0),"No R1")</f>
        <v>No R1</v>
      </c>
      <c r="E246" s="3" t="str">
        <f>IFERROR(VLOOKUP(C246,'Peer-Review'!F:J,5,0),"No R2")</f>
        <v>22f3001506@ds.study.iitm.ac.in</v>
      </c>
      <c r="F246" s="3">
        <f>COUNTIF('Peer-Review'!B:B,C246)+COUNTIF('Peer-Review'!F:F,C246)</f>
        <v>2</v>
      </c>
      <c r="G246" s="3">
        <f t="shared" si="1"/>
        <v>1</v>
      </c>
      <c r="H246" s="3" t="str">
        <f>IFERROR(__xludf.DUMMYFUNCTION("IFERROR(TRANSPOSE(FILTER('Peer-Review'!$J$2:$J$568,(TRIM('Peer-Review'!$B$2:$B$568)=C246 )+ (TRIM('Peer-Review'!$F$2:$F$568)=C246))),""No Reviews"")"),"22f3001506@ds.study.iitm.ac.in")</f>
        <v>22f3001506@ds.study.iitm.ac.in</v>
      </c>
      <c r="I246" s="3" t="str">
        <f>IFERROR(__xludf.DUMMYFUNCTION("""COMPUTED_VALUE"""),"22f2001193@ds.study.iitm.ac.in")</f>
        <v>22f2001193@ds.study.iitm.ac.in</v>
      </c>
      <c r="J246" s="3">
        <f>IF(D246="No R1",0,VLOOKUP(C246,'Peer-Review'!B:D,2,0))</f>
        <v>0</v>
      </c>
      <c r="K246" s="3">
        <f>IF(D246="No R1",0,VLOOKUP(C246,'Peer-Review'!B:D,3,0))</f>
        <v>0</v>
      </c>
      <c r="L246" s="3">
        <f>IF(E246="No R2",0,VLOOKUP(C246,'Peer-Review'!F:H,2,0))</f>
        <v>2</v>
      </c>
      <c r="M246" s="3">
        <f>IF(E246="No R2",0,VLOOKUP(C246,'Peer-Review'!F:H,3,0))</f>
        <v>0</v>
      </c>
    </row>
    <row r="247" hidden="1">
      <c r="A247" s="3" t="str">
        <f>IFERROR(__xludf.DUMMYFUNCTION("""COMPUTED_VALUE"""),"22f2001248@ds.study.iitm.ac.in")</f>
        <v>22f2001248@ds.study.iitm.ac.in</v>
      </c>
      <c r="B247" s="3">
        <f>IFERROR(__xludf.DUMMYFUNCTION("""COMPUTED_VALUE"""),17.0)</f>
        <v>17</v>
      </c>
      <c r="C247" s="5" t="str">
        <f>IFERROR(__xludf.DUMMYFUNCTION("""COMPUTED_VALUE"""),"https://github.com/theduskyrobe/TDS1")</f>
        <v>https://github.com/theduskyrobe/TDS1</v>
      </c>
      <c r="D247" s="3" t="str">
        <f>IFERROR(VLOOKUP(C247,'Peer-Review'!B:J,9,0),"No R1")</f>
        <v>No R1</v>
      </c>
      <c r="E247" s="3" t="str">
        <f>IFERROR(VLOOKUP(C247,'Peer-Review'!F:J,5,0),"No R2")</f>
        <v>22f3001512@ds.study.iitm.ac.in</v>
      </c>
      <c r="F247" s="3">
        <f>COUNTIF('Peer-Review'!B:B,C247)+COUNTIF('Peer-Review'!F:F,C247)</f>
        <v>2</v>
      </c>
      <c r="G247" s="3">
        <f t="shared" si="1"/>
        <v>1</v>
      </c>
      <c r="H247" s="3" t="str">
        <f>IFERROR(__xludf.DUMMYFUNCTION("IFERROR(TRANSPOSE(FILTER('Peer-Review'!$J$2:$J$568,(TRIM('Peer-Review'!$B$2:$B$568)=C247 )+ (TRIM('Peer-Review'!$F$2:$F$568)=C247))),""No Reviews"")"),"22f3001512@ds.study.iitm.ac.in")</f>
        <v>22f3001512@ds.study.iitm.ac.in</v>
      </c>
      <c r="I247" s="3" t="str">
        <f>IFERROR(__xludf.DUMMYFUNCTION("""COMPUTED_VALUE"""),"22f2001246@ds.study.iitm.ac.in")</f>
        <v>22f2001246@ds.study.iitm.ac.in</v>
      </c>
      <c r="J247" s="3">
        <f>IF(D247="No R1",0,VLOOKUP(C247,'Peer-Review'!B:D,2,0))</f>
        <v>0</v>
      </c>
      <c r="K247" s="3">
        <f>IF(D247="No R1",0,VLOOKUP(C247,'Peer-Review'!B:D,3,0))</f>
        <v>0</v>
      </c>
      <c r="L247" s="3">
        <f>IF(E247="No R2",0,VLOOKUP(C247,'Peer-Review'!F:H,2,0))</f>
        <v>9</v>
      </c>
      <c r="M247" s="3">
        <f>IF(E247="No R2",0,VLOOKUP(C247,'Peer-Review'!F:H,3,0))</f>
        <v>10</v>
      </c>
    </row>
    <row r="248" hidden="1">
      <c r="A248" s="3" t="str">
        <f>IFERROR(__xludf.DUMMYFUNCTION("""COMPUTED_VALUE"""),"22f2001255@ds.study.iitm.ac.in")</f>
        <v>22f2001255@ds.study.iitm.ac.in</v>
      </c>
      <c r="B248" s="3">
        <f>IFERROR(__xludf.DUMMYFUNCTION("""COMPUTED_VALUE"""),16.0)</f>
        <v>16</v>
      </c>
      <c r="C248" s="5" t="str">
        <f>IFERROR(__xludf.DUMMYFUNCTION("""COMPUTED_VALUE"""),"https://github.com/Hitesh-Binjrawat/TDSProject1")</f>
        <v>https://github.com/Hitesh-Binjrawat/TDSProject1</v>
      </c>
      <c r="D248" s="3" t="str">
        <f>IFERROR(VLOOKUP(C248,'Peer-Review'!B:J,9,0),"No R1")</f>
        <v>No R1</v>
      </c>
      <c r="E248" s="3" t="str">
        <f>IFERROR(VLOOKUP(C248,'Peer-Review'!F:J,5,0),"No R2")</f>
        <v>21f1003107@ds.study.iitm.ac.in</v>
      </c>
      <c r="F248" s="3">
        <f>COUNTIF('Peer-Review'!B:B,C248)+COUNTIF('Peer-Review'!F:F,C248)</f>
        <v>2</v>
      </c>
      <c r="G248" s="3">
        <f t="shared" si="1"/>
        <v>1</v>
      </c>
      <c r="H248" s="3" t="str">
        <f>IFERROR(__xludf.DUMMYFUNCTION("IFERROR(TRANSPOSE(FILTER('Peer-Review'!$J$2:$J$568,(TRIM('Peer-Review'!$B$2:$B$568)=C248 )+ (TRIM('Peer-Review'!$F$2:$F$568)=C248))),""No Reviews"")"),"21f1003107@ds.study.iitm.ac.in")</f>
        <v>21f1003107@ds.study.iitm.ac.in</v>
      </c>
      <c r="I248" s="3" t="str">
        <f>IFERROR(__xludf.DUMMYFUNCTION("""COMPUTED_VALUE"""),"22f2001226@ds.study.iitm.ac.in")</f>
        <v>22f2001226@ds.study.iitm.ac.in</v>
      </c>
      <c r="J248" s="3">
        <f>IF(D248="No R1",0,VLOOKUP(C248,'Peer-Review'!B:D,2,0))</f>
        <v>0</v>
      </c>
      <c r="K248" s="3">
        <f>IF(D248="No R1",0,VLOOKUP(C248,'Peer-Review'!B:D,3,0))</f>
        <v>0</v>
      </c>
      <c r="L248" s="3">
        <f>IF(E248="No R2",0,VLOOKUP(C248,'Peer-Review'!F:H,2,0))</f>
        <v>5</v>
      </c>
      <c r="M248" s="3">
        <f>IF(E248="No R2",0,VLOOKUP(C248,'Peer-Review'!F:H,3,0))</f>
        <v>3</v>
      </c>
    </row>
    <row r="249">
      <c r="A249" s="3" t="str">
        <f>IFERROR(__xludf.DUMMYFUNCTION("""COMPUTED_VALUE"""),"22f2001256@ds.study.iitm.ac.in")</f>
        <v>22f2001256@ds.study.iitm.ac.in</v>
      </c>
      <c r="B249" s="3">
        <f>IFERROR(__xludf.DUMMYFUNCTION("""COMPUTED_VALUE"""),0.0)</f>
        <v>0</v>
      </c>
      <c r="C249" s="3"/>
      <c r="D249" s="3" t="str">
        <f>IFERROR(VLOOKUP(C249,'Peer-Review'!B:J,9,0),"No R1")</f>
        <v>No R1</v>
      </c>
      <c r="E249" s="3" t="str">
        <f>IFERROR(VLOOKUP(C249,'Peer-Review'!F:J,5,0),"No R2")</f>
        <v>No R2</v>
      </c>
      <c r="F249" s="3">
        <f>COUNTIF('Peer-Review'!B:B,C249)+COUNTIF('Peer-Review'!F:F,C249)</f>
        <v>0</v>
      </c>
      <c r="G249" s="3">
        <f t="shared" si="1"/>
        <v>0</v>
      </c>
      <c r="H249" s="3" t="str">
        <f>IFERROR(__xludf.DUMMYFUNCTION("IFERROR(TRANSPOSE(FILTER('Peer-Review'!$J$2:$J$568,(TRIM('Peer-Review'!$B$2:$B$568)=C249 )+ (TRIM('Peer-Review'!$F$2:$F$568)=C249))),""No Reviews"")"),"No Reviews")</f>
        <v>No Reviews</v>
      </c>
      <c r="J249" s="3">
        <f>IF(D249="No R1",0,VLOOKUP(C249,'Peer-Review'!B:D,2,0))</f>
        <v>0</v>
      </c>
      <c r="K249" s="3">
        <f>IF(D249="No R1",0,VLOOKUP(C249,'Peer-Review'!B:D,3,0))</f>
        <v>0</v>
      </c>
      <c r="L249" s="3">
        <f>IF(E249="No R2",0,VLOOKUP(C249,'Peer-Review'!F:H,2,0))</f>
        <v>0</v>
      </c>
      <c r="M249" s="3">
        <f>IF(E249="No R2",0,VLOOKUP(C249,'Peer-Review'!F:H,3,0))</f>
        <v>0</v>
      </c>
    </row>
    <row r="250" hidden="1">
      <c r="A250" s="3" t="str">
        <f>IFERROR(__xludf.DUMMYFUNCTION("""COMPUTED_VALUE"""),"22f2001264@ds.study.iitm.ac.in")</f>
        <v>22f2001264@ds.study.iitm.ac.in</v>
      </c>
      <c r="B250" s="3">
        <f>IFERROR(__xludf.DUMMYFUNCTION("""COMPUTED_VALUE"""),15.0)</f>
        <v>15</v>
      </c>
      <c r="C250" s="5" t="str">
        <f>IFERROR(__xludf.DUMMYFUNCTION("""COMPUTED_VALUE"""),"https://github.com/ojast22/tds_proj1")</f>
        <v>https://github.com/ojast22/tds_proj1</v>
      </c>
      <c r="D250" s="3" t="str">
        <f>IFERROR(VLOOKUP(C250,'Peer-Review'!B:J,9,0),"No R1")</f>
        <v>23f2003665@ds.study.iitm.ac.in</v>
      </c>
      <c r="E250" s="3" t="str">
        <f>IFERROR(VLOOKUP(C250,'Peer-Review'!F:J,5,0),"No R2")</f>
        <v>No R2</v>
      </c>
      <c r="F250" s="3">
        <f>COUNTIF('Peer-Review'!B:B,C250)+COUNTIF('Peer-Review'!F:F,C250)</f>
        <v>1</v>
      </c>
      <c r="G250" s="3">
        <f t="shared" si="1"/>
        <v>1</v>
      </c>
      <c r="H250" s="3" t="str">
        <f>IFERROR(__xludf.DUMMYFUNCTION("IFERROR(TRANSPOSE(FILTER('Peer-Review'!$J$2:$J$568,(TRIM('Peer-Review'!$B$2:$B$568)=C250 )+ (TRIM('Peer-Review'!$F$2:$F$568)=C250))),""No Reviews"")"),"23f2003665@ds.study.iitm.ac.in")</f>
        <v>23f2003665@ds.study.iitm.ac.in</v>
      </c>
      <c r="J250" s="3">
        <f>IF(D250="No R1",0,VLOOKUP(C250,'Peer-Review'!B:D,2,0))</f>
        <v>8</v>
      </c>
      <c r="K250" s="3">
        <f>IF(D250="No R1",0,VLOOKUP(C250,'Peer-Review'!B:D,3,0))</f>
        <v>9</v>
      </c>
      <c r="L250" s="3">
        <f>IF(E250="No R2",0,VLOOKUP(C250,'Peer-Review'!F:H,2,0))</f>
        <v>0</v>
      </c>
      <c r="M250" s="3">
        <f>IF(E250="No R2",0,VLOOKUP(C250,'Peer-Review'!F:H,3,0))</f>
        <v>0</v>
      </c>
    </row>
    <row r="251" hidden="1">
      <c r="A251" s="3" t="str">
        <f>IFERROR(__xludf.DUMMYFUNCTION("""COMPUTED_VALUE"""),"22f2001300@ds.study.iitm.ac.in")</f>
        <v>22f2001300@ds.study.iitm.ac.in</v>
      </c>
      <c r="B251" s="3">
        <f>IFERROR(__xludf.DUMMYFUNCTION("""COMPUTED_VALUE"""),17.0)</f>
        <v>17</v>
      </c>
      <c r="C251" s="5" t="str">
        <f>IFERROR(__xludf.DUMMYFUNCTION("""COMPUTED_VALUE"""),"https://github.com/22f2001300/TDS-P1")</f>
        <v>https://github.com/22f2001300/TDS-P1</v>
      </c>
      <c r="D251" s="3" t="str">
        <f>IFERROR(VLOOKUP(C251,'Peer-Review'!B:J,9,0),"No R1")</f>
        <v>No R1</v>
      </c>
      <c r="E251" s="3" t="str">
        <f>IFERROR(VLOOKUP(C251,'Peer-Review'!F:J,5,0),"No R2")</f>
        <v>22f2001248@ds.study.iitm.ac.in</v>
      </c>
      <c r="F251" s="3">
        <f>COUNTIF('Peer-Review'!B:B,C251)+COUNTIF('Peer-Review'!F:F,C251)</f>
        <v>1</v>
      </c>
      <c r="G251" s="3">
        <f t="shared" si="1"/>
        <v>1</v>
      </c>
      <c r="H251" s="3" t="str">
        <f>IFERROR(__xludf.DUMMYFUNCTION("IFERROR(TRANSPOSE(FILTER('Peer-Review'!$J$2:$J$568,(TRIM('Peer-Review'!$B$2:$B$568)=C251 )+ (TRIM('Peer-Review'!$F$2:$F$568)=C251))),""No Reviews"")"),"22f2001248@ds.study.iitm.ac.in")</f>
        <v>22f2001248@ds.study.iitm.ac.in</v>
      </c>
      <c r="J251" s="3">
        <f>IF(D251="No R1",0,VLOOKUP(C251,'Peer-Review'!B:D,2,0))</f>
        <v>0</v>
      </c>
      <c r="K251" s="3">
        <f>IF(D251="No R1",0,VLOOKUP(C251,'Peer-Review'!B:D,3,0))</f>
        <v>0</v>
      </c>
      <c r="L251" s="3">
        <f>IF(E251="No R2",0,VLOOKUP(C251,'Peer-Review'!F:H,2,0))</f>
        <v>10</v>
      </c>
      <c r="M251" s="3">
        <f>IF(E251="No R2",0,VLOOKUP(C251,'Peer-Review'!F:H,3,0))</f>
        <v>10</v>
      </c>
    </row>
    <row r="252" hidden="1">
      <c r="A252" s="3" t="str">
        <f>IFERROR(__xludf.DUMMYFUNCTION("""COMPUTED_VALUE"""),"22f2001312@ds.study.iitm.ac.in")</f>
        <v>22f2001312@ds.study.iitm.ac.in</v>
      </c>
      <c r="B252" s="3">
        <f>IFERROR(__xludf.DUMMYFUNCTION("""COMPUTED_VALUE"""),16.0)</f>
        <v>16</v>
      </c>
      <c r="C252" s="5" t="str">
        <f>IFERROR(__xludf.DUMMYFUNCTION("""COMPUTED_VALUE"""),"https://github.com/pranshu0205/TDS-Project-1")</f>
        <v>https://github.com/pranshu0205/TDS-Project-1</v>
      </c>
      <c r="D252" s="3" t="str">
        <f>IFERROR(VLOOKUP(C252,'Peer-Review'!B:J,9,0),"No R1")</f>
        <v>No R1</v>
      </c>
      <c r="E252" s="3" t="str">
        <f>IFERROR(VLOOKUP(C252,'Peer-Review'!F:J,5,0),"No R2")</f>
        <v>22f2001255@ds.study.iitm.ac.in</v>
      </c>
      <c r="F252" s="3">
        <f>COUNTIF('Peer-Review'!B:B,C252)+COUNTIF('Peer-Review'!F:F,C252)</f>
        <v>1</v>
      </c>
      <c r="G252" s="3">
        <f t="shared" si="1"/>
        <v>1</v>
      </c>
      <c r="H252" s="3" t="str">
        <f>IFERROR(__xludf.DUMMYFUNCTION("IFERROR(TRANSPOSE(FILTER('Peer-Review'!$J$2:$J$568,(TRIM('Peer-Review'!$B$2:$B$568)=C252 )+ (TRIM('Peer-Review'!$F$2:$F$568)=C252))),""No Reviews"")"),"22f2001255@ds.study.iitm.ac.in")</f>
        <v>22f2001255@ds.study.iitm.ac.in</v>
      </c>
      <c r="J252" s="3">
        <f>IF(D252="No R1",0,VLOOKUP(C252,'Peer-Review'!B:D,2,0))</f>
        <v>0</v>
      </c>
      <c r="K252" s="3">
        <f>IF(D252="No R1",0,VLOOKUP(C252,'Peer-Review'!B:D,3,0))</f>
        <v>0</v>
      </c>
      <c r="L252" s="3">
        <f>IF(E252="No R2",0,VLOOKUP(C252,'Peer-Review'!F:H,2,0))</f>
        <v>10</v>
      </c>
      <c r="M252" s="3">
        <f>IF(E252="No R2",0,VLOOKUP(C252,'Peer-Review'!F:H,3,0))</f>
        <v>10</v>
      </c>
    </row>
    <row r="253" hidden="1">
      <c r="A253" s="3" t="str">
        <f>IFERROR(__xludf.DUMMYFUNCTION("""COMPUTED_VALUE"""),"22f2001318@ds.study.iitm.ac.in")</f>
        <v>22f2001318@ds.study.iitm.ac.in</v>
      </c>
      <c r="B253" s="3">
        <f>IFERROR(__xludf.DUMMYFUNCTION("""COMPUTED_VALUE"""),16.0)</f>
        <v>16</v>
      </c>
      <c r="C253" s="5" t="str">
        <f>IFERROR(__xludf.DUMMYFUNCTION("""COMPUTED_VALUE"""),"https://github.com/pratyushjdhv/iitm-tds")</f>
        <v>https://github.com/pratyushjdhv/iitm-tds</v>
      </c>
      <c r="D253" s="3" t="str">
        <f>IFERROR(VLOOKUP(C253,'Peer-Review'!B:J,9,0),"No R1")</f>
        <v>22f2001312@ds.study.iitm.ac.in</v>
      </c>
      <c r="E253" s="3" t="str">
        <f>IFERROR(VLOOKUP(C253,'Peer-Review'!F:J,5,0),"No R2")</f>
        <v>No R2</v>
      </c>
      <c r="F253" s="3">
        <f>COUNTIF('Peer-Review'!B:B,C253)+COUNTIF('Peer-Review'!F:F,C253)</f>
        <v>1</v>
      </c>
      <c r="G253" s="3">
        <f t="shared" si="1"/>
        <v>1</v>
      </c>
      <c r="H253" s="3" t="str">
        <f>IFERROR(__xludf.DUMMYFUNCTION("IFERROR(TRANSPOSE(FILTER('Peer-Review'!$J$2:$J$568,(TRIM('Peer-Review'!$B$2:$B$568)=C253 )+ (TRIM('Peer-Review'!$F$2:$F$568)=C253))),""No Reviews"")"),"22f2001312@ds.study.iitm.ac.in")</f>
        <v>22f2001312@ds.study.iitm.ac.in</v>
      </c>
      <c r="J253" s="3">
        <f>IF(D253="No R1",0,VLOOKUP(C253,'Peer-Review'!B:D,2,0))</f>
        <v>10</v>
      </c>
      <c r="K253" s="3">
        <f>IF(D253="No R1",0,VLOOKUP(C253,'Peer-Review'!B:D,3,0))</f>
        <v>10</v>
      </c>
      <c r="L253" s="3">
        <f>IF(E253="No R2",0,VLOOKUP(C253,'Peer-Review'!F:H,2,0))</f>
        <v>0</v>
      </c>
      <c r="M253" s="3">
        <f>IF(E253="No R2",0,VLOOKUP(C253,'Peer-Review'!F:H,3,0))</f>
        <v>0</v>
      </c>
    </row>
    <row r="254" hidden="1">
      <c r="A254" s="3" t="str">
        <f>IFERROR(__xludf.DUMMYFUNCTION("""COMPUTED_VALUE"""),"22f2001335@ds.study.iitm.ac.in")</f>
        <v>22f2001335@ds.study.iitm.ac.in</v>
      </c>
      <c r="B254" s="3">
        <f>IFERROR(__xludf.DUMMYFUNCTION("""COMPUTED_VALUE"""),13.0)</f>
        <v>13</v>
      </c>
      <c r="C254" s="5" t="str">
        <f>IFERROR(__xludf.DUMMYFUNCTION("""COMPUTED_VALUE"""),"https://github.com/pulkitsharmads/github-hyderabad-users-project")</f>
        <v>https://github.com/pulkitsharmads/github-hyderabad-users-project</v>
      </c>
      <c r="D254" s="3" t="str">
        <f>IFERROR(VLOOKUP(C254,'Peer-Review'!B:J,9,0),"No R1")</f>
        <v>22f2000816@ds.study.iitm.ac.in</v>
      </c>
      <c r="E254" s="3" t="str">
        <f>IFERROR(VLOOKUP(C254,'Peer-Review'!F:J,5,0),"No R2")</f>
        <v>No R2</v>
      </c>
      <c r="F254" s="3">
        <f>COUNTIF('Peer-Review'!B:B,C254)+COUNTIF('Peer-Review'!F:F,C254)</f>
        <v>1</v>
      </c>
      <c r="G254" s="3">
        <f t="shared" si="1"/>
        <v>1</v>
      </c>
      <c r="H254" s="3" t="str">
        <f>IFERROR(__xludf.DUMMYFUNCTION("IFERROR(TRANSPOSE(FILTER('Peer-Review'!$J$2:$J$568,(TRIM('Peer-Review'!$B$2:$B$568)=C254 )+ (TRIM('Peer-Review'!$F$2:$F$568)=C254))),""No Reviews"")"),"22f2000816@ds.study.iitm.ac.in")</f>
        <v>22f2000816@ds.study.iitm.ac.in</v>
      </c>
      <c r="J254" s="3">
        <f>IF(D254="No R1",0,VLOOKUP(C254,'Peer-Review'!B:D,2,0))</f>
        <v>9</v>
      </c>
      <c r="K254" s="3">
        <f>IF(D254="No R1",0,VLOOKUP(C254,'Peer-Review'!B:D,3,0))</f>
        <v>2</v>
      </c>
      <c r="L254" s="3">
        <f>IF(E254="No R2",0,VLOOKUP(C254,'Peer-Review'!F:H,2,0))</f>
        <v>0</v>
      </c>
      <c r="M254" s="3">
        <f>IF(E254="No R2",0,VLOOKUP(C254,'Peer-Review'!F:H,3,0))</f>
        <v>0</v>
      </c>
    </row>
    <row r="255" hidden="1">
      <c r="A255" s="3" t="str">
        <f>IFERROR(__xludf.DUMMYFUNCTION("""COMPUTED_VALUE"""),"22f2001336@ds.study.iitm.ac.in")</f>
        <v>22f2001336@ds.study.iitm.ac.in</v>
      </c>
      <c r="B255" s="3">
        <f>IFERROR(__xludf.DUMMYFUNCTION("""COMPUTED_VALUE"""),17.0)</f>
        <v>17</v>
      </c>
      <c r="C255" s="5" t="str">
        <f>IFERROR(__xludf.DUMMYFUNCTION("""COMPUTED_VALUE"""),"https://github.com/Abhinandan-IIT-M/austin-github-users")</f>
        <v>https://github.com/Abhinandan-IIT-M/austin-github-users</v>
      </c>
      <c r="D255" s="3" t="str">
        <f>IFERROR(VLOOKUP(C255,'Peer-Review'!B:J,9,0),"No R1")</f>
        <v>No R1</v>
      </c>
      <c r="E255" s="3" t="str">
        <f>IFERROR(VLOOKUP(C255,'Peer-Review'!F:J,5,0),"No R2")</f>
        <v>22f2001300@ds.study.iitm.ac.in</v>
      </c>
      <c r="F255" s="3">
        <f>COUNTIF('Peer-Review'!B:B,C255)+COUNTIF('Peer-Review'!F:F,C255)</f>
        <v>1</v>
      </c>
      <c r="G255" s="3">
        <f t="shared" si="1"/>
        <v>1</v>
      </c>
      <c r="H255" s="3" t="str">
        <f>IFERROR(__xludf.DUMMYFUNCTION("IFERROR(TRANSPOSE(FILTER('Peer-Review'!$J$2:$J$568,(TRIM('Peer-Review'!$B$2:$B$568)=C255 )+ (TRIM('Peer-Review'!$F$2:$F$568)=C255))),""No Reviews"")"),"22f2001300@ds.study.iitm.ac.in")</f>
        <v>22f2001300@ds.study.iitm.ac.in</v>
      </c>
      <c r="J255" s="3">
        <f>IF(D255="No R1",0,VLOOKUP(C255,'Peer-Review'!B:D,2,0))</f>
        <v>0</v>
      </c>
      <c r="K255" s="3">
        <f>IF(D255="No R1",0,VLOOKUP(C255,'Peer-Review'!B:D,3,0))</f>
        <v>0</v>
      </c>
      <c r="L255" s="3">
        <f>IF(E255="No R2",0,VLOOKUP(C255,'Peer-Review'!F:H,2,0))</f>
        <v>2</v>
      </c>
      <c r="M255" s="3">
        <f>IF(E255="No R2",0,VLOOKUP(C255,'Peer-Review'!F:H,3,0))</f>
        <v>10</v>
      </c>
    </row>
    <row r="256" hidden="1">
      <c r="A256" s="3" t="str">
        <f>IFERROR(__xludf.DUMMYFUNCTION("""COMPUTED_VALUE"""),"22f2001347@ds.study.iitm.ac.in")</f>
        <v>22f2001347@ds.study.iitm.ac.in</v>
      </c>
      <c r="B256" s="3">
        <f>IFERROR(__xludf.DUMMYFUNCTION("""COMPUTED_VALUE"""),14.0)</f>
        <v>14</v>
      </c>
      <c r="C256" s="5" t="str">
        <f>IFERROR(__xludf.DUMMYFUNCTION("""COMPUTED_VALUE"""),"https://github.com/RaghavKapil24/tds-project")</f>
        <v>https://github.com/RaghavKapil24/tds-project</v>
      </c>
      <c r="D256" s="3" t="str">
        <f>IFERROR(VLOOKUP(C256,'Peer-Review'!B:J,9,0),"No R1")</f>
        <v>23ds3000248@ds.study.iitm.ac.in</v>
      </c>
      <c r="E256" s="3" t="str">
        <f>IFERROR(VLOOKUP(C256,'Peer-Review'!F:J,5,0),"No R2")</f>
        <v>No R2</v>
      </c>
      <c r="F256" s="3">
        <f>COUNTIF('Peer-Review'!B:B,C256)+COUNTIF('Peer-Review'!F:F,C256)</f>
        <v>2</v>
      </c>
      <c r="G256" s="3">
        <f t="shared" si="1"/>
        <v>1</v>
      </c>
      <c r="H256" s="3" t="str">
        <f>IFERROR(__xludf.DUMMYFUNCTION("IFERROR(TRANSPOSE(FILTER('Peer-Review'!$J$2:$J$568,(TRIM('Peer-Review'!$B$2:$B$568)=C256 )+ (TRIM('Peer-Review'!$F$2:$F$568)=C256))),""No Reviews"")"),"23ds3000248@ds.study.iitm.ac.in")</f>
        <v>23ds3000248@ds.study.iitm.ac.in</v>
      </c>
      <c r="I256" s="3" t="str">
        <f>IFERROR(__xludf.DUMMYFUNCTION("""COMPUTED_VALUE"""),"22f2001730@ds.study.iitm.ac.in")</f>
        <v>22f2001730@ds.study.iitm.ac.in</v>
      </c>
      <c r="J256" s="3">
        <f>IF(D256="No R1",0,VLOOKUP(C256,'Peer-Review'!B:D,2,0))</f>
        <v>8</v>
      </c>
      <c r="K256" s="3">
        <f>IF(D256="No R1",0,VLOOKUP(C256,'Peer-Review'!B:D,3,0))</f>
        <v>7</v>
      </c>
      <c r="L256" s="3">
        <f>IF(E256="No R2",0,VLOOKUP(C256,'Peer-Review'!F:H,2,0))</f>
        <v>0</v>
      </c>
      <c r="M256" s="3">
        <f>IF(E256="No R2",0,VLOOKUP(C256,'Peer-Review'!F:H,3,0))</f>
        <v>0</v>
      </c>
    </row>
    <row r="257" hidden="1">
      <c r="A257" s="3" t="str">
        <f>IFERROR(__xludf.DUMMYFUNCTION("""COMPUTED_VALUE"""),"22f2001395@ds.study.iitm.ac.in")</f>
        <v>22f2001395@ds.study.iitm.ac.in</v>
      </c>
      <c r="B257" s="3">
        <f>IFERROR(__xludf.DUMMYFUNCTION("""COMPUTED_VALUE"""),5.0)</f>
        <v>5</v>
      </c>
      <c r="C257" s="5" t="str">
        <f>IFERROR(__xludf.DUMMYFUNCTION("""COMPUTED_VALUE"""),"https://github.com/reddevilrohith/TDS_PROJ1")</f>
        <v>https://github.com/reddevilrohith/TDS_PROJ1</v>
      </c>
      <c r="D257" s="3" t="str">
        <f>IFERROR(VLOOKUP(C257,'Peer-Review'!B:J,9,0),"No R1")</f>
        <v>22f2000481@ds.study.iitm.ac.in</v>
      </c>
      <c r="E257" s="3" t="str">
        <f>IFERROR(VLOOKUP(C257,'Peer-Review'!F:J,5,0),"No R2")</f>
        <v>No R2</v>
      </c>
      <c r="F257" s="3">
        <f>COUNTIF('Peer-Review'!B:B,C257)+COUNTIF('Peer-Review'!F:F,C257)</f>
        <v>2</v>
      </c>
      <c r="G257" s="3">
        <f t="shared" si="1"/>
        <v>1</v>
      </c>
      <c r="H257" s="3" t="str">
        <f>IFERROR(__xludf.DUMMYFUNCTION("IFERROR(TRANSPOSE(FILTER('Peer-Review'!$J$2:$J$568,(TRIM('Peer-Review'!$B$2:$B$568)=C257 )+ (TRIM('Peer-Review'!$F$2:$F$568)=C257))),""No Reviews"")"),"22f2000481@ds.study.iitm.ac.in")</f>
        <v>22f2000481@ds.study.iitm.ac.in</v>
      </c>
      <c r="I257" s="3" t="str">
        <f>IFERROR(__xludf.DUMMYFUNCTION("""COMPUTED_VALUE"""),"22f3002442@ds.study.iitm.ac.in")</f>
        <v>22f3002442@ds.study.iitm.ac.in</v>
      </c>
      <c r="J257" s="3">
        <f>IF(D257="No R1",0,VLOOKUP(C257,'Peer-Review'!B:D,2,0))</f>
        <v>7</v>
      </c>
      <c r="K257" s="3">
        <f>IF(D257="No R1",0,VLOOKUP(C257,'Peer-Review'!B:D,3,0))</f>
        <v>0</v>
      </c>
      <c r="L257" s="3">
        <f>IF(E257="No R2",0,VLOOKUP(C257,'Peer-Review'!F:H,2,0))</f>
        <v>0</v>
      </c>
      <c r="M257" s="3">
        <f>IF(E257="No R2",0,VLOOKUP(C257,'Peer-Review'!F:H,3,0))</f>
        <v>0</v>
      </c>
    </row>
    <row r="258" hidden="1">
      <c r="A258" s="3" t="str">
        <f>IFERROR(__xludf.DUMMYFUNCTION("""COMPUTED_VALUE"""),"22f2001483@ds.study.iitm.ac.in")</f>
        <v>22f2001483@ds.study.iitm.ac.in</v>
      </c>
      <c r="B258" s="3">
        <f>IFERROR(__xludf.DUMMYFUNCTION("""COMPUTED_VALUE"""),17.0)</f>
        <v>17</v>
      </c>
      <c r="C258" s="5" t="str">
        <f>IFERROR(__xludf.DUMMYFUNCTION("""COMPUTED_VALUE"""),"https://github.com/drashtish/TDS-Project1")</f>
        <v>https://github.com/drashtish/TDS-Project1</v>
      </c>
      <c r="D258" s="3" t="str">
        <f>IFERROR(VLOOKUP(C258,'Peer-Review'!B:J,9,0),"No R1")</f>
        <v>No R1</v>
      </c>
      <c r="E258" s="3" t="str">
        <f>IFERROR(VLOOKUP(C258,'Peer-Review'!F:J,5,0),"No R2")</f>
        <v>22f2001336@ds.study.iitm.ac.in</v>
      </c>
      <c r="F258" s="3">
        <f>COUNTIF('Peer-Review'!B:B,C258)+COUNTIF('Peer-Review'!F:F,C258)</f>
        <v>2</v>
      </c>
      <c r="G258" s="3">
        <f t="shared" si="1"/>
        <v>1</v>
      </c>
      <c r="H258" s="3" t="str">
        <f>IFERROR(__xludf.DUMMYFUNCTION("IFERROR(TRANSPOSE(FILTER('Peer-Review'!$J$2:$J$568,(TRIM('Peer-Review'!$B$2:$B$568)=C258 )+ (TRIM('Peer-Review'!$F$2:$F$568)=C258))),""No Reviews"")"),"22f2001336@ds.study.iitm.ac.in")</f>
        <v>22f2001336@ds.study.iitm.ac.in</v>
      </c>
      <c r="I258" s="3" t="str">
        <f>IFERROR(__xludf.DUMMYFUNCTION("""COMPUTED_VALUE"""),"22f3001834@ds.study.iitm.ac.in")</f>
        <v>22f3001834@ds.study.iitm.ac.in</v>
      </c>
      <c r="J258" s="3">
        <f>IF(D258="No R1",0,VLOOKUP(C258,'Peer-Review'!B:D,2,0))</f>
        <v>0</v>
      </c>
      <c r="K258" s="3">
        <f>IF(D258="No R1",0,VLOOKUP(C258,'Peer-Review'!B:D,3,0))</f>
        <v>0</v>
      </c>
      <c r="L258" s="3">
        <f>IF(E258="No R2",0,VLOOKUP(C258,'Peer-Review'!F:H,2,0))</f>
        <v>10</v>
      </c>
      <c r="M258" s="3">
        <f>IF(E258="No R2",0,VLOOKUP(C258,'Peer-Review'!F:H,3,0))</f>
        <v>0</v>
      </c>
    </row>
    <row r="259" hidden="1">
      <c r="A259" s="3" t="str">
        <f>IFERROR(__xludf.DUMMYFUNCTION("""COMPUTED_VALUE"""),"22f2001494@ds.study.iitm.ac.in")</f>
        <v>22f2001494@ds.study.iitm.ac.in</v>
      </c>
      <c r="B259" s="3">
        <f>IFERROR(__xludf.DUMMYFUNCTION("""COMPUTED_VALUE"""),17.0)</f>
        <v>17</v>
      </c>
      <c r="C259" s="5" t="str">
        <f>IFERROR(__xludf.DUMMYFUNCTION("""COMPUTED_VALUE"""),"https://github.com/Shashi7420/TDS---Project-1")</f>
        <v>https://github.com/Shashi7420/TDS---Project-1</v>
      </c>
      <c r="D259" s="3" t="str">
        <f>IFERROR(VLOOKUP(C259,'Peer-Review'!B:J,9,0),"No R1")</f>
        <v>No R1</v>
      </c>
      <c r="E259" s="3" t="str">
        <f>IFERROR(VLOOKUP(C259,'Peer-Review'!F:J,5,0),"No R2")</f>
        <v>No R2</v>
      </c>
      <c r="F259" s="3">
        <f>COUNTIF('Peer-Review'!B:B,C259)+COUNTIF('Peer-Review'!F:F,C259)</f>
        <v>0</v>
      </c>
      <c r="G259" s="3">
        <f t="shared" si="1"/>
        <v>0</v>
      </c>
      <c r="H259" s="3" t="str">
        <f>IFERROR(__xludf.DUMMYFUNCTION("IFERROR(TRANSPOSE(FILTER('Peer-Review'!$J$2:$J$568,(TRIM('Peer-Review'!$B$2:$B$568)=C259 )+ (TRIM('Peer-Review'!$F$2:$F$568)=C259))),""No Reviews"")"),"No Reviews")</f>
        <v>No Reviews</v>
      </c>
      <c r="J259" s="3">
        <f>IF(D259="No R1",0,VLOOKUP(C259,'Peer-Review'!B:D,2,0))</f>
        <v>0</v>
      </c>
      <c r="K259" s="3">
        <f>IF(D259="No R1",0,VLOOKUP(C259,'Peer-Review'!B:D,3,0))</f>
        <v>0</v>
      </c>
      <c r="L259" s="3">
        <f>IF(E259="No R2",0,VLOOKUP(C259,'Peer-Review'!F:H,2,0))</f>
        <v>0</v>
      </c>
      <c r="M259" s="3">
        <f>IF(E259="No R2",0,VLOOKUP(C259,'Peer-Review'!F:H,3,0))</f>
        <v>0</v>
      </c>
    </row>
    <row r="260" hidden="1">
      <c r="A260" s="3" t="str">
        <f>IFERROR(__xludf.DUMMYFUNCTION("""COMPUTED_VALUE"""),"22f2001522@ds.study.iitm.ac.in")</f>
        <v>22f2001522@ds.study.iitm.ac.in</v>
      </c>
      <c r="B260" s="3">
        <f>IFERROR(__xludf.DUMMYFUNCTION("""COMPUTED_VALUE"""),15.0)</f>
        <v>15</v>
      </c>
      <c r="C260" s="5" t="str">
        <f>IFERROR(__xludf.DUMMYFUNCTION("""COMPUTED_VALUE"""),"https://github.com/RutikaKanaujiya/barcelona_assignment")</f>
        <v>https://github.com/RutikaKanaujiya/barcelona_assignment</v>
      </c>
      <c r="D260" s="3" t="str">
        <f>IFERROR(VLOOKUP(C260,'Peer-Review'!B:J,9,0),"No R1")</f>
        <v>23f2003747@ds.study.iitm.ac.in</v>
      </c>
      <c r="E260" s="3" t="str">
        <f>IFERROR(VLOOKUP(C260,'Peer-Review'!F:J,5,0),"No R2")</f>
        <v>No R2</v>
      </c>
      <c r="F260" s="3">
        <f>COUNTIF('Peer-Review'!B:B,C260)+COUNTIF('Peer-Review'!F:F,C260)</f>
        <v>2</v>
      </c>
      <c r="G260" s="3">
        <f t="shared" si="1"/>
        <v>1</v>
      </c>
      <c r="H260" s="3" t="str">
        <f>IFERROR(__xludf.DUMMYFUNCTION("IFERROR(TRANSPOSE(FILTER('Peer-Review'!$J$2:$J$568,(TRIM('Peer-Review'!$B$2:$B$568)=C260 )+ (TRIM('Peer-Review'!$F$2:$F$568)=C260))),""No Reviews"")"),"23f2003747@ds.study.iitm.ac.in")</f>
        <v>23f2003747@ds.study.iitm.ac.in</v>
      </c>
      <c r="I260" s="3" t="str">
        <f>IFERROR(__xludf.DUMMYFUNCTION("""COMPUTED_VALUE"""),"22f3000190@ds.study.iitm.ac.in")</f>
        <v>22f3000190@ds.study.iitm.ac.in</v>
      </c>
      <c r="J260" s="3">
        <f>IF(D260="No R1",0,VLOOKUP(C260,'Peer-Review'!B:D,2,0))</f>
        <v>6</v>
      </c>
      <c r="K260" s="3">
        <f>IF(D260="No R1",0,VLOOKUP(C260,'Peer-Review'!B:D,3,0))</f>
        <v>8</v>
      </c>
      <c r="L260" s="3">
        <f>IF(E260="No R2",0,VLOOKUP(C260,'Peer-Review'!F:H,2,0))</f>
        <v>0</v>
      </c>
      <c r="M260" s="3">
        <f>IF(E260="No R2",0,VLOOKUP(C260,'Peer-Review'!F:H,3,0))</f>
        <v>0</v>
      </c>
    </row>
    <row r="261" hidden="1">
      <c r="A261" s="3" t="str">
        <f>IFERROR(__xludf.DUMMYFUNCTION("""COMPUTED_VALUE"""),"22f2001555@ds.study.iitm.ac.in")</f>
        <v>22f2001555@ds.study.iitm.ac.in</v>
      </c>
      <c r="B261" s="3">
        <f>IFERROR(__xludf.DUMMYFUNCTION("""COMPUTED_VALUE"""),17.0)</f>
        <v>17</v>
      </c>
      <c r="C261" s="5" t="str">
        <f>IFERROR(__xludf.DUMMYFUNCTION("""COMPUTED_VALUE"""),"https://github.com/SnehaKukrety/TDS_Project1/tree/main")</f>
        <v>https://github.com/SnehaKukrety/TDS_Project1/tree/main</v>
      </c>
      <c r="D261" s="3" t="str">
        <f>IFERROR(VLOOKUP(C261,'Peer-Review'!B:J,9,0),"No R1")</f>
        <v>No R1</v>
      </c>
      <c r="E261" s="3" t="str">
        <f>IFERROR(VLOOKUP(C261,'Peer-Review'!F:J,5,0),"No R2")</f>
        <v>22f3002200@ds.study.iitm.ac.in</v>
      </c>
      <c r="F261" s="3">
        <f>COUNTIF('Peer-Review'!B:B,C261)+COUNTIF('Peer-Review'!F:F,C261)</f>
        <v>1</v>
      </c>
      <c r="G261" s="3">
        <f t="shared" si="1"/>
        <v>1</v>
      </c>
      <c r="H261" s="3" t="str">
        <f>IFERROR(__xludf.DUMMYFUNCTION("IFERROR(TRANSPOSE(FILTER('Peer-Review'!$J$2:$J$568,(TRIM('Peer-Review'!$B$2:$B$568)=C261 )+ (TRIM('Peer-Review'!$F$2:$F$568)=C261))),""No Reviews"")"),"22f3002200@ds.study.iitm.ac.in")</f>
        <v>22f3002200@ds.study.iitm.ac.in</v>
      </c>
      <c r="J261" s="3">
        <f>IF(D261="No R1",0,VLOOKUP(C261,'Peer-Review'!B:D,2,0))</f>
        <v>0</v>
      </c>
      <c r="K261" s="3">
        <f>IF(D261="No R1",0,VLOOKUP(C261,'Peer-Review'!B:D,3,0))</f>
        <v>0</v>
      </c>
      <c r="L261" s="3">
        <f>IF(E261="No R2",0,VLOOKUP(C261,'Peer-Review'!F:H,2,0))</f>
        <v>10</v>
      </c>
      <c r="M261" s="3">
        <f>IF(E261="No R2",0,VLOOKUP(C261,'Peer-Review'!F:H,3,0))</f>
        <v>10</v>
      </c>
    </row>
    <row r="262" hidden="1">
      <c r="A262" s="3" t="str">
        <f>IFERROR(__xludf.DUMMYFUNCTION("""COMPUTED_VALUE"""),"22f2001632@ds.study.iitm.ac.in")</f>
        <v>22f2001632@ds.study.iitm.ac.in</v>
      </c>
      <c r="B262" s="3">
        <f>IFERROR(__xludf.DUMMYFUNCTION("""COMPUTED_VALUE"""),16.0)</f>
        <v>16</v>
      </c>
      <c r="C262" s="5" t="str">
        <f>IFERROR(__xludf.DUMMYFUNCTION("""COMPUTED_VALUE"""),"https://github.com/Tannukr/TDSweek5")</f>
        <v>https://github.com/Tannukr/TDSweek5</v>
      </c>
      <c r="D262" s="3" t="str">
        <f>IFERROR(VLOOKUP(C262,'Peer-Review'!B:J,9,0),"No R1")</f>
        <v>No R1</v>
      </c>
      <c r="E262" s="3" t="str">
        <f>IFERROR(VLOOKUP(C262,'Peer-Review'!F:J,5,0),"No R2")</f>
        <v>No R2</v>
      </c>
      <c r="F262" s="3">
        <f>COUNTIF('Peer-Review'!B:B,C262)+COUNTIF('Peer-Review'!F:F,C262)</f>
        <v>0</v>
      </c>
      <c r="G262" s="3">
        <f t="shared" si="1"/>
        <v>0</v>
      </c>
      <c r="H262" s="3" t="str">
        <f>IFERROR(__xludf.DUMMYFUNCTION("IFERROR(TRANSPOSE(FILTER('Peer-Review'!$J$2:$J$568,(TRIM('Peer-Review'!$B$2:$B$568)=C262 )+ (TRIM('Peer-Review'!$F$2:$F$568)=C262))),""No Reviews"")"),"No Reviews")</f>
        <v>No Reviews</v>
      </c>
      <c r="J262" s="3">
        <f>IF(D262="No R1",0,VLOOKUP(C262,'Peer-Review'!B:D,2,0))</f>
        <v>0</v>
      </c>
      <c r="K262" s="3">
        <f>IF(D262="No R1",0,VLOOKUP(C262,'Peer-Review'!B:D,3,0))</f>
        <v>0</v>
      </c>
      <c r="L262" s="3">
        <f>IF(E262="No R2",0,VLOOKUP(C262,'Peer-Review'!F:H,2,0))</f>
        <v>0</v>
      </c>
      <c r="M262" s="3">
        <f>IF(E262="No R2",0,VLOOKUP(C262,'Peer-Review'!F:H,3,0))</f>
        <v>0</v>
      </c>
    </row>
    <row r="263" hidden="1">
      <c r="A263" s="3" t="str">
        <f>IFERROR(__xludf.DUMMYFUNCTION("""COMPUTED_VALUE"""),"22f2001730@ds.study.iitm.ac.in")</f>
        <v>22f2001730@ds.study.iitm.ac.in</v>
      </c>
      <c r="B263" s="3">
        <f>IFERROR(__xludf.DUMMYFUNCTION("""COMPUTED_VALUE"""),14.0)</f>
        <v>14</v>
      </c>
      <c r="C263" s="5" t="str">
        <f>IFERROR(__xludf.DUMMYFUNCTION("""COMPUTED_VALUE"""),"https://github.com/22f2001730/TDS_P1")</f>
        <v>https://github.com/22f2001730/TDS_P1</v>
      </c>
      <c r="D263" s="3" t="str">
        <f>IFERROR(VLOOKUP(C263,'Peer-Review'!B:J,9,0),"No R1")</f>
        <v>23f1000017@ds.study.iitm.ac.in</v>
      </c>
      <c r="E263" s="3" t="str">
        <f>IFERROR(VLOOKUP(C263,'Peer-Review'!F:J,5,0),"No R2")</f>
        <v>No R2</v>
      </c>
      <c r="F263" s="3">
        <f>COUNTIF('Peer-Review'!B:B,C263)+COUNTIF('Peer-Review'!F:F,C263)</f>
        <v>2</v>
      </c>
      <c r="G263" s="3">
        <f t="shared" si="1"/>
        <v>1</v>
      </c>
      <c r="H263" s="3" t="str">
        <f>IFERROR(__xludf.DUMMYFUNCTION("IFERROR(TRANSPOSE(FILTER('Peer-Review'!$J$2:$J$568,(TRIM('Peer-Review'!$B$2:$B$568)=C263 )+ (TRIM('Peer-Review'!$F$2:$F$568)=C263))),""No Reviews"")"),"23f1000017@ds.study.iitm.ac.in")</f>
        <v>23f1000017@ds.study.iitm.ac.in</v>
      </c>
      <c r="I263" s="3" t="str">
        <f>IFERROR(__xludf.DUMMYFUNCTION("""COMPUTED_VALUE"""),"22f3000313@ds.study.iitm.ac.in")</f>
        <v>22f3000313@ds.study.iitm.ac.in</v>
      </c>
      <c r="J263" s="3">
        <f>IF(D263="No R1",0,VLOOKUP(C263,'Peer-Review'!B:D,2,0))</f>
        <v>10</v>
      </c>
      <c r="K263" s="3">
        <f>IF(D263="No R1",0,VLOOKUP(C263,'Peer-Review'!B:D,3,0))</f>
        <v>10</v>
      </c>
      <c r="L263" s="3">
        <f>IF(E263="No R2",0,VLOOKUP(C263,'Peer-Review'!F:H,2,0))</f>
        <v>0</v>
      </c>
      <c r="M263" s="3">
        <f>IF(E263="No R2",0,VLOOKUP(C263,'Peer-Review'!F:H,3,0))</f>
        <v>0</v>
      </c>
    </row>
    <row r="264" hidden="1">
      <c r="A264" s="3" t="str">
        <f>IFERROR(__xludf.DUMMYFUNCTION("""COMPUTED_VALUE"""),"22f3000082@ds.study.iitm.ac.in")</f>
        <v>22f3000082@ds.study.iitm.ac.in</v>
      </c>
      <c r="B264" s="3">
        <f>IFERROR(__xludf.DUMMYFUNCTION("""COMPUTED_VALUE"""),16.0)</f>
        <v>16</v>
      </c>
      <c r="C264" s="5" t="str">
        <f>IFERROR(__xludf.DUMMYFUNCTION("""COMPUTED_VALUE"""),"https://github.com/ayushi-006/TDS_project_1")</f>
        <v>https://github.com/ayushi-006/TDS_project_1</v>
      </c>
      <c r="D264" s="3" t="str">
        <f>IFERROR(VLOOKUP(C264,'Peer-Review'!B:J,9,0),"No R1")</f>
        <v>No R1</v>
      </c>
      <c r="E264" s="3" t="str">
        <f>IFERROR(VLOOKUP(C264,'Peer-Review'!F:J,5,0),"No R2")</f>
        <v>22f2001632@ds.study.iitm.ac.in</v>
      </c>
      <c r="F264" s="3">
        <f>COUNTIF('Peer-Review'!B:B,C264)+COUNTIF('Peer-Review'!F:F,C264)</f>
        <v>1</v>
      </c>
      <c r="G264" s="3">
        <f t="shared" si="1"/>
        <v>1</v>
      </c>
      <c r="H264" s="3" t="str">
        <f>IFERROR(__xludf.DUMMYFUNCTION("IFERROR(TRANSPOSE(FILTER('Peer-Review'!$J$2:$J$568,(TRIM('Peer-Review'!$B$2:$B$568)=C264 )+ (TRIM('Peer-Review'!$F$2:$F$568)=C264))),""No Reviews"")"),"22f2001632@ds.study.iitm.ac.in")</f>
        <v>22f2001632@ds.study.iitm.ac.in</v>
      </c>
      <c r="J264" s="3">
        <f>IF(D264="No R1",0,VLOOKUP(C264,'Peer-Review'!B:D,2,0))</f>
        <v>0</v>
      </c>
      <c r="K264" s="3">
        <f>IF(D264="No R1",0,VLOOKUP(C264,'Peer-Review'!B:D,3,0))</f>
        <v>0</v>
      </c>
      <c r="L264" s="3">
        <f>IF(E264="No R2",0,VLOOKUP(C264,'Peer-Review'!F:H,2,0))</f>
        <v>10</v>
      </c>
      <c r="M264" s="3">
        <f>IF(E264="No R2",0,VLOOKUP(C264,'Peer-Review'!F:H,3,0))</f>
        <v>10</v>
      </c>
    </row>
    <row r="265" hidden="1">
      <c r="A265" s="3" t="str">
        <f>IFERROR(__xludf.DUMMYFUNCTION("""COMPUTED_VALUE"""),"22f3000087@ds.study.iitm.ac.in")</f>
        <v>22f3000087@ds.study.iitm.ac.in</v>
      </c>
      <c r="B265" s="3">
        <f>IFERROR(__xludf.DUMMYFUNCTION("""COMPUTED_VALUE"""),17.0)</f>
        <v>17</v>
      </c>
      <c r="C265" s="5" t="str">
        <f>IFERROR(__xludf.DUMMYFUNCTION("""COMPUTED_VALUE"""),"https://github.com/NeeharikaBhaide/TDS_P1")</f>
        <v>https://github.com/NeeharikaBhaide/TDS_P1</v>
      </c>
      <c r="D265" s="3" t="str">
        <f>IFERROR(VLOOKUP(C265,'Peer-Review'!B:J,9,0),"No R1")</f>
        <v>No R1</v>
      </c>
      <c r="E265" s="3" t="str">
        <f>IFERROR(VLOOKUP(C265,'Peer-Review'!F:J,5,0),"No R2")</f>
        <v>22f3002204@ds.study.iitm.ac.in</v>
      </c>
      <c r="F265" s="3">
        <f>COUNTIF('Peer-Review'!B:B,C265)+COUNTIF('Peer-Review'!F:F,C265)</f>
        <v>2</v>
      </c>
      <c r="G265" s="3">
        <f t="shared" si="1"/>
        <v>1</v>
      </c>
      <c r="H265" s="3" t="str">
        <f>IFERROR(__xludf.DUMMYFUNCTION("IFERROR(TRANSPOSE(FILTER('Peer-Review'!$J$2:$J$568,(TRIM('Peer-Review'!$B$2:$B$568)=C265 )+ (TRIM('Peer-Review'!$F$2:$F$568)=C265))),""No Reviews"")"),"22f3002204@ds.study.iitm.ac.in")</f>
        <v>22f3002204@ds.study.iitm.ac.in</v>
      </c>
      <c r="I265" s="3" t="str">
        <f>IFERROR(__xludf.DUMMYFUNCTION("""COMPUTED_VALUE"""),"22f2001555@ds.study.iitm.ac.in")</f>
        <v>22f2001555@ds.study.iitm.ac.in</v>
      </c>
      <c r="J265" s="3">
        <f>IF(D265="No R1",0,VLOOKUP(C265,'Peer-Review'!B:D,2,0))</f>
        <v>0</v>
      </c>
      <c r="K265" s="3">
        <f>IF(D265="No R1",0,VLOOKUP(C265,'Peer-Review'!B:D,3,0))</f>
        <v>0</v>
      </c>
      <c r="L265" s="3">
        <f>IF(E265="No R2",0,VLOOKUP(C265,'Peer-Review'!F:H,2,0))</f>
        <v>8</v>
      </c>
      <c r="M265" s="3">
        <f>IF(E265="No R2",0,VLOOKUP(C265,'Peer-Review'!F:H,3,0))</f>
        <v>8</v>
      </c>
    </row>
    <row r="266" hidden="1">
      <c r="A266" s="3" t="str">
        <f>IFERROR(__xludf.DUMMYFUNCTION("""COMPUTED_VALUE"""),"22f3000089@ds.study.iitm.ac.in")</f>
        <v>22f3000089@ds.study.iitm.ac.in</v>
      </c>
      <c r="B266" s="3">
        <f>IFERROR(__xludf.DUMMYFUNCTION("""COMPUTED_VALUE"""),17.0)</f>
        <v>17</v>
      </c>
      <c r="C266" s="5" t="str">
        <f>IFERROR(__xludf.DUMMYFUNCTION("""COMPUTED_VALUE"""),"https://github.com/samreen-fathima-s/tds")</f>
        <v>https://github.com/samreen-fathima-s/tds</v>
      </c>
      <c r="D266" s="3" t="str">
        <f>IFERROR(VLOOKUP(C266,'Peer-Review'!B:J,9,0),"No R1")</f>
        <v>No R1</v>
      </c>
      <c r="E266" s="3" t="str">
        <f>IFERROR(VLOOKUP(C266,'Peer-Review'!F:J,5,0),"No R2")</f>
        <v>22f3000087@ds.study.iitm.ac.in</v>
      </c>
      <c r="F266" s="3">
        <f>COUNTIF('Peer-Review'!B:B,C266)+COUNTIF('Peer-Review'!F:F,C266)</f>
        <v>2</v>
      </c>
      <c r="G266" s="3">
        <f t="shared" si="1"/>
        <v>1</v>
      </c>
      <c r="H266" s="3" t="str">
        <f>IFERROR(__xludf.DUMMYFUNCTION("IFERROR(TRANSPOSE(FILTER('Peer-Review'!$J$2:$J$568,(TRIM('Peer-Review'!$B$2:$B$568)=C266 )+ (TRIM('Peer-Review'!$F$2:$F$568)=C266))),""No Reviews"")"),"22f3000087@ds.study.iitm.ac.in")</f>
        <v>22f3000087@ds.study.iitm.ac.in</v>
      </c>
      <c r="I266" s="3" t="str">
        <f>IFERROR(__xludf.DUMMYFUNCTION("""COMPUTED_VALUE"""),"22f3002614@ds.study.iitm.ac.in")</f>
        <v>22f3002614@ds.study.iitm.ac.in</v>
      </c>
      <c r="J266" s="3">
        <f>IF(D266="No R1",0,VLOOKUP(C266,'Peer-Review'!B:D,2,0))</f>
        <v>0</v>
      </c>
      <c r="K266" s="3">
        <f>IF(D266="No R1",0,VLOOKUP(C266,'Peer-Review'!B:D,3,0))</f>
        <v>0</v>
      </c>
      <c r="L266" s="3">
        <f>IF(E266="No R2",0,VLOOKUP(C266,'Peer-Review'!F:H,2,0))</f>
        <v>9</v>
      </c>
      <c r="M266" s="3">
        <f>IF(E266="No R2",0,VLOOKUP(C266,'Peer-Review'!F:H,3,0))</f>
        <v>10</v>
      </c>
    </row>
    <row r="267" hidden="1">
      <c r="A267" s="3" t="str">
        <f>IFERROR(__xludf.DUMMYFUNCTION("""COMPUTED_VALUE"""),"22f3000130@ds.study.iitm.ac.in")</f>
        <v>22f3000130@ds.study.iitm.ac.in</v>
      </c>
      <c r="B267" s="3">
        <f>IFERROR(__xludf.DUMMYFUNCTION("""COMPUTED_VALUE"""),17.0)</f>
        <v>17</v>
      </c>
      <c r="C267" s="5" t="str">
        <f>IFERROR(__xludf.DUMMYFUNCTION("""COMPUTED_VALUE"""),"https://github.com/22f3000130/TDS_PROJECT_1")</f>
        <v>https://github.com/22f3000130/TDS_PROJECT_1</v>
      </c>
      <c r="D267" s="3" t="str">
        <f>IFERROR(VLOOKUP(C267,'Peer-Review'!B:J,9,0),"No R1")</f>
        <v>No R1</v>
      </c>
      <c r="E267" s="3" t="str">
        <f>IFERROR(VLOOKUP(C267,'Peer-Review'!F:J,5,0),"No R2")</f>
        <v>22f3002622@ds.study.iitm.ac.in</v>
      </c>
      <c r="F267" s="3">
        <f>COUNTIF('Peer-Review'!B:B,C267)+COUNTIF('Peer-Review'!F:F,C267)</f>
        <v>2</v>
      </c>
      <c r="G267" s="3">
        <f t="shared" si="1"/>
        <v>1</v>
      </c>
      <c r="H267" s="3" t="str">
        <f>IFERROR(__xludf.DUMMYFUNCTION("IFERROR(TRANSPOSE(FILTER('Peer-Review'!$J$2:$J$568,(TRIM('Peer-Review'!$B$2:$B$568)=C267 )+ (TRIM('Peer-Review'!$F$2:$F$568)=C267))),""No Reviews"")"),"22f3002622@ds.study.iitm.ac.in")</f>
        <v>22f3002622@ds.study.iitm.ac.in</v>
      </c>
      <c r="I267" s="3" t="str">
        <f>IFERROR(__xludf.DUMMYFUNCTION("""COMPUTED_VALUE"""),"22f3000089@ds.study.iitm.ac.in")</f>
        <v>22f3000089@ds.study.iitm.ac.in</v>
      </c>
      <c r="J267" s="3">
        <f>IF(D267="No R1",0,VLOOKUP(C267,'Peer-Review'!B:D,2,0))</f>
        <v>0</v>
      </c>
      <c r="K267" s="3">
        <f>IF(D267="No R1",0,VLOOKUP(C267,'Peer-Review'!B:D,3,0))</f>
        <v>0</v>
      </c>
      <c r="L267" s="3">
        <f>IF(E267="No R2",0,VLOOKUP(C267,'Peer-Review'!F:H,2,0))</f>
        <v>2</v>
      </c>
      <c r="M267" s="3">
        <f>IF(E267="No R2",0,VLOOKUP(C267,'Peer-Review'!F:H,3,0))</f>
        <v>5</v>
      </c>
    </row>
    <row r="268" hidden="1">
      <c r="A268" s="3" t="str">
        <f>IFERROR(__xludf.DUMMYFUNCTION("""COMPUTED_VALUE"""),"22f3000152@ds.study.iitm.ac.in")</f>
        <v>22f3000152@ds.study.iitm.ac.in</v>
      </c>
      <c r="B268" s="3">
        <f>IFERROR(__xludf.DUMMYFUNCTION("""COMPUTED_VALUE"""),12.0)</f>
        <v>12</v>
      </c>
      <c r="C268" s="5" t="str">
        <f>IFERROR(__xludf.DUMMYFUNCTION("""COMPUTED_VALUE"""),"https://github.com/himanesh21/GithubUserDataAnalysis")</f>
        <v>https://github.com/himanesh21/GithubUserDataAnalysis</v>
      </c>
      <c r="D268" s="3" t="str">
        <f>IFERROR(VLOOKUP(C268,'Peer-Review'!B:J,9,0),"No R1")</f>
        <v>22f3000350@ds.study.iitm.ac.in</v>
      </c>
      <c r="E268" s="3" t="str">
        <f>IFERROR(VLOOKUP(C268,'Peer-Review'!F:J,5,0),"No R2")</f>
        <v>No R2</v>
      </c>
      <c r="F268" s="3">
        <f>COUNTIF('Peer-Review'!B:B,C268)+COUNTIF('Peer-Review'!F:F,C268)</f>
        <v>2</v>
      </c>
      <c r="G268" s="3">
        <f t="shared" si="1"/>
        <v>1</v>
      </c>
      <c r="H268" s="3" t="str">
        <f>IFERROR(__xludf.DUMMYFUNCTION("IFERROR(TRANSPOSE(FILTER('Peer-Review'!$J$2:$J$568,(TRIM('Peer-Review'!$B$2:$B$568)=C268 )+ (TRIM('Peer-Review'!$F$2:$F$568)=C268))),""No Reviews"")"),"22f3000350@ds.study.iitm.ac.in")</f>
        <v>22f3000350@ds.study.iitm.ac.in</v>
      </c>
      <c r="I268" s="3" t="str">
        <f>IFERROR(__xludf.DUMMYFUNCTION("""COMPUTED_VALUE"""),"21f2000371@ds.study.iitm.ac.in")</f>
        <v>21f2000371@ds.study.iitm.ac.in</v>
      </c>
      <c r="J268" s="3">
        <f>IF(D268="No R1",0,VLOOKUP(C268,'Peer-Review'!B:D,2,0))</f>
        <v>8</v>
      </c>
      <c r="K268" s="3">
        <f>IF(D268="No R1",0,VLOOKUP(C268,'Peer-Review'!B:D,3,0))</f>
        <v>8</v>
      </c>
      <c r="L268" s="3">
        <f>IF(E268="No R2",0,VLOOKUP(C268,'Peer-Review'!F:H,2,0))</f>
        <v>0</v>
      </c>
      <c r="M268" s="3">
        <f>IF(E268="No R2",0,VLOOKUP(C268,'Peer-Review'!F:H,3,0))</f>
        <v>0</v>
      </c>
    </row>
    <row r="269" hidden="1">
      <c r="A269" s="3" t="str">
        <f>IFERROR(__xludf.DUMMYFUNCTION("""COMPUTED_VALUE"""),"22f3000182@ds.study.iitm.ac.in")</f>
        <v>22f3000182@ds.study.iitm.ac.in</v>
      </c>
      <c r="B269" s="3">
        <f>IFERROR(__xludf.DUMMYFUNCTION("""COMPUTED_VALUE"""),17.0)</f>
        <v>17</v>
      </c>
      <c r="C269" s="5" t="str">
        <f>IFERROR(__xludf.DUMMYFUNCTION("""COMPUTED_VALUE"""),"https://github.com/jyoti7398/TDS_proj1")</f>
        <v>https://github.com/jyoti7398/TDS_proj1</v>
      </c>
      <c r="D269" s="3" t="str">
        <f>IFERROR(VLOOKUP(C269,'Peer-Review'!B:J,9,0),"No R1")</f>
        <v>No R1</v>
      </c>
      <c r="E269" s="3" t="str">
        <f>IFERROR(VLOOKUP(C269,'Peer-Review'!F:J,5,0),"No R2")</f>
        <v>22f3003042@ds.study.iitm.ac.in</v>
      </c>
      <c r="F269" s="3">
        <f>COUNTIF('Peer-Review'!B:B,C269)+COUNTIF('Peer-Review'!F:F,C269)</f>
        <v>2</v>
      </c>
      <c r="G269" s="3">
        <f t="shared" si="1"/>
        <v>1</v>
      </c>
      <c r="H269" s="3" t="str">
        <f>IFERROR(__xludf.DUMMYFUNCTION("IFERROR(TRANSPOSE(FILTER('Peer-Review'!$J$2:$J$568,(TRIM('Peer-Review'!$B$2:$B$568)=C269 )+ (TRIM('Peer-Review'!$F$2:$F$568)=C269))),""No Reviews"")"),"22f3003042@ds.study.iitm.ac.in")</f>
        <v>22f3003042@ds.study.iitm.ac.in</v>
      </c>
      <c r="I269" s="3" t="str">
        <f>IFERROR(__xludf.DUMMYFUNCTION("""COMPUTED_VALUE"""),"22f3000130@ds.study.iitm.ac.in")</f>
        <v>22f3000130@ds.study.iitm.ac.in</v>
      </c>
      <c r="J269" s="3">
        <f>IF(D269="No R1",0,VLOOKUP(C269,'Peer-Review'!B:D,2,0))</f>
        <v>0</v>
      </c>
      <c r="K269" s="3">
        <f>IF(D269="No R1",0,VLOOKUP(C269,'Peer-Review'!B:D,3,0))</f>
        <v>0</v>
      </c>
      <c r="L269" s="3">
        <f>IF(E269="No R2",0,VLOOKUP(C269,'Peer-Review'!F:H,2,0))</f>
        <v>10</v>
      </c>
      <c r="M269" s="3">
        <f>IF(E269="No R2",0,VLOOKUP(C269,'Peer-Review'!F:H,3,0))</f>
        <v>10</v>
      </c>
    </row>
    <row r="270" hidden="1">
      <c r="A270" s="3" t="str">
        <f>IFERROR(__xludf.DUMMYFUNCTION("""COMPUTED_VALUE"""),"22f3000190@ds.study.iitm.ac.in")</f>
        <v>22f3000190@ds.study.iitm.ac.in</v>
      </c>
      <c r="B270" s="3">
        <f>IFERROR(__xludf.DUMMYFUNCTION("""COMPUTED_VALUE"""),15.0)</f>
        <v>15</v>
      </c>
      <c r="C270" s="5" t="str">
        <f>IFERROR(__xludf.DUMMYFUNCTION("""COMPUTED_VALUE"""),"https://github.com/22f3000190/Seattle-200---TDM")</f>
        <v>https://github.com/22f3000190/Seattle-200---TDM</v>
      </c>
      <c r="D270" s="3" t="str">
        <f>IFERROR(VLOOKUP(C270,'Peer-Review'!B:J,9,0),"No R1")</f>
        <v>23f2003785@ds.study.iitm.ac.in</v>
      </c>
      <c r="E270" s="3" t="str">
        <f>IFERROR(VLOOKUP(C270,'Peer-Review'!F:J,5,0),"No R2")</f>
        <v>No R2</v>
      </c>
      <c r="F270" s="3">
        <f>COUNTIF('Peer-Review'!B:B,C270)+COUNTIF('Peer-Review'!F:F,C270)</f>
        <v>2</v>
      </c>
      <c r="G270" s="3">
        <f t="shared" si="1"/>
        <v>1</v>
      </c>
      <c r="H270" s="3" t="str">
        <f>IFERROR(__xludf.DUMMYFUNCTION("IFERROR(TRANSPOSE(FILTER('Peer-Review'!$J$2:$J$568,(TRIM('Peer-Review'!$B$2:$B$568)=C270 )+ (TRIM('Peer-Review'!$F$2:$F$568)=C270))),""No Reviews"")"),"23f2003785@ds.study.iitm.ac.in")</f>
        <v>23f2003785@ds.study.iitm.ac.in</v>
      </c>
      <c r="I270" s="3" t="str">
        <f>IFERROR(__xludf.DUMMYFUNCTION("""COMPUTED_VALUE"""),"22f3000721@ds.study.iitm.ac.in")</f>
        <v>22f3000721@ds.study.iitm.ac.in</v>
      </c>
      <c r="J270" s="3">
        <f>IF(D270="No R1",0,VLOOKUP(C270,'Peer-Review'!B:D,2,0))</f>
        <v>10</v>
      </c>
      <c r="K270" s="3">
        <f>IF(D270="No R1",0,VLOOKUP(C270,'Peer-Review'!B:D,3,0))</f>
        <v>10</v>
      </c>
      <c r="L270" s="3">
        <f>IF(E270="No R2",0,VLOOKUP(C270,'Peer-Review'!F:H,2,0))</f>
        <v>0</v>
      </c>
      <c r="M270" s="3">
        <f>IF(E270="No R2",0,VLOOKUP(C270,'Peer-Review'!F:H,3,0))</f>
        <v>0</v>
      </c>
    </row>
    <row r="271" hidden="1">
      <c r="A271" s="3" t="str">
        <f>IFERROR(__xludf.DUMMYFUNCTION("""COMPUTED_VALUE"""),"22f3000232@ds.study.iitm.ac.in")</f>
        <v>22f3000232@ds.study.iitm.ac.in</v>
      </c>
      <c r="B271" s="3">
        <f>IFERROR(__xludf.DUMMYFUNCTION("""COMPUTED_VALUE"""),16.0)</f>
        <v>16</v>
      </c>
      <c r="C271" s="5" t="str">
        <f>IFERROR(__xludf.DUMMYFUNCTION("""COMPUTED_VALUE"""),"https://github.com/m55d/P1_md")</f>
        <v>https://github.com/m55d/P1_md</v>
      </c>
      <c r="D271" s="3" t="str">
        <f>IFERROR(VLOOKUP(C271,'Peer-Review'!B:J,9,0),"No R1")</f>
        <v>22f3000082@ds.study.iitm.ac.in</v>
      </c>
      <c r="E271" s="3" t="str">
        <f>IFERROR(VLOOKUP(C271,'Peer-Review'!F:J,5,0),"No R2")</f>
        <v>23f2003198@ds.study.iitm.ac.in</v>
      </c>
      <c r="F271" s="3">
        <f>COUNTIF('Peer-Review'!B:B,C271)+COUNTIF('Peer-Review'!F:F,C271)</f>
        <v>2</v>
      </c>
      <c r="G271" s="3">
        <f t="shared" si="1"/>
        <v>2</v>
      </c>
      <c r="H271" s="3" t="str">
        <f>IFERROR(__xludf.DUMMYFUNCTION("IFERROR(TRANSPOSE(FILTER('Peer-Review'!$J$2:$J$568,(TRIM('Peer-Review'!$B$2:$B$568)=C271 )+ (TRIM('Peer-Review'!$F$2:$F$568)=C271))),""No Reviews"")"),"23f2003198@ds.study.iitm.ac.in")</f>
        <v>23f2003198@ds.study.iitm.ac.in</v>
      </c>
      <c r="I271" s="3" t="str">
        <f>IFERROR(__xludf.DUMMYFUNCTION("""COMPUTED_VALUE"""),"22f3000082@ds.study.iitm.ac.in")</f>
        <v>22f3000082@ds.study.iitm.ac.in</v>
      </c>
      <c r="J271" s="3">
        <f>IF(D271="No R1",0,VLOOKUP(C271,'Peer-Review'!B:D,2,0))</f>
        <v>7</v>
      </c>
      <c r="K271" s="3">
        <f>IF(D271="No R1",0,VLOOKUP(C271,'Peer-Review'!B:D,3,0))</f>
        <v>8</v>
      </c>
      <c r="L271" s="3">
        <f>IF(E271="No R2",0,VLOOKUP(C271,'Peer-Review'!F:H,2,0))</f>
        <v>2</v>
      </c>
      <c r="M271" s="3">
        <f>IF(E271="No R2",0,VLOOKUP(C271,'Peer-Review'!F:H,3,0))</f>
        <v>10</v>
      </c>
    </row>
    <row r="272" hidden="1">
      <c r="A272" s="3" t="str">
        <f>IFERROR(__xludf.DUMMYFUNCTION("""COMPUTED_VALUE"""),"22f3000263@ds.study.iitm.ac.in")</f>
        <v>22f3000263@ds.study.iitm.ac.in</v>
      </c>
      <c r="B272" s="3">
        <f>IFERROR(__xludf.DUMMYFUNCTION("""COMPUTED_VALUE"""),13.0)</f>
        <v>13</v>
      </c>
      <c r="C272" s="5" t="str">
        <f>IFERROR(__xludf.DUMMYFUNCTION("""COMPUTED_VALUE"""),"https://github.com/NEELU9931/tds5")</f>
        <v>https://github.com/NEELU9931/tds5</v>
      </c>
      <c r="D272" s="3" t="str">
        <f>IFERROR(VLOOKUP(C272,'Peer-Review'!B:J,9,0),"No R1")</f>
        <v>22f2000852@ds.study.iitm.ac.in</v>
      </c>
      <c r="E272" s="3" t="str">
        <f>IFERROR(VLOOKUP(C272,'Peer-Review'!F:J,5,0),"No R2")</f>
        <v>No R2</v>
      </c>
      <c r="F272" s="3">
        <f>COUNTIF('Peer-Review'!B:B,C272)+COUNTIF('Peer-Review'!F:F,C272)</f>
        <v>2</v>
      </c>
      <c r="G272" s="3">
        <f t="shared" si="1"/>
        <v>1</v>
      </c>
      <c r="H272" s="3" t="str">
        <f>IFERROR(__xludf.DUMMYFUNCTION("IFERROR(TRANSPOSE(FILTER('Peer-Review'!$J$2:$J$568,(TRIM('Peer-Review'!$B$2:$B$568)=C272 )+ (TRIM('Peer-Review'!$F$2:$F$568)=C272))),""No Reviews"")"),"22f2000852@ds.study.iitm.ac.in")</f>
        <v>22f2000852@ds.study.iitm.ac.in</v>
      </c>
      <c r="I272" s="3" t="str">
        <f>IFERROR(__xludf.DUMMYFUNCTION("""COMPUTED_VALUE"""),"22f3000312@ds.study.iitm.ac.in")</f>
        <v>22f3000312@ds.study.iitm.ac.in</v>
      </c>
      <c r="J272" s="3">
        <f>IF(D272="No R1",0,VLOOKUP(C272,'Peer-Review'!B:D,2,0))</f>
        <v>9</v>
      </c>
      <c r="K272" s="3">
        <f>IF(D272="No R1",0,VLOOKUP(C272,'Peer-Review'!B:D,3,0))</f>
        <v>0</v>
      </c>
      <c r="L272" s="3">
        <f>IF(E272="No R2",0,VLOOKUP(C272,'Peer-Review'!F:H,2,0))</f>
        <v>0</v>
      </c>
      <c r="M272" s="3">
        <f>IF(E272="No R2",0,VLOOKUP(C272,'Peer-Review'!F:H,3,0))</f>
        <v>0</v>
      </c>
    </row>
    <row r="273" hidden="1">
      <c r="A273" s="3" t="str">
        <f>IFERROR(__xludf.DUMMYFUNCTION("""COMPUTED_VALUE"""),"22f3000312@ds.study.iitm.ac.in")</f>
        <v>22f3000312@ds.study.iitm.ac.in</v>
      </c>
      <c r="B273" s="3">
        <f>IFERROR(__xludf.DUMMYFUNCTION("""COMPUTED_VALUE"""),13.0)</f>
        <v>13</v>
      </c>
      <c r="C273" s="5" t="str">
        <f>IFERROR(__xludf.DUMMYFUNCTION("""COMPUTED_VALUE"""),"https://github.com/r4mbhardwaj/toronto100")</f>
        <v>https://github.com/r4mbhardwaj/toronto100</v>
      </c>
      <c r="D273" s="3" t="str">
        <f>IFERROR(VLOOKUP(C273,'Peer-Review'!B:J,9,0),"No R1")</f>
        <v>22f3000803@ds.study.iitm.ac.in</v>
      </c>
      <c r="E273" s="3" t="str">
        <f>IFERROR(VLOOKUP(C273,'Peer-Review'!F:J,5,0),"No R2")</f>
        <v>No R2</v>
      </c>
      <c r="F273" s="3">
        <f>COUNTIF('Peer-Review'!B:B,C273)+COUNTIF('Peer-Review'!F:F,C273)</f>
        <v>1</v>
      </c>
      <c r="G273" s="3">
        <f t="shared" si="1"/>
        <v>1</v>
      </c>
      <c r="H273" s="3" t="str">
        <f>IFERROR(__xludf.DUMMYFUNCTION("IFERROR(TRANSPOSE(FILTER('Peer-Review'!$J$2:$J$568,(TRIM('Peer-Review'!$B$2:$B$568)=C273 )+ (TRIM('Peer-Review'!$F$2:$F$568)=C273))),""No Reviews"")"),"22f3000803@ds.study.iitm.ac.in")</f>
        <v>22f3000803@ds.study.iitm.ac.in</v>
      </c>
      <c r="J273" s="3">
        <f>IF(D273="No R1",0,VLOOKUP(C273,'Peer-Review'!B:D,2,0))</f>
        <v>10</v>
      </c>
      <c r="K273" s="3">
        <f>IF(D273="No R1",0,VLOOKUP(C273,'Peer-Review'!B:D,3,0))</f>
        <v>10</v>
      </c>
      <c r="L273" s="3">
        <f>IF(E273="No R2",0,VLOOKUP(C273,'Peer-Review'!F:H,2,0))</f>
        <v>0</v>
      </c>
      <c r="M273" s="3">
        <f>IF(E273="No R2",0,VLOOKUP(C273,'Peer-Review'!F:H,3,0))</f>
        <v>0</v>
      </c>
    </row>
    <row r="274" hidden="1">
      <c r="A274" s="3" t="str">
        <f>IFERROR(__xludf.DUMMYFUNCTION("""COMPUTED_VALUE"""),"22f3000313@ds.study.iitm.ac.in")</f>
        <v>22f3000313@ds.study.iitm.ac.in</v>
      </c>
      <c r="B274" s="3">
        <f>IFERROR(__xludf.DUMMYFUNCTION("""COMPUTED_VALUE"""),14.0)</f>
        <v>14</v>
      </c>
      <c r="C274" s="5" t="str">
        <f>IFERROR(__xludf.DUMMYFUNCTION("""COMPUTED_VALUE"""),"https://github.com/ragavkish/tds-sg-analysis")</f>
        <v>https://github.com/ragavkish/tds-sg-analysis</v>
      </c>
      <c r="D274" s="3" t="str">
        <f>IFERROR(VLOOKUP(C274,'Peer-Review'!B:J,9,0),"No R1")</f>
        <v>22f3000399@ds.study.iitm.ac.in</v>
      </c>
      <c r="E274" s="3" t="str">
        <f>IFERROR(VLOOKUP(C274,'Peer-Review'!F:J,5,0),"No R2")</f>
        <v>No R2</v>
      </c>
      <c r="F274" s="3">
        <f>COUNTIF('Peer-Review'!B:B,C274)+COUNTIF('Peer-Review'!F:F,C274)</f>
        <v>2</v>
      </c>
      <c r="G274" s="3">
        <f t="shared" si="1"/>
        <v>1</v>
      </c>
      <c r="H274" s="3" t="str">
        <f>IFERROR(__xludf.DUMMYFUNCTION("IFERROR(TRANSPOSE(FILTER('Peer-Review'!$J$2:$J$568,(TRIM('Peer-Review'!$B$2:$B$568)=C274 )+ (TRIM('Peer-Review'!$F$2:$F$568)=C274))),""No Reviews"")"),"22f3000399@ds.study.iitm.ac.in")</f>
        <v>22f3000399@ds.study.iitm.ac.in</v>
      </c>
      <c r="I274" s="3" t="str">
        <f>IFERROR(__xludf.DUMMYFUNCTION("""COMPUTED_VALUE"""),"23f1000075@ds.study.iitm.ac.in")</f>
        <v>23f1000075@ds.study.iitm.ac.in</v>
      </c>
      <c r="J274" s="3">
        <f>IF(D274="No R1",0,VLOOKUP(C274,'Peer-Review'!B:D,2,0))</f>
        <v>9</v>
      </c>
      <c r="K274" s="3">
        <f>IF(D274="No R1",0,VLOOKUP(C274,'Peer-Review'!B:D,3,0))</f>
        <v>9</v>
      </c>
      <c r="L274" s="3">
        <f>IF(E274="No R2",0,VLOOKUP(C274,'Peer-Review'!F:H,2,0))</f>
        <v>0</v>
      </c>
      <c r="M274" s="3">
        <f>IF(E274="No R2",0,VLOOKUP(C274,'Peer-Review'!F:H,3,0))</f>
        <v>0</v>
      </c>
    </row>
    <row r="275" hidden="1">
      <c r="A275" s="3" t="str">
        <f>IFERROR(__xludf.DUMMYFUNCTION("""COMPUTED_VALUE"""),"22f3000350@ds.study.iitm.ac.in")</f>
        <v>22f3000350@ds.study.iitm.ac.in</v>
      </c>
      <c r="B275" s="3">
        <f>IFERROR(__xludf.DUMMYFUNCTION("""COMPUTED_VALUE"""),12.0)</f>
        <v>12</v>
      </c>
      <c r="C275" s="5" t="str">
        <f>IFERROR(__xludf.DUMMYFUNCTION("""COMPUTED_VALUE"""),"https://github.com/22f3000350/22f3000350-TDS-Project-1")</f>
        <v>https://github.com/22f3000350/22f3000350-TDS-Project-1</v>
      </c>
      <c r="D275" s="3" t="str">
        <f>IFERROR(VLOOKUP(C275,'Peer-Review'!B:J,9,0),"No R1")</f>
        <v>21f2000414@ds.study.iitm.ac.in</v>
      </c>
      <c r="E275" s="3" t="str">
        <f>IFERROR(VLOOKUP(C275,'Peer-Review'!F:J,5,0),"No R2")</f>
        <v>No R2</v>
      </c>
      <c r="F275" s="3">
        <f>COUNTIF('Peer-Review'!B:B,C275)+COUNTIF('Peer-Review'!F:F,C275)</f>
        <v>2</v>
      </c>
      <c r="G275" s="3">
        <f t="shared" si="1"/>
        <v>1</v>
      </c>
      <c r="H275" s="3" t="str">
        <f>IFERROR(__xludf.DUMMYFUNCTION("IFERROR(TRANSPOSE(FILTER('Peer-Review'!$J$2:$J$568,(TRIM('Peer-Review'!$B$2:$B$568)=C275 )+ (TRIM('Peer-Review'!$F$2:$F$568)=C275))),""No Reviews"")"),"21f2000414@ds.study.iitm.ac.in")</f>
        <v>21f2000414@ds.study.iitm.ac.in</v>
      </c>
      <c r="I275" s="3" t="str">
        <f>IFERROR(__xludf.DUMMYFUNCTION("""COMPUTED_VALUE"""),"22f3001489@ds.study.iitm.ac.in")</f>
        <v>22f3001489@ds.study.iitm.ac.in</v>
      </c>
      <c r="J275" s="3">
        <f>IF(D275="No R1",0,VLOOKUP(C275,'Peer-Review'!B:D,2,0))</f>
        <v>10</v>
      </c>
      <c r="K275" s="3">
        <f>IF(D275="No R1",0,VLOOKUP(C275,'Peer-Review'!B:D,3,0))</f>
        <v>10</v>
      </c>
      <c r="L275" s="3">
        <f>IF(E275="No R2",0,VLOOKUP(C275,'Peer-Review'!F:H,2,0))</f>
        <v>0</v>
      </c>
      <c r="M275" s="3">
        <f>IF(E275="No R2",0,VLOOKUP(C275,'Peer-Review'!F:H,3,0))</f>
        <v>0</v>
      </c>
    </row>
    <row r="276" hidden="1">
      <c r="A276" s="3" t="str">
        <f>IFERROR(__xludf.DUMMYFUNCTION("""COMPUTED_VALUE"""),"22f3000364@ds.study.iitm.ac.in")</f>
        <v>22f3000364@ds.study.iitm.ac.in</v>
      </c>
      <c r="B276" s="3">
        <f>IFERROR(__xludf.DUMMYFUNCTION("""COMPUTED_VALUE"""),17.0)</f>
        <v>17</v>
      </c>
      <c r="C276" s="5" t="str">
        <f>IFERROR(__xludf.DUMMYFUNCTION("""COMPUTED_VALUE"""),"https://github.com/saritakumari23/proj1")</f>
        <v>https://github.com/saritakumari23/proj1</v>
      </c>
      <c r="D276" s="3" t="str">
        <f>IFERROR(VLOOKUP(C276,'Peer-Review'!B:J,9,0),"No R1")</f>
        <v>No R1</v>
      </c>
      <c r="E276" s="3" t="str">
        <f>IFERROR(VLOOKUP(C276,'Peer-Review'!F:J,5,0),"No R2")</f>
        <v>22f3000182@ds.study.iitm.ac.in</v>
      </c>
      <c r="F276" s="3">
        <f>COUNTIF('Peer-Review'!B:B,C276)+COUNTIF('Peer-Review'!F:F,C276)</f>
        <v>2</v>
      </c>
      <c r="G276" s="3">
        <f t="shared" si="1"/>
        <v>1</v>
      </c>
      <c r="H276" s="3" t="str">
        <f>IFERROR(__xludf.DUMMYFUNCTION("IFERROR(TRANSPOSE(FILTER('Peer-Review'!$J$2:$J$568,(TRIM('Peer-Review'!$B$2:$B$568)=C276 )+ (TRIM('Peer-Review'!$F$2:$F$568)=C276))),""No Reviews"")"),"22f3000182@ds.study.iitm.ac.in")</f>
        <v>22f3000182@ds.study.iitm.ac.in</v>
      </c>
      <c r="I276" s="3" t="str">
        <f>IFERROR(__xludf.DUMMYFUNCTION("""COMPUTED_VALUE"""),"23ds1000051@ds.study.iitm.ac.in")</f>
        <v>23ds1000051@ds.study.iitm.ac.in</v>
      </c>
      <c r="J276" s="3">
        <f>IF(D276="No R1",0,VLOOKUP(C276,'Peer-Review'!B:D,2,0))</f>
        <v>0</v>
      </c>
      <c r="K276" s="3">
        <f>IF(D276="No R1",0,VLOOKUP(C276,'Peer-Review'!B:D,3,0))</f>
        <v>0</v>
      </c>
      <c r="L276" s="3">
        <f>IF(E276="No R2",0,VLOOKUP(C276,'Peer-Review'!F:H,2,0))</f>
        <v>0</v>
      </c>
      <c r="M276" s="3">
        <f>IF(E276="No R2",0,VLOOKUP(C276,'Peer-Review'!F:H,3,0))</f>
        <v>0</v>
      </c>
    </row>
    <row r="277" hidden="1">
      <c r="A277" s="3" t="str">
        <f>IFERROR(__xludf.DUMMYFUNCTION("""COMPUTED_VALUE"""),"22f3000373@ds.study.iitm.ac.in")</f>
        <v>22f3000373@ds.study.iitm.ac.in</v>
      </c>
      <c r="B277" s="3">
        <f>IFERROR(__xludf.DUMMYFUNCTION("""COMPUTED_VALUE"""),16.0)</f>
        <v>16</v>
      </c>
      <c r="C277" s="5" t="str">
        <f>IFERROR(__xludf.DUMMYFUNCTION("""COMPUTED_VALUE"""),"https://github.com/CaptPeroxide7/TDS-Proj1")</f>
        <v>https://github.com/CaptPeroxide7/TDS-Proj1</v>
      </c>
      <c r="D277" s="3" t="str">
        <f>IFERROR(VLOOKUP(C277,'Peer-Review'!B:J,9,0),"No R1")</f>
        <v>No R1</v>
      </c>
      <c r="E277" s="3" t="str">
        <f>IFERROR(VLOOKUP(C277,'Peer-Review'!F:J,5,0),"No R2")</f>
        <v>22f3000232@ds.study.iitm.ac.in</v>
      </c>
      <c r="F277" s="3">
        <f>COUNTIF('Peer-Review'!B:B,C277)+COUNTIF('Peer-Review'!F:F,C277)</f>
        <v>2</v>
      </c>
      <c r="G277" s="3">
        <f t="shared" si="1"/>
        <v>1</v>
      </c>
      <c r="H277" s="3" t="str">
        <f>IFERROR(__xludf.DUMMYFUNCTION("IFERROR(TRANSPOSE(FILTER('Peer-Review'!$J$2:$J$568,(TRIM('Peer-Review'!$B$2:$B$568)=C277 )+ (TRIM('Peer-Review'!$F$2:$F$568)=C277))),""No Reviews"")"),"22f3000232@ds.study.iitm.ac.in")</f>
        <v>22f3000232@ds.study.iitm.ac.in</v>
      </c>
      <c r="I277" s="3" t="str">
        <f>IFERROR(__xludf.DUMMYFUNCTION("""COMPUTED_VALUE"""),"24ds3000064@ds.study.iitm.ac.in")</f>
        <v>24ds3000064@ds.study.iitm.ac.in</v>
      </c>
      <c r="J277" s="3">
        <f>IF(D277="No R1",0,VLOOKUP(C277,'Peer-Review'!B:D,2,0))</f>
        <v>0</v>
      </c>
      <c r="K277" s="3">
        <f>IF(D277="No R1",0,VLOOKUP(C277,'Peer-Review'!B:D,3,0))</f>
        <v>0</v>
      </c>
      <c r="L277" s="3">
        <f>IF(E277="No R2",0,VLOOKUP(C277,'Peer-Review'!F:H,2,0))</f>
        <v>10</v>
      </c>
      <c r="M277" s="3">
        <f>IF(E277="No R2",0,VLOOKUP(C277,'Peer-Review'!F:H,3,0))</f>
        <v>10</v>
      </c>
    </row>
    <row r="278">
      <c r="A278" s="3" t="str">
        <f>IFERROR(__xludf.DUMMYFUNCTION("""COMPUTED_VALUE"""),"22f3000377@ds.study.iitm.ac.in")</f>
        <v>22f3000377@ds.study.iitm.ac.in</v>
      </c>
      <c r="B278" s="3">
        <f>IFERROR(__xludf.DUMMYFUNCTION("""COMPUTED_VALUE"""),0.0)</f>
        <v>0</v>
      </c>
      <c r="C278" s="3"/>
      <c r="D278" s="3" t="str">
        <f>IFERROR(VLOOKUP(C278,'Peer-Review'!B:J,9,0),"No R1")</f>
        <v>No R1</v>
      </c>
      <c r="E278" s="3" t="str">
        <f>IFERROR(VLOOKUP(C278,'Peer-Review'!F:J,5,0),"No R2")</f>
        <v>No R2</v>
      </c>
      <c r="F278" s="3">
        <f>COUNTIF('Peer-Review'!B:B,C278)+COUNTIF('Peer-Review'!F:F,C278)</f>
        <v>0</v>
      </c>
      <c r="G278" s="3">
        <f t="shared" si="1"/>
        <v>0</v>
      </c>
      <c r="H278" s="3" t="str">
        <f>IFERROR(__xludf.DUMMYFUNCTION("IFERROR(TRANSPOSE(FILTER('Peer-Review'!$J$2:$J$568,(TRIM('Peer-Review'!$B$2:$B$568)=C278 )+ (TRIM('Peer-Review'!$F$2:$F$568)=C278))),""No Reviews"")"),"No Reviews")</f>
        <v>No Reviews</v>
      </c>
      <c r="J278" s="3">
        <f>IF(D278="No R1",0,VLOOKUP(C278,'Peer-Review'!B:D,2,0))</f>
        <v>0</v>
      </c>
      <c r="K278" s="3">
        <f>IF(D278="No R1",0,VLOOKUP(C278,'Peer-Review'!B:D,3,0))</f>
        <v>0</v>
      </c>
      <c r="L278" s="3">
        <f>IF(E278="No R2",0,VLOOKUP(C278,'Peer-Review'!F:H,2,0))</f>
        <v>0</v>
      </c>
      <c r="M278" s="3">
        <f>IF(E278="No R2",0,VLOOKUP(C278,'Peer-Review'!F:H,3,0))</f>
        <v>0</v>
      </c>
    </row>
    <row r="279" hidden="1">
      <c r="A279" s="3" t="str">
        <f>IFERROR(__xludf.DUMMYFUNCTION("""COMPUTED_VALUE"""),"22f3000398@ds.study.iitm.ac.in")</f>
        <v>22f3000398@ds.study.iitm.ac.in</v>
      </c>
      <c r="B279" s="3">
        <f>IFERROR(__xludf.DUMMYFUNCTION("""COMPUTED_VALUE"""),17.0)</f>
        <v>17</v>
      </c>
      <c r="C279" s="5" t="str">
        <f>IFERROR(__xludf.DUMMYFUNCTION("""COMPUTED_VALUE"""),"https://github.com/22f3000398/TDS-Project")</f>
        <v>https://github.com/22f3000398/TDS-Project</v>
      </c>
      <c r="D279" s="3" t="str">
        <f>IFERROR(VLOOKUP(C279,'Peer-Review'!B:J,9,0),"No R1")</f>
        <v>No R1</v>
      </c>
      <c r="E279" s="3" t="str">
        <f>IFERROR(VLOOKUP(C279,'Peer-Review'!F:J,5,0),"No R2")</f>
        <v>23ds3000049@ds.study.iitm.ac.in</v>
      </c>
      <c r="F279" s="3">
        <f>COUNTIF('Peer-Review'!B:B,C279)+COUNTIF('Peer-Review'!F:F,C279)</f>
        <v>2</v>
      </c>
      <c r="G279" s="3">
        <f t="shared" si="1"/>
        <v>1</v>
      </c>
      <c r="H279" s="3" t="str">
        <f>IFERROR(__xludf.DUMMYFUNCTION("IFERROR(TRANSPOSE(FILTER('Peer-Review'!$J$2:$J$568,(TRIM('Peer-Review'!$B$2:$B$568)=C279 )+ (TRIM('Peer-Review'!$F$2:$F$568)=C279))),""No Reviews"")"),"23ds3000049@ds.study.iitm.ac.in")</f>
        <v>23ds3000049@ds.study.iitm.ac.in</v>
      </c>
      <c r="I279" s="3" t="str">
        <f>IFERROR(__xludf.DUMMYFUNCTION("""COMPUTED_VALUE"""),"22f3000364@ds.study.iitm.ac.in")</f>
        <v>22f3000364@ds.study.iitm.ac.in</v>
      </c>
      <c r="J279" s="3">
        <f>IF(D279="No R1",0,VLOOKUP(C279,'Peer-Review'!B:D,2,0))</f>
        <v>0</v>
      </c>
      <c r="K279" s="3">
        <f>IF(D279="No R1",0,VLOOKUP(C279,'Peer-Review'!B:D,3,0))</f>
        <v>0</v>
      </c>
      <c r="L279" s="3">
        <f>IF(E279="No R2",0,VLOOKUP(C279,'Peer-Review'!F:H,2,0))</f>
        <v>1</v>
      </c>
      <c r="M279" s="3">
        <f>IF(E279="No R2",0,VLOOKUP(C279,'Peer-Review'!F:H,3,0))</f>
        <v>7</v>
      </c>
    </row>
    <row r="280" hidden="1">
      <c r="A280" s="3" t="str">
        <f>IFERROR(__xludf.DUMMYFUNCTION("""COMPUTED_VALUE"""),"22f3000399@ds.study.iitm.ac.in")</f>
        <v>22f3000399@ds.study.iitm.ac.in</v>
      </c>
      <c r="B280" s="3">
        <f>IFERROR(__xludf.DUMMYFUNCTION("""COMPUTED_VALUE"""),14.0)</f>
        <v>14</v>
      </c>
      <c r="C280" s="5" t="str">
        <f>IFERROR(__xludf.DUMMYFUNCTION("""COMPUTED_VALUE"""),"https://github.com/S-Prasad-M/tds_proj1/")</f>
        <v>https://github.com/S-Prasad-M/tds_proj1/</v>
      </c>
      <c r="D280" s="3" t="str">
        <f>IFERROR(VLOOKUP(C280,'Peer-Review'!B:J,9,0),"No R1")</f>
        <v>23f1000113@ds.study.iitm.ac.in</v>
      </c>
      <c r="E280" s="3" t="str">
        <f>IFERROR(VLOOKUP(C280,'Peer-Review'!F:J,5,0),"No R2")</f>
        <v>No R2</v>
      </c>
      <c r="F280" s="3">
        <f>COUNTIF('Peer-Review'!B:B,C280)+COUNTIF('Peer-Review'!F:F,C280)</f>
        <v>1</v>
      </c>
      <c r="G280" s="3">
        <f t="shared" si="1"/>
        <v>1</v>
      </c>
      <c r="H280" s="3" t="str">
        <f>IFERROR(__xludf.DUMMYFUNCTION("IFERROR(TRANSPOSE(FILTER('Peer-Review'!$J$2:$J$568,(TRIM('Peer-Review'!$B$2:$B$568)=C280 )+ (TRIM('Peer-Review'!$F$2:$F$568)=C280))),""No Reviews"")"),"23f1000113@ds.study.iitm.ac.in")</f>
        <v>23f1000113@ds.study.iitm.ac.in</v>
      </c>
      <c r="J280" s="3">
        <f>IF(D280="No R1",0,VLOOKUP(C280,'Peer-Review'!B:D,2,0))</f>
        <v>9</v>
      </c>
      <c r="K280" s="3">
        <f>IF(D280="No R1",0,VLOOKUP(C280,'Peer-Review'!B:D,3,0))</f>
        <v>9</v>
      </c>
      <c r="L280" s="3">
        <f>IF(E280="No R2",0,VLOOKUP(C280,'Peer-Review'!F:H,2,0))</f>
        <v>0</v>
      </c>
      <c r="M280" s="3">
        <f>IF(E280="No R2",0,VLOOKUP(C280,'Peer-Review'!F:H,3,0))</f>
        <v>0</v>
      </c>
    </row>
    <row r="281" hidden="1">
      <c r="A281" s="3" t="str">
        <f>IFERROR(__xludf.DUMMYFUNCTION("""COMPUTED_VALUE"""),"22f3000400@ds.study.iitm.ac.in")</f>
        <v>22f3000400@ds.study.iitm.ac.in</v>
      </c>
      <c r="B281" s="3">
        <f>IFERROR(__xludf.DUMMYFUNCTION("""COMPUTED_VALUE"""),16.0)</f>
        <v>16</v>
      </c>
      <c r="C281" s="5" t="str">
        <f>IFERROR(__xludf.DUMMYFUNCTION("""COMPUTED_VALUE"""),"https://github.com/RK-Codes-IITMBS/TDS-Project-1")</f>
        <v>https://github.com/RK-Codes-IITMBS/TDS-Project-1</v>
      </c>
      <c r="D281" s="3" t="str">
        <f>IFERROR(VLOOKUP(C281,'Peer-Review'!B:J,9,0),"No R1")</f>
        <v>No R1</v>
      </c>
      <c r="E281" s="3" t="str">
        <f>IFERROR(VLOOKUP(C281,'Peer-Review'!F:J,5,0),"No R2")</f>
        <v>22f3000373@ds.study.iitm.ac.in</v>
      </c>
      <c r="F281" s="3">
        <f>COUNTIF('Peer-Review'!B:B,C281)+COUNTIF('Peer-Review'!F:F,C281)</f>
        <v>2</v>
      </c>
      <c r="G281" s="3">
        <f t="shared" si="1"/>
        <v>1</v>
      </c>
      <c r="H281" s="3" t="str">
        <f>IFERROR(__xludf.DUMMYFUNCTION("IFERROR(TRANSPOSE(FILTER('Peer-Review'!$J$2:$J$568,(TRIM('Peer-Review'!$B$2:$B$568)=C281 )+ (TRIM('Peer-Review'!$F$2:$F$568)=C281))),""No Reviews"")"),"22f3000373@ds.study.iitm.ac.in")</f>
        <v>22f3000373@ds.study.iitm.ac.in</v>
      </c>
      <c r="I281" s="3" t="str">
        <f>IFERROR(__xludf.DUMMYFUNCTION("""COMPUTED_VALUE"""),"21f3001496@ds.study.iitm.ac.in")</f>
        <v>21f3001496@ds.study.iitm.ac.in</v>
      </c>
      <c r="J281" s="3">
        <f>IF(D281="No R1",0,VLOOKUP(C281,'Peer-Review'!B:D,2,0))</f>
        <v>0</v>
      </c>
      <c r="K281" s="3">
        <f>IF(D281="No R1",0,VLOOKUP(C281,'Peer-Review'!B:D,3,0))</f>
        <v>0</v>
      </c>
      <c r="L281" s="3">
        <f>IF(E281="No R2",0,VLOOKUP(C281,'Peer-Review'!F:H,2,0))</f>
        <v>8</v>
      </c>
      <c r="M281" s="3">
        <f>IF(E281="No R2",0,VLOOKUP(C281,'Peer-Review'!F:H,3,0))</f>
        <v>8</v>
      </c>
    </row>
    <row r="282" hidden="1">
      <c r="A282" s="3" t="str">
        <f>IFERROR(__xludf.DUMMYFUNCTION("""COMPUTED_VALUE"""),"22f3000448@ds.study.iitm.ac.in")</f>
        <v>22f3000448@ds.study.iitm.ac.in</v>
      </c>
      <c r="B282" s="3">
        <f>IFERROR(__xludf.DUMMYFUNCTION("""COMPUTED_VALUE"""),17.0)</f>
        <v>17</v>
      </c>
      <c r="C282" s="5" t="str">
        <f>IFERROR(__xludf.DUMMYFUNCTION("""COMPUTED_VALUE"""),"https://github.com/Veekshi28/tds-project1")</f>
        <v>https://github.com/Veekshi28/tds-project1</v>
      </c>
      <c r="D282" s="3" t="str">
        <f>IFERROR(VLOOKUP(C282,'Peer-Review'!B:J,9,0),"No R1")</f>
        <v>No R1</v>
      </c>
      <c r="E282" s="3" t="str">
        <f>IFERROR(VLOOKUP(C282,'Peer-Review'!F:J,5,0),"No R2")</f>
        <v>No R2</v>
      </c>
      <c r="F282" s="3">
        <f>COUNTIF('Peer-Review'!B:B,C282)+COUNTIF('Peer-Review'!F:F,C282)</f>
        <v>0</v>
      </c>
      <c r="G282" s="3">
        <f t="shared" si="1"/>
        <v>0</v>
      </c>
      <c r="H282" s="3" t="str">
        <f>IFERROR(__xludf.DUMMYFUNCTION("IFERROR(TRANSPOSE(FILTER('Peer-Review'!$J$2:$J$568,(TRIM('Peer-Review'!$B$2:$B$568)=C282 )+ (TRIM('Peer-Review'!$F$2:$F$568)=C282))),""No Reviews"")"),"No Reviews")</f>
        <v>No Reviews</v>
      </c>
      <c r="J282" s="3">
        <f>IF(D282="No R1",0,VLOOKUP(C282,'Peer-Review'!B:D,2,0))</f>
        <v>0</v>
      </c>
      <c r="K282" s="3">
        <f>IF(D282="No R1",0,VLOOKUP(C282,'Peer-Review'!B:D,3,0))</f>
        <v>0</v>
      </c>
      <c r="L282" s="3">
        <f>IF(E282="No R2",0,VLOOKUP(C282,'Peer-Review'!F:H,2,0))</f>
        <v>0</v>
      </c>
      <c r="M282" s="3">
        <f>IF(E282="No R2",0,VLOOKUP(C282,'Peer-Review'!F:H,3,0))</f>
        <v>0</v>
      </c>
    </row>
    <row r="283" hidden="1">
      <c r="A283" s="3" t="str">
        <f>IFERROR(__xludf.DUMMYFUNCTION("""COMPUTED_VALUE"""),"22f3000452@ds.study.iitm.ac.in")</f>
        <v>22f3000452@ds.study.iitm.ac.in</v>
      </c>
      <c r="B283" s="3">
        <f>IFERROR(__xludf.DUMMYFUNCTION("""COMPUTED_VALUE"""),17.0)</f>
        <v>17</v>
      </c>
      <c r="C283" s="5" t="str">
        <f>IFERROR(__xludf.DUMMYFUNCTION("""COMPUTED_VALUE"""),"https://github.com/ThePenguin12345/TDS_Project1")</f>
        <v>https://github.com/ThePenguin12345/TDS_Project1</v>
      </c>
      <c r="D283" s="3" t="str">
        <f>IFERROR(VLOOKUP(C283,'Peer-Review'!B:J,9,0),"No R1")</f>
        <v>No R1</v>
      </c>
      <c r="E283" s="3" t="str">
        <f>IFERROR(VLOOKUP(C283,'Peer-Review'!F:J,5,0),"No R2")</f>
        <v>23f1000043@ds.study.iitm.ac.in</v>
      </c>
      <c r="F283" s="3">
        <f>COUNTIF('Peer-Review'!B:B,C283)+COUNTIF('Peer-Review'!F:F,C283)</f>
        <v>2</v>
      </c>
      <c r="G283" s="3">
        <f t="shared" si="1"/>
        <v>1</v>
      </c>
      <c r="H283" s="3" t="str">
        <f>IFERROR(__xludf.DUMMYFUNCTION("IFERROR(TRANSPOSE(FILTER('Peer-Review'!$J$2:$J$568,(TRIM('Peer-Review'!$B$2:$B$568)=C283 )+ (TRIM('Peer-Review'!$F$2:$F$568)=C283))),""No Reviews"")"),"23f1000043@ds.study.iitm.ac.in")</f>
        <v>23f1000043@ds.study.iitm.ac.in</v>
      </c>
      <c r="I283" s="3" t="str">
        <f>IFERROR(__xludf.DUMMYFUNCTION("""COMPUTED_VALUE"""),"22f3000448@ds.study.iitm.ac.in")</f>
        <v>22f3000448@ds.study.iitm.ac.in</v>
      </c>
      <c r="J283" s="3">
        <f>IF(D283="No R1",0,VLOOKUP(C283,'Peer-Review'!B:D,2,0))</f>
        <v>0</v>
      </c>
      <c r="K283" s="3">
        <f>IF(D283="No R1",0,VLOOKUP(C283,'Peer-Review'!B:D,3,0))</f>
        <v>0</v>
      </c>
      <c r="L283" s="3">
        <f>IF(E283="No R2",0,VLOOKUP(C283,'Peer-Review'!F:H,2,0))</f>
        <v>10</v>
      </c>
      <c r="M283" s="3">
        <f>IF(E283="No R2",0,VLOOKUP(C283,'Peer-Review'!F:H,3,0))</f>
        <v>10</v>
      </c>
    </row>
    <row r="284" hidden="1">
      <c r="A284" s="3" t="str">
        <f>IFERROR(__xludf.DUMMYFUNCTION("""COMPUTED_VALUE"""),"22f3000531@ds.study.iitm.ac.in")</f>
        <v>22f3000531@ds.study.iitm.ac.in</v>
      </c>
      <c r="B284" s="3">
        <f>IFERROR(__xludf.DUMMYFUNCTION("""COMPUTED_VALUE"""),14.0)</f>
        <v>14</v>
      </c>
      <c r="C284" s="5" t="str">
        <f>IFERROR(__xludf.DUMMYFUNCTION("""COMPUTED_VALUE"""),"https://github.com/kanha-00001/project-1-final")</f>
        <v>https://github.com/kanha-00001/project-1-final</v>
      </c>
      <c r="D284" s="3" t="str">
        <f>IFERROR(VLOOKUP(C284,'Peer-Review'!B:J,9,0),"No R1")</f>
        <v>22f3000612@ds.study.iitm.ac.in</v>
      </c>
      <c r="E284" s="3" t="str">
        <f>IFERROR(VLOOKUP(C284,'Peer-Review'!F:J,5,0),"No R2")</f>
        <v>No R2</v>
      </c>
      <c r="F284" s="3">
        <f>COUNTIF('Peer-Review'!B:B,C284)+COUNTIF('Peer-Review'!F:F,C284)</f>
        <v>2</v>
      </c>
      <c r="G284" s="3">
        <f t="shared" si="1"/>
        <v>1</v>
      </c>
      <c r="H284" s="3" t="str">
        <f>IFERROR(__xludf.DUMMYFUNCTION("IFERROR(TRANSPOSE(FILTER('Peer-Review'!$J$2:$J$568,(TRIM('Peer-Review'!$B$2:$B$568)=C284 )+ (TRIM('Peer-Review'!$F$2:$F$568)=C284))),""No Reviews"")"),"22f3000612@ds.study.iitm.ac.in")</f>
        <v>22f3000612@ds.study.iitm.ac.in</v>
      </c>
      <c r="I284" s="3" t="str">
        <f>IFERROR(__xludf.DUMMYFUNCTION("""COMPUTED_VALUE"""),"23f1000200@ds.study.iitm.ac.in")</f>
        <v>23f1000200@ds.study.iitm.ac.in</v>
      </c>
      <c r="J284" s="3">
        <f>IF(D284="No R1",0,VLOOKUP(C284,'Peer-Review'!B:D,2,0))</f>
        <v>5</v>
      </c>
      <c r="K284" s="3">
        <f>IF(D284="No R1",0,VLOOKUP(C284,'Peer-Review'!B:D,3,0))</f>
        <v>0</v>
      </c>
      <c r="L284" s="3">
        <f>IF(E284="No R2",0,VLOOKUP(C284,'Peer-Review'!F:H,2,0))</f>
        <v>0</v>
      </c>
      <c r="M284" s="3">
        <f>IF(E284="No R2",0,VLOOKUP(C284,'Peer-Review'!F:H,3,0))</f>
        <v>0</v>
      </c>
    </row>
    <row r="285" hidden="1">
      <c r="A285" s="3" t="str">
        <f>IFERROR(__xludf.DUMMYFUNCTION("""COMPUTED_VALUE"""),"22f3000534@ds.study.iitm.ac.in")</f>
        <v>22f3000534@ds.study.iitm.ac.in</v>
      </c>
      <c r="B285" s="3">
        <f>IFERROR(__xludf.DUMMYFUNCTION("""COMPUTED_VALUE"""),17.0)</f>
        <v>17</v>
      </c>
      <c r="C285" s="5" t="str">
        <f>IFERROR(__xludf.DUMMYFUNCTION("""COMPUTED_VALUE"""),"https://github.com/anantdev123/Project1")</f>
        <v>https://github.com/anantdev123/Project1</v>
      </c>
      <c r="D285" s="3" t="str">
        <f>IFERROR(VLOOKUP(C285,'Peer-Review'!B:J,9,0),"No R1")</f>
        <v>No R1</v>
      </c>
      <c r="E285" s="3" t="str">
        <f>IFERROR(VLOOKUP(C285,'Peer-Review'!F:J,5,0),"No R2")</f>
        <v>23f1000092@ds.study.iitm.ac.in</v>
      </c>
      <c r="F285" s="3">
        <f>COUNTIF('Peer-Review'!B:B,C285)+COUNTIF('Peer-Review'!F:F,C285)</f>
        <v>2</v>
      </c>
      <c r="G285" s="3">
        <f t="shared" si="1"/>
        <v>1</v>
      </c>
      <c r="H285" s="3" t="str">
        <f>IFERROR(__xludf.DUMMYFUNCTION("IFERROR(TRANSPOSE(FILTER('Peer-Review'!$J$2:$J$568,(TRIM('Peer-Review'!$B$2:$B$568)=C285 )+ (TRIM('Peer-Review'!$F$2:$F$568)=C285))),""No Reviews"")"),"23f1000092@ds.study.iitm.ac.in")</f>
        <v>23f1000092@ds.study.iitm.ac.in</v>
      </c>
      <c r="I285" s="3" t="str">
        <f>IFERROR(__xludf.DUMMYFUNCTION("""COMPUTED_VALUE"""),"22f3000452@ds.study.iitm.ac.in")</f>
        <v>22f3000452@ds.study.iitm.ac.in</v>
      </c>
      <c r="J285" s="3">
        <f>IF(D285="No R1",0,VLOOKUP(C285,'Peer-Review'!B:D,2,0))</f>
        <v>0</v>
      </c>
      <c r="K285" s="3">
        <f>IF(D285="No R1",0,VLOOKUP(C285,'Peer-Review'!B:D,3,0))</f>
        <v>0</v>
      </c>
      <c r="L285" s="3">
        <f>IF(E285="No R2",0,VLOOKUP(C285,'Peer-Review'!F:H,2,0))</f>
        <v>10</v>
      </c>
      <c r="M285" s="3">
        <f>IF(E285="No R2",0,VLOOKUP(C285,'Peer-Review'!F:H,3,0))</f>
        <v>10</v>
      </c>
    </row>
    <row r="286" hidden="1">
      <c r="A286" s="3" t="str">
        <f>IFERROR(__xludf.DUMMYFUNCTION("""COMPUTED_VALUE"""),"22f3000545@ds.study.iitm.ac.in")</f>
        <v>22f3000545@ds.study.iitm.ac.in</v>
      </c>
      <c r="B286" s="3">
        <f>IFERROR(__xludf.DUMMYFUNCTION("""COMPUTED_VALUE"""),17.0)</f>
        <v>17</v>
      </c>
      <c r="C286" s="5" t="str">
        <f>IFERROR(__xludf.DUMMYFUNCTION("""COMPUTED_VALUE"""),"https://github.com/gyanesh-iitmiimb/TDSProject1/blob")</f>
        <v>https://github.com/gyanesh-iitmiimb/TDSProject1/blob</v>
      </c>
      <c r="D286" s="3" t="str">
        <f>IFERROR(VLOOKUP(C286,'Peer-Review'!B:J,9,0),"No R1")</f>
        <v>No R1</v>
      </c>
      <c r="E286" s="3" t="str">
        <f>IFERROR(VLOOKUP(C286,'Peer-Review'!F:J,5,0),"No R2")</f>
        <v>23f1000583@ds.study.iitm.ac.in</v>
      </c>
      <c r="F286" s="3">
        <f>COUNTIF('Peer-Review'!B:B,C286)+COUNTIF('Peer-Review'!F:F,C286)</f>
        <v>2</v>
      </c>
      <c r="G286" s="3">
        <f t="shared" si="1"/>
        <v>1</v>
      </c>
      <c r="H286" s="3" t="str">
        <f>IFERROR(__xludf.DUMMYFUNCTION("IFERROR(TRANSPOSE(FILTER('Peer-Review'!$J$2:$J$568,(TRIM('Peer-Review'!$B$2:$B$568)=C286 )+ (TRIM('Peer-Review'!$F$2:$F$568)=C286))),""No Reviews"")"),"23f1000583@ds.study.iitm.ac.in")</f>
        <v>23f1000583@ds.study.iitm.ac.in</v>
      </c>
      <c r="I286" s="3" t="str">
        <f>IFERROR(__xludf.DUMMYFUNCTION("""COMPUTED_VALUE"""),"22f3000534@ds.study.iitm.ac.in")</f>
        <v>22f3000534@ds.study.iitm.ac.in</v>
      </c>
      <c r="J286" s="3">
        <f>IF(D286="No R1",0,VLOOKUP(C286,'Peer-Review'!B:D,2,0))</f>
        <v>0</v>
      </c>
      <c r="K286" s="3">
        <f>IF(D286="No R1",0,VLOOKUP(C286,'Peer-Review'!B:D,3,0))</f>
        <v>0</v>
      </c>
      <c r="L286" s="3">
        <f>IF(E286="No R2",0,VLOOKUP(C286,'Peer-Review'!F:H,2,0))</f>
        <v>0</v>
      </c>
      <c r="M286" s="3">
        <f>IF(E286="No R2",0,VLOOKUP(C286,'Peer-Review'!F:H,3,0))</f>
        <v>0</v>
      </c>
    </row>
    <row r="287" hidden="1">
      <c r="A287" s="3" t="str">
        <f>IFERROR(__xludf.DUMMYFUNCTION("""COMPUTED_VALUE"""),"22f3000612@ds.study.iitm.ac.in")</f>
        <v>22f3000612@ds.study.iitm.ac.in</v>
      </c>
      <c r="B287" s="3">
        <f>IFERROR(__xludf.DUMMYFUNCTION("""COMPUTED_VALUE"""),14.0)</f>
        <v>14</v>
      </c>
      <c r="C287" s="5" t="str">
        <f>IFERROR(__xludf.DUMMYFUNCTION("""COMPUTED_VALUE"""),"https://github.com/ayushiprajapti/TDS-PROJECT")</f>
        <v>https://github.com/ayushiprajapti/TDS-PROJECT</v>
      </c>
      <c r="D287" s="3" t="str">
        <f>IFERROR(VLOOKUP(C287,'Peer-Review'!B:J,9,0),"No R1")</f>
        <v>23f1000205@ds.study.iitm.ac.in</v>
      </c>
      <c r="E287" s="3" t="str">
        <f>IFERROR(VLOOKUP(C287,'Peer-Review'!F:J,5,0),"No R2")</f>
        <v>No R2</v>
      </c>
      <c r="F287" s="3">
        <f>COUNTIF('Peer-Review'!B:B,C287)+COUNTIF('Peer-Review'!F:F,C287)</f>
        <v>2</v>
      </c>
      <c r="G287" s="3">
        <f t="shared" si="1"/>
        <v>1</v>
      </c>
      <c r="H287" s="3" t="str">
        <f>IFERROR(__xludf.DUMMYFUNCTION("IFERROR(TRANSPOSE(FILTER('Peer-Review'!$J$2:$J$568,(TRIM('Peer-Review'!$B$2:$B$568)=C287 )+ (TRIM('Peer-Review'!$F$2:$F$568)=C287))),""No Reviews"")"),"23f1000205@ds.study.iitm.ac.in")</f>
        <v>23f1000205@ds.study.iitm.ac.in</v>
      </c>
      <c r="I287" s="3" t="str">
        <f>IFERROR(__xludf.DUMMYFUNCTION("""COMPUTED_VALUE"""),"22f3000703@ds.study.iitm.ac.in")</f>
        <v>22f3000703@ds.study.iitm.ac.in</v>
      </c>
      <c r="J287" s="3">
        <f>IF(D287="No R1",0,VLOOKUP(C287,'Peer-Review'!B:D,2,0))</f>
        <v>9</v>
      </c>
      <c r="K287" s="3">
        <f>IF(D287="No R1",0,VLOOKUP(C287,'Peer-Review'!B:D,3,0))</f>
        <v>10</v>
      </c>
      <c r="L287" s="3">
        <f>IF(E287="No R2",0,VLOOKUP(C287,'Peer-Review'!F:H,2,0))</f>
        <v>0</v>
      </c>
      <c r="M287" s="3">
        <f>IF(E287="No R2",0,VLOOKUP(C287,'Peer-Review'!F:H,3,0))</f>
        <v>0</v>
      </c>
    </row>
    <row r="288" hidden="1">
      <c r="A288" s="3" t="str">
        <f>IFERROR(__xludf.DUMMYFUNCTION("""COMPUTED_VALUE"""),"22f3000626@ds.study.iitm.ac.in")</f>
        <v>22f3000626@ds.study.iitm.ac.in</v>
      </c>
      <c r="B288" s="3">
        <f>IFERROR(__xludf.DUMMYFUNCTION("""COMPUTED_VALUE"""),17.0)</f>
        <v>17</v>
      </c>
      <c r="C288" s="5" t="str">
        <f>IFERROR(__xludf.DUMMYFUNCTION("""COMPUTED_VALUE"""),"https://github.com/shivasanthosh0804/TDSProject-1")</f>
        <v>https://github.com/shivasanthosh0804/TDSProject-1</v>
      </c>
      <c r="D288" s="3" t="str">
        <f>IFERROR(VLOOKUP(C288,'Peer-Review'!B:J,9,0),"No R1")</f>
        <v>No R1</v>
      </c>
      <c r="E288" s="3" t="str">
        <f>IFERROR(VLOOKUP(C288,'Peer-Review'!F:J,5,0),"No R2")</f>
        <v>22f3000545@ds.study.iitm.ac.in</v>
      </c>
      <c r="F288" s="3">
        <f>COUNTIF('Peer-Review'!B:B,C288)+COUNTIF('Peer-Review'!F:F,C288)</f>
        <v>2</v>
      </c>
      <c r="G288" s="3">
        <f t="shared" si="1"/>
        <v>1</v>
      </c>
      <c r="H288" s="3" t="str">
        <f>IFERROR(__xludf.DUMMYFUNCTION("IFERROR(TRANSPOSE(FILTER('Peer-Review'!$J$2:$J$568,(TRIM('Peer-Review'!$B$2:$B$568)=C288 )+ (TRIM('Peer-Review'!$F$2:$F$568)=C288))),""No Reviews"")"),"22f3000545@ds.study.iitm.ac.in")</f>
        <v>22f3000545@ds.study.iitm.ac.in</v>
      </c>
      <c r="I288" s="3" t="str">
        <f>IFERROR(__xludf.DUMMYFUNCTION("""COMPUTED_VALUE"""),"23f1001535@ds.study.iitm.ac.in")</f>
        <v>23f1001535@ds.study.iitm.ac.in</v>
      </c>
      <c r="J288" s="3">
        <f>IF(D288="No R1",0,VLOOKUP(C288,'Peer-Review'!B:D,2,0))</f>
        <v>0</v>
      </c>
      <c r="K288" s="3">
        <f>IF(D288="No R1",0,VLOOKUP(C288,'Peer-Review'!B:D,3,0))</f>
        <v>0</v>
      </c>
      <c r="L288" s="3">
        <f>IF(E288="No R2",0,VLOOKUP(C288,'Peer-Review'!F:H,2,0))</f>
        <v>4</v>
      </c>
      <c r="M288" s="3">
        <f>IF(E288="No R2",0,VLOOKUP(C288,'Peer-Review'!F:H,3,0))</f>
        <v>9</v>
      </c>
    </row>
    <row r="289" hidden="1">
      <c r="A289" s="3" t="str">
        <f>IFERROR(__xludf.DUMMYFUNCTION("""COMPUTED_VALUE"""),"22f3000651@ds.study.iitm.ac.in")</f>
        <v>22f3000651@ds.study.iitm.ac.in</v>
      </c>
      <c r="B289" s="3">
        <f>IFERROR(__xludf.DUMMYFUNCTION("""COMPUTED_VALUE"""),16.0)</f>
        <v>16</v>
      </c>
      <c r="C289" s="5" t="str">
        <f>IFERROR(__xludf.DUMMYFUNCTION("""COMPUTED_VALUE"""),"https://github.com/Shre-2104/project1tds")</f>
        <v>https://github.com/Shre-2104/project1tds</v>
      </c>
      <c r="D289" s="3" t="str">
        <f>IFERROR(VLOOKUP(C289,'Peer-Review'!B:J,9,0),"No R1")</f>
        <v>No R1</v>
      </c>
      <c r="E289" s="3" t="str">
        <f>IFERROR(VLOOKUP(C289,'Peer-Review'!F:J,5,0),"No R2")</f>
        <v>22f3000400@ds.study.iitm.ac.in</v>
      </c>
      <c r="F289" s="3">
        <f>COUNTIF('Peer-Review'!B:B,C289)+COUNTIF('Peer-Review'!F:F,C289)</f>
        <v>1</v>
      </c>
      <c r="G289" s="3">
        <f t="shared" si="1"/>
        <v>1</v>
      </c>
      <c r="H289" s="3" t="str">
        <f>IFERROR(__xludf.DUMMYFUNCTION("IFERROR(TRANSPOSE(FILTER('Peer-Review'!$J$2:$J$568,(TRIM('Peer-Review'!$B$2:$B$568)=C289 )+ (TRIM('Peer-Review'!$F$2:$F$568)=C289))),""No Reviews"")"),"22f3000400@ds.study.iitm.ac.in")</f>
        <v>22f3000400@ds.study.iitm.ac.in</v>
      </c>
      <c r="J289" s="3">
        <f>IF(D289="No R1",0,VLOOKUP(C289,'Peer-Review'!B:D,2,0))</f>
        <v>0</v>
      </c>
      <c r="K289" s="3">
        <f>IF(D289="No R1",0,VLOOKUP(C289,'Peer-Review'!B:D,3,0))</f>
        <v>0</v>
      </c>
      <c r="L289" s="3">
        <f>IF(E289="No R2",0,VLOOKUP(C289,'Peer-Review'!F:H,2,0))</f>
        <v>10</v>
      </c>
      <c r="M289" s="3">
        <f>IF(E289="No R2",0,VLOOKUP(C289,'Peer-Review'!F:H,3,0))</f>
        <v>0</v>
      </c>
    </row>
    <row r="290" hidden="1">
      <c r="A290" s="3" t="str">
        <f>IFERROR(__xludf.DUMMYFUNCTION("""COMPUTED_VALUE"""),"22f3000653@ds.study.iitm.ac.in")</f>
        <v>22f3000653@ds.study.iitm.ac.in</v>
      </c>
      <c r="B290" s="3">
        <f>IFERROR(__xludf.DUMMYFUNCTION("""COMPUTED_VALUE"""),16.0)</f>
        <v>16</v>
      </c>
      <c r="C290" s="5" t="str">
        <f>IFERROR(__xludf.DUMMYFUNCTION("""COMPUTED_VALUE"""),"https://github.com/RiyaAgarwal22/TDS_Proj_1")</f>
        <v>https://github.com/RiyaAgarwal22/TDS_Proj_1</v>
      </c>
      <c r="D290" s="3" t="str">
        <f>IFERROR(VLOOKUP(C290,'Peer-Review'!B:J,9,0),"No R1")</f>
        <v>No R1</v>
      </c>
      <c r="E290" s="3" t="str">
        <f>IFERROR(VLOOKUP(C290,'Peer-Review'!F:J,5,0),"No R2")</f>
        <v>22f3000651@ds.study.iitm.ac.in</v>
      </c>
      <c r="F290" s="3">
        <f>COUNTIF('Peer-Review'!B:B,C290)+COUNTIF('Peer-Review'!F:F,C290)</f>
        <v>2</v>
      </c>
      <c r="G290" s="3">
        <f t="shared" si="1"/>
        <v>1</v>
      </c>
      <c r="H290" s="3" t="str">
        <f>IFERROR(__xludf.DUMMYFUNCTION("IFERROR(TRANSPOSE(FILTER('Peer-Review'!$J$2:$J$568,(TRIM('Peer-Review'!$B$2:$B$568)=C290 )+ (TRIM('Peer-Review'!$F$2:$F$568)=C290))),""No Reviews"")"),"22f3000651@ds.study.iitm.ac.in")</f>
        <v>22f3000651@ds.study.iitm.ac.in</v>
      </c>
      <c r="I290" s="3" t="str">
        <f>IFERROR(__xludf.DUMMYFUNCTION("""COMPUTED_VALUE"""),"23f1002608@ds.study.iitm.ac.in")</f>
        <v>23f1002608@ds.study.iitm.ac.in</v>
      </c>
      <c r="J290" s="3">
        <f>IF(D290="No R1",0,VLOOKUP(C290,'Peer-Review'!B:D,2,0))</f>
        <v>0</v>
      </c>
      <c r="K290" s="3">
        <f>IF(D290="No R1",0,VLOOKUP(C290,'Peer-Review'!B:D,3,0))</f>
        <v>0</v>
      </c>
      <c r="L290" s="3">
        <f>IF(E290="No R2",0,VLOOKUP(C290,'Peer-Review'!F:H,2,0))</f>
        <v>10</v>
      </c>
      <c r="M290" s="3">
        <f>IF(E290="No R2",0,VLOOKUP(C290,'Peer-Review'!F:H,3,0))</f>
        <v>8</v>
      </c>
    </row>
    <row r="291" hidden="1">
      <c r="A291" s="3" t="str">
        <f>IFERROR(__xludf.DUMMYFUNCTION("""COMPUTED_VALUE"""),"22f3000703@ds.study.iitm.ac.in")</f>
        <v>22f3000703@ds.study.iitm.ac.in</v>
      </c>
      <c r="B291" s="3">
        <f>IFERROR(__xludf.DUMMYFUNCTION("""COMPUTED_VALUE"""),14.0)</f>
        <v>14</v>
      </c>
      <c r="C291" s="5" t="str">
        <f>IFERROR(__xludf.DUMMYFUNCTION("""COMPUTED_VALUE"""),"https://github.com/Nimbus29/TDS-Project_1")</f>
        <v>https://github.com/Nimbus29/TDS-Project_1</v>
      </c>
      <c r="D291" s="3" t="str">
        <f>IFERROR(VLOOKUP(C291,'Peer-Review'!B:J,9,0),"No R1")</f>
        <v>23f1000404@ds.study.iitm.ac.in</v>
      </c>
      <c r="E291" s="3" t="str">
        <f>IFERROR(VLOOKUP(C291,'Peer-Review'!F:J,5,0),"No R2")</f>
        <v>No R2</v>
      </c>
      <c r="F291" s="3">
        <f>COUNTIF('Peer-Review'!B:B,C291)+COUNTIF('Peer-Review'!F:F,C291)</f>
        <v>2</v>
      </c>
      <c r="G291" s="3">
        <f t="shared" si="1"/>
        <v>1</v>
      </c>
      <c r="H291" s="3" t="str">
        <f>IFERROR(__xludf.DUMMYFUNCTION("IFERROR(TRANSPOSE(FILTER('Peer-Review'!$J$2:$J$568,(TRIM('Peer-Review'!$B$2:$B$568)=C291 )+ (TRIM('Peer-Review'!$F$2:$F$568)=C291))),""No Reviews"")"),"23f1000404@ds.study.iitm.ac.in")</f>
        <v>23f1000404@ds.study.iitm.ac.in</v>
      </c>
      <c r="I291" s="3" t="str">
        <f>IFERROR(__xludf.DUMMYFUNCTION("""COMPUTED_VALUE"""),"22f3000813@ds.study.iitm.ac.in")</f>
        <v>22f3000813@ds.study.iitm.ac.in</v>
      </c>
      <c r="J291" s="3">
        <f>IF(D291="No R1",0,VLOOKUP(C291,'Peer-Review'!B:D,2,0))</f>
        <v>10</v>
      </c>
      <c r="K291" s="3">
        <f>IF(D291="No R1",0,VLOOKUP(C291,'Peer-Review'!B:D,3,0))</f>
        <v>10</v>
      </c>
      <c r="L291" s="3">
        <f>IF(E291="No R2",0,VLOOKUP(C291,'Peer-Review'!F:H,2,0))</f>
        <v>0</v>
      </c>
      <c r="M291" s="3">
        <f>IF(E291="No R2",0,VLOOKUP(C291,'Peer-Review'!F:H,3,0))</f>
        <v>0</v>
      </c>
    </row>
    <row r="292" hidden="1">
      <c r="A292" s="3" t="str">
        <f>IFERROR(__xludf.DUMMYFUNCTION("""COMPUTED_VALUE"""),"22f3000721@ds.study.iitm.ac.in")</f>
        <v>22f3000721@ds.study.iitm.ac.in</v>
      </c>
      <c r="B292" s="3">
        <f>IFERROR(__xludf.DUMMYFUNCTION("""COMPUTED_VALUE"""),15.0)</f>
        <v>15</v>
      </c>
      <c r="C292" s="5" t="str">
        <f>IFERROR(__xludf.DUMMYFUNCTION("""COMPUTED_VALUE"""),"https://github.com/saksham5555/project")</f>
        <v>https://github.com/saksham5555/project</v>
      </c>
      <c r="D292" s="3" t="str">
        <f>IFERROR(VLOOKUP(C292,'Peer-Review'!B:J,9,0),"No R1")</f>
        <v>22f3000742@ds.study.iitm.ac.in</v>
      </c>
      <c r="E292" s="3" t="str">
        <f>IFERROR(VLOOKUP(C292,'Peer-Review'!F:J,5,0),"No R2")</f>
        <v>No R2</v>
      </c>
      <c r="F292" s="3">
        <f>COUNTIF('Peer-Review'!B:B,C292)+COUNTIF('Peer-Review'!F:F,C292)</f>
        <v>2</v>
      </c>
      <c r="G292" s="3">
        <f t="shared" si="1"/>
        <v>1</v>
      </c>
      <c r="H292" s="3" t="str">
        <f>IFERROR(__xludf.DUMMYFUNCTION("IFERROR(TRANSPOSE(FILTER('Peer-Review'!$J$2:$J$568,(TRIM('Peer-Review'!$B$2:$B$568)=C292 )+ (TRIM('Peer-Review'!$F$2:$F$568)=C292))),""No Reviews"")"),"22f3000742@ds.study.iitm.ac.in")</f>
        <v>22f3000742@ds.study.iitm.ac.in</v>
      </c>
      <c r="I292" s="3" t="str">
        <f>IFERROR(__xludf.DUMMYFUNCTION("""COMPUTED_VALUE"""),"23f2004112@ds.study.iitm.ac.in")</f>
        <v>23f2004112@ds.study.iitm.ac.in</v>
      </c>
      <c r="J292" s="3">
        <f>IF(D292="No R1",0,VLOOKUP(C292,'Peer-Review'!B:D,2,0))</f>
        <v>9</v>
      </c>
      <c r="K292" s="3">
        <f>IF(D292="No R1",0,VLOOKUP(C292,'Peer-Review'!B:D,3,0))</f>
        <v>10</v>
      </c>
      <c r="L292" s="3">
        <f>IF(E292="No R2",0,VLOOKUP(C292,'Peer-Review'!F:H,2,0))</f>
        <v>0</v>
      </c>
      <c r="M292" s="3">
        <f>IF(E292="No R2",0,VLOOKUP(C292,'Peer-Review'!F:H,3,0))</f>
        <v>0</v>
      </c>
    </row>
    <row r="293" hidden="1">
      <c r="A293" s="3" t="str">
        <f>IFERROR(__xludf.DUMMYFUNCTION("""COMPUTED_VALUE"""),"22f3000742@ds.study.iitm.ac.in")</f>
        <v>22f3000742@ds.study.iitm.ac.in</v>
      </c>
      <c r="B293" s="3">
        <f>IFERROR(__xludf.DUMMYFUNCTION("""COMPUTED_VALUE"""),15.0)</f>
        <v>15</v>
      </c>
      <c r="C293" s="5" t="str">
        <f>IFERROR(__xludf.DUMMYFUNCTION("""COMPUTED_VALUE"""),"https://github.com/SaicharanRitwik39/TDSProject1_TermSepDec2024")</f>
        <v>https://github.com/SaicharanRitwik39/TDSProject1_TermSepDec2024</v>
      </c>
      <c r="D293" s="3" t="str">
        <f>IFERROR(VLOOKUP(C293,'Peer-Review'!B:J,9,0),"No R1")</f>
        <v>23f2004159@ds.study.iitm.ac.in</v>
      </c>
      <c r="E293" s="3" t="str">
        <f>IFERROR(VLOOKUP(C293,'Peer-Review'!F:J,5,0),"No R2")</f>
        <v>No R2</v>
      </c>
      <c r="F293" s="3">
        <f>COUNTIF('Peer-Review'!B:B,C293)+COUNTIF('Peer-Review'!F:F,C293)</f>
        <v>2</v>
      </c>
      <c r="G293" s="3">
        <f t="shared" si="1"/>
        <v>1</v>
      </c>
      <c r="H293" s="3" t="str">
        <f>IFERROR(__xludf.DUMMYFUNCTION("IFERROR(TRANSPOSE(FILTER('Peer-Review'!$J$2:$J$568,(TRIM('Peer-Review'!$B$2:$B$568)=C293 )+ (TRIM('Peer-Review'!$F$2:$F$568)=C293))),""No Reviews"")"),"23f2004159@ds.study.iitm.ac.in")</f>
        <v>23f2004159@ds.study.iitm.ac.in</v>
      </c>
      <c r="I293" s="3" t="str">
        <f>IFERROR(__xludf.DUMMYFUNCTION("""COMPUTED_VALUE"""),"22f3000797@ds.study.iitm.ac.in")</f>
        <v>22f3000797@ds.study.iitm.ac.in</v>
      </c>
      <c r="J293" s="3">
        <f>IF(D293="No R1",0,VLOOKUP(C293,'Peer-Review'!B:D,2,0))</f>
        <v>10</v>
      </c>
      <c r="K293" s="3">
        <f>IF(D293="No R1",0,VLOOKUP(C293,'Peer-Review'!B:D,3,0))</f>
        <v>9</v>
      </c>
      <c r="L293" s="3">
        <f>IF(E293="No R2",0,VLOOKUP(C293,'Peer-Review'!F:H,2,0))</f>
        <v>0</v>
      </c>
      <c r="M293" s="3">
        <f>IF(E293="No R2",0,VLOOKUP(C293,'Peer-Review'!F:H,3,0))</f>
        <v>0</v>
      </c>
    </row>
    <row r="294" hidden="1">
      <c r="A294" s="3" t="str">
        <f>IFERROR(__xludf.DUMMYFUNCTION("""COMPUTED_VALUE"""),"22f3000757@ds.study.iitm.ac.in")</f>
        <v>22f3000757@ds.study.iitm.ac.in</v>
      </c>
      <c r="B294" s="3">
        <f>IFERROR(__xludf.DUMMYFUNCTION("""COMPUTED_VALUE"""),11.0)</f>
        <v>11</v>
      </c>
      <c r="C294" s="5" t="str">
        <f>IFERROR(__xludf.DUMMYFUNCTION("""COMPUTED_VALUE"""),"https://github.com/anshuraj007/22f3000757_TDS_Proj1")</f>
        <v>https://github.com/anshuraj007/22f3000757_TDS_Proj1</v>
      </c>
      <c r="D294" s="3" t="str">
        <f>IFERROR(VLOOKUP(C294,'Peer-Review'!B:J,9,0),"No R1")</f>
        <v>23f2004919@ds.study.iitm.ac.in</v>
      </c>
      <c r="E294" s="3" t="str">
        <f>IFERROR(VLOOKUP(C294,'Peer-Review'!F:J,5,0),"No R2")</f>
        <v>No R2</v>
      </c>
      <c r="F294" s="3">
        <f>COUNTIF('Peer-Review'!B:B,C294)+COUNTIF('Peer-Review'!F:F,C294)</f>
        <v>2</v>
      </c>
      <c r="G294" s="3">
        <f t="shared" si="1"/>
        <v>1</v>
      </c>
      <c r="H294" s="3" t="str">
        <f>IFERROR(__xludf.DUMMYFUNCTION("IFERROR(TRANSPOSE(FILTER('Peer-Review'!$J$2:$J$568,(TRIM('Peer-Review'!$B$2:$B$568)=C294 )+ (TRIM('Peer-Review'!$F$2:$F$568)=C294))),""No Reviews"")"),"23f2004919@ds.study.iitm.ac.in")</f>
        <v>23f2004919@ds.study.iitm.ac.in</v>
      </c>
      <c r="I294" s="3" t="str">
        <f>IFERROR(__xludf.DUMMYFUNCTION("""COMPUTED_VALUE"""),"22f3000849@ds.study.iitm.ac.in")</f>
        <v>22f3000849@ds.study.iitm.ac.in</v>
      </c>
      <c r="J294" s="3">
        <f>IF(D294="No R1",0,VLOOKUP(C294,'Peer-Review'!B:D,2,0))</f>
        <v>8</v>
      </c>
      <c r="K294" s="3">
        <f>IF(D294="No R1",0,VLOOKUP(C294,'Peer-Review'!B:D,3,0))</f>
        <v>9</v>
      </c>
      <c r="L294" s="3">
        <f>IF(E294="No R2",0,VLOOKUP(C294,'Peer-Review'!F:H,2,0))</f>
        <v>0</v>
      </c>
      <c r="M294" s="3">
        <f>IF(E294="No R2",0,VLOOKUP(C294,'Peer-Review'!F:H,3,0))</f>
        <v>0</v>
      </c>
    </row>
    <row r="295" hidden="1">
      <c r="A295" s="3" t="str">
        <f>IFERROR(__xludf.DUMMYFUNCTION("""COMPUTED_VALUE"""),"22f3000797@ds.study.iitm.ac.in")</f>
        <v>22f3000797@ds.study.iitm.ac.in</v>
      </c>
      <c r="B295" s="3">
        <f>IFERROR(__xludf.DUMMYFUNCTION("""COMPUTED_VALUE"""),15.0)</f>
        <v>15</v>
      </c>
      <c r="C295" s="5" t="str">
        <f>IFERROR(__xludf.DUMMYFUNCTION("""COMPUTED_VALUE"""),"https://github.com/Param302/TDS-Project1")</f>
        <v>https://github.com/Param302/TDS-Project1</v>
      </c>
      <c r="D295" s="3" t="str">
        <f>IFERROR(VLOOKUP(C295,'Peer-Review'!B:J,9,0),"No R1")</f>
        <v>22f3001268@ds.study.iitm.ac.in</v>
      </c>
      <c r="E295" s="3" t="str">
        <f>IFERROR(VLOOKUP(C295,'Peer-Review'!F:J,5,0),"No R2")</f>
        <v>No R2</v>
      </c>
      <c r="F295" s="3">
        <f>COUNTIF('Peer-Review'!B:B,C295)+COUNTIF('Peer-Review'!F:F,C295)</f>
        <v>2</v>
      </c>
      <c r="G295" s="3">
        <f t="shared" si="1"/>
        <v>1</v>
      </c>
      <c r="H295" s="3" t="str">
        <f>IFERROR(__xludf.DUMMYFUNCTION("IFERROR(TRANSPOSE(FILTER('Peer-Review'!$J$2:$J$568,(TRIM('Peer-Review'!$B$2:$B$568)=C295 )+ (TRIM('Peer-Review'!$F$2:$F$568)=C295))),""No Reviews"")"),"22f3001268@ds.study.iitm.ac.in")</f>
        <v>22f3001268@ds.study.iitm.ac.in</v>
      </c>
      <c r="I295" s="3" t="str">
        <f>IFERROR(__xludf.DUMMYFUNCTION("""COMPUTED_VALUE"""),"23f2004160@ds.study.iitm.ac.in")</f>
        <v>23f2004160@ds.study.iitm.ac.in</v>
      </c>
      <c r="J295" s="3">
        <f>IF(D295="No R1",0,VLOOKUP(C295,'Peer-Review'!B:D,2,0))</f>
        <v>6</v>
      </c>
      <c r="K295" s="3">
        <f>IF(D295="No R1",0,VLOOKUP(C295,'Peer-Review'!B:D,3,0))</f>
        <v>8</v>
      </c>
      <c r="L295" s="3">
        <f>IF(E295="No R2",0,VLOOKUP(C295,'Peer-Review'!F:H,2,0))</f>
        <v>0</v>
      </c>
      <c r="M295" s="3">
        <f>IF(E295="No R2",0,VLOOKUP(C295,'Peer-Review'!F:H,3,0))</f>
        <v>0</v>
      </c>
    </row>
    <row r="296" hidden="1">
      <c r="A296" s="3" t="str">
        <f>IFERROR(__xludf.DUMMYFUNCTION("""COMPUTED_VALUE"""),"22f3000803@ds.study.iitm.ac.in")</f>
        <v>22f3000803@ds.study.iitm.ac.in</v>
      </c>
      <c r="B296" s="3">
        <f>IFERROR(__xludf.DUMMYFUNCTION("""COMPUTED_VALUE"""),13.0)</f>
        <v>13</v>
      </c>
      <c r="C296" s="5" t="str">
        <f>IFERROR(__xludf.DUMMYFUNCTION("""COMPUTED_VALUE"""),"https://github.com/22f3000803/tds-project-1")</f>
        <v>https://github.com/22f3000803/tds-project-1</v>
      </c>
      <c r="D296" s="3" t="str">
        <f>IFERROR(VLOOKUP(C296,'Peer-Review'!B:J,9,0),"No R1")</f>
        <v>22f2000945@ds.study.iitm.ac.in</v>
      </c>
      <c r="E296" s="3" t="str">
        <f>IFERROR(VLOOKUP(C296,'Peer-Review'!F:J,5,0),"No R2")</f>
        <v>No R2</v>
      </c>
      <c r="F296" s="3">
        <f>COUNTIF('Peer-Review'!B:B,C296)+COUNTIF('Peer-Review'!F:F,C296)</f>
        <v>2</v>
      </c>
      <c r="G296" s="3">
        <f t="shared" si="1"/>
        <v>1</v>
      </c>
      <c r="H296" s="3" t="str">
        <f>IFERROR(__xludf.DUMMYFUNCTION("IFERROR(TRANSPOSE(FILTER('Peer-Review'!$J$2:$J$568,(TRIM('Peer-Review'!$B$2:$B$568)=C296 )+ (TRIM('Peer-Review'!$F$2:$F$568)=C296))),""No Reviews"")"),"22f2000945@ds.study.iitm.ac.in")</f>
        <v>22f2000945@ds.study.iitm.ac.in</v>
      </c>
      <c r="I296" s="3" t="str">
        <f>IFERROR(__xludf.DUMMYFUNCTION("""COMPUTED_VALUE"""),"22f3000966@ds.study.iitm.ac.in")</f>
        <v>22f3000966@ds.study.iitm.ac.in</v>
      </c>
      <c r="J296" s="3">
        <f>IF(D296="No R1",0,VLOOKUP(C296,'Peer-Review'!B:D,2,0))</f>
        <v>0</v>
      </c>
      <c r="K296" s="3">
        <f>IF(D296="No R1",0,VLOOKUP(C296,'Peer-Review'!B:D,3,0))</f>
        <v>0</v>
      </c>
      <c r="L296" s="3">
        <f>IF(E296="No R2",0,VLOOKUP(C296,'Peer-Review'!F:H,2,0))</f>
        <v>0</v>
      </c>
      <c r="M296" s="3">
        <f>IF(E296="No R2",0,VLOOKUP(C296,'Peer-Review'!F:H,3,0))</f>
        <v>0</v>
      </c>
    </row>
    <row r="297" hidden="1">
      <c r="A297" s="3" t="str">
        <f>IFERROR(__xludf.DUMMYFUNCTION("""COMPUTED_VALUE"""),"22f3000813@ds.study.iitm.ac.in")</f>
        <v>22f3000813@ds.study.iitm.ac.in</v>
      </c>
      <c r="B297" s="3">
        <f>IFERROR(__xludf.DUMMYFUNCTION("""COMPUTED_VALUE"""),14.0)</f>
        <v>14</v>
      </c>
      <c r="C297" s="5" t="str">
        <f>IFERROR(__xludf.DUMMYFUNCTION("""COMPUTED_VALUE"""),"https://github.com/querulous-virgo/GitHubAPI/blob/main/users.csv")</f>
        <v>https://github.com/querulous-virgo/GitHubAPI/blob/main/users.csv</v>
      </c>
      <c r="D297" s="3" t="str">
        <f>IFERROR(VLOOKUP(C297,'Peer-Review'!B:J,9,0),"No R1")</f>
        <v>23f1000542@ds.study.iitm.ac.in</v>
      </c>
      <c r="E297" s="3" t="str">
        <f>IFERROR(VLOOKUP(C297,'Peer-Review'!F:J,5,0),"No R2")</f>
        <v>No R2</v>
      </c>
      <c r="F297" s="3">
        <f>COUNTIF('Peer-Review'!B:B,C297)+COUNTIF('Peer-Review'!F:F,C297)</f>
        <v>1</v>
      </c>
      <c r="G297" s="3">
        <f t="shared" si="1"/>
        <v>1</v>
      </c>
      <c r="H297" s="3" t="str">
        <f>IFERROR(__xludf.DUMMYFUNCTION("IFERROR(TRANSPOSE(FILTER('Peer-Review'!$J$2:$J$568,(TRIM('Peer-Review'!$B$2:$B$568)=C297 )+ (TRIM('Peer-Review'!$F$2:$F$568)=C297))),""No Reviews"")"),"23f1000542@ds.study.iitm.ac.in")</f>
        <v>23f1000542@ds.study.iitm.ac.in</v>
      </c>
      <c r="J297" s="3">
        <f>IF(D297="No R1",0,VLOOKUP(C297,'Peer-Review'!B:D,2,0))</f>
        <v>10</v>
      </c>
      <c r="K297" s="3">
        <f>IF(D297="No R1",0,VLOOKUP(C297,'Peer-Review'!B:D,3,0))</f>
        <v>10</v>
      </c>
      <c r="L297" s="3">
        <f>IF(E297="No R2",0,VLOOKUP(C297,'Peer-Review'!F:H,2,0))</f>
        <v>0</v>
      </c>
      <c r="M297" s="3">
        <f>IF(E297="No R2",0,VLOOKUP(C297,'Peer-Review'!F:H,3,0))</f>
        <v>0</v>
      </c>
    </row>
    <row r="298" hidden="1">
      <c r="A298" s="3" t="str">
        <f>IFERROR(__xludf.DUMMYFUNCTION("""COMPUTED_VALUE"""),"22f3000817@ds.study.iitm.ac.in")</f>
        <v>22f3000817@ds.study.iitm.ac.in</v>
      </c>
      <c r="B298" s="3">
        <f>IFERROR(__xludf.DUMMYFUNCTION("""COMPUTED_VALUE"""),17.0)</f>
        <v>17</v>
      </c>
      <c r="C298" s="5" t="str">
        <f>IFERROR(__xludf.DUMMYFUNCTION("""COMPUTED_VALUE"""),"https://github.com/2utkarsh2/TDS_Project1")</f>
        <v>https://github.com/2utkarsh2/TDS_Project1</v>
      </c>
      <c r="D298" s="3" t="str">
        <f>IFERROR(VLOOKUP(C298,'Peer-Review'!B:J,9,0),"No R1")</f>
        <v>No R1</v>
      </c>
      <c r="E298" s="3" t="str">
        <f>IFERROR(VLOOKUP(C298,'Peer-Review'!F:J,5,0),"No R2")</f>
        <v>22f3000626@ds.study.iitm.ac.in</v>
      </c>
      <c r="F298" s="3">
        <f>COUNTIF('Peer-Review'!B:B,C298)+COUNTIF('Peer-Review'!F:F,C298)</f>
        <v>1</v>
      </c>
      <c r="G298" s="3">
        <f t="shared" si="1"/>
        <v>1</v>
      </c>
      <c r="H298" s="3" t="str">
        <f>IFERROR(__xludf.DUMMYFUNCTION("IFERROR(TRANSPOSE(FILTER('Peer-Review'!$J$2:$J$568,(TRIM('Peer-Review'!$B$2:$B$568)=C298 )+ (TRIM('Peer-Review'!$F$2:$F$568)=C298))),""No Reviews"")"),"22f3000626@ds.study.iitm.ac.in")</f>
        <v>22f3000626@ds.study.iitm.ac.in</v>
      </c>
      <c r="J298" s="3">
        <f>IF(D298="No R1",0,VLOOKUP(C298,'Peer-Review'!B:D,2,0))</f>
        <v>0</v>
      </c>
      <c r="K298" s="3">
        <f>IF(D298="No R1",0,VLOOKUP(C298,'Peer-Review'!B:D,3,0))</f>
        <v>0</v>
      </c>
      <c r="L298" s="3">
        <f>IF(E298="No R2",0,VLOOKUP(C298,'Peer-Review'!F:H,2,0))</f>
        <v>10</v>
      </c>
      <c r="M298" s="3">
        <f>IF(E298="No R2",0,VLOOKUP(C298,'Peer-Review'!F:H,3,0))</f>
        <v>9</v>
      </c>
    </row>
    <row r="299" hidden="1">
      <c r="A299" s="3" t="str">
        <f>IFERROR(__xludf.DUMMYFUNCTION("""COMPUTED_VALUE"""),"22f3000823@ds.study.iitm.ac.in")</f>
        <v>22f3000823@ds.study.iitm.ac.in</v>
      </c>
      <c r="B299" s="3">
        <f>IFERROR(__xludf.DUMMYFUNCTION("""COMPUTED_VALUE"""),17.0)</f>
        <v>17</v>
      </c>
      <c r="C299" s="5" t="str">
        <f>IFERROR(__xludf.DUMMYFUNCTION("""COMPUTED_VALUE"""),"https://github.com/abhi-manyu04/tds-pr1")</f>
        <v>https://github.com/abhi-manyu04/tds-pr1</v>
      </c>
      <c r="D299" s="3" t="str">
        <f>IFERROR(VLOOKUP(C299,'Peer-Review'!B:J,9,0),"No R1")</f>
        <v>No R1</v>
      </c>
      <c r="E299" s="3" t="str">
        <f>IFERROR(VLOOKUP(C299,'Peer-Review'!F:J,5,0),"No R2")</f>
        <v>23f1001963@ds.study.iitm.ac.in</v>
      </c>
      <c r="F299" s="3">
        <f>COUNTIF('Peer-Review'!B:B,C299)+COUNTIF('Peer-Review'!F:F,C299)</f>
        <v>2</v>
      </c>
      <c r="G299" s="3">
        <f t="shared" si="1"/>
        <v>1</v>
      </c>
      <c r="H299" s="3" t="str">
        <f>IFERROR(__xludf.DUMMYFUNCTION("IFERROR(TRANSPOSE(FILTER('Peer-Review'!$J$2:$J$568,(TRIM('Peer-Review'!$B$2:$B$568)=C299 )+ (TRIM('Peer-Review'!$F$2:$F$568)=C299))),""No Reviews"")"),"23f1001963@ds.study.iitm.ac.in")</f>
        <v>23f1001963@ds.study.iitm.ac.in</v>
      </c>
      <c r="I299" s="3" t="str">
        <f>IFERROR(__xludf.DUMMYFUNCTION("""COMPUTED_VALUE"""),"22f3000817@ds.study.iitm.ac.in")</f>
        <v>22f3000817@ds.study.iitm.ac.in</v>
      </c>
      <c r="J299" s="3">
        <f>IF(D299="No R1",0,VLOOKUP(C299,'Peer-Review'!B:D,2,0))</f>
        <v>0</v>
      </c>
      <c r="K299" s="3">
        <f>IF(D299="No R1",0,VLOOKUP(C299,'Peer-Review'!B:D,3,0))</f>
        <v>0</v>
      </c>
      <c r="L299" s="3">
        <f>IF(E299="No R2",0,VLOOKUP(C299,'Peer-Review'!F:H,2,0))</f>
        <v>8</v>
      </c>
      <c r="M299" s="3">
        <f>IF(E299="No R2",0,VLOOKUP(C299,'Peer-Review'!F:H,3,0))</f>
        <v>10</v>
      </c>
    </row>
    <row r="300" hidden="1">
      <c r="A300" s="3" t="str">
        <f>IFERROR(__xludf.DUMMYFUNCTION("""COMPUTED_VALUE"""),"22f3000849@ds.study.iitm.ac.in")</f>
        <v>22f3000849@ds.study.iitm.ac.in</v>
      </c>
      <c r="B300" s="3">
        <f>IFERROR(__xludf.DUMMYFUNCTION("""COMPUTED_VALUE"""),11.0)</f>
        <v>11</v>
      </c>
      <c r="C300" s="5" t="str">
        <f>IFERROR(__xludf.DUMMYFUNCTION("""COMPUTED_VALUE"""),"https://github.com/Ayushman-mukherjee/TDS-Project1")</f>
        <v>https://github.com/Ayushman-mukherjee/TDS-Project1</v>
      </c>
      <c r="D300" s="3" t="str">
        <f>IFERROR(VLOOKUP(C300,'Peer-Review'!B:J,9,0),"No R1")</f>
        <v>22f3000946@ds.study.iitm.ac.in</v>
      </c>
      <c r="E300" s="3" t="str">
        <f>IFERROR(VLOOKUP(C300,'Peer-Review'!F:J,5,0),"No R2")</f>
        <v>No R2</v>
      </c>
      <c r="F300" s="3">
        <f>COUNTIF('Peer-Review'!B:B,C300)+COUNTIF('Peer-Review'!F:F,C300)</f>
        <v>1</v>
      </c>
      <c r="G300" s="3">
        <f t="shared" si="1"/>
        <v>1</v>
      </c>
      <c r="H300" s="3" t="str">
        <f>IFERROR(__xludf.DUMMYFUNCTION("IFERROR(TRANSPOSE(FILTER('Peer-Review'!$J$2:$J$568,(TRIM('Peer-Review'!$B$2:$B$568)=C300 )+ (TRIM('Peer-Review'!$F$2:$F$568)=C300))),""No Reviews"")"),"22f3000946@ds.study.iitm.ac.in")</f>
        <v>22f3000946@ds.study.iitm.ac.in</v>
      </c>
      <c r="J300" s="3">
        <f>IF(D300="No R1",0,VLOOKUP(C300,'Peer-Review'!B:D,2,0))</f>
        <v>10</v>
      </c>
      <c r="K300" s="3">
        <f>IF(D300="No R1",0,VLOOKUP(C300,'Peer-Review'!B:D,3,0))</f>
        <v>10</v>
      </c>
      <c r="L300" s="3">
        <f>IF(E300="No R2",0,VLOOKUP(C300,'Peer-Review'!F:H,2,0))</f>
        <v>0</v>
      </c>
      <c r="M300" s="3">
        <f>IF(E300="No R2",0,VLOOKUP(C300,'Peer-Review'!F:H,3,0))</f>
        <v>0</v>
      </c>
    </row>
    <row r="301" hidden="1">
      <c r="A301" s="3" t="str">
        <f>IFERROR(__xludf.DUMMYFUNCTION("""COMPUTED_VALUE"""),"22f3000852@ds.study.iitm.ac.in")</f>
        <v>22f3000852@ds.study.iitm.ac.in</v>
      </c>
      <c r="B301" s="3">
        <f>IFERROR(__xludf.DUMMYFUNCTION("""COMPUTED_VALUE"""),16.0)</f>
        <v>16</v>
      </c>
      <c r="C301" s="5" t="str">
        <f>IFERROR(__xludf.DUMMYFUNCTION("""COMPUTED_VALUE"""),"https://github.com/Man24Jain/Tokyo-GitHub-Scraping-Project")</f>
        <v>https://github.com/Man24Jain/Tokyo-GitHub-Scraping-Project</v>
      </c>
      <c r="D301" s="3" t="str">
        <f>IFERROR(VLOOKUP(C301,'Peer-Review'!B:J,9,0),"No R1")</f>
        <v>No R1</v>
      </c>
      <c r="E301" s="3" t="str">
        <f>IFERROR(VLOOKUP(C301,'Peer-Review'!F:J,5,0),"No R2")</f>
        <v>23f3002560@ds.study.iitm.ac.in</v>
      </c>
      <c r="F301" s="3">
        <f>COUNTIF('Peer-Review'!B:B,C301)+COUNTIF('Peer-Review'!F:F,C301)</f>
        <v>2</v>
      </c>
      <c r="G301" s="3">
        <f t="shared" si="1"/>
        <v>1</v>
      </c>
      <c r="H301" s="3" t="str">
        <f>IFERROR(__xludf.DUMMYFUNCTION("IFERROR(TRANSPOSE(FILTER('Peer-Review'!$J$2:$J$568,(TRIM('Peer-Review'!$B$2:$B$568)=C301 )+ (TRIM('Peer-Review'!$F$2:$F$568)=C301))),""No Reviews"")"),"23f3002560@ds.study.iitm.ac.in")</f>
        <v>23f3002560@ds.study.iitm.ac.in</v>
      </c>
      <c r="J301" s="3">
        <f>IF(D301="No R1",0,VLOOKUP(C301,'Peer-Review'!B:D,2,0))</f>
        <v>0</v>
      </c>
      <c r="K301" s="3">
        <f>IF(D301="No R1",0,VLOOKUP(C301,'Peer-Review'!B:D,3,0))</f>
        <v>0</v>
      </c>
      <c r="L301" s="3">
        <f>IF(E301="No R2",0,VLOOKUP(C301,'Peer-Review'!F:H,2,0))</f>
        <v>4</v>
      </c>
      <c r="M301" s="3">
        <f>IF(E301="No R2",0,VLOOKUP(C301,'Peer-Review'!F:H,3,0))</f>
        <v>0</v>
      </c>
    </row>
    <row r="302" hidden="1">
      <c r="A302" s="3" t="str">
        <f>IFERROR(__xludf.DUMMYFUNCTION("""COMPUTED_VALUE"""),"22f3000892@ds.study.iitm.ac.in")</f>
        <v>22f3000892@ds.study.iitm.ac.in</v>
      </c>
      <c r="B302" s="3">
        <f>IFERROR(__xludf.DUMMYFUNCTION("""COMPUTED_VALUE"""),17.0)</f>
        <v>17</v>
      </c>
      <c r="C302" s="5" t="str">
        <f>IFERROR(__xludf.DUMMYFUNCTION("""COMPUTED_VALUE"""),"https://github.com/Anu-IITM/Tds_project1")</f>
        <v>https://github.com/Anu-IITM/Tds_project1</v>
      </c>
      <c r="D302" s="3" t="str">
        <f>IFERROR(VLOOKUP(C302,'Peer-Review'!B:J,9,0),"No R1")</f>
        <v>No R1</v>
      </c>
      <c r="E302" s="3" t="str">
        <f>IFERROR(VLOOKUP(C302,'Peer-Review'!F:J,5,0),"No R2")</f>
        <v>22f3000823@ds.study.iitm.ac.in</v>
      </c>
      <c r="F302" s="3">
        <f>COUNTIF('Peer-Review'!B:B,C302)+COUNTIF('Peer-Review'!F:F,C302)</f>
        <v>2</v>
      </c>
      <c r="G302" s="3">
        <f t="shared" si="1"/>
        <v>1</v>
      </c>
      <c r="H302" s="3" t="str">
        <f>IFERROR(__xludf.DUMMYFUNCTION("IFERROR(TRANSPOSE(FILTER('Peer-Review'!$J$2:$J$568,(TRIM('Peer-Review'!$B$2:$B$568)=C302 )+ (TRIM('Peer-Review'!$F$2:$F$568)=C302))),""No Reviews"")"),"22f3000823@ds.study.iitm.ac.in")</f>
        <v>22f3000823@ds.study.iitm.ac.in</v>
      </c>
      <c r="I302" s="3" t="str">
        <f>IFERROR(__xludf.DUMMYFUNCTION("""COMPUTED_VALUE"""),"23f1001991@ds.study.iitm.ac.in")</f>
        <v>23f1001991@ds.study.iitm.ac.in</v>
      </c>
      <c r="J302" s="3">
        <f>IF(D302="No R1",0,VLOOKUP(C302,'Peer-Review'!B:D,2,0))</f>
        <v>0</v>
      </c>
      <c r="K302" s="3">
        <f>IF(D302="No R1",0,VLOOKUP(C302,'Peer-Review'!B:D,3,0))</f>
        <v>0</v>
      </c>
      <c r="L302" s="3">
        <f>IF(E302="No R2",0,VLOOKUP(C302,'Peer-Review'!F:H,2,0))</f>
        <v>5</v>
      </c>
      <c r="M302" s="3">
        <f>IF(E302="No R2",0,VLOOKUP(C302,'Peer-Review'!F:H,3,0))</f>
        <v>4</v>
      </c>
    </row>
    <row r="303" hidden="1">
      <c r="A303" s="3" t="str">
        <f>IFERROR(__xludf.DUMMYFUNCTION("""COMPUTED_VALUE"""),"22f3000936@ds.study.iitm.ac.in")</f>
        <v>22f3000936@ds.study.iitm.ac.in</v>
      </c>
      <c r="B303" s="3">
        <f>IFERROR(__xludf.DUMMYFUNCTION("""COMPUTED_VALUE"""),0.0)</f>
        <v>0</v>
      </c>
      <c r="C303" s="5" t="str">
        <f>IFERROR(__xludf.DUMMYFUNCTION("""COMPUTED_VALUE"""),"https://github.com/AddagallaSaiTharun/TDS_Project1")</f>
        <v>https://github.com/AddagallaSaiTharun/TDS_Project1</v>
      </c>
      <c r="D303" s="3" t="str">
        <f>IFERROR(VLOOKUP(C303,'Peer-Review'!B:J,9,0),"No R1")</f>
        <v>No R1</v>
      </c>
      <c r="E303" s="3" t="str">
        <f>IFERROR(VLOOKUP(C303,'Peer-Review'!F:J,5,0),"No R2")</f>
        <v>No R2</v>
      </c>
      <c r="F303" s="3">
        <f>COUNTIF('Peer-Review'!B:B,C303)+COUNTIF('Peer-Review'!F:F,C303)</f>
        <v>0</v>
      </c>
      <c r="G303" s="3">
        <f t="shared" si="1"/>
        <v>0</v>
      </c>
      <c r="H303" s="3" t="str">
        <f>IFERROR(__xludf.DUMMYFUNCTION("IFERROR(TRANSPOSE(FILTER('Peer-Review'!$J$2:$J$568,(TRIM('Peer-Review'!$B$2:$B$568)=C303 )+ (TRIM('Peer-Review'!$F$2:$F$568)=C303))),""No Reviews"")"),"No Reviews")</f>
        <v>No Reviews</v>
      </c>
      <c r="J303" s="3">
        <f>IF(D303="No R1",0,VLOOKUP(C303,'Peer-Review'!B:D,2,0))</f>
        <v>0</v>
      </c>
      <c r="K303" s="3">
        <f>IF(D303="No R1",0,VLOOKUP(C303,'Peer-Review'!B:D,3,0))</f>
        <v>0</v>
      </c>
      <c r="L303" s="3">
        <f>IF(E303="No R2",0,VLOOKUP(C303,'Peer-Review'!F:H,2,0))</f>
        <v>0</v>
      </c>
      <c r="M303" s="3">
        <f>IF(E303="No R2",0,VLOOKUP(C303,'Peer-Review'!F:H,3,0))</f>
        <v>0</v>
      </c>
    </row>
    <row r="304" hidden="1">
      <c r="A304" s="3" t="str">
        <f>IFERROR(__xludf.DUMMYFUNCTION("""COMPUTED_VALUE"""),"22f3000942@ds.study.iitm.ac.in")</f>
        <v>22f3000942@ds.study.iitm.ac.in</v>
      </c>
      <c r="B304" s="3">
        <f>IFERROR(__xludf.DUMMYFUNCTION("""COMPUTED_VALUE"""),14.0)</f>
        <v>14</v>
      </c>
      <c r="C304" s="5" t="str">
        <f>IFERROR(__xludf.DUMMYFUNCTION("""COMPUTED_VALUE"""),"https://github.com/Harini-RAJ/tdsproj")</f>
        <v>https://github.com/Harini-RAJ/tdsproj</v>
      </c>
      <c r="D304" s="3" t="str">
        <f>IFERROR(VLOOKUP(C304,'Peer-Review'!B:J,9,0),"No R1")</f>
        <v>23f1000629@ds.study.iitm.ac.in</v>
      </c>
      <c r="E304" s="3" t="str">
        <f>IFERROR(VLOOKUP(C304,'Peer-Review'!F:J,5,0),"No R2")</f>
        <v>No R2</v>
      </c>
      <c r="F304" s="3">
        <f>COUNTIF('Peer-Review'!B:B,C304)+COUNTIF('Peer-Review'!F:F,C304)</f>
        <v>2</v>
      </c>
      <c r="G304" s="3">
        <f t="shared" si="1"/>
        <v>1</v>
      </c>
      <c r="H304" s="3" t="str">
        <f>IFERROR(__xludf.DUMMYFUNCTION("IFERROR(TRANSPOSE(FILTER('Peer-Review'!$J$2:$J$568,(TRIM('Peer-Review'!$B$2:$B$568)=C304 )+ (TRIM('Peer-Review'!$F$2:$F$568)=C304))),""No Reviews"")"),"23f1000629@ds.study.iitm.ac.in")</f>
        <v>23f1000629@ds.study.iitm.ac.in</v>
      </c>
      <c r="I304" s="3" t="str">
        <f>IFERROR(__xludf.DUMMYFUNCTION("""COMPUTED_VALUE"""),"22f3001252@ds.study.iitm.ac.in")</f>
        <v>22f3001252@ds.study.iitm.ac.in</v>
      </c>
      <c r="J304" s="3">
        <f>IF(D304="No R1",0,VLOOKUP(C304,'Peer-Review'!B:D,2,0))</f>
        <v>8</v>
      </c>
      <c r="K304" s="3">
        <f>IF(D304="No R1",0,VLOOKUP(C304,'Peer-Review'!B:D,3,0))</f>
        <v>9</v>
      </c>
      <c r="L304" s="3">
        <f>IF(E304="No R2",0,VLOOKUP(C304,'Peer-Review'!F:H,2,0))</f>
        <v>0</v>
      </c>
      <c r="M304" s="3">
        <f>IF(E304="No R2",0,VLOOKUP(C304,'Peer-Review'!F:H,3,0))</f>
        <v>0</v>
      </c>
    </row>
    <row r="305" hidden="1">
      <c r="A305" s="3" t="str">
        <f>IFERROR(__xludf.DUMMYFUNCTION("""COMPUTED_VALUE"""),"22f3000946@ds.study.iitm.ac.in")</f>
        <v>22f3000946@ds.study.iitm.ac.in</v>
      </c>
      <c r="B305" s="3">
        <f>IFERROR(__xludf.DUMMYFUNCTION("""COMPUTED_VALUE"""),11.0)</f>
        <v>11</v>
      </c>
      <c r="C305" s="5" t="str">
        <f>IFERROR(__xludf.DUMMYFUNCTION("""COMPUTED_VALUE"""),"https://github.com/Yogesh-005/pro1")</f>
        <v>https://github.com/Yogesh-005/pro1</v>
      </c>
      <c r="D305" s="3" t="str">
        <f>IFERROR(VLOOKUP(C305,'Peer-Review'!B:J,9,0),"No R1")</f>
        <v>22f3003270@ds.study.iitm.ac.in</v>
      </c>
      <c r="E305" s="3" t="str">
        <f>IFERROR(VLOOKUP(C305,'Peer-Review'!F:J,5,0),"No R2")</f>
        <v>No R2</v>
      </c>
      <c r="F305" s="3">
        <f>COUNTIF('Peer-Review'!B:B,C305)+COUNTIF('Peer-Review'!F:F,C305)</f>
        <v>2</v>
      </c>
      <c r="G305" s="3">
        <f t="shared" si="1"/>
        <v>1</v>
      </c>
      <c r="H305" s="3" t="str">
        <f>IFERROR(__xludf.DUMMYFUNCTION("IFERROR(TRANSPOSE(FILTER('Peer-Review'!$J$2:$J$568,(TRIM('Peer-Review'!$B$2:$B$568)=C305 )+ (TRIM('Peer-Review'!$F$2:$F$568)=C305))),""No Reviews"")"),"22f3003270@ds.study.iitm.ac.in")</f>
        <v>22f3003270@ds.study.iitm.ac.in</v>
      </c>
      <c r="I305" s="3" t="str">
        <f>IFERROR(__xludf.DUMMYFUNCTION("""COMPUTED_VALUE"""),"23f3002189@ds.study.iitm.ac.in")</f>
        <v>23f3002189@ds.study.iitm.ac.in</v>
      </c>
      <c r="J305" s="3">
        <f>IF(D305="No R1",0,VLOOKUP(C305,'Peer-Review'!B:D,2,0))</f>
        <v>6</v>
      </c>
      <c r="K305" s="3">
        <f>IF(D305="No R1",0,VLOOKUP(C305,'Peer-Review'!B:D,3,0))</f>
        <v>6</v>
      </c>
      <c r="L305" s="3">
        <f>IF(E305="No R2",0,VLOOKUP(C305,'Peer-Review'!F:H,2,0))</f>
        <v>0</v>
      </c>
      <c r="M305" s="3">
        <f>IF(E305="No R2",0,VLOOKUP(C305,'Peer-Review'!F:H,3,0))</f>
        <v>0</v>
      </c>
    </row>
    <row r="306" hidden="1">
      <c r="A306" s="3" t="str">
        <f>IFERROR(__xludf.DUMMYFUNCTION("""COMPUTED_VALUE"""),"22f3000954@ds.study.iitm.ac.in")</f>
        <v>22f3000954@ds.study.iitm.ac.in</v>
      </c>
      <c r="B306" s="3">
        <f>IFERROR(__xludf.DUMMYFUNCTION("""COMPUTED_VALUE"""),17.0)</f>
        <v>17</v>
      </c>
      <c r="C306" s="5" t="str">
        <f>IFERROR(__xludf.DUMMYFUNCTION("""COMPUTED_VALUE"""),"https://github.com/payalggn/TDS_Project1")</f>
        <v>https://github.com/payalggn/TDS_Project1</v>
      </c>
      <c r="D306" s="3" t="str">
        <f>IFERROR(VLOOKUP(C306,'Peer-Review'!B:J,9,0),"No R1")</f>
        <v>No R1</v>
      </c>
      <c r="E306" s="3" t="str">
        <f>IFERROR(VLOOKUP(C306,'Peer-Review'!F:J,5,0),"No R2")</f>
        <v>23f1002092@ds.study.iitm.ac.in</v>
      </c>
      <c r="F306" s="3">
        <f>COUNTIF('Peer-Review'!B:B,C306)+COUNTIF('Peer-Review'!F:F,C306)</f>
        <v>2</v>
      </c>
      <c r="G306" s="3">
        <f t="shared" si="1"/>
        <v>1</v>
      </c>
      <c r="H306" s="3" t="str">
        <f>IFERROR(__xludf.DUMMYFUNCTION("IFERROR(TRANSPOSE(FILTER('Peer-Review'!$J$2:$J$568,(TRIM('Peer-Review'!$B$2:$B$568)=C306 )+ (TRIM('Peer-Review'!$F$2:$F$568)=C306))),""No Reviews"")"),"23f1002092@ds.study.iitm.ac.in")</f>
        <v>23f1002092@ds.study.iitm.ac.in</v>
      </c>
      <c r="I306" s="3" t="str">
        <f>IFERROR(__xludf.DUMMYFUNCTION("""COMPUTED_VALUE"""),"22f3000892@ds.study.iitm.ac.in")</f>
        <v>22f3000892@ds.study.iitm.ac.in</v>
      </c>
      <c r="J306" s="3">
        <f>IF(D306="No R1",0,VLOOKUP(C306,'Peer-Review'!B:D,2,0))</f>
        <v>0</v>
      </c>
      <c r="K306" s="3">
        <f>IF(D306="No R1",0,VLOOKUP(C306,'Peer-Review'!B:D,3,0))</f>
        <v>0</v>
      </c>
      <c r="L306" s="3">
        <f>IF(E306="No R2",0,VLOOKUP(C306,'Peer-Review'!F:H,2,0))</f>
        <v>10</v>
      </c>
      <c r="M306" s="3">
        <f>IF(E306="No R2",0,VLOOKUP(C306,'Peer-Review'!F:H,3,0))</f>
        <v>10</v>
      </c>
    </row>
    <row r="307" hidden="1">
      <c r="A307" s="3" t="str">
        <f>IFERROR(__xludf.DUMMYFUNCTION("""COMPUTED_VALUE"""),"22f3000966@ds.study.iitm.ac.in")</f>
        <v>22f3000966@ds.study.iitm.ac.in</v>
      </c>
      <c r="B307" s="3">
        <f>IFERROR(__xludf.DUMMYFUNCTION("""COMPUTED_VALUE"""),13.0)</f>
        <v>13</v>
      </c>
      <c r="C307" s="5" t="str">
        <f>IFERROR(__xludf.DUMMYFUNCTION("""COMPUTED_VALUE"""),"https://github.com/Yashi-code/dublin-developer-data/tree/main")</f>
        <v>https://github.com/Yashi-code/dublin-developer-data/tree/main</v>
      </c>
      <c r="D307" s="3" t="str">
        <f>IFERROR(VLOOKUP(C307,'Peer-Review'!B:J,9,0),"No R1")</f>
        <v>22f2001019@ds.study.iitm.ac.in</v>
      </c>
      <c r="E307" s="3" t="str">
        <f>IFERROR(VLOOKUP(C307,'Peer-Review'!F:J,5,0),"No R2")</f>
        <v>No R2</v>
      </c>
      <c r="F307" s="3">
        <f>COUNTIF('Peer-Review'!B:B,C307)+COUNTIF('Peer-Review'!F:F,C307)</f>
        <v>2</v>
      </c>
      <c r="G307" s="3">
        <f t="shared" si="1"/>
        <v>1</v>
      </c>
      <c r="H307" s="3" t="str">
        <f>IFERROR(__xludf.DUMMYFUNCTION("IFERROR(TRANSPOSE(FILTER('Peer-Review'!$J$2:$J$568,(TRIM('Peer-Review'!$B$2:$B$568)=C307 )+ (TRIM('Peer-Review'!$F$2:$F$568)=C307))),""No Reviews"")"),"22f2001019@ds.study.iitm.ac.in")</f>
        <v>22f2001019@ds.study.iitm.ac.in</v>
      </c>
      <c r="I307" s="3" t="str">
        <f>IFERROR(__xludf.DUMMYFUNCTION("""COMPUTED_VALUE"""),"22f3001059@ds.study.iitm.ac.in")</f>
        <v>22f3001059@ds.study.iitm.ac.in</v>
      </c>
      <c r="J307" s="3">
        <f>IF(D307="No R1",0,VLOOKUP(C307,'Peer-Review'!B:D,2,0))</f>
        <v>7</v>
      </c>
      <c r="K307" s="3">
        <f>IF(D307="No R1",0,VLOOKUP(C307,'Peer-Review'!B:D,3,0))</f>
        <v>10</v>
      </c>
      <c r="L307" s="3">
        <f>IF(E307="No R2",0,VLOOKUP(C307,'Peer-Review'!F:H,2,0))</f>
        <v>0</v>
      </c>
      <c r="M307" s="3">
        <f>IF(E307="No R2",0,VLOOKUP(C307,'Peer-Review'!F:H,3,0))</f>
        <v>0</v>
      </c>
    </row>
    <row r="308" hidden="1">
      <c r="A308" s="3" t="str">
        <f>IFERROR(__xludf.DUMMYFUNCTION("""COMPUTED_VALUE"""),"22f3000983@ds.study.iitm.ac.in")</f>
        <v>22f3000983@ds.study.iitm.ac.in</v>
      </c>
      <c r="B308" s="3">
        <f>IFERROR(__xludf.DUMMYFUNCTION("""COMPUTED_VALUE"""),16.0)</f>
        <v>16</v>
      </c>
      <c r="C308" s="5" t="str">
        <f>IFERROR(__xludf.DUMMYFUNCTION("""COMPUTED_VALUE"""),"https://github.com/madhavanrmiitm/tds-project1")</f>
        <v>https://github.com/madhavanrmiitm/tds-project1</v>
      </c>
      <c r="D308" s="3" t="str">
        <f>IFERROR(VLOOKUP(C308,'Peer-Review'!B:J,9,0),"No R1")</f>
        <v>No R1</v>
      </c>
      <c r="E308" s="3" t="str">
        <f>IFERROR(VLOOKUP(C308,'Peer-Review'!F:J,5,0),"No R2")</f>
        <v>22f3000852@ds.study.iitm.ac.in</v>
      </c>
      <c r="F308" s="3">
        <f>COUNTIF('Peer-Review'!B:B,C308)+COUNTIF('Peer-Review'!F:F,C308)</f>
        <v>2</v>
      </c>
      <c r="G308" s="3">
        <f t="shared" si="1"/>
        <v>1</v>
      </c>
      <c r="H308" s="3" t="str">
        <f>IFERROR(__xludf.DUMMYFUNCTION("IFERROR(TRANSPOSE(FILTER('Peer-Review'!$J$2:$J$568,(TRIM('Peer-Review'!$B$2:$B$568)=C308 )+ (TRIM('Peer-Review'!$F$2:$F$568)=C308))),""No Reviews"")"),"22f3000852@ds.study.iitm.ac.in")</f>
        <v>22f3000852@ds.study.iitm.ac.in</v>
      </c>
      <c r="I308" s="3" t="str">
        <f>IFERROR(__xludf.DUMMYFUNCTION("""COMPUTED_VALUE"""),"24ds1000042@ds.study.iitm.ac.in")</f>
        <v>24ds1000042@ds.study.iitm.ac.in</v>
      </c>
      <c r="J308" s="3">
        <f>IF(D308="No R1",0,VLOOKUP(C308,'Peer-Review'!B:D,2,0))</f>
        <v>0</v>
      </c>
      <c r="K308" s="3">
        <f>IF(D308="No R1",0,VLOOKUP(C308,'Peer-Review'!B:D,3,0))</f>
        <v>0</v>
      </c>
      <c r="L308" s="3">
        <f>IF(E308="No R2",0,VLOOKUP(C308,'Peer-Review'!F:H,2,0))</f>
        <v>10</v>
      </c>
      <c r="M308" s="3">
        <f>IF(E308="No R2",0,VLOOKUP(C308,'Peer-Review'!F:H,3,0))</f>
        <v>10</v>
      </c>
    </row>
    <row r="309" hidden="1">
      <c r="A309" s="3" t="str">
        <f>IFERROR(__xludf.DUMMYFUNCTION("""COMPUTED_VALUE"""),"22f3001023@ds.study.iitm.ac.in")</f>
        <v>22f3001023@ds.study.iitm.ac.in</v>
      </c>
      <c r="B309" s="3">
        <f>IFERROR(__xludf.DUMMYFUNCTION("""COMPUTED_VALUE"""),17.0)</f>
        <v>17</v>
      </c>
      <c r="C309" s="5" t="str">
        <f>IFERROR(__xludf.DUMMYFUNCTION("""COMPUTED_VALUE"""),"https://github.com/spideysanjay007/sanjay_tds_project_1")</f>
        <v>https://github.com/spideysanjay007/sanjay_tds_project_1</v>
      </c>
      <c r="D309" s="3" t="str">
        <f>IFERROR(VLOOKUP(C309,'Peer-Review'!B:J,9,0),"No R1")</f>
        <v>No R1</v>
      </c>
      <c r="E309" s="3" t="str">
        <f>IFERROR(VLOOKUP(C309,'Peer-Review'!F:J,5,0),"No R2")</f>
        <v>22f3000954@ds.study.iitm.ac.in</v>
      </c>
      <c r="F309" s="3">
        <f>COUNTIF('Peer-Review'!B:B,C309)+COUNTIF('Peer-Review'!F:F,C309)</f>
        <v>2</v>
      </c>
      <c r="G309" s="3">
        <f t="shared" si="1"/>
        <v>1</v>
      </c>
      <c r="H309" s="3" t="str">
        <f>IFERROR(__xludf.DUMMYFUNCTION("IFERROR(TRANSPOSE(FILTER('Peer-Review'!$J$2:$J$568,(TRIM('Peer-Review'!$B$2:$B$568)=C309 )+ (TRIM('Peer-Review'!$F$2:$F$568)=C309))),""No Reviews"")"),"22f3000954@ds.study.iitm.ac.in")</f>
        <v>22f3000954@ds.study.iitm.ac.in</v>
      </c>
      <c r="I309" s="3" t="str">
        <f>IFERROR(__xludf.DUMMYFUNCTION("""COMPUTED_VALUE"""),"23f1002447@ds.study.iitm.ac.in")</f>
        <v>23f1002447@ds.study.iitm.ac.in</v>
      </c>
      <c r="J309" s="3">
        <f>IF(D309="No R1",0,VLOOKUP(C309,'Peer-Review'!B:D,2,0))</f>
        <v>0</v>
      </c>
      <c r="K309" s="3">
        <f>IF(D309="No R1",0,VLOOKUP(C309,'Peer-Review'!B:D,3,0))</f>
        <v>0</v>
      </c>
      <c r="L309" s="3">
        <f>IF(E309="No R2",0,VLOOKUP(C309,'Peer-Review'!F:H,2,0))</f>
        <v>9</v>
      </c>
      <c r="M309" s="3">
        <f>IF(E309="No R2",0,VLOOKUP(C309,'Peer-Review'!F:H,3,0))</f>
        <v>10</v>
      </c>
    </row>
    <row r="310" hidden="1">
      <c r="A310" s="3" t="str">
        <f>IFERROR(__xludf.DUMMYFUNCTION("""COMPUTED_VALUE"""),"22f3001059@ds.study.iitm.ac.in")</f>
        <v>22f3001059@ds.study.iitm.ac.in</v>
      </c>
      <c r="B310" s="3">
        <f>IFERROR(__xludf.DUMMYFUNCTION("""COMPUTED_VALUE"""),13.0)</f>
        <v>13</v>
      </c>
      <c r="C310" s="5" t="str">
        <f>IFERROR(__xludf.DUMMYFUNCTION("""COMPUTED_VALUE"""),"https://github.com/22f3001059/TDS-project1")</f>
        <v>https://github.com/22f3001059/TDS-project1</v>
      </c>
      <c r="D310" s="3" t="str">
        <f>IFERROR(VLOOKUP(C310,'Peer-Review'!B:J,9,0),"No R1")</f>
        <v>22f2001062@ds.study.iitm.ac.in</v>
      </c>
      <c r="E310" s="3" t="str">
        <f>IFERROR(VLOOKUP(C310,'Peer-Review'!F:J,5,0),"No R2")</f>
        <v>No R2</v>
      </c>
      <c r="F310" s="3">
        <f>COUNTIF('Peer-Review'!B:B,C310)+COUNTIF('Peer-Review'!F:F,C310)</f>
        <v>2</v>
      </c>
      <c r="G310" s="3">
        <f t="shared" si="1"/>
        <v>1</v>
      </c>
      <c r="H310" s="3" t="str">
        <f>IFERROR(__xludf.DUMMYFUNCTION("IFERROR(TRANSPOSE(FILTER('Peer-Review'!$J$2:$J$568,(TRIM('Peer-Review'!$B$2:$B$568)=C310 )+ (TRIM('Peer-Review'!$F$2:$F$568)=C310))),""No Reviews"")"),"22f2001062@ds.study.iitm.ac.in")</f>
        <v>22f2001062@ds.study.iitm.ac.in</v>
      </c>
      <c r="I310" s="3" t="str">
        <f>IFERROR(__xludf.DUMMYFUNCTION("""COMPUTED_VALUE"""),"22f3001350@ds.study.iitm.ac.in")</f>
        <v>22f3001350@ds.study.iitm.ac.in</v>
      </c>
      <c r="J310" s="3">
        <f>IF(D310="No R1",0,VLOOKUP(C310,'Peer-Review'!B:D,2,0))</f>
        <v>9</v>
      </c>
      <c r="K310" s="3">
        <f>IF(D310="No R1",0,VLOOKUP(C310,'Peer-Review'!B:D,3,0))</f>
        <v>10</v>
      </c>
      <c r="L310" s="3">
        <f>IF(E310="No R2",0,VLOOKUP(C310,'Peer-Review'!F:H,2,0))</f>
        <v>0</v>
      </c>
      <c r="M310" s="3">
        <f>IF(E310="No R2",0,VLOOKUP(C310,'Peer-Review'!F:H,3,0))</f>
        <v>0</v>
      </c>
    </row>
    <row r="311" hidden="1">
      <c r="A311" s="3" t="str">
        <f>IFERROR(__xludf.DUMMYFUNCTION("""COMPUTED_VALUE"""),"22f3001074@ds.study.iitm.ac.in")</f>
        <v>22f3001074@ds.study.iitm.ac.in</v>
      </c>
      <c r="B311" s="3">
        <f>IFERROR(__xludf.DUMMYFUNCTION("""COMPUTED_VALUE"""),16.0)</f>
        <v>16</v>
      </c>
      <c r="C311" s="5" t="str">
        <f>IFERROR(__xludf.DUMMYFUNCTION("""COMPUTED_VALUE"""),"https://github.com/nihalkumar833/tds")</f>
        <v>https://github.com/nihalkumar833/tds</v>
      </c>
      <c r="D311" s="3" t="str">
        <f>IFERROR(VLOOKUP(C311,'Peer-Review'!B:J,9,0),"No R1")</f>
        <v>No R1</v>
      </c>
      <c r="E311" s="3" t="str">
        <f>IFERROR(VLOOKUP(C311,'Peer-Review'!F:J,5,0),"No R2")</f>
        <v>22f3000983@ds.study.iitm.ac.in</v>
      </c>
      <c r="F311" s="3">
        <f>COUNTIF('Peer-Review'!B:B,C311)+COUNTIF('Peer-Review'!F:F,C311)</f>
        <v>2</v>
      </c>
      <c r="G311" s="3">
        <f t="shared" si="1"/>
        <v>1</v>
      </c>
      <c r="H311" s="3" t="str">
        <f>IFERROR(__xludf.DUMMYFUNCTION("IFERROR(TRANSPOSE(FILTER('Peer-Review'!$J$2:$J$568,(TRIM('Peer-Review'!$B$2:$B$568)=C311 )+ (TRIM('Peer-Review'!$F$2:$F$568)=C311))),""No Reviews"")"),"22f3000983@ds.study.iitm.ac.in")</f>
        <v>22f3000983@ds.study.iitm.ac.in</v>
      </c>
      <c r="I311" s="3" t="str">
        <f>IFERROR(__xludf.DUMMYFUNCTION("""COMPUTED_VALUE"""),"22f1001082@ds.study.iitm.ac.in")</f>
        <v>22f1001082@ds.study.iitm.ac.in</v>
      </c>
      <c r="J311" s="3">
        <f>IF(D311="No R1",0,VLOOKUP(C311,'Peer-Review'!B:D,2,0))</f>
        <v>0</v>
      </c>
      <c r="K311" s="3">
        <f>IF(D311="No R1",0,VLOOKUP(C311,'Peer-Review'!B:D,3,0))</f>
        <v>0</v>
      </c>
      <c r="L311" s="3">
        <f>IF(E311="No R2",0,VLOOKUP(C311,'Peer-Review'!F:H,2,0))</f>
        <v>9</v>
      </c>
      <c r="M311" s="3">
        <f>IF(E311="No R2",0,VLOOKUP(C311,'Peer-Review'!F:H,3,0))</f>
        <v>0</v>
      </c>
    </row>
    <row r="312" hidden="1">
      <c r="A312" s="3" t="str">
        <f>IFERROR(__xludf.DUMMYFUNCTION("""COMPUTED_VALUE"""),"22f3001119@ds.study.iitm.ac.in")</f>
        <v>22f3001119@ds.study.iitm.ac.in</v>
      </c>
      <c r="B312" s="3">
        <f>IFERROR(__xludf.DUMMYFUNCTION("""COMPUTED_VALUE"""),17.0)</f>
        <v>17</v>
      </c>
      <c r="C312" s="5" t="str">
        <f>IFERROR(__xludf.DUMMYFUNCTION("""COMPUTED_VALUE"""),"https://github.com/suraj22f3/TDS_Project1")</f>
        <v>https://github.com/suraj22f3/TDS_Project1</v>
      </c>
      <c r="D312" s="3" t="str">
        <f>IFERROR(VLOOKUP(C312,'Peer-Review'!B:J,9,0),"No R1")</f>
        <v>No R1</v>
      </c>
      <c r="E312" s="3" t="str">
        <f>IFERROR(VLOOKUP(C312,'Peer-Review'!F:J,5,0),"No R2")</f>
        <v>22f3001023@ds.study.iitm.ac.in</v>
      </c>
      <c r="F312" s="3">
        <f>COUNTIF('Peer-Review'!B:B,C312)+COUNTIF('Peer-Review'!F:F,C312)</f>
        <v>1</v>
      </c>
      <c r="G312" s="3">
        <f t="shared" si="1"/>
        <v>1</v>
      </c>
      <c r="H312" s="3" t="str">
        <f>IFERROR(__xludf.DUMMYFUNCTION("IFERROR(TRANSPOSE(FILTER('Peer-Review'!$J$2:$J$568,(TRIM('Peer-Review'!$B$2:$B$568)=C312 )+ (TRIM('Peer-Review'!$F$2:$F$568)=C312))),""No Reviews"")"),"22f3001023@ds.study.iitm.ac.in")</f>
        <v>22f3001023@ds.study.iitm.ac.in</v>
      </c>
      <c r="J312" s="3">
        <f>IF(D312="No R1",0,VLOOKUP(C312,'Peer-Review'!B:D,2,0))</f>
        <v>0</v>
      </c>
      <c r="K312" s="3">
        <f>IF(D312="No R1",0,VLOOKUP(C312,'Peer-Review'!B:D,3,0))</f>
        <v>0</v>
      </c>
      <c r="L312" s="3">
        <f>IF(E312="No R2",0,VLOOKUP(C312,'Peer-Review'!F:H,2,0))</f>
        <v>7</v>
      </c>
      <c r="M312" s="3">
        <f>IF(E312="No R2",0,VLOOKUP(C312,'Peer-Review'!F:H,3,0))</f>
        <v>0</v>
      </c>
    </row>
    <row r="313" hidden="1">
      <c r="A313" s="3" t="str">
        <f>IFERROR(__xludf.DUMMYFUNCTION("""COMPUTED_VALUE"""),"22f3001138@ds.study.iitm.ac.in")</f>
        <v>22f3001138@ds.study.iitm.ac.in</v>
      </c>
      <c r="B313" s="3">
        <f>IFERROR(__xludf.DUMMYFUNCTION("""COMPUTED_VALUE"""),17.0)</f>
        <v>17</v>
      </c>
      <c r="C313" s="5" t="str">
        <f>IFERROR(__xludf.DUMMYFUNCTION("""COMPUTED_VALUE"""),"https://github.com/kabir2505/zurich_scraping-tds")</f>
        <v>https://github.com/kabir2505/zurich_scraping-tds</v>
      </c>
      <c r="D313" s="3" t="str">
        <f>IFERROR(VLOOKUP(C313,'Peer-Review'!B:J,9,0),"No R1")</f>
        <v>No R1</v>
      </c>
      <c r="E313" s="3" t="str">
        <f>IFERROR(VLOOKUP(C313,'Peer-Review'!F:J,5,0),"No R2")</f>
        <v>22f3001119@ds.study.iitm.ac.in</v>
      </c>
      <c r="F313" s="3">
        <f>COUNTIF('Peer-Review'!B:B,C313)+COUNTIF('Peer-Review'!F:F,C313)</f>
        <v>2</v>
      </c>
      <c r="G313" s="3">
        <f t="shared" si="1"/>
        <v>1</v>
      </c>
      <c r="H313" s="3" t="str">
        <f>IFERROR(__xludf.DUMMYFUNCTION("IFERROR(TRANSPOSE(FILTER('Peer-Review'!$J$2:$J$568,(TRIM('Peer-Review'!$B$2:$B$568)=C313 )+ (TRIM('Peer-Review'!$F$2:$F$568)=C313))),""No Reviews"")"),"22f3001119@ds.study.iitm.ac.in")</f>
        <v>22f3001119@ds.study.iitm.ac.in</v>
      </c>
      <c r="I313" s="3" t="str">
        <f>IFERROR(__xludf.DUMMYFUNCTION("""COMPUTED_VALUE"""),"23f1002570@ds.study.iitm.ac.in")</f>
        <v>23f1002570@ds.study.iitm.ac.in</v>
      </c>
      <c r="J313" s="3">
        <f>IF(D313="No R1",0,VLOOKUP(C313,'Peer-Review'!B:D,2,0))</f>
        <v>0</v>
      </c>
      <c r="K313" s="3">
        <f>IF(D313="No R1",0,VLOOKUP(C313,'Peer-Review'!B:D,3,0))</f>
        <v>0</v>
      </c>
      <c r="L313" s="3">
        <f>IF(E313="No R2",0,VLOOKUP(C313,'Peer-Review'!F:H,2,0))</f>
        <v>10</v>
      </c>
      <c r="M313" s="3">
        <f>IF(E313="No R2",0,VLOOKUP(C313,'Peer-Review'!F:H,3,0))</f>
        <v>10</v>
      </c>
    </row>
    <row r="314" hidden="1">
      <c r="A314" s="3" t="str">
        <f>IFERROR(__xludf.DUMMYFUNCTION("""COMPUTED_VALUE"""),"22f3001142@ds.study.iitm.ac.in")</f>
        <v>22f3001142@ds.study.iitm.ac.in</v>
      </c>
      <c r="B314" s="3">
        <f>IFERROR(__xludf.DUMMYFUNCTION("""COMPUTED_VALUE"""),10.0)</f>
        <v>10</v>
      </c>
      <c r="C314" s="5" t="str">
        <f>IFERROR(__xludf.DUMMYFUNCTION("""COMPUTED_VALUE"""),"https://github.com/notnikita21/TDS-Project-1")</f>
        <v>https://github.com/notnikita21/TDS-Project-1</v>
      </c>
      <c r="D314" s="3" t="str">
        <f>IFERROR(VLOOKUP(C314,'Peer-Review'!B:J,9,0),"No R1")</f>
        <v>23f1000997@ds.study.iitm.ac.in</v>
      </c>
      <c r="E314" s="3" t="str">
        <f>IFERROR(VLOOKUP(C314,'Peer-Review'!F:J,5,0),"No R2")</f>
        <v>No R2</v>
      </c>
      <c r="F314" s="3">
        <f>COUNTIF('Peer-Review'!B:B,C314)+COUNTIF('Peer-Review'!F:F,C314)</f>
        <v>2</v>
      </c>
      <c r="G314" s="3">
        <f t="shared" si="1"/>
        <v>1</v>
      </c>
      <c r="H314" s="3" t="str">
        <f>IFERROR(__xludf.DUMMYFUNCTION("IFERROR(TRANSPOSE(FILTER('Peer-Review'!$J$2:$J$568,(TRIM('Peer-Review'!$B$2:$B$568)=C314 )+ (TRIM('Peer-Review'!$F$2:$F$568)=C314))),""No Reviews"")"),"23f1000997@ds.study.iitm.ac.in")</f>
        <v>23f1000997@ds.study.iitm.ac.in</v>
      </c>
      <c r="I314" s="3" t="str">
        <f>IFERROR(__xludf.DUMMYFUNCTION("""COMPUTED_VALUE"""),"22f3001856@ds.study.iitm.ac.in")</f>
        <v>22f3001856@ds.study.iitm.ac.in</v>
      </c>
      <c r="J314" s="3">
        <f>IF(D314="No R1",0,VLOOKUP(C314,'Peer-Review'!B:D,2,0))</f>
        <v>5</v>
      </c>
      <c r="K314" s="3">
        <f>IF(D314="No R1",0,VLOOKUP(C314,'Peer-Review'!B:D,3,0))</f>
        <v>2</v>
      </c>
      <c r="L314" s="3">
        <f>IF(E314="No R2",0,VLOOKUP(C314,'Peer-Review'!F:H,2,0))</f>
        <v>0</v>
      </c>
      <c r="M314" s="3">
        <f>IF(E314="No R2",0,VLOOKUP(C314,'Peer-Review'!F:H,3,0))</f>
        <v>0</v>
      </c>
    </row>
    <row r="315" hidden="1">
      <c r="A315" s="3" t="str">
        <f>IFERROR(__xludf.DUMMYFUNCTION("""COMPUTED_VALUE"""),"22f3001180@ds.study.iitm.ac.in")</f>
        <v>22f3001180@ds.study.iitm.ac.in</v>
      </c>
      <c r="B315" s="3">
        <f>IFERROR(__xludf.DUMMYFUNCTION("""COMPUTED_VALUE"""),17.0)</f>
        <v>17</v>
      </c>
      <c r="C315" s="5" t="str">
        <f>IFERROR(__xludf.DUMMYFUNCTION("""COMPUTED_VALUE"""),"https://github.com/Aravindh-18/Project1")</f>
        <v>https://github.com/Aravindh-18/Project1</v>
      </c>
      <c r="D315" s="3" t="str">
        <f>IFERROR(VLOOKUP(C315,'Peer-Review'!B:J,9,0),"No R1")</f>
        <v>23f1003030@ds.study.iitm.ac.in</v>
      </c>
      <c r="E315" s="3" t="str">
        <f>IFERROR(VLOOKUP(C315,'Peer-Review'!F:J,5,0),"No R2")</f>
        <v>22f3001138@ds.study.iitm.ac.in</v>
      </c>
      <c r="F315" s="3">
        <f>COUNTIF('Peer-Review'!B:B,C315)+COUNTIF('Peer-Review'!F:F,C315)</f>
        <v>2</v>
      </c>
      <c r="G315" s="3">
        <f t="shared" si="1"/>
        <v>2</v>
      </c>
      <c r="H315" s="3" t="str">
        <f>IFERROR(__xludf.DUMMYFUNCTION("IFERROR(TRANSPOSE(FILTER('Peer-Review'!$J$2:$J$568,(TRIM('Peer-Review'!$B$2:$B$568)=C315 )+ (TRIM('Peer-Review'!$F$2:$F$568)=C315))),""No Reviews"")"),"22f3001138@ds.study.iitm.ac.in")</f>
        <v>22f3001138@ds.study.iitm.ac.in</v>
      </c>
      <c r="I315" s="3" t="str">
        <f>IFERROR(__xludf.DUMMYFUNCTION("""COMPUTED_VALUE"""),"23f1003030@ds.study.iitm.ac.in")</f>
        <v>23f1003030@ds.study.iitm.ac.in</v>
      </c>
      <c r="J315" s="3">
        <f>IF(D315="No R1",0,VLOOKUP(C315,'Peer-Review'!B:D,2,0))</f>
        <v>6</v>
      </c>
      <c r="K315" s="3">
        <f>IF(D315="No R1",0,VLOOKUP(C315,'Peer-Review'!B:D,3,0))</f>
        <v>9</v>
      </c>
      <c r="L315" s="3">
        <f>IF(E315="No R2",0,VLOOKUP(C315,'Peer-Review'!F:H,2,0))</f>
        <v>9</v>
      </c>
      <c r="M315" s="3">
        <f>IF(E315="No R2",0,VLOOKUP(C315,'Peer-Review'!F:H,3,0))</f>
        <v>10</v>
      </c>
    </row>
    <row r="316" hidden="1">
      <c r="A316" s="3" t="str">
        <f>IFERROR(__xludf.DUMMYFUNCTION("""COMPUTED_VALUE"""),"22f3001192@ds.study.iitm.ac.in")</f>
        <v>22f3001192@ds.study.iitm.ac.in</v>
      </c>
      <c r="B316" s="3">
        <f>IFERROR(__xludf.DUMMYFUNCTION("""COMPUTED_VALUE"""),16.0)</f>
        <v>16</v>
      </c>
      <c r="C316" s="5" t="str">
        <f>IFERROR(__xludf.DUMMYFUNCTION("""COMPUTED_VALUE"""),"https://github.com/22f3001192/amitkumar")</f>
        <v>https://github.com/22f3001192/amitkumar</v>
      </c>
      <c r="D316" s="3" t="str">
        <f>IFERROR(VLOOKUP(C316,'Peer-Review'!B:J,9,0),"No R1")</f>
        <v>No R1</v>
      </c>
      <c r="E316" s="3" t="str">
        <f>IFERROR(VLOOKUP(C316,'Peer-Review'!F:J,5,0),"No R2")</f>
        <v>23ds3000089@ds.study.iitm.ac.in</v>
      </c>
      <c r="F316" s="3">
        <f>COUNTIF('Peer-Review'!B:B,C316)+COUNTIF('Peer-Review'!F:F,C316)</f>
        <v>1</v>
      </c>
      <c r="G316" s="3">
        <f t="shared" si="1"/>
        <v>1</v>
      </c>
      <c r="H316" s="3" t="str">
        <f>IFERROR(__xludf.DUMMYFUNCTION("IFERROR(TRANSPOSE(FILTER('Peer-Review'!$J$2:$J$568,(TRIM('Peer-Review'!$B$2:$B$568)=C316 )+ (TRIM('Peer-Review'!$F$2:$F$568)=C316))),""No Reviews"")"),"23ds3000089@ds.study.iitm.ac.in")</f>
        <v>23ds3000089@ds.study.iitm.ac.in</v>
      </c>
      <c r="J316" s="3">
        <f>IF(D316="No R1",0,VLOOKUP(C316,'Peer-Review'!B:D,2,0))</f>
        <v>0</v>
      </c>
      <c r="K316" s="3">
        <f>IF(D316="No R1",0,VLOOKUP(C316,'Peer-Review'!B:D,3,0))</f>
        <v>0</v>
      </c>
      <c r="L316" s="3">
        <f>IF(E316="No R2",0,VLOOKUP(C316,'Peer-Review'!F:H,2,0))</f>
        <v>2</v>
      </c>
      <c r="M316" s="3">
        <f>IF(E316="No R2",0,VLOOKUP(C316,'Peer-Review'!F:H,3,0))</f>
        <v>0</v>
      </c>
    </row>
    <row r="317" hidden="1">
      <c r="A317" s="3" t="str">
        <f>IFERROR(__xludf.DUMMYFUNCTION("""COMPUTED_VALUE"""),"22f3001210@ds.study.iitm.ac.in")</f>
        <v>22f3001210@ds.study.iitm.ac.in</v>
      </c>
      <c r="B317" s="3">
        <f>IFERROR(__xludf.DUMMYFUNCTION("""COMPUTED_VALUE"""),16.0)</f>
        <v>16</v>
      </c>
      <c r="C317" s="5" t="str">
        <f>IFERROR(__xludf.DUMMYFUNCTION("""COMPUTED_VALUE"""),"https://github.com/RishitPant/tdsproject1")</f>
        <v>https://github.com/RishitPant/tdsproject1</v>
      </c>
      <c r="D317" s="3" t="str">
        <f>IFERROR(VLOOKUP(C317,'Peer-Review'!B:J,9,0),"No R1")</f>
        <v>No R1</v>
      </c>
      <c r="E317" s="3" t="str">
        <f>IFERROR(VLOOKUP(C317,'Peer-Review'!F:J,5,0),"No R2")</f>
        <v>22f3001192@ds.study.iitm.ac.in</v>
      </c>
      <c r="F317" s="3">
        <f>COUNTIF('Peer-Review'!B:B,C317)+COUNTIF('Peer-Review'!F:F,C317)</f>
        <v>1</v>
      </c>
      <c r="G317" s="3">
        <f t="shared" si="1"/>
        <v>1</v>
      </c>
      <c r="H317" s="3" t="str">
        <f>IFERROR(__xludf.DUMMYFUNCTION("IFERROR(TRANSPOSE(FILTER('Peer-Review'!$J$2:$J$568,(TRIM('Peer-Review'!$B$2:$B$568)=C317 )+ (TRIM('Peer-Review'!$F$2:$F$568)=C317))),""No Reviews"")"),"22f3001192@ds.study.iitm.ac.in")</f>
        <v>22f3001192@ds.study.iitm.ac.in</v>
      </c>
      <c r="J317" s="3">
        <f>IF(D317="No R1",0,VLOOKUP(C317,'Peer-Review'!B:D,2,0))</f>
        <v>0</v>
      </c>
      <c r="K317" s="3">
        <f>IF(D317="No R1",0,VLOOKUP(C317,'Peer-Review'!B:D,3,0))</f>
        <v>0</v>
      </c>
      <c r="L317" s="3">
        <f>IF(E317="No R2",0,VLOOKUP(C317,'Peer-Review'!F:H,2,0))</f>
        <v>8</v>
      </c>
      <c r="M317" s="3">
        <f>IF(E317="No R2",0,VLOOKUP(C317,'Peer-Review'!F:H,3,0))</f>
        <v>8</v>
      </c>
    </row>
    <row r="318" hidden="1">
      <c r="A318" s="3" t="str">
        <f>IFERROR(__xludf.DUMMYFUNCTION("""COMPUTED_VALUE"""),"22f3001252@ds.study.iitm.ac.in")</f>
        <v>22f3001252@ds.study.iitm.ac.in</v>
      </c>
      <c r="B318" s="3">
        <f>IFERROR(__xludf.DUMMYFUNCTION("""COMPUTED_VALUE"""),14.0)</f>
        <v>14</v>
      </c>
      <c r="C318" s="5" t="str">
        <f>IFERROR(__xludf.DUMMYFUNCTION("""COMPUTED_VALUE"""),"https://github.com/SarveshMSIITM/TDS-P1")</f>
        <v>https://github.com/SarveshMSIITM/TDS-P1</v>
      </c>
      <c r="D318" s="3" t="str">
        <f>IFERROR(VLOOKUP(C318,'Peer-Review'!B:J,9,0),"No R1")</f>
        <v>23f1000647@ds.study.iitm.ac.in</v>
      </c>
      <c r="E318" s="3" t="str">
        <f>IFERROR(VLOOKUP(C318,'Peer-Review'!F:J,5,0),"No R2")</f>
        <v>No R2</v>
      </c>
      <c r="F318" s="3">
        <f>COUNTIF('Peer-Review'!B:B,C318)+COUNTIF('Peer-Review'!F:F,C318)</f>
        <v>2</v>
      </c>
      <c r="G318" s="3">
        <f t="shared" si="1"/>
        <v>1</v>
      </c>
      <c r="H318" s="3" t="str">
        <f>IFERROR(__xludf.DUMMYFUNCTION("IFERROR(TRANSPOSE(FILTER('Peer-Review'!$J$2:$J$568,(TRIM('Peer-Review'!$B$2:$B$568)=C318 )+ (TRIM('Peer-Review'!$F$2:$F$568)=C318))),""No Reviews"")"),"23f1000647@ds.study.iitm.ac.in")</f>
        <v>23f1000647@ds.study.iitm.ac.in</v>
      </c>
      <c r="I318" s="3" t="str">
        <f>IFERROR(__xludf.DUMMYFUNCTION("""COMPUTED_VALUE"""),"22f3001321@ds.study.iitm.ac.in")</f>
        <v>22f3001321@ds.study.iitm.ac.in</v>
      </c>
      <c r="J318" s="3">
        <f>IF(D318="No R1",0,VLOOKUP(C318,'Peer-Review'!B:D,2,0))</f>
        <v>3</v>
      </c>
      <c r="K318" s="3">
        <f>IF(D318="No R1",0,VLOOKUP(C318,'Peer-Review'!B:D,3,0))</f>
        <v>7</v>
      </c>
      <c r="L318" s="3">
        <f>IF(E318="No R2",0,VLOOKUP(C318,'Peer-Review'!F:H,2,0))</f>
        <v>0</v>
      </c>
      <c r="M318" s="3">
        <f>IF(E318="No R2",0,VLOOKUP(C318,'Peer-Review'!F:H,3,0))</f>
        <v>0</v>
      </c>
    </row>
    <row r="319" hidden="1">
      <c r="A319" s="3" t="str">
        <f>IFERROR(__xludf.DUMMYFUNCTION("""COMPUTED_VALUE"""),"22f3001268@ds.study.iitm.ac.in")</f>
        <v>22f3001268@ds.study.iitm.ac.in</v>
      </c>
      <c r="B319" s="3">
        <f>IFERROR(__xludf.DUMMYFUNCTION("""COMPUTED_VALUE"""),15.0)</f>
        <v>15</v>
      </c>
      <c r="C319" s="5" t="str">
        <f>IFERROR(__xludf.DUMMYFUNCTION("""COMPUTED_VALUE"""),"https://github.com/gittymadman/TDS_PROJECT_1")</f>
        <v>https://github.com/gittymadman/TDS_PROJECT_1</v>
      </c>
      <c r="D319" s="3" t="str">
        <f>IFERROR(VLOOKUP(C319,'Peer-Review'!B:J,9,0),"No R1")</f>
        <v>22f3001549@ds.study.iitm.ac.in</v>
      </c>
      <c r="E319" s="3" t="str">
        <f>IFERROR(VLOOKUP(C319,'Peer-Review'!F:J,5,0),"No R2")</f>
        <v>No R2</v>
      </c>
      <c r="F319" s="3">
        <f>COUNTIF('Peer-Review'!B:B,C319)+COUNTIF('Peer-Review'!F:F,C319)</f>
        <v>2</v>
      </c>
      <c r="G319" s="3">
        <f t="shared" si="1"/>
        <v>1</v>
      </c>
      <c r="H319" s="3" t="str">
        <f>IFERROR(__xludf.DUMMYFUNCTION("IFERROR(TRANSPOSE(FILTER('Peer-Review'!$J$2:$J$568,(TRIM('Peer-Review'!$B$2:$B$568)=C319 )+ (TRIM('Peer-Review'!$F$2:$F$568)=C319))),""No Reviews"")"),"22f3001549@ds.study.iitm.ac.in")</f>
        <v>22f3001549@ds.study.iitm.ac.in</v>
      </c>
      <c r="I319" s="3" t="str">
        <f>IFERROR(__xludf.DUMMYFUNCTION("""COMPUTED_VALUE"""),"23f2004165@ds.study.iitm.ac.in")</f>
        <v>23f2004165@ds.study.iitm.ac.in</v>
      </c>
      <c r="J319" s="3">
        <f>IF(D319="No R1",0,VLOOKUP(C319,'Peer-Review'!B:D,2,0))</f>
        <v>9</v>
      </c>
      <c r="K319" s="3">
        <f>IF(D319="No R1",0,VLOOKUP(C319,'Peer-Review'!B:D,3,0))</f>
        <v>8</v>
      </c>
      <c r="L319" s="3">
        <f>IF(E319="No R2",0,VLOOKUP(C319,'Peer-Review'!F:H,2,0))</f>
        <v>0</v>
      </c>
      <c r="M319" s="3">
        <f>IF(E319="No R2",0,VLOOKUP(C319,'Peer-Review'!F:H,3,0))</f>
        <v>0</v>
      </c>
    </row>
    <row r="320" hidden="1">
      <c r="A320" s="3" t="str">
        <f>IFERROR(__xludf.DUMMYFUNCTION("""COMPUTED_VALUE"""),"22f3001318@ds.study.iitm.ac.in")</f>
        <v>22f3001318@ds.study.iitm.ac.in</v>
      </c>
      <c r="B320" s="3">
        <f>IFERROR(__xludf.DUMMYFUNCTION("""COMPUTED_VALUE"""),17.0)</f>
        <v>17</v>
      </c>
      <c r="C320" s="5" t="str">
        <f>IFERROR(__xludf.DUMMYFUNCTION("""COMPUTED_VALUE"""),"https://github.com/SaikatMandal2022/TDS_Project1")</f>
        <v>https://github.com/SaikatMandal2022/TDS_Project1</v>
      </c>
      <c r="D320" s="3" t="str">
        <f>IFERROR(VLOOKUP(C320,'Peer-Review'!B:J,9,0),"No R1")</f>
        <v>No R1</v>
      </c>
      <c r="E320" s="3" t="str">
        <f>IFERROR(VLOOKUP(C320,'Peer-Review'!F:J,5,0),"No R2")</f>
        <v>23f2000668@ds.study.iitm.ac.in</v>
      </c>
      <c r="F320" s="3">
        <f>COUNTIF('Peer-Review'!B:B,C320)+COUNTIF('Peer-Review'!F:F,C320)</f>
        <v>2</v>
      </c>
      <c r="G320" s="3">
        <f t="shared" si="1"/>
        <v>1</v>
      </c>
      <c r="H320" s="3" t="str">
        <f>IFERROR(__xludf.DUMMYFUNCTION("IFERROR(TRANSPOSE(FILTER('Peer-Review'!$J$2:$J$568,(TRIM('Peer-Review'!$B$2:$B$568)=C320 )+ (TRIM('Peer-Review'!$F$2:$F$568)=C320))),""No Reviews"")"),"23f2000668@ds.study.iitm.ac.in")</f>
        <v>23f2000668@ds.study.iitm.ac.in</v>
      </c>
      <c r="I320" s="3" t="str">
        <f>IFERROR(__xludf.DUMMYFUNCTION("""COMPUTED_VALUE"""),"22f3001180@ds.study.iitm.ac.in")</f>
        <v>22f3001180@ds.study.iitm.ac.in</v>
      </c>
      <c r="J320" s="3">
        <f>IF(D320="No R1",0,VLOOKUP(C320,'Peer-Review'!B:D,2,0))</f>
        <v>0</v>
      </c>
      <c r="K320" s="3">
        <f>IF(D320="No R1",0,VLOOKUP(C320,'Peer-Review'!B:D,3,0))</f>
        <v>0</v>
      </c>
      <c r="L320" s="3">
        <f>IF(E320="No R2",0,VLOOKUP(C320,'Peer-Review'!F:H,2,0))</f>
        <v>9</v>
      </c>
      <c r="M320" s="3">
        <f>IF(E320="No R2",0,VLOOKUP(C320,'Peer-Review'!F:H,3,0))</f>
        <v>9</v>
      </c>
    </row>
    <row r="321" hidden="1">
      <c r="A321" s="3" t="str">
        <f>IFERROR(__xludf.DUMMYFUNCTION("""COMPUTED_VALUE"""),"22f3001321@ds.study.iitm.ac.in")</f>
        <v>22f3001321@ds.study.iitm.ac.in</v>
      </c>
      <c r="B321" s="3">
        <f>IFERROR(__xludf.DUMMYFUNCTION("""COMPUTED_VALUE"""),14.0)</f>
        <v>14</v>
      </c>
      <c r="C321" s="5" t="str">
        <f>IFERROR(__xludf.DUMMYFUNCTION("""COMPUTED_VALUE"""),"https://github.com/BISWASAHANA/GitScrapy")</f>
        <v>https://github.com/BISWASAHANA/GitScrapy</v>
      </c>
      <c r="D321" s="3" t="str">
        <f>IFERROR(VLOOKUP(C321,'Peer-Review'!B:J,9,0),"No R1")</f>
        <v>23f1000694@ds.study.iitm.ac.in</v>
      </c>
      <c r="E321" s="3" t="str">
        <f>IFERROR(VLOOKUP(C321,'Peer-Review'!F:J,5,0),"No R2")</f>
        <v>No R2</v>
      </c>
      <c r="F321" s="3">
        <f>COUNTIF('Peer-Review'!B:B,C321)+COUNTIF('Peer-Review'!F:F,C321)</f>
        <v>1</v>
      </c>
      <c r="G321" s="3">
        <f t="shared" si="1"/>
        <v>1</v>
      </c>
      <c r="H321" s="3" t="str">
        <f>IFERROR(__xludf.DUMMYFUNCTION("IFERROR(TRANSPOSE(FILTER('Peer-Review'!$J$2:$J$568,(TRIM('Peer-Review'!$B$2:$B$568)=C321 )+ (TRIM('Peer-Review'!$F$2:$F$568)=C321))),""No Reviews"")"),"23f1000694@ds.study.iitm.ac.in")</f>
        <v>23f1000694@ds.study.iitm.ac.in</v>
      </c>
      <c r="J321" s="3">
        <f>IF(D321="No R1",0,VLOOKUP(C321,'Peer-Review'!B:D,2,0))</f>
        <v>9</v>
      </c>
      <c r="K321" s="3">
        <f>IF(D321="No R1",0,VLOOKUP(C321,'Peer-Review'!B:D,3,0))</f>
        <v>9</v>
      </c>
      <c r="L321" s="3">
        <f>IF(E321="No R2",0,VLOOKUP(C321,'Peer-Review'!F:H,2,0))</f>
        <v>0</v>
      </c>
      <c r="M321" s="3">
        <f>IF(E321="No R2",0,VLOOKUP(C321,'Peer-Review'!F:H,3,0))</f>
        <v>0</v>
      </c>
    </row>
    <row r="322" hidden="1">
      <c r="A322" s="3" t="str">
        <f>IFERROR(__xludf.DUMMYFUNCTION("""COMPUTED_VALUE"""),"22f3001338@ds.study.iitm.ac.in")</f>
        <v>22f3001338@ds.study.iitm.ac.in</v>
      </c>
      <c r="B322" s="3">
        <f>IFERROR(__xludf.DUMMYFUNCTION("""COMPUTED_VALUE"""),17.0)</f>
        <v>17</v>
      </c>
      <c r="C322" s="5" t="str">
        <f>IFERROR(__xludf.DUMMYFUNCTION("""COMPUTED_VALUE"""),"https://github.com/kashishbansal920/Project-TDS")</f>
        <v>https://github.com/kashishbansal920/Project-TDS</v>
      </c>
      <c r="D322" s="3" t="str">
        <f>IFERROR(VLOOKUP(C322,'Peer-Review'!B:J,9,0),"No R1")</f>
        <v>No R1</v>
      </c>
      <c r="E322" s="3" t="str">
        <f>IFERROR(VLOOKUP(C322,'Peer-Review'!F:J,5,0),"No R2")</f>
        <v>22f3001318@ds.study.iitm.ac.in</v>
      </c>
      <c r="F322" s="3">
        <f>COUNTIF('Peer-Review'!B:B,C322)+COUNTIF('Peer-Review'!F:F,C322)</f>
        <v>2</v>
      </c>
      <c r="G322" s="3">
        <f t="shared" si="1"/>
        <v>1</v>
      </c>
      <c r="H322" s="3" t="str">
        <f>IFERROR(__xludf.DUMMYFUNCTION("IFERROR(TRANSPOSE(FILTER('Peer-Review'!$J$2:$J$568,(TRIM('Peer-Review'!$B$2:$B$568)=C322 )+ (TRIM('Peer-Review'!$F$2:$F$568)=C322))),""No Reviews"")"),"22f3001318@ds.study.iitm.ac.in")</f>
        <v>22f3001318@ds.study.iitm.ac.in</v>
      </c>
      <c r="I322" s="3" t="str">
        <f>IFERROR(__xludf.DUMMYFUNCTION("""COMPUTED_VALUE"""),"23f2001127@ds.study.iitm.ac.in")</f>
        <v>23f2001127@ds.study.iitm.ac.in</v>
      </c>
      <c r="J322" s="3">
        <f>IF(D322="No R1",0,VLOOKUP(C322,'Peer-Review'!B:D,2,0))</f>
        <v>0</v>
      </c>
      <c r="K322" s="3">
        <f>IF(D322="No R1",0,VLOOKUP(C322,'Peer-Review'!B:D,3,0))</f>
        <v>0</v>
      </c>
      <c r="L322" s="3">
        <f>IF(E322="No R2",0,VLOOKUP(C322,'Peer-Review'!F:H,2,0))</f>
        <v>9</v>
      </c>
      <c r="M322" s="3">
        <f>IF(E322="No R2",0,VLOOKUP(C322,'Peer-Review'!F:H,3,0))</f>
        <v>10</v>
      </c>
    </row>
    <row r="323" hidden="1">
      <c r="A323" s="3" t="str">
        <f>IFERROR(__xludf.DUMMYFUNCTION("""COMPUTED_VALUE"""),"22f3001350@ds.study.iitm.ac.in")</f>
        <v>22f3001350@ds.study.iitm.ac.in</v>
      </c>
      <c r="B323" s="3">
        <f>IFERROR(__xludf.DUMMYFUNCTION("""COMPUTED_VALUE"""),13.0)</f>
        <v>13</v>
      </c>
      <c r="C323" s="5" t="str">
        <f>IFERROR(__xludf.DUMMYFUNCTION("""COMPUTED_VALUE"""),"https://github.com/ak5h1ta/tds-project1")</f>
        <v>https://github.com/ak5h1ta/tds-project1</v>
      </c>
      <c r="D323" s="3" t="str">
        <f>IFERROR(VLOOKUP(C323,'Peer-Review'!B:J,9,0),"No R1")</f>
        <v>22f3001377@ds.study.iitm.ac.in</v>
      </c>
      <c r="E323" s="3" t="str">
        <f>IFERROR(VLOOKUP(C323,'Peer-Review'!F:J,5,0),"No R2")</f>
        <v>No R2</v>
      </c>
      <c r="F323" s="3">
        <f>COUNTIF('Peer-Review'!B:B,C323)+COUNTIF('Peer-Review'!F:F,C323)</f>
        <v>2</v>
      </c>
      <c r="G323" s="3">
        <f t="shared" si="1"/>
        <v>1</v>
      </c>
      <c r="H323" s="3" t="str">
        <f>IFERROR(__xludf.DUMMYFUNCTION("IFERROR(TRANSPOSE(FILTER('Peer-Review'!$J$2:$J$568,(TRIM('Peer-Review'!$B$2:$B$568)=C323 )+ (TRIM('Peer-Review'!$F$2:$F$568)=C323))),""No Reviews"")"),"22f3001377@ds.study.iitm.ac.in")</f>
        <v>22f3001377@ds.study.iitm.ac.in</v>
      </c>
      <c r="I323" s="3" t="str">
        <f>IFERROR(__xludf.DUMMYFUNCTION("""COMPUTED_VALUE"""),"22f2001166@ds.study.iitm.ac.in")</f>
        <v>22f2001166@ds.study.iitm.ac.in</v>
      </c>
      <c r="J323" s="3">
        <f>IF(D323="No R1",0,VLOOKUP(C323,'Peer-Review'!B:D,2,0))</f>
        <v>9</v>
      </c>
      <c r="K323" s="3">
        <f>IF(D323="No R1",0,VLOOKUP(C323,'Peer-Review'!B:D,3,0))</f>
        <v>10</v>
      </c>
      <c r="L323" s="3">
        <f>IF(E323="No R2",0,VLOOKUP(C323,'Peer-Review'!F:H,2,0))</f>
        <v>0</v>
      </c>
      <c r="M323" s="3">
        <f>IF(E323="No R2",0,VLOOKUP(C323,'Peer-Review'!F:H,3,0))</f>
        <v>0</v>
      </c>
    </row>
    <row r="324" hidden="1">
      <c r="A324" s="3" t="str">
        <f>IFERROR(__xludf.DUMMYFUNCTION("""COMPUTED_VALUE"""),"22f3001377@ds.study.iitm.ac.in")</f>
        <v>22f3001377@ds.study.iitm.ac.in</v>
      </c>
      <c r="B324" s="3">
        <f>IFERROR(__xludf.DUMMYFUNCTION("""COMPUTED_VALUE"""),13.0)</f>
        <v>13</v>
      </c>
      <c r="C324" s="5" t="str">
        <f>IFERROR(__xludf.DUMMYFUNCTION("""COMPUTED_VALUE"""),"https://github.com/22f3001377/Pro1")</f>
        <v>https://github.com/22f3001377/Pro1</v>
      </c>
      <c r="D324" s="3" t="str">
        <f>IFERROR(VLOOKUP(C324,'Peer-Review'!B:J,9,0),"No R1")</f>
        <v>22f3001506@ds.study.iitm.ac.in</v>
      </c>
      <c r="E324" s="3" t="str">
        <f>IFERROR(VLOOKUP(C324,'Peer-Review'!F:J,5,0),"No R2")</f>
        <v>No R2</v>
      </c>
      <c r="F324" s="3">
        <f>COUNTIF('Peer-Review'!B:B,C324)+COUNTIF('Peer-Review'!F:F,C324)</f>
        <v>2</v>
      </c>
      <c r="G324" s="3">
        <f t="shared" si="1"/>
        <v>1</v>
      </c>
      <c r="H324" s="3" t="str">
        <f>IFERROR(__xludf.DUMMYFUNCTION("IFERROR(TRANSPOSE(FILTER('Peer-Review'!$J$2:$J$568,(TRIM('Peer-Review'!$B$2:$B$568)=C324 )+ (TRIM('Peer-Review'!$F$2:$F$568)=C324))),""No Reviews"")"),"22f3001506@ds.study.iitm.ac.in")</f>
        <v>22f3001506@ds.study.iitm.ac.in</v>
      </c>
      <c r="I324" s="3" t="str">
        <f>IFERROR(__xludf.DUMMYFUNCTION("""COMPUTED_VALUE"""),"22f2001193@ds.study.iitm.ac.in")</f>
        <v>22f2001193@ds.study.iitm.ac.in</v>
      </c>
      <c r="J324" s="3">
        <f>IF(D324="No R1",0,VLOOKUP(C324,'Peer-Review'!B:D,2,0))</f>
        <v>10</v>
      </c>
      <c r="K324" s="3">
        <f>IF(D324="No R1",0,VLOOKUP(C324,'Peer-Review'!B:D,3,0))</f>
        <v>8</v>
      </c>
      <c r="L324" s="3">
        <f>IF(E324="No R2",0,VLOOKUP(C324,'Peer-Review'!F:H,2,0))</f>
        <v>0</v>
      </c>
      <c r="M324" s="3">
        <f>IF(E324="No R2",0,VLOOKUP(C324,'Peer-Review'!F:H,3,0))</f>
        <v>0</v>
      </c>
    </row>
    <row r="325" hidden="1">
      <c r="A325" s="3" t="str">
        <f>IFERROR(__xludf.DUMMYFUNCTION("""COMPUTED_VALUE"""),"22f3001404@ds.study.iitm.ac.in")</f>
        <v>22f3001404@ds.study.iitm.ac.in</v>
      </c>
      <c r="B325" s="3">
        <f>IFERROR(__xludf.DUMMYFUNCTION("""COMPUTED_VALUE"""),17.0)</f>
        <v>17</v>
      </c>
      <c r="C325" s="5" t="str">
        <f>IFERROR(__xludf.DUMMYFUNCTION("""COMPUTED_VALUE"""),"https://github.com/AkshatGupta327/TDS_proj_1")</f>
        <v>https://github.com/AkshatGupta327/TDS_proj_1</v>
      </c>
      <c r="D325" s="3" t="str">
        <f>IFERROR(VLOOKUP(C325,'Peer-Review'!B:J,9,0),"No R1")</f>
        <v>No R1</v>
      </c>
      <c r="E325" s="3" t="str">
        <f>IFERROR(VLOOKUP(C325,'Peer-Review'!F:J,5,0),"No R2")</f>
        <v>22f3001338@ds.study.iitm.ac.in</v>
      </c>
      <c r="F325" s="3">
        <f>COUNTIF('Peer-Review'!B:B,C325)+COUNTIF('Peer-Review'!F:F,C325)</f>
        <v>1</v>
      </c>
      <c r="G325" s="3">
        <f t="shared" si="1"/>
        <v>1</v>
      </c>
      <c r="H325" s="3" t="str">
        <f>IFERROR(__xludf.DUMMYFUNCTION("IFERROR(TRANSPOSE(FILTER('Peer-Review'!$J$2:$J$568,(TRIM('Peer-Review'!$B$2:$B$568)=C325 )+ (TRIM('Peer-Review'!$F$2:$F$568)=C325))),""No Reviews"")"),"22f3001338@ds.study.iitm.ac.in")</f>
        <v>22f3001338@ds.study.iitm.ac.in</v>
      </c>
      <c r="J325" s="3">
        <f>IF(D325="No R1",0,VLOOKUP(C325,'Peer-Review'!B:D,2,0))</f>
        <v>0</v>
      </c>
      <c r="K325" s="3">
        <f>IF(D325="No R1",0,VLOOKUP(C325,'Peer-Review'!B:D,3,0))</f>
        <v>0</v>
      </c>
      <c r="L325" s="3">
        <f>IF(E325="No R2",0,VLOOKUP(C325,'Peer-Review'!F:H,2,0))</f>
        <v>10</v>
      </c>
      <c r="M325" s="3">
        <f>IF(E325="No R2",0,VLOOKUP(C325,'Peer-Review'!F:H,3,0))</f>
        <v>10</v>
      </c>
    </row>
    <row r="326" hidden="1">
      <c r="A326" s="3" t="str">
        <f>IFERROR(__xludf.DUMMYFUNCTION("""COMPUTED_VALUE"""),"22f3001412@ds.study.iitm.ac.in")</f>
        <v>22f3001412@ds.study.iitm.ac.in</v>
      </c>
      <c r="B326" s="3">
        <f>IFERROR(__xludf.DUMMYFUNCTION("""COMPUTED_VALUE"""),17.0)</f>
        <v>17</v>
      </c>
      <c r="C326" s="5" t="str">
        <f>IFERROR(__xludf.DUMMYFUNCTION("""COMPUTED_VALUE"""),"https://github.com/TheMHarsh/TDS_P1")</f>
        <v>https://github.com/TheMHarsh/TDS_P1</v>
      </c>
      <c r="D326" s="3" t="str">
        <f>IFERROR(VLOOKUP(C326,'Peer-Review'!B:J,9,0),"No R1")</f>
        <v>No R1</v>
      </c>
      <c r="E326" s="3" t="str">
        <f>IFERROR(VLOOKUP(C326,'Peer-Review'!F:J,5,0),"No R2")</f>
        <v>22f3001404@ds.study.iitm.ac.in</v>
      </c>
      <c r="F326" s="3">
        <f>COUNTIF('Peer-Review'!B:B,C326)+COUNTIF('Peer-Review'!F:F,C326)</f>
        <v>2</v>
      </c>
      <c r="G326" s="3">
        <f t="shared" si="1"/>
        <v>1</v>
      </c>
      <c r="H326" s="3" t="str">
        <f>IFERROR(__xludf.DUMMYFUNCTION("IFERROR(TRANSPOSE(FILTER('Peer-Review'!$J$2:$J$568,(TRIM('Peer-Review'!$B$2:$B$568)=C326 )+ (TRIM('Peer-Review'!$F$2:$F$568)=C326))),""No Reviews"")"),"22f3001404@ds.study.iitm.ac.in")</f>
        <v>22f3001404@ds.study.iitm.ac.in</v>
      </c>
      <c r="I326" s="3" t="str">
        <f>IFERROR(__xludf.DUMMYFUNCTION("""COMPUTED_VALUE"""),"23f2001566@ds.study.iitm.ac.in")</f>
        <v>23f2001566@ds.study.iitm.ac.in</v>
      </c>
      <c r="J326" s="3">
        <f>IF(D326="No R1",0,VLOOKUP(C326,'Peer-Review'!B:D,2,0))</f>
        <v>0</v>
      </c>
      <c r="K326" s="3">
        <f>IF(D326="No R1",0,VLOOKUP(C326,'Peer-Review'!B:D,3,0))</f>
        <v>0</v>
      </c>
      <c r="L326" s="3">
        <f>IF(E326="No R2",0,VLOOKUP(C326,'Peer-Review'!F:H,2,0))</f>
        <v>10</v>
      </c>
      <c r="M326" s="3">
        <f>IF(E326="No R2",0,VLOOKUP(C326,'Peer-Review'!F:H,3,0))</f>
        <v>7</v>
      </c>
    </row>
    <row r="327" hidden="1">
      <c r="A327" s="3" t="str">
        <f>IFERROR(__xludf.DUMMYFUNCTION("""COMPUTED_VALUE"""),"22f3001415@ds.study.iitm.ac.in")</f>
        <v>22f3001415@ds.study.iitm.ac.in</v>
      </c>
      <c r="B327" s="3">
        <f>IFERROR(__xludf.DUMMYFUNCTION("""COMPUTED_VALUE"""),17.0)</f>
        <v>17</v>
      </c>
      <c r="C327" s="5" t="str">
        <f>IFERROR(__xludf.DUMMYFUNCTION("""COMPUTED_VALUE"""),"https://github.com/SoumaySinghChauhan/Hyderabad_Github_users")</f>
        <v>https://github.com/SoumaySinghChauhan/Hyderabad_Github_users</v>
      </c>
      <c r="D327" s="3" t="str">
        <f>IFERROR(VLOOKUP(C327,'Peer-Review'!B:J,9,0),"No R1")</f>
        <v>No R1</v>
      </c>
      <c r="E327" s="3" t="str">
        <f>IFERROR(VLOOKUP(C327,'Peer-Review'!F:J,5,0),"No R2")</f>
        <v>22f3001412@ds.study.iitm.ac.in</v>
      </c>
      <c r="F327" s="3">
        <f>COUNTIF('Peer-Review'!B:B,C327)+COUNTIF('Peer-Review'!F:F,C327)</f>
        <v>1</v>
      </c>
      <c r="G327" s="3">
        <f t="shared" si="1"/>
        <v>1</v>
      </c>
      <c r="H327" s="3" t="str">
        <f>IFERROR(__xludf.DUMMYFUNCTION("IFERROR(TRANSPOSE(FILTER('Peer-Review'!$J$2:$J$568,(TRIM('Peer-Review'!$B$2:$B$568)=C327 )+ (TRIM('Peer-Review'!$F$2:$F$568)=C327))),""No Reviews"")"),"22f3001412@ds.study.iitm.ac.in")</f>
        <v>22f3001412@ds.study.iitm.ac.in</v>
      </c>
      <c r="J327" s="3">
        <f>IF(D327="No R1",0,VLOOKUP(C327,'Peer-Review'!B:D,2,0))</f>
        <v>0</v>
      </c>
      <c r="K327" s="3">
        <f>IF(D327="No R1",0,VLOOKUP(C327,'Peer-Review'!B:D,3,0))</f>
        <v>0</v>
      </c>
      <c r="L327" s="3">
        <f>IF(E327="No R2",0,VLOOKUP(C327,'Peer-Review'!F:H,2,0))</f>
        <v>10</v>
      </c>
      <c r="M327" s="3">
        <f>IF(E327="No R2",0,VLOOKUP(C327,'Peer-Review'!F:H,3,0))</f>
        <v>10</v>
      </c>
    </row>
    <row r="328" hidden="1">
      <c r="A328" s="3" t="str">
        <f>IFERROR(__xludf.DUMMYFUNCTION("""COMPUTED_VALUE"""),"22f3001421@ds.study.iitm.ac.in")</f>
        <v>22f3001421@ds.study.iitm.ac.in</v>
      </c>
      <c r="B328" s="3">
        <f>IFERROR(__xludf.DUMMYFUNCTION("""COMPUTED_VALUE"""),17.0)</f>
        <v>17</v>
      </c>
      <c r="C328" s="5" t="str">
        <f>IFERROR(__xludf.DUMMYFUNCTION("""COMPUTED_VALUE"""),"https://github.com/Shiva9361/Project1")</f>
        <v>https://github.com/Shiva9361/Project1</v>
      </c>
      <c r="D328" s="3" t="str">
        <f>IFERROR(VLOOKUP(C328,'Peer-Review'!B:J,9,0),"No R1")</f>
        <v>No R1</v>
      </c>
      <c r="E328" s="3" t="str">
        <f>IFERROR(VLOOKUP(C328,'Peer-Review'!F:J,5,0),"No R2")</f>
        <v>No R2</v>
      </c>
      <c r="F328" s="3">
        <f>COUNTIF('Peer-Review'!B:B,C328)+COUNTIF('Peer-Review'!F:F,C328)</f>
        <v>0</v>
      </c>
      <c r="G328" s="3">
        <f t="shared" si="1"/>
        <v>0</v>
      </c>
      <c r="H328" s="3" t="str">
        <f>IFERROR(__xludf.DUMMYFUNCTION("IFERROR(TRANSPOSE(FILTER('Peer-Review'!$J$2:$J$568,(TRIM('Peer-Review'!$B$2:$B$568)=C328 )+ (TRIM('Peer-Review'!$F$2:$F$568)=C328))),""No Reviews"")"),"No Reviews")</f>
        <v>No Reviews</v>
      </c>
      <c r="J328" s="3">
        <f>IF(D328="No R1",0,VLOOKUP(C328,'Peer-Review'!B:D,2,0))</f>
        <v>0</v>
      </c>
      <c r="K328" s="3">
        <f>IF(D328="No R1",0,VLOOKUP(C328,'Peer-Review'!B:D,3,0))</f>
        <v>0</v>
      </c>
      <c r="L328" s="3">
        <f>IF(E328="No R2",0,VLOOKUP(C328,'Peer-Review'!F:H,2,0))</f>
        <v>0</v>
      </c>
      <c r="M328" s="3">
        <f>IF(E328="No R2",0,VLOOKUP(C328,'Peer-Review'!F:H,3,0))</f>
        <v>0</v>
      </c>
    </row>
    <row r="329" hidden="1">
      <c r="A329" s="3" t="str">
        <f>IFERROR(__xludf.DUMMYFUNCTION("""COMPUTED_VALUE"""),"22f3001475@ds.study.iitm.ac.in")</f>
        <v>22f3001475@ds.study.iitm.ac.in</v>
      </c>
      <c r="B329" s="3">
        <f>IFERROR(__xludf.DUMMYFUNCTION("""COMPUTED_VALUE"""),0.0)</f>
        <v>0</v>
      </c>
      <c r="C329" s="5" t="str">
        <f>IFERROR(__xludf.DUMMYFUNCTION("""COMPUTED_VALUE"""),"https://github.com/neil537/TDS---Project-1/tree/main")</f>
        <v>https://github.com/neil537/TDS---Project-1/tree/main</v>
      </c>
      <c r="D329" s="3" t="str">
        <f>IFERROR(VLOOKUP(C329,'Peer-Review'!B:J,9,0),"No R1")</f>
        <v>No R1</v>
      </c>
      <c r="E329" s="3" t="str">
        <f>IFERROR(VLOOKUP(C329,'Peer-Review'!F:J,5,0),"No R2")</f>
        <v>No R2</v>
      </c>
      <c r="F329" s="3">
        <f>COUNTIF('Peer-Review'!B:B,C329)+COUNTIF('Peer-Review'!F:F,C329)</f>
        <v>0</v>
      </c>
      <c r="G329" s="3">
        <f t="shared" si="1"/>
        <v>0</v>
      </c>
      <c r="H329" s="3" t="str">
        <f>IFERROR(__xludf.DUMMYFUNCTION("IFERROR(TRANSPOSE(FILTER('Peer-Review'!$J$2:$J$568,(TRIM('Peer-Review'!$B$2:$B$568)=C329 )+ (TRIM('Peer-Review'!$F$2:$F$568)=C329))),""No Reviews"")"),"No Reviews")</f>
        <v>No Reviews</v>
      </c>
      <c r="J329" s="3">
        <f>IF(D329="No R1",0,VLOOKUP(C329,'Peer-Review'!B:D,2,0))</f>
        <v>0</v>
      </c>
      <c r="K329" s="3">
        <f>IF(D329="No R1",0,VLOOKUP(C329,'Peer-Review'!B:D,3,0))</f>
        <v>0</v>
      </c>
      <c r="L329" s="3">
        <f>IF(E329="No R2",0,VLOOKUP(C329,'Peer-Review'!F:H,2,0))</f>
        <v>0</v>
      </c>
      <c r="M329" s="3">
        <f>IF(E329="No R2",0,VLOOKUP(C329,'Peer-Review'!F:H,3,0))</f>
        <v>0</v>
      </c>
    </row>
    <row r="330" hidden="1">
      <c r="A330" s="3" t="str">
        <f>IFERROR(__xludf.DUMMYFUNCTION("""COMPUTED_VALUE"""),"22f3001485@ds.study.iitm.ac.in")</f>
        <v>22f3001485@ds.study.iitm.ac.in</v>
      </c>
      <c r="B330" s="3">
        <f>IFERROR(__xludf.DUMMYFUNCTION("""COMPUTED_VALUE"""),1.0)</f>
        <v>1</v>
      </c>
      <c r="C330" s="5" t="str">
        <f>IFERROR(__xludf.DUMMYFUNCTION("""COMPUTED_VALUE"""),"https://github.com/devansh-dotcom/tdsproject1-")</f>
        <v>https://github.com/devansh-dotcom/tdsproject1-</v>
      </c>
      <c r="D330" s="3" t="str">
        <f>IFERROR(VLOOKUP(C330,'Peer-Review'!B:J,9,0),"No R1")</f>
        <v>22f1001981@ds.study.iitm.ac.in</v>
      </c>
      <c r="E330" s="3" t="str">
        <f>IFERROR(VLOOKUP(C330,'Peer-Review'!F:J,5,0),"No R2")</f>
        <v>21f3003136@ds.study.iitm.ac.in</v>
      </c>
      <c r="F330" s="3">
        <f>COUNTIF('Peer-Review'!B:B,C330)+COUNTIF('Peer-Review'!F:F,C330)</f>
        <v>2</v>
      </c>
      <c r="G330" s="3">
        <f t="shared" si="1"/>
        <v>2</v>
      </c>
      <c r="H330" s="3" t="str">
        <f>IFERROR(__xludf.DUMMYFUNCTION("IFERROR(TRANSPOSE(FILTER('Peer-Review'!$J$2:$J$568,(TRIM('Peer-Review'!$B$2:$B$568)=C330 )+ (TRIM('Peer-Review'!$F$2:$F$568)=C330))),""No Reviews"")"),"21f3003136@ds.study.iitm.ac.in")</f>
        <v>21f3003136@ds.study.iitm.ac.in</v>
      </c>
      <c r="I330" s="3" t="str">
        <f>IFERROR(__xludf.DUMMYFUNCTION("""COMPUTED_VALUE"""),"22f1001981@ds.study.iitm.ac.in")</f>
        <v>22f1001981@ds.study.iitm.ac.in</v>
      </c>
      <c r="J330" s="3">
        <f>IF(D330="No R1",0,VLOOKUP(C330,'Peer-Review'!B:D,2,0))</f>
        <v>10</v>
      </c>
      <c r="K330" s="3">
        <f>IF(D330="No R1",0,VLOOKUP(C330,'Peer-Review'!B:D,3,0))</f>
        <v>10</v>
      </c>
      <c r="L330" s="3">
        <f>IF(E330="No R2",0,VLOOKUP(C330,'Peer-Review'!F:H,2,0))</f>
        <v>8</v>
      </c>
      <c r="M330" s="3">
        <f>IF(E330="No R2",0,VLOOKUP(C330,'Peer-Review'!F:H,3,0))</f>
        <v>8</v>
      </c>
    </row>
    <row r="331" hidden="1">
      <c r="A331" s="3" t="str">
        <f>IFERROR(__xludf.DUMMYFUNCTION("""COMPUTED_VALUE"""),"22f3001489@ds.study.iitm.ac.in")</f>
        <v>22f3001489@ds.study.iitm.ac.in</v>
      </c>
      <c r="B331" s="3">
        <f>IFERROR(__xludf.DUMMYFUNCTION("""COMPUTED_VALUE"""),12.0)</f>
        <v>12</v>
      </c>
      <c r="C331" s="5" t="str">
        <f>IFERROR(__xludf.DUMMYFUNCTION("""COMPUTED_VALUE"""),"https://github.com/Ankurnathsingh/TDS_P1_MELBOURNE100")</f>
        <v>https://github.com/Ankurnathsingh/TDS_P1_MELBOURNE100</v>
      </c>
      <c r="D331" s="3" t="str">
        <f>IFERROR(VLOOKUP(C331,'Peer-Review'!B:J,9,0),"No R1")</f>
        <v>22f3002525@ds.study.iitm.ac.in</v>
      </c>
      <c r="E331" s="3" t="str">
        <f>IFERROR(VLOOKUP(C331,'Peer-Review'!F:J,5,0),"No R2")</f>
        <v>21f2000522@ds.study.iitm.ac.in</v>
      </c>
      <c r="F331" s="3">
        <f>COUNTIF('Peer-Review'!B:B,C331)+COUNTIF('Peer-Review'!F:F,C331)</f>
        <v>2</v>
      </c>
      <c r="G331" s="3">
        <f t="shared" si="1"/>
        <v>2</v>
      </c>
      <c r="H331" s="3" t="str">
        <f>IFERROR(__xludf.DUMMYFUNCTION("IFERROR(TRANSPOSE(FILTER('Peer-Review'!$J$2:$J$568,(TRIM('Peer-Review'!$B$2:$B$568)=C331 )+ (TRIM('Peer-Review'!$F$2:$F$568)=C331))),""No Reviews"")"),"21f2000522@ds.study.iitm.ac.in")</f>
        <v>21f2000522@ds.study.iitm.ac.in</v>
      </c>
      <c r="I331" s="3" t="str">
        <f>IFERROR(__xludf.DUMMYFUNCTION("""COMPUTED_VALUE"""),"22f3002525@ds.study.iitm.ac.in")</f>
        <v>22f3002525@ds.study.iitm.ac.in</v>
      </c>
      <c r="J331" s="3">
        <f>IF(D331="No R1",0,VLOOKUP(C331,'Peer-Review'!B:D,2,0))</f>
        <v>7</v>
      </c>
      <c r="K331" s="3">
        <f>IF(D331="No R1",0,VLOOKUP(C331,'Peer-Review'!B:D,3,0))</f>
        <v>9</v>
      </c>
      <c r="L331" s="3">
        <f>IF(E331="No R2",0,VLOOKUP(C331,'Peer-Review'!F:H,2,0))</f>
        <v>9</v>
      </c>
      <c r="M331" s="3">
        <f>IF(E331="No R2",0,VLOOKUP(C331,'Peer-Review'!F:H,3,0))</f>
        <v>8</v>
      </c>
    </row>
    <row r="332" hidden="1">
      <c r="A332" s="3" t="str">
        <f>IFERROR(__xludf.DUMMYFUNCTION("""COMPUTED_VALUE"""),"22f3001493@ds.study.iitm.ac.in")</f>
        <v>22f3001493@ds.study.iitm.ac.in</v>
      </c>
      <c r="B332" s="3">
        <f>IFERROR(__xludf.DUMMYFUNCTION("""COMPUTED_VALUE"""),16.0)</f>
        <v>16</v>
      </c>
      <c r="C332" s="5" t="str">
        <f>IFERROR(__xludf.DUMMYFUNCTION("""COMPUTED_VALUE"""),"https://github.com/iambuhari/IITM/")</f>
        <v>https://github.com/iambuhari/IITM/</v>
      </c>
      <c r="D332" s="3" t="str">
        <f>IFERROR(VLOOKUP(C332,'Peer-Review'!B:J,9,0),"No R1")</f>
        <v>No R1</v>
      </c>
      <c r="E332" s="3" t="str">
        <f>IFERROR(VLOOKUP(C332,'Peer-Review'!F:J,5,0),"No R2")</f>
        <v>22f3001210@ds.study.iitm.ac.in</v>
      </c>
      <c r="F332" s="3">
        <f>COUNTIF('Peer-Review'!B:B,C332)+COUNTIF('Peer-Review'!F:F,C332)</f>
        <v>2</v>
      </c>
      <c r="G332" s="3">
        <f t="shared" si="1"/>
        <v>1</v>
      </c>
      <c r="H332" s="3" t="str">
        <f>IFERROR(__xludf.DUMMYFUNCTION("IFERROR(TRANSPOSE(FILTER('Peer-Review'!$J$2:$J$568,(TRIM('Peer-Review'!$B$2:$B$568)=C332 )+ (TRIM('Peer-Review'!$F$2:$F$568)=C332))),""No Reviews"")"),"22f3001210@ds.study.iitm.ac.in")</f>
        <v>22f3001210@ds.study.iitm.ac.in</v>
      </c>
      <c r="I332" s="3" t="str">
        <f>IFERROR(__xludf.DUMMYFUNCTION("""COMPUTED_VALUE"""),"23f1002620@ds.study.iitm.ac.in")</f>
        <v>23f1002620@ds.study.iitm.ac.in</v>
      </c>
      <c r="J332" s="3">
        <f>IF(D332="No R1",0,VLOOKUP(C332,'Peer-Review'!B:D,2,0))</f>
        <v>0</v>
      </c>
      <c r="K332" s="3">
        <f>IF(D332="No R1",0,VLOOKUP(C332,'Peer-Review'!B:D,3,0))</f>
        <v>0</v>
      </c>
      <c r="L332" s="3">
        <f>IF(E332="No R2",0,VLOOKUP(C332,'Peer-Review'!F:H,2,0))</f>
        <v>9</v>
      </c>
      <c r="M332" s="3">
        <f>IF(E332="No R2",0,VLOOKUP(C332,'Peer-Review'!F:H,3,0))</f>
        <v>8</v>
      </c>
    </row>
    <row r="333" hidden="1">
      <c r="A333" s="3" t="str">
        <f>IFERROR(__xludf.DUMMYFUNCTION("""COMPUTED_VALUE"""),"22f3001506@ds.study.iitm.ac.in")</f>
        <v>22f3001506@ds.study.iitm.ac.in</v>
      </c>
      <c r="B333" s="3">
        <f>IFERROR(__xludf.DUMMYFUNCTION("""COMPUTED_VALUE"""),13.0)</f>
        <v>13</v>
      </c>
      <c r="C333" s="5" t="str">
        <f>IFERROR(__xludf.DUMMYFUNCTION("""COMPUTED_VALUE"""),"https://github.com/sufyan-12/TDS-PR1")</f>
        <v>https://github.com/sufyan-12/TDS-PR1</v>
      </c>
      <c r="D333" s="3" t="str">
        <f>IFERROR(VLOOKUP(C333,'Peer-Review'!B:J,9,0),"No R1")</f>
        <v>22f3001512@ds.study.iitm.ac.in</v>
      </c>
      <c r="E333" s="3" t="str">
        <f>IFERROR(VLOOKUP(C333,'Peer-Review'!F:J,5,0),"No R2")</f>
        <v>No R2</v>
      </c>
      <c r="F333" s="3">
        <f>COUNTIF('Peer-Review'!B:B,C333)+COUNTIF('Peer-Review'!F:F,C333)</f>
        <v>2</v>
      </c>
      <c r="G333" s="3">
        <f t="shared" si="1"/>
        <v>1</v>
      </c>
      <c r="H333" s="3" t="str">
        <f>IFERROR(__xludf.DUMMYFUNCTION("IFERROR(TRANSPOSE(FILTER('Peer-Review'!$J$2:$J$568,(TRIM('Peer-Review'!$B$2:$B$568)=C333 )+ (TRIM('Peer-Review'!$F$2:$F$568)=C333))),""No Reviews"")"),"22f3001512@ds.study.iitm.ac.in")</f>
        <v>22f3001512@ds.study.iitm.ac.in</v>
      </c>
      <c r="I333" s="3" t="str">
        <f>IFERROR(__xludf.DUMMYFUNCTION("""COMPUTED_VALUE"""),"22f2001246@ds.study.iitm.ac.in")</f>
        <v>22f2001246@ds.study.iitm.ac.in</v>
      </c>
      <c r="J333" s="3">
        <f>IF(D333="No R1",0,VLOOKUP(C333,'Peer-Review'!B:D,2,0))</f>
        <v>8</v>
      </c>
      <c r="K333" s="3">
        <f>IF(D333="No R1",0,VLOOKUP(C333,'Peer-Review'!B:D,3,0))</f>
        <v>8</v>
      </c>
      <c r="L333" s="3">
        <f>IF(E333="No R2",0,VLOOKUP(C333,'Peer-Review'!F:H,2,0))</f>
        <v>0</v>
      </c>
      <c r="M333" s="3">
        <f>IF(E333="No R2",0,VLOOKUP(C333,'Peer-Review'!F:H,3,0))</f>
        <v>0</v>
      </c>
    </row>
    <row r="334" hidden="1">
      <c r="A334" s="3" t="str">
        <f>IFERROR(__xludf.DUMMYFUNCTION("""COMPUTED_VALUE"""),"22f3001512@ds.study.iitm.ac.in")</f>
        <v>22f3001512@ds.study.iitm.ac.in</v>
      </c>
      <c r="B334" s="3">
        <f>IFERROR(__xludf.DUMMYFUNCTION("""COMPUTED_VALUE"""),13.0)</f>
        <v>13</v>
      </c>
      <c r="C334" s="5" t="str">
        <f>IFERROR(__xludf.DUMMYFUNCTION("""COMPUTED_VALUE"""),"https://github.com/SharmilSrivathsa/TDS-Project-1")</f>
        <v>https://github.com/SharmilSrivathsa/TDS-Project-1</v>
      </c>
      <c r="D334" s="3" t="str">
        <f>IFERROR(VLOOKUP(C334,'Peer-Review'!B:J,9,0),"No R1")</f>
        <v>22f2001248@ds.study.iitm.ac.in</v>
      </c>
      <c r="E334" s="3" t="str">
        <f>IFERROR(VLOOKUP(C334,'Peer-Review'!F:J,5,0),"No R2")</f>
        <v>No R2</v>
      </c>
      <c r="F334" s="3">
        <f>COUNTIF('Peer-Review'!B:B,C334)+COUNTIF('Peer-Review'!F:F,C334)</f>
        <v>1</v>
      </c>
      <c r="G334" s="3">
        <f t="shared" si="1"/>
        <v>1</v>
      </c>
      <c r="H334" s="3" t="str">
        <f>IFERROR(__xludf.DUMMYFUNCTION("IFERROR(TRANSPOSE(FILTER('Peer-Review'!$J$2:$J$568,(TRIM('Peer-Review'!$B$2:$B$568)=C334 )+ (TRIM('Peer-Review'!$F$2:$F$568)=C334))),""No Reviews"")"),"22f2001248@ds.study.iitm.ac.in")</f>
        <v>22f2001248@ds.study.iitm.ac.in</v>
      </c>
      <c r="J334" s="3">
        <f>IF(D334="No R1",0,VLOOKUP(C334,'Peer-Review'!B:D,2,0))</f>
        <v>10</v>
      </c>
      <c r="K334" s="3">
        <f>IF(D334="No R1",0,VLOOKUP(C334,'Peer-Review'!B:D,3,0))</f>
        <v>10</v>
      </c>
      <c r="L334" s="3">
        <f>IF(E334="No R2",0,VLOOKUP(C334,'Peer-Review'!F:H,2,0))</f>
        <v>0</v>
      </c>
      <c r="M334" s="3">
        <f>IF(E334="No R2",0,VLOOKUP(C334,'Peer-Review'!F:H,3,0))</f>
        <v>0</v>
      </c>
    </row>
    <row r="335" hidden="1">
      <c r="A335" s="3" t="str">
        <f>IFERROR(__xludf.DUMMYFUNCTION("""COMPUTED_VALUE"""),"22f3001519@ds.study.iitm.ac.in")</f>
        <v>22f3001519@ds.study.iitm.ac.in</v>
      </c>
      <c r="B335" s="3">
        <f>IFERROR(__xludf.DUMMYFUNCTION("""COMPUTED_VALUE"""),16.0)</f>
        <v>16</v>
      </c>
      <c r="C335" s="5" t="str">
        <f>IFERROR(__xludf.DUMMYFUNCTION("""COMPUTED_VALUE"""),"https://github.com/pranavtiwari-this/tdm-project1")</f>
        <v>https://github.com/pranavtiwari-this/tdm-project1</v>
      </c>
      <c r="D335" s="3" t="str">
        <f>IFERROR(VLOOKUP(C335,'Peer-Review'!B:J,9,0),"No R1")</f>
        <v>No R1</v>
      </c>
      <c r="E335" s="3" t="str">
        <f>IFERROR(VLOOKUP(C335,'Peer-Review'!F:J,5,0),"No R2")</f>
        <v>22f3001493@ds.study.iitm.ac.in</v>
      </c>
      <c r="F335" s="3">
        <f>COUNTIF('Peer-Review'!B:B,C335)+COUNTIF('Peer-Review'!F:F,C335)</f>
        <v>1</v>
      </c>
      <c r="G335" s="3">
        <f t="shared" si="1"/>
        <v>1</v>
      </c>
      <c r="H335" s="3" t="str">
        <f>IFERROR(__xludf.DUMMYFUNCTION("IFERROR(TRANSPOSE(FILTER('Peer-Review'!$J$2:$J$568,(TRIM('Peer-Review'!$B$2:$B$568)=C335 )+ (TRIM('Peer-Review'!$F$2:$F$568)=C335))),""No Reviews"")"),"22f3001493@ds.study.iitm.ac.in")</f>
        <v>22f3001493@ds.study.iitm.ac.in</v>
      </c>
      <c r="J335" s="3">
        <f>IF(D335="No R1",0,VLOOKUP(C335,'Peer-Review'!B:D,2,0))</f>
        <v>0</v>
      </c>
      <c r="K335" s="3">
        <f>IF(D335="No R1",0,VLOOKUP(C335,'Peer-Review'!B:D,3,0))</f>
        <v>0</v>
      </c>
      <c r="L335" s="3">
        <f>IF(E335="No R2",0,VLOOKUP(C335,'Peer-Review'!F:H,2,0))</f>
        <v>7</v>
      </c>
      <c r="M335" s="3">
        <f>IF(E335="No R2",0,VLOOKUP(C335,'Peer-Review'!F:H,3,0))</f>
        <v>8</v>
      </c>
    </row>
    <row r="336" hidden="1">
      <c r="A336" s="3" t="str">
        <f>IFERROR(__xludf.DUMMYFUNCTION("""COMPUTED_VALUE"""),"22f3001549@ds.study.iitm.ac.in")</f>
        <v>22f3001549@ds.study.iitm.ac.in</v>
      </c>
      <c r="B336" s="3">
        <f>IFERROR(__xludf.DUMMYFUNCTION("""COMPUTED_VALUE"""),15.0)</f>
        <v>15</v>
      </c>
      <c r="C336" s="5" t="str">
        <f>IFERROR(__xludf.DUMMYFUNCTION("""COMPUTED_VALUE"""),"https://github.com/mehuljun09/TDS_IITM")</f>
        <v>https://github.com/mehuljun09/TDS_IITM</v>
      </c>
      <c r="D336" s="3" t="str">
        <f>IFERROR(VLOOKUP(C336,'Peer-Review'!B:J,9,0),"No R1")</f>
        <v>22f3001732@ds.study.iitm.ac.in</v>
      </c>
      <c r="E336" s="3" t="str">
        <f>IFERROR(VLOOKUP(C336,'Peer-Review'!F:J,5,0),"No R2")</f>
        <v>No R2</v>
      </c>
      <c r="F336" s="3">
        <f>COUNTIF('Peer-Review'!B:B,C336)+COUNTIF('Peer-Review'!F:F,C336)</f>
        <v>2</v>
      </c>
      <c r="G336" s="3">
        <f t="shared" si="1"/>
        <v>1</v>
      </c>
      <c r="H336" s="3" t="str">
        <f>IFERROR(__xludf.DUMMYFUNCTION("IFERROR(TRANSPOSE(FILTER('Peer-Review'!$J$2:$J$568,(TRIM('Peer-Review'!$B$2:$B$568)=C336 )+ (TRIM('Peer-Review'!$F$2:$F$568)=C336))),""No Reviews"")"),"22f3001732@ds.study.iitm.ac.in")</f>
        <v>22f3001732@ds.study.iitm.ac.in</v>
      </c>
      <c r="I336" s="3" t="str">
        <f>IFERROR(__xludf.DUMMYFUNCTION("""COMPUTED_VALUE"""),"23f2004225@ds.study.iitm.ac.in")</f>
        <v>23f2004225@ds.study.iitm.ac.in</v>
      </c>
      <c r="J336" s="3">
        <f>IF(D336="No R1",0,VLOOKUP(C336,'Peer-Review'!B:D,2,0))</f>
        <v>10</v>
      </c>
      <c r="K336" s="3">
        <f>IF(D336="No R1",0,VLOOKUP(C336,'Peer-Review'!B:D,3,0))</f>
        <v>10</v>
      </c>
      <c r="L336" s="3">
        <f>IF(E336="No R2",0,VLOOKUP(C336,'Peer-Review'!F:H,2,0))</f>
        <v>0</v>
      </c>
      <c r="M336" s="3">
        <f>IF(E336="No R2",0,VLOOKUP(C336,'Peer-Review'!F:H,3,0))</f>
        <v>0</v>
      </c>
    </row>
    <row r="337" hidden="1">
      <c r="A337" s="3" t="str">
        <f>IFERROR(__xludf.DUMMYFUNCTION("""COMPUTED_VALUE"""),"22f3001566@ds.study.iitm.ac.in")</f>
        <v>22f3001566@ds.study.iitm.ac.in</v>
      </c>
      <c r="B337" s="3">
        <f>IFERROR(__xludf.DUMMYFUNCTION("""COMPUTED_VALUE"""),13.0)</f>
        <v>13</v>
      </c>
      <c r="C337" s="5" t="str">
        <f>IFERROR(__xludf.DUMMYFUNCTION("""COMPUTED_VALUE"""),"https://github.com/bhumi-gupta2201/Austin100")</f>
        <v>https://github.com/bhumi-gupta2201/Austin100</v>
      </c>
      <c r="D337" s="3" t="str">
        <f>IFERROR(VLOOKUP(C337,'Peer-Review'!B:J,9,0),"No R1")</f>
        <v>22f2001300@ds.study.iitm.ac.in</v>
      </c>
      <c r="E337" s="3" t="str">
        <f>IFERROR(VLOOKUP(C337,'Peer-Review'!F:J,5,0),"No R2")</f>
        <v>No R2</v>
      </c>
      <c r="F337" s="3">
        <f>COUNTIF('Peer-Review'!B:B,C337)+COUNTIF('Peer-Review'!F:F,C337)</f>
        <v>1</v>
      </c>
      <c r="G337" s="3">
        <f t="shared" si="1"/>
        <v>1</v>
      </c>
      <c r="H337" s="3" t="str">
        <f>IFERROR(__xludf.DUMMYFUNCTION("IFERROR(TRANSPOSE(FILTER('Peer-Review'!$J$2:$J$568,(TRIM('Peer-Review'!$B$2:$B$568)=C337 )+ (TRIM('Peer-Review'!$F$2:$F$568)=C337))),""No Reviews"")"),"22f2001300@ds.study.iitm.ac.in")</f>
        <v>22f2001300@ds.study.iitm.ac.in</v>
      </c>
      <c r="J337" s="3">
        <f>IF(D337="No R1",0,VLOOKUP(C337,'Peer-Review'!B:D,2,0))</f>
        <v>2</v>
      </c>
      <c r="K337" s="3">
        <f>IF(D337="No R1",0,VLOOKUP(C337,'Peer-Review'!B:D,3,0))</f>
        <v>10</v>
      </c>
      <c r="L337" s="3">
        <f>IF(E337="No R2",0,VLOOKUP(C337,'Peer-Review'!F:H,2,0))</f>
        <v>0</v>
      </c>
      <c r="M337" s="3">
        <f>IF(E337="No R2",0,VLOOKUP(C337,'Peer-Review'!F:H,3,0))</f>
        <v>0</v>
      </c>
    </row>
    <row r="338" hidden="1">
      <c r="A338" s="3" t="str">
        <f>IFERROR(__xludf.DUMMYFUNCTION("""COMPUTED_VALUE"""),"22f3001578@ds.study.iitm.ac.in")</f>
        <v>22f3001578@ds.study.iitm.ac.in</v>
      </c>
      <c r="B338" s="3">
        <f>IFERROR(__xludf.DUMMYFUNCTION("""COMPUTED_VALUE"""),17.0)</f>
        <v>17</v>
      </c>
      <c r="C338" s="5" t="str">
        <f>IFERROR(__xludf.DUMMYFUNCTION("""COMPUTED_VALUE"""),"https://github.com/pranjal300799/TDS-proj1")</f>
        <v>https://github.com/pranjal300799/TDS-proj1</v>
      </c>
      <c r="D338" s="3" t="str">
        <f>IFERROR(VLOOKUP(C338,'Peer-Review'!B:J,9,0),"No R1")</f>
        <v>No R1</v>
      </c>
      <c r="E338" s="3" t="str">
        <f>IFERROR(VLOOKUP(C338,'Peer-Review'!F:J,5,0),"No R2")</f>
        <v>22f3001421@ds.study.iitm.ac.in</v>
      </c>
      <c r="F338" s="3">
        <f>COUNTIF('Peer-Review'!B:B,C338)+COUNTIF('Peer-Review'!F:F,C338)</f>
        <v>2</v>
      </c>
      <c r="G338" s="3">
        <f t="shared" si="1"/>
        <v>1</v>
      </c>
      <c r="H338" s="3" t="str">
        <f>IFERROR(__xludf.DUMMYFUNCTION("IFERROR(TRANSPOSE(FILTER('Peer-Review'!$J$2:$J$568,(TRIM('Peer-Review'!$B$2:$B$568)=C338 )+ (TRIM('Peer-Review'!$F$2:$F$568)=C338))),""No Reviews"")"),"22f3001421@ds.study.iitm.ac.in")</f>
        <v>22f3001421@ds.study.iitm.ac.in</v>
      </c>
      <c r="I338" s="3" t="str">
        <f>IFERROR(__xludf.DUMMYFUNCTION("""COMPUTED_VALUE"""),"23f2003845@ds.study.iitm.ac.in")</f>
        <v>23f2003845@ds.study.iitm.ac.in</v>
      </c>
      <c r="J338" s="3">
        <f>IF(D338="No R1",0,VLOOKUP(C338,'Peer-Review'!B:D,2,0))</f>
        <v>0</v>
      </c>
      <c r="K338" s="3">
        <f>IF(D338="No R1",0,VLOOKUP(C338,'Peer-Review'!B:D,3,0))</f>
        <v>0</v>
      </c>
      <c r="L338" s="3">
        <f>IF(E338="No R2",0,VLOOKUP(C338,'Peer-Review'!F:H,2,0))</f>
        <v>6</v>
      </c>
      <c r="M338" s="3">
        <f>IF(E338="No R2",0,VLOOKUP(C338,'Peer-Review'!F:H,3,0))</f>
        <v>8</v>
      </c>
    </row>
    <row r="339" hidden="1">
      <c r="A339" s="3" t="str">
        <f>IFERROR(__xludf.DUMMYFUNCTION("""COMPUTED_VALUE"""),"22f3001652@ds.study.iitm.ac.in")</f>
        <v>22f3001652@ds.study.iitm.ac.in</v>
      </c>
      <c r="B339" s="3">
        <f>IFERROR(__xludf.DUMMYFUNCTION("""COMPUTED_VALUE"""),14.0)</f>
        <v>14</v>
      </c>
      <c r="C339" s="5" t="str">
        <f>IFERROR(__xludf.DUMMYFUNCTION("""COMPUTED_VALUE"""),"https://github.com/Sahith200444/github-user-data")</f>
        <v>https://github.com/Sahith200444/github-user-data</v>
      </c>
      <c r="D339" s="3" t="str">
        <f>IFERROR(VLOOKUP(C339,'Peer-Review'!B:J,9,0),"No R1")</f>
        <v>23f1000774@ds.study.iitm.ac.in</v>
      </c>
      <c r="E339" s="3" t="str">
        <f>IFERROR(VLOOKUP(C339,'Peer-Review'!F:J,5,0),"No R2")</f>
        <v>No R2</v>
      </c>
      <c r="F339" s="3">
        <f>COUNTIF('Peer-Review'!B:B,C339)+COUNTIF('Peer-Review'!F:F,C339)</f>
        <v>2</v>
      </c>
      <c r="G339" s="3">
        <f t="shared" si="1"/>
        <v>1</v>
      </c>
      <c r="H339" s="3" t="str">
        <f>IFERROR(__xludf.DUMMYFUNCTION("IFERROR(TRANSPOSE(FILTER('Peer-Review'!$J$2:$J$568,(TRIM('Peer-Review'!$B$2:$B$568)=C339 )+ (TRIM('Peer-Review'!$F$2:$F$568)=C339))),""No Reviews"")"),"23f1000774@ds.study.iitm.ac.in")</f>
        <v>23f1000774@ds.study.iitm.ac.in</v>
      </c>
      <c r="I339" s="3" t="str">
        <f>IFERROR(__xludf.DUMMYFUNCTION("""COMPUTED_VALUE"""),"22f3001690@ds.study.iitm.ac.in")</f>
        <v>22f3001690@ds.study.iitm.ac.in</v>
      </c>
      <c r="J339" s="3">
        <f>IF(D339="No R1",0,VLOOKUP(C339,'Peer-Review'!B:D,2,0))</f>
        <v>0</v>
      </c>
      <c r="K339" s="3">
        <f>IF(D339="No R1",0,VLOOKUP(C339,'Peer-Review'!B:D,3,0))</f>
        <v>0</v>
      </c>
      <c r="L339" s="3">
        <f>IF(E339="No R2",0,VLOOKUP(C339,'Peer-Review'!F:H,2,0))</f>
        <v>0</v>
      </c>
      <c r="M339" s="3">
        <f>IF(E339="No R2",0,VLOOKUP(C339,'Peer-Review'!F:H,3,0))</f>
        <v>0</v>
      </c>
    </row>
    <row r="340" hidden="1">
      <c r="A340" s="3" t="str">
        <f>IFERROR(__xludf.DUMMYFUNCTION("""COMPUTED_VALUE"""),"22f3001662@ds.study.iitm.ac.in")</f>
        <v>22f3001662@ds.study.iitm.ac.in</v>
      </c>
      <c r="B340" s="3">
        <f>IFERROR(__xludf.DUMMYFUNCTION("""COMPUTED_VALUE"""),17.0)</f>
        <v>17</v>
      </c>
      <c r="C340" s="5" t="str">
        <f>IFERROR(__xludf.DUMMYFUNCTION("""COMPUTED_VALUE"""),"https://github.com/DSAshv/TDS-Project1")</f>
        <v>https://github.com/DSAshv/TDS-Project1</v>
      </c>
      <c r="D340" s="3" t="str">
        <f>IFERROR(VLOOKUP(C340,'Peer-Review'!B:J,9,0),"No R1")</f>
        <v>No R1</v>
      </c>
      <c r="E340" s="3" t="str">
        <f>IFERROR(VLOOKUP(C340,'Peer-Review'!F:J,5,0),"No R2")</f>
        <v>22f3001578@ds.study.iitm.ac.in</v>
      </c>
      <c r="F340" s="3">
        <f>COUNTIF('Peer-Review'!B:B,C340)+COUNTIF('Peer-Review'!F:F,C340)</f>
        <v>2</v>
      </c>
      <c r="G340" s="3">
        <f t="shared" si="1"/>
        <v>1</v>
      </c>
      <c r="H340" s="3" t="str">
        <f>IFERROR(__xludf.DUMMYFUNCTION("IFERROR(TRANSPOSE(FILTER('Peer-Review'!$J$2:$J$568,(TRIM('Peer-Review'!$B$2:$B$568)=C340 )+ (TRIM('Peer-Review'!$F$2:$F$568)=C340))),""No Reviews"")"),"22f3001578@ds.study.iitm.ac.in")</f>
        <v>22f3001578@ds.study.iitm.ac.in</v>
      </c>
      <c r="I340" s="3" t="str">
        <f>IFERROR(__xludf.DUMMYFUNCTION("""COMPUTED_VALUE"""),"23f2004527@ds.study.iitm.ac.in")</f>
        <v>23f2004527@ds.study.iitm.ac.in</v>
      </c>
      <c r="J340" s="3">
        <f>IF(D340="No R1",0,VLOOKUP(C340,'Peer-Review'!B:D,2,0))</f>
        <v>0</v>
      </c>
      <c r="K340" s="3">
        <f>IF(D340="No R1",0,VLOOKUP(C340,'Peer-Review'!B:D,3,0))</f>
        <v>0</v>
      </c>
      <c r="L340" s="3">
        <f>IF(E340="No R2",0,VLOOKUP(C340,'Peer-Review'!F:H,2,0))</f>
        <v>10</v>
      </c>
      <c r="M340" s="3">
        <f>IF(E340="No R2",0,VLOOKUP(C340,'Peer-Review'!F:H,3,0))</f>
        <v>10</v>
      </c>
    </row>
    <row r="341" hidden="1">
      <c r="A341" s="3" t="str">
        <f>IFERROR(__xludf.DUMMYFUNCTION("""COMPUTED_VALUE"""),"22f3001673@ds.study.iitm.ac.in")</f>
        <v>22f3001673@ds.study.iitm.ac.in</v>
      </c>
      <c r="B341" s="3">
        <f>IFERROR(__xludf.DUMMYFUNCTION("""COMPUTED_VALUE"""),17.0)</f>
        <v>17</v>
      </c>
      <c r="C341" s="5" t="str">
        <f>IFERROR(__xludf.DUMMYFUNCTION("""COMPUTED_VALUE"""),"https://github.com/22f3001673/TDS-Project1")</f>
        <v>https://github.com/22f3001673/TDS-Project1</v>
      </c>
      <c r="D341" s="3" t="str">
        <f>IFERROR(VLOOKUP(C341,'Peer-Review'!B:J,9,0),"No R1")</f>
        <v>No R1</v>
      </c>
      <c r="E341" s="3" t="str">
        <f>IFERROR(VLOOKUP(C341,'Peer-Review'!F:J,5,0),"No R2")</f>
        <v>22f3001662@ds.study.iitm.ac.in</v>
      </c>
      <c r="F341" s="3">
        <f>COUNTIF('Peer-Review'!B:B,C341)+COUNTIF('Peer-Review'!F:F,C341)</f>
        <v>2</v>
      </c>
      <c r="G341" s="3">
        <f t="shared" si="1"/>
        <v>1</v>
      </c>
      <c r="H341" s="3" t="str">
        <f>IFERROR(__xludf.DUMMYFUNCTION("IFERROR(TRANSPOSE(FILTER('Peer-Review'!$J$2:$J$568,(TRIM('Peer-Review'!$B$2:$B$568)=C341 )+ (TRIM('Peer-Review'!$F$2:$F$568)=C341))),""No Reviews"")"),"22f3001662@ds.study.iitm.ac.in")</f>
        <v>22f3001662@ds.study.iitm.ac.in</v>
      </c>
      <c r="I341" s="3" t="str">
        <f>IFERROR(__xludf.DUMMYFUNCTION("""COMPUTED_VALUE"""),"23f2004714@ds.study.iitm.ac.in")</f>
        <v>23f2004714@ds.study.iitm.ac.in</v>
      </c>
      <c r="J341" s="3">
        <f>IF(D341="No R1",0,VLOOKUP(C341,'Peer-Review'!B:D,2,0))</f>
        <v>0</v>
      </c>
      <c r="K341" s="3">
        <f>IF(D341="No R1",0,VLOOKUP(C341,'Peer-Review'!B:D,3,0))</f>
        <v>0</v>
      </c>
      <c r="L341" s="3">
        <f>IF(E341="No R2",0,VLOOKUP(C341,'Peer-Review'!F:H,2,0))</f>
        <v>8</v>
      </c>
      <c r="M341" s="3">
        <f>IF(E341="No R2",0,VLOOKUP(C341,'Peer-Review'!F:H,3,0))</f>
        <v>10</v>
      </c>
    </row>
    <row r="342" hidden="1">
      <c r="A342" s="3" t="str">
        <f>IFERROR(__xludf.DUMMYFUNCTION("""COMPUTED_VALUE"""),"22f3001690@ds.study.iitm.ac.in")</f>
        <v>22f3001690@ds.study.iitm.ac.in</v>
      </c>
      <c r="B342" s="3">
        <f>IFERROR(__xludf.DUMMYFUNCTION("""COMPUTED_VALUE"""),14.0)</f>
        <v>14</v>
      </c>
      <c r="C342" s="5" t="str">
        <f>IFERROR(__xludf.DUMMYFUNCTION("""COMPUTED_VALUE"""),"https://github.com/yuviiitm26/TDS_PRO_1")</f>
        <v>https://github.com/yuviiitm26/TDS_PRO_1</v>
      </c>
      <c r="D342" s="3" t="str">
        <f>IFERROR(VLOOKUP(C342,'Peer-Review'!B:J,9,0),"No R1")</f>
        <v>23f1000966@ds.study.iitm.ac.in</v>
      </c>
      <c r="E342" s="3" t="str">
        <f>IFERROR(VLOOKUP(C342,'Peer-Review'!F:J,5,0),"No R2")</f>
        <v>No R2</v>
      </c>
      <c r="F342" s="3">
        <f>COUNTIF('Peer-Review'!B:B,C342)+COUNTIF('Peer-Review'!F:F,C342)</f>
        <v>2</v>
      </c>
      <c r="G342" s="3">
        <f t="shared" si="1"/>
        <v>1</v>
      </c>
      <c r="H342" s="3" t="str">
        <f>IFERROR(__xludf.DUMMYFUNCTION("IFERROR(TRANSPOSE(FILTER('Peer-Review'!$J$2:$J$568,(TRIM('Peer-Review'!$B$2:$B$568)=C342 )+ (TRIM('Peer-Review'!$F$2:$F$568)=C342))),""No Reviews"")"),"23f1000966@ds.study.iitm.ac.in")</f>
        <v>23f1000966@ds.study.iitm.ac.in</v>
      </c>
      <c r="I342" s="3" t="str">
        <f>IFERROR(__xludf.DUMMYFUNCTION("""COMPUTED_VALUE"""),"22f3001914@ds.study.iitm.ac.in")</f>
        <v>22f3001914@ds.study.iitm.ac.in</v>
      </c>
      <c r="J342" s="3">
        <f>IF(D342="No R1",0,VLOOKUP(C342,'Peer-Review'!B:D,2,0))</f>
        <v>9</v>
      </c>
      <c r="K342" s="3">
        <f>IF(D342="No R1",0,VLOOKUP(C342,'Peer-Review'!B:D,3,0))</f>
        <v>9</v>
      </c>
      <c r="L342" s="3">
        <f>IF(E342="No R2",0,VLOOKUP(C342,'Peer-Review'!F:H,2,0))</f>
        <v>0</v>
      </c>
      <c r="M342" s="3">
        <f>IF(E342="No R2",0,VLOOKUP(C342,'Peer-Review'!F:H,3,0))</f>
        <v>0</v>
      </c>
    </row>
    <row r="343" hidden="1">
      <c r="A343" s="3" t="str">
        <f>IFERROR(__xludf.DUMMYFUNCTION("""COMPUTED_VALUE"""),"22f3001699@ds.study.iitm.ac.in")</f>
        <v>22f3001699@ds.study.iitm.ac.in</v>
      </c>
      <c r="B343" s="3">
        <f>IFERROR(__xludf.DUMMYFUNCTION("""COMPUTED_VALUE"""),13.0)</f>
        <v>13</v>
      </c>
      <c r="C343" s="5" t="str">
        <f>IFERROR(__xludf.DUMMYFUNCTION("""COMPUTED_VALUE"""),"https://github.com/AllyNav/tds_project_1")</f>
        <v>https://github.com/AllyNav/tds_project_1</v>
      </c>
      <c r="D343" s="3" t="str">
        <f>IFERROR(VLOOKUP(C343,'Peer-Review'!B:J,9,0),"No R1")</f>
        <v>22f2001336@ds.study.iitm.ac.in</v>
      </c>
      <c r="E343" s="3" t="str">
        <f>IFERROR(VLOOKUP(C343,'Peer-Review'!F:J,5,0),"No R2")</f>
        <v>No R2</v>
      </c>
      <c r="F343" s="3">
        <f>COUNTIF('Peer-Review'!B:B,C343)+COUNTIF('Peer-Review'!F:F,C343)</f>
        <v>2</v>
      </c>
      <c r="G343" s="3">
        <f t="shared" si="1"/>
        <v>1</v>
      </c>
      <c r="H343" s="3" t="str">
        <f>IFERROR(__xludf.DUMMYFUNCTION("IFERROR(TRANSPOSE(FILTER('Peer-Review'!$J$2:$J$568,(TRIM('Peer-Review'!$B$2:$B$568)=C343 )+ (TRIM('Peer-Review'!$F$2:$F$568)=C343))),""No Reviews"")"),"22f2001336@ds.study.iitm.ac.in")</f>
        <v>22f2001336@ds.study.iitm.ac.in</v>
      </c>
      <c r="I343" s="3" t="str">
        <f>IFERROR(__xludf.DUMMYFUNCTION("""COMPUTED_VALUE"""),"22f3001834@ds.study.iitm.ac.in")</f>
        <v>22f3001834@ds.study.iitm.ac.in</v>
      </c>
      <c r="J343" s="3">
        <f>IF(D343="No R1",0,VLOOKUP(C343,'Peer-Review'!B:D,2,0))</f>
        <v>9</v>
      </c>
      <c r="K343" s="3">
        <f>IF(D343="No R1",0,VLOOKUP(C343,'Peer-Review'!B:D,3,0))</f>
        <v>10</v>
      </c>
      <c r="L343" s="3">
        <f>IF(E343="No R2",0,VLOOKUP(C343,'Peer-Review'!F:H,2,0))</f>
        <v>0</v>
      </c>
      <c r="M343" s="3">
        <f>IF(E343="No R2",0,VLOOKUP(C343,'Peer-Review'!F:H,3,0))</f>
        <v>0</v>
      </c>
    </row>
    <row r="344">
      <c r="A344" s="3" t="str">
        <f>IFERROR(__xludf.DUMMYFUNCTION("""COMPUTED_VALUE"""),"22f3001715@ds.study.iitm.ac.in")</f>
        <v>22f3001715@ds.study.iitm.ac.in</v>
      </c>
      <c r="B344" s="3">
        <f>IFERROR(__xludf.DUMMYFUNCTION("""COMPUTED_VALUE"""),0.0)</f>
        <v>0</v>
      </c>
      <c r="C344" s="3"/>
      <c r="D344" s="3" t="str">
        <f>IFERROR(VLOOKUP(C344,'Peer-Review'!B:J,9,0),"No R1")</f>
        <v>No R1</v>
      </c>
      <c r="E344" s="3" t="str">
        <f>IFERROR(VLOOKUP(C344,'Peer-Review'!F:J,5,0),"No R2")</f>
        <v>No R2</v>
      </c>
      <c r="F344" s="3">
        <f>COUNTIF('Peer-Review'!B:B,C344)+COUNTIF('Peer-Review'!F:F,C344)</f>
        <v>0</v>
      </c>
      <c r="G344" s="3">
        <f t="shared" si="1"/>
        <v>0</v>
      </c>
      <c r="H344" s="3" t="str">
        <f>IFERROR(__xludf.DUMMYFUNCTION("IFERROR(TRANSPOSE(FILTER('Peer-Review'!$J$2:$J$568,(TRIM('Peer-Review'!$B$2:$B$568)=C344 )+ (TRIM('Peer-Review'!$F$2:$F$568)=C344))),""No Reviews"")"),"No Reviews")</f>
        <v>No Reviews</v>
      </c>
      <c r="J344" s="3">
        <f>IF(D344="No R1",0,VLOOKUP(C344,'Peer-Review'!B:D,2,0))</f>
        <v>0</v>
      </c>
      <c r="K344" s="3">
        <f>IF(D344="No R1",0,VLOOKUP(C344,'Peer-Review'!B:D,3,0))</f>
        <v>0</v>
      </c>
      <c r="L344" s="3">
        <f>IF(E344="No R2",0,VLOOKUP(C344,'Peer-Review'!F:H,2,0))</f>
        <v>0</v>
      </c>
      <c r="M344" s="3">
        <f>IF(E344="No R2",0,VLOOKUP(C344,'Peer-Review'!F:H,3,0))</f>
        <v>0</v>
      </c>
    </row>
    <row r="345" hidden="1">
      <c r="A345" s="3" t="str">
        <f>IFERROR(__xludf.DUMMYFUNCTION("""COMPUTED_VALUE"""),"22f3001732@ds.study.iitm.ac.in")</f>
        <v>22f3001732@ds.study.iitm.ac.in</v>
      </c>
      <c r="B345" s="3">
        <f>IFERROR(__xludf.DUMMYFUNCTION("""COMPUTED_VALUE"""),15.0)</f>
        <v>15</v>
      </c>
      <c r="C345" s="5" t="str">
        <f>IFERROR(__xludf.DUMMYFUNCTION("""COMPUTED_VALUE"""),"https://github.com/Madras-protagonist/Bangalore-GitHub-Users-Project")</f>
        <v>https://github.com/Madras-protagonist/Bangalore-GitHub-Users-Project</v>
      </c>
      <c r="D345" s="3" t="str">
        <f>IFERROR(VLOOKUP(C345,'Peer-Review'!B:J,9,0),"No R1")</f>
        <v>23f2004417@ds.study.iitm.ac.in</v>
      </c>
      <c r="E345" s="3" t="str">
        <f>IFERROR(VLOOKUP(C345,'Peer-Review'!F:J,5,0),"No R2")</f>
        <v>22f3001768@ds.study.iitm.ac.in</v>
      </c>
      <c r="F345" s="3">
        <f>COUNTIF('Peer-Review'!B:B,C345)+COUNTIF('Peer-Review'!F:F,C345)</f>
        <v>2</v>
      </c>
      <c r="G345" s="3">
        <f t="shared" si="1"/>
        <v>2</v>
      </c>
      <c r="H345" s="3" t="str">
        <f>IFERROR(__xludf.DUMMYFUNCTION("IFERROR(TRANSPOSE(FILTER('Peer-Review'!$J$2:$J$568,(TRIM('Peer-Review'!$B$2:$B$568)=C345 )+ (TRIM('Peer-Review'!$F$2:$F$568)=C345))),""No Reviews"")"),"22f3001768@ds.study.iitm.ac.in")</f>
        <v>22f3001768@ds.study.iitm.ac.in</v>
      </c>
      <c r="I345" s="3" t="str">
        <f>IFERROR(__xludf.DUMMYFUNCTION("""COMPUTED_VALUE"""),"23f2004417@ds.study.iitm.ac.in")</f>
        <v>23f2004417@ds.study.iitm.ac.in</v>
      </c>
      <c r="J345" s="3">
        <f>IF(D345="No R1",0,VLOOKUP(C345,'Peer-Review'!B:D,2,0))</f>
        <v>8</v>
      </c>
      <c r="K345" s="3">
        <f>IF(D345="No R1",0,VLOOKUP(C345,'Peer-Review'!B:D,3,0))</f>
        <v>7</v>
      </c>
      <c r="L345" s="3">
        <f>IF(E345="No R2",0,VLOOKUP(C345,'Peer-Review'!F:H,2,0))</f>
        <v>10</v>
      </c>
      <c r="M345" s="3">
        <f>IF(E345="No R2",0,VLOOKUP(C345,'Peer-Review'!F:H,3,0))</f>
        <v>10</v>
      </c>
    </row>
    <row r="346" hidden="1">
      <c r="A346" s="3" t="str">
        <f>IFERROR(__xludf.DUMMYFUNCTION("""COMPUTED_VALUE"""),"22f3001738@ds.study.iitm.ac.in")</f>
        <v>22f3001738@ds.study.iitm.ac.in</v>
      </c>
      <c r="B346" s="3">
        <f>IFERROR(__xludf.DUMMYFUNCTION("""COMPUTED_VALUE"""),17.0)</f>
        <v>17</v>
      </c>
      <c r="C346" s="5" t="str">
        <f>IFERROR(__xludf.DUMMYFUNCTION("""COMPUTED_VALUE"""),"https://github.com/22f3001738/tds-project-1")</f>
        <v>https://github.com/22f3001738/tds-project-1</v>
      </c>
      <c r="D346" s="3" t="str">
        <f>IFERROR(VLOOKUP(C346,'Peer-Review'!B:J,9,0),"No R1")</f>
        <v>No R1</v>
      </c>
      <c r="E346" s="3" t="str">
        <f>IFERROR(VLOOKUP(C346,'Peer-Review'!F:J,5,0),"No R2")</f>
        <v>23f2004904@ds.study.iitm.ac.in</v>
      </c>
      <c r="F346" s="3">
        <f>COUNTIF('Peer-Review'!B:B,C346)+COUNTIF('Peer-Review'!F:F,C346)</f>
        <v>1</v>
      </c>
      <c r="G346" s="3">
        <f t="shared" si="1"/>
        <v>1</v>
      </c>
      <c r="H346" s="3" t="str">
        <f>IFERROR(__xludf.DUMMYFUNCTION("IFERROR(TRANSPOSE(FILTER('Peer-Review'!$J$2:$J$568,(TRIM('Peer-Review'!$B$2:$B$568)=C346 )+ (TRIM('Peer-Review'!$F$2:$F$568)=C346))),""No Reviews"")"),"23f2004904@ds.study.iitm.ac.in")</f>
        <v>23f2004904@ds.study.iitm.ac.in</v>
      </c>
      <c r="J346" s="3">
        <f>IF(D346="No R1",0,VLOOKUP(C346,'Peer-Review'!B:D,2,0))</f>
        <v>0</v>
      </c>
      <c r="K346" s="3">
        <f>IF(D346="No R1",0,VLOOKUP(C346,'Peer-Review'!B:D,3,0))</f>
        <v>0</v>
      </c>
      <c r="L346" s="3">
        <f>IF(E346="No R2",0,VLOOKUP(C346,'Peer-Review'!F:H,2,0))</f>
        <v>6</v>
      </c>
      <c r="M346" s="3">
        <f>IF(E346="No R2",0,VLOOKUP(C346,'Peer-Review'!F:H,3,0))</f>
        <v>10</v>
      </c>
    </row>
    <row r="347" hidden="1">
      <c r="A347" s="3" t="str">
        <f>IFERROR(__xludf.DUMMYFUNCTION("""COMPUTED_VALUE"""),"22f3001768@ds.study.iitm.ac.in")</f>
        <v>22f3001768@ds.study.iitm.ac.in</v>
      </c>
      <c r="B347" s="3">
        <f>IFERROR(__xludf.DUMMYFUNCTION("""COMPUTED_VALUE"""),15.0)</f>
        <v>15</v>
      </c>
      <c r="C347" s="5" t="str">
        <f>IFERROR(__xludf.DUMMYFUNCTION("""COMPUTED_VALUE"""),"https://github.com/Rishitahazra/berlin200")</f>
        <v>https://github.com/Rishitahazra/berlin200</v>
      </c>
      <c r="D347" s="3" t="str">
        <f>IFERROR(VLOOKUP(C347,'Peer-Review'!B:J,9,0),"No R1")</f>
        <v>22f3001954@ds.study.iitm.ac.in</v>
      </c>
      <c r="E347" s="3" t="str">
        <f>IFERROR(VLOOKUP(C347,'Peer-Review'!F:J,5,0),"No R2")</f>
        <v>No R2</v>
      </c>
      <c r="F347" s="3">
        <f>COUNTIF('Peer-Review'!B:B,C347)+COUNTIF('Peer-Review'!F:F,C347)</f>
        <v>2</v>
      </c>
      <c r="G347" s="3">
        <f t="shared" si="1"/>
        <v>1</v>
      </c>
      <c r="H347" s="3" t="str">
        <f>IFERROR(__xludf.DUMMYFUNCTION("IFERROR(TRANSPOSE(FILTER('Peer-Review'!$J$2:$J$568,(TRIM('Peer-Review'!$B$2:$B$568)=C347 )+ (TRIM('Peer-Review'!$F$2:$F$568)=C347))),""No Reviews"")"),"22f3001954@ds.study.iitm.ac.in")</f>
        <v>22f3001954@ds.study.iitm.ac.in</v>
      </c>
      <c r="I347" s="3" t="str">
        <f>IFERROR(__xludf.DUMMYFUNCTION("""COMPUTED_VALUE"""),"23f2004494@ds.study.iitm.ac.in")</f>
        <v>23f2004494@ds.study.iitm.ac.in</v>
      </c>
      <c r="J347" s="3">
        <f>IF(D347="No R1",0,VLOOKUP(C347,'Peer-Review'!B:D,2,0))</f>
        <v>3</v>
      </c>
      <c r="K347" s="3">
        <f>IF(D347="No R1",0,VLOOKUP(C347,'Peer-Review'!B:D,3,0))</f>
        <v>7</v>
      </c>
      <c r="L347" s="3">
        <f>IF(E347="No R2",0,VLOOKUP(C347,'Peer-Review'!F:H,2,0))</f>
        <v>0</v>
      </c>
      <c r="M347" s="3">
        <f>IF(E347="No R2",0,VLOOKUP(C347,'Peer-Review'!F:H,3,0))</f>
        <v>0</v>
      </c>
    </row>
    <row r="348" hidden="1">
      <c r="A348" s="3" t="str">
        <f>IFERROR(__xludf.DUMMYFUNCTION("""COMPUTED_VALUE"""),"22f3001834@ds.study.iitm.ac.in")</f>
        <v>22f3001834@ds.study.iitm.ac.in</v>
      </c>
      <c r="B348" s="3">
        <f>IFERROR(__xludf.DUMMYFUNCTION("""COMPUTED_VALUE"""),13.0)</f>
        <v>13</v>
      </c>
      <c r="C348" s="5" t="str">
        <f>IFERROR(__xludf.DUMMYFUNCTION("""COMPUTED_VALUE"""),"https://github.com/Aryan1411/TDS-Proj1")</f>
        <v>https://github.com/Aryan1411/TDS-Proj1</v>
      </c>
      <c r="D348" s="3" t="str">
        <f>IFERROR(VLOOKUP(C348,'Peer-Review'!B:J,9,0),"No R1")</f>
        <v>No R1</v>
      </c>
      <c r="E348" s="3" t="str">
        <f>IFERROR(VLOOKUP(C348,'Peer-Review'!F:J,5,0),"No R2")</f>
        <v>No R2</v>
      </c>
      <c r="F348" s="3">
        <f>COUNTIF('Peer-Review'!B:B,C348)+COUNTIF('Peer-Review'!F:F,C348)</f>
        <v>0</v>
      </c>
      <c r="G348" s="3">
        <f t="shared" si="1"/>
        <v>0</v>
      </c>
      <c r="H348" s="3" t="str">
        <f>IFERROR(__xludf.DUMMYFUNCTION("IFERROR(TRANSPOSE(FILTER('Peer-Review'!$J$2:$J$568,(TRIM('Peer-Review'!$B$2:$B$568)=C348 )+ (TRIM('Peer-Review'!$F$2:$F$568)=C348))),""No Reviews"")"),"No Reviews")</f>
        <v>No Reviews</v>
      </c>
      <c r="J348" s="3">
        <f>IF(D348="No R1",0,VLOOKUP(C348,'Peer-Review'!B:D,2,0))</f>
        <v>0</v>
      </c>
      <c r="K348" s="3">
        <f>IF(D348="No R1",0,VLOOKUP(C348,'Peer-Review'!B:D,3,0))</f>
        <v>0</v>
      </c>
      <c r="L348" s="3">
        <f>IF(E348="No R2",0,VLOOKUP(C348,'Peer-Review'!F:H,2,0))</f>
        <v>0</v>
      </c>
      <c r="M348" s="3">
        <f>IF(E348="No R2",0,VLOOKUP(C348,'Peer-Review'!F:H,3,0))</f>
        <v>0</v>
      </c>
    </row>
    <row r="349" hidden="1">
      <c r="A349" s="3" t="str">
        <f>IFERROR(__xludf.DUMMYFUNCTION("""COMPUTED_VALUE"""),"22f3001836@ds.study.iitm.ac.in")</f>
        <v>22f3001836@ds.study.iitm.ac.in</v>
      </c>
      <c r="B349" s="3">
        <f>IFERROR(__xludf.DUMMYFUNCTION("""COMPUTED_VALUE"""),16.0)</f>
        <v>16</v>
      </c>
      <c r="C349" s="5" t="str">
        <f>IFERROR(__xludf.DUMMYFUNCTION("""COMPUTED_VALUE"""),"https://github.com/AaryNimje/22f3001836-ds.study.iitm.ac.in-Bangalore-100")</f>
        <v>https://github.com/AaryNimje/22f3001836-ds.study.iitm.ac.in-Bangalore-100</v>
      </c>
      <c r="D349" s="3" t="str">
        <f>IFERROR(VLOOKUP(C349,'Peer-Review'!B:J,9,0),"No R1")</f>
        <v>No R1</v>
      </c>
      <c r="E349" s="3" t="str">
        <f>IFERROR(VLOOKUP(C349,'Peer-Review'!F:J,5,0),"No R2")</f>
        <v>22f3001519@ds.study.iitm.ac.in</v>
      </c>
      <c r="F349" s="3">
        <f>COUNTIF('Peer-Review'!B:B,C349)+COUNTIF('Peer-Review'!F:F,C349)</f>
        <v>1</v>
      </c>
      <c r="G349" s="3">
        <f t="shared" si="1"/>
        <v>1</v>
      </c>
      <c r="H349" s="3" t="str">
        <f>IFERROR(__xludf.DUMMYFUNCTION("IFERROR(TRANSPOSE(FILTER('Peer-Review'!$J$2:$J$568,(TRIM('Peer-Review'!$B$2:$B$568)=C349 )+ (TRIM('Peer-Review'!$F$2:$F$568)=C349))),""No Reviews"")"),"22f3001519@ds.study.iitm.ac.in")</f>
        <v>22f3001519@ds.study.iitm.ac.in</v>
      </c>
      <c r="J349" s="3">
        <f>IF(D349="No R1",0,VLOOKUP(C349,'Peer-Review'!B:D,2,0))</f>
        <v>0</v>
      </c>
      <c r="K349" s="3">
        <f>IF(D349="No R1",0,VLOOKUP(C349,'Peer-Review'!B:D,3,0))</f>
        <v>0</v>
      </c>
      <c r="L349" s="3">
        <f>IF(E349="No R2",0,VLOOKUP(C349,'Peer-Review'!F:H,2,0))</f>
        <v>10</v>
      </c>
      <c r="M349" s="3">
        <f>IF(E349="No R2",0,VLOOKUP(C349,'Peer-Review'!F:H,3,0))</f>
        <v>10</v>
      </c>
    </row>
    <row r="350" hidden="1">
      <c r="A350" s="3" t="str">
        <f>IFERROR(__xludf.DUMMYFUNCTION("""COMPUTED_VALUE"""),"22f3001838@ds.study.iitm.ac.in")</f>
        <v>22f3001838@ds.study.iitm.ac.in</v>
      </c>
      <c r="B350" s="3">
        <f>IFERROR(__xludf.DUMMYFUNCTION("""COMPUTED_VALUE"""),17.0)</f>
        <v>17</v>
      </c>
      <c r="C350" s="5" t="str">
        <f>IFERROR(__xludf.DUMMYFUNCTION("""COMPUTED_VALUE"""),"https://github.com/Abhishek-IITM2026/TDS-Project-1")</f>
        <v>https://github.com/Abhishek-IITM2026/TDS-Project-1</v>
      </c>
      <c r="D350" s="3" t="str">
        <f>IFERROR(VLOOKUP(C350,'Peer-Review'!B:J,9,0),"No R1")</f>
        <v>No R1</v>
      </c>
      <c r="E350" s="3" t="str">
        <f>IFERROR(VLOOKUP(C350,'Peer-Review'!F:J,5,0),"No R2")</f>
        <v>22f3001738@ds.study.iitm.ac.in</v>
      </c>
      <c r="F350" s="3">
        <f>COUNTIF('Peer-Review'!B:B,C350)+COUNTIF('Peer-Review'!F:F,C350)</f>
        <v>1</v>
      </c>
      <c r="G350" s="3">
        <f t="shared" si="1"/>
        <v>1</v>
      </c>
      <c r="H350" s="3" t="str">
        <f>IFERROR(__xludf.DUMMYFUNCTION("IFERROR(TRANSPOSE(FILTER('Peer-Review'!$J$2:$J$568,(TRIM('Peer-Review'!$B$2:$B$568)=C350 )+ (TRIM('Peer-Review'!$F$2:$F$568)=C350))),""No Reviews"")"),"22f3001738@ds.study.iitm.ac.in")</f>
        <v>22f3001738@ds.study.iitm.ac.in</v>
      </c>
      <c r="J350" s="3">
        <f>IF(D350="No R1",0,VLOOKUP(C350,'Peer-Review'!B:D,2,0))</f>
        <v>0</v>
      </c>
      <c r="K350" s="3">
        <f>IF(D350="No R1",0,VLOOKUP(C350,'Peer-Review'!B:D,3,0))</f>
        <v>0</v>
      </c>
      <c r="L350" s="3">
        <f>IF(E350="No R2",0,VLOOKUP(C350,'Peer-Review'!F:H,2,0))</f>
        <v>10</v>
      </c>
      <c r="M350" s="3">
        <f>IF(E350="No R2",0,VLOOKUP(C350,'Peer-Review'!F:H,3,0))</f>
        <v>10</v>
      </c>
    </row>
    <row r="351" hidden="1">
      <c r="A351" s="3" t="str">
        <f>IFERROR(__xludf.DUMMYFUNCTION("""COMPUTED_VALUE"""),"22f3001856@ds.study.iitm.ac.in")</f>
        <v>22f3001856@ds.study.iitm.ac.in</v>
      </c>
      <c r="B351" s="3">
        <f>IFERROR(__xludf.DUMMYFUNCTION("""COMPUTED_VALUE"""),10.0)</f>
        <v>10</v>
      </c>
      <c r="C351" s="5" t="str">
        <f>IFERROR(__xludf.DUMMYFUNCTION("""COMPUTED_VALUE"""),"https://github.com/vikashkj2024/tds-project-1")</f>
        <v>https://github.com/vikashkj2024/tds-project-1</v>
      </c>
      <c r="D351" s="3" t="str">
        <f>IFERROR(VLOOKUP(C351,'Peer-Review'!B:J,9,0),"No R1")</f>
        <v>23f1001172@ds.study.iitm.ac.in</v>
      </c>
      <c r="E351" s="3" t="str">
        <f>IFERROR(VLOOKUP(C351,'Peer-Review'!F:J,5,0),"No R2")</f>
        <v>No R2</v>
      </c>
      <c r="F351" s="3">
        <f>COUNTIF('Peer-Review'!B:B,C351)+COUNTIF('Peer-Review'!F:F,C351)</f>
        <v>1</v>
      </c>
      <c r="G351" s="3">
        <f t="shared" si="1"/>
        <v>1</v>
      </c>
      <c r="H351" s="3" t="str">
        <f>IFERROR(__xludf.DUMMYFUNCTION("IFERROR(TRANSPOSE(FILTER('Peer-Review'!$J$2:$J$568,(TRIM('Peer-Review'!$B$2:$B$568)=C351 )+ (TRIM('Peer-Review'!$F$2:$F$568)=C351))),""No Reviews"")"),"23f1001172@ds.study.iitm.ac.in")</f>
        <v>23f1001172@ds.study.iitm.ac.in</v>
      </c>
      <c r="J351" s="3">
        <f>IF(D351="No R1",0,VLOOKUP(C351,'Peer-Review'!B:D,2,0))</f>
        <v>7</v>
      </c>
      <c r="K351" s="3">
        <f>IF(D351="No R1",0,VLOOKUP(C351,'Peer-Review'!B:D,3,0))</f>
        <v>7</v>
      </c>
      <c r="L351" s="3">
        <f>IF(E351="No R2",0,VLOOKUP(C351,'Peer-Review'!F:H,2,0))</f>
        <v>0</v>
      </c>
      <c r="M351" s="3">
        <f>IF(E351="No R2",0,VLOOKUP(C351,'Peer-Review'!F:H,3,0))</f>
        <v>0</v>
      </c>
    </row>
    <row r="352" hidden="1">
      <c r="A352" s="3" t="str">
        <f>IFERROR(__xludf.DUMMYFUNCTION("""COMPUTED_VALUE"""),"22f3001877@ds.study.iitm.ac.in")</f>
        <v>22f3001877@ds.study.iitm.ac.in</v>
      </c>
      <c r="B352" s="3">
        <f>IFERROR(__xludf.DUMMYFUNCTION("""COMPUTED_VALUE"""),17.0)</f>
        <v>17</v>
      </c>
      <c r="C352" s="5" t="str">
        <f>IFERROR(__xludf.DUMMYFUNCTION("""COMPUTED_VALUE"""),"https://github.com/Meet-XML/Tds_pro1")</f>
        <v>https://github.com/Meet-XML/Tds_pro1</v>
      </c>
      <c r="D352" s="3" t="str">
        <f>IFERROR(VLOOKUP(C352,'Peer-Review'!B:J,9,0),"No R1")</f>
        <v>No R1</v>
      </c>
      <c r="E352" s="3" t="str">
        <f>IFERROR(VLOOKUP(C352,'Peer-Review'!F:J,5,0),"No R2")</f>
        <v>22f3001838@ds.study.iitm.ac.in</v>
      </c>
      <c r="F352" s="3">
        <f>COUNTIF('Peer-Review'!B:B,C352)+COUNTIF('Peer-Review'!F:F,C352)</f>
        <v>2</v>
      </c>
      <c r="G352" s="3">
        <f t="shared" si="1"/>
        <v>1</v>
      </c>
      <c r="H352" s="3" t="str">
        <f>IFERROR(__xludf.DUMMYFUNCTION("IFERROR(TRANSPOSE(FILTER('Peer-Review'!$J$2:$J$568,(TRIM('Peer-Review'!$B$2:$B$568)=C352 )+ (TRIM('Peer-Review'!$F$2:$F$568)=C352))),""No Reviews"")"),"22f3001838@ds.study.iitm.ac.in")</f>
        <v>22f3001838@ds.study.iitm.ac.in</v>
      </c>
      <c r="I352" s="3" t="str">
        <f>IFERROR(__xludf.DUMMYFUNCTION("""COMPUTED_VALUE"""),"23f2005133@ds.study.iitm.ac.in")</f>
        <v>23f2005133@ds.study.iitm.ac.in</v>
      </c>
      <c r="J352" s="3">
        <f>IF(D352="No R1",0,VLOOKUP(C352,'Peer-Review'!B:D,2,0))</f>
        <v>0</v>
      </c>
      <c r="K352" s="3">
        <f>IF(D352="No R1",0,VLOOKUP(C352,'Peer-Review'!B:D,3,0))</f>
        <v>0</v>
      </c>
      <c r="L352" s="3">
        <f>IF(E352="No R2",0,VLOOKUP(C352,'Peer-Review'!F:H,2,0))</f>
        <v>6</v>
      </c>
      <c r="M352" s="3">
        <f>IF(E352="No R2",0,VLOOKUP(C352,'Peer-Review'!F:H,3,0))</f>
        <v>10</v>
      </c>
    </row>
    <row r="353" hidden="1">
      <c r="A353" s="3" t="str">
        <f>IFERROR(__xludf.DUMMYFUNCTION("""COMPUTED_VALUE"""),"22f3001905@ds.study.iitm.ac.in")</f>
        <v>22f3001905@ds.study.iitm.ac.in</v>
      </c>
      <c r="B353" s="3">
        <f>IFERROR(__xludf.DUMMYFUNCTION("""COMPUTED_VALUE"""),17.0)</f>
        <v>17</v>
      </c>
      <c r="C353" s="5" t="str">
        <f>IFERROR(__xludf.DUMMYFUNCTION("""COMPUTED_VALUE"""),"https://github.com/22f3001905/tds-project-1-github-users-repos")</f>
        <v>https://github.com/22f3001905/tds-project-1-github-users-repos</v>
      </c>
      <c r="D353" s="3" t="str">
        <f>IFERROR(VLOOKUP(C353,'Peer-Review'!B:J,9,0),"No R1")</f>
        <v>No R1</v>
      </c>
      <c r="E353" s="3" t="str">
        <f>IFERROR(VLOOKUP(C353,'Peer-Review'!F:J,5,0),"No R2")</f>
        <v>23f3002284@ds.study.iitm.ac.in</v>
      </c>
      <c r="F353" s="3">
        <f>COUNTIF('Peer-Review'!B:B,C353)+COUNTIF('Peer-Review'!F:F,C353)</f>
        <v>2</v>
      </c>
      <c r="G353" s="3">
        <f t="shared" si="1"/>
        <v>1</v>
      </c>
      <c r="H353" s="3" t="str">
        <f>IFERROR(__xludf.DUMMYFUNCTION("IFERROR(TRANSPOSE(FILTER('Peer-Review'!$J$2:$J$568,(TRIM('Peer-Review'!$B$2:$B$568)=C353 )+ (TRIM('Peer-Review'!$F$2:$F$568)=C353))),""No Reviews"")"),"23f3002284@ds.study.iitm.ac.in")</f>
        <v>23f3002284@ds.study.iitm.ac.in</v>
      </c>
      <c r="I353" s="3" t="str">
        <f>IFERROR(__xludf.DUMMYFUNCTION("""COMPUTED_VALUE"""),"22f3001877@ds.study.iitm.ac.in")</f>
        <v>22f3001877@ds.study.iitm.ac.in</v>
      </c>
      <c r="J353" s="3">
        <f>IF(D353="No R1",0,VLOOKUP(C353,'Peer-Review'!B:D,2,0))</f>
        <v>0</v>
      </c>
      <c r="K353" s="3">
        <f>IF(D353="No R1",0,VLOOKUP(C353,'Peer-Review'!B:D,3,0))</f>
        <v>0</v>
      </c>
      <c r="L353" s="3">
        <f>IF(E353="No R2",0,VLOOKUP(C353,'Peer-Review'!F:H,2,0))</f>
        <v>10</v>
      </c>
      <c r="M353" s="3">
        <f>IF(E353="No R2",0,VLOOKUP(C353,'Peer-Review'!F:H,3,0))</f>
        <v>10</v>
      </c>
    </row>
    <row r="354" hidden="1">
      <c r="A354" s="3" t="str">
        <f>IFERROR(__xludf.DUMMYFUNCTION("""COMPUTED_VALUE"""),"22f3001906@ds.study.iitm.ac.in")</f>
        <v>22f3001906@ds.study.iitm.ac.in</v>
      </c>
      <c r="B354" s="3">
        <f>IFERROR(__xludf.DUMMYFUNCTION("""COMPUTED_VALUE"""),2.0)</f>
        <v>2</v>
      </c>
      <c r="C354" s="5" t="str">
        <f>IFERROR(__xludf.DUMMYFUNCTION("""COMPUTED_VALUE"""),"https://github.com/jarin2503/tds-project-1")</f>
        <v>https://github.com/jarin2503/tds-project-1</v>
      </c>
      <c r="D354" s="3" t="str">
        <f>IFERROR(VLOOKUP(C354,'Peer-Review'!B:J,9,0),"No R1")</f>
        <v>22ds2000035@ds.study.iitm.ac.in</v>
      </c>
      <c r="E354" s="3" t="str">
        <f>IFERROR(VLOOKUP(C354,'Peer-Review'!F:J,5,0),"No R2")</f>
        <v>No R2</v>
      </c>
      <c r="F354" s="3">
        <f>COUNTIF('Peer-Review'!B:B,C354)+COUNTIF('Peer-Review'!F:F,C354)</f>
        <v>1</v>
      </c>
      <c r="G354" s="3">
        <f t="shared" si="1"/>
        <v>1</v>
      </c>
      <c r="H354" s="3" t="str">
        <f>IFERROR(__xludf.DUMMYFUNCTION("IFERROR(TRANSPOSE(FILTER('Peer-Review'!$J$2:$J$568,(TRIM('Peer-Review'!$B$2:$B$568)=C354 )+ (TRIM('Peer-Review'!$F$2:$F$568)=C354))),""No Reviews"")"),"22ds2000035@ds.study.iitm.ac.in")</f>
        <v>22ds2000035@ds.study.iitm.ac.in</v>
      </c>
      <c r="J354" s="3">
        <f>IF(D354="No R1",0,VLOOKUP(C354,'Peer-Review'!B:D,2,0))</f>
        <v>10</v>
      </c>
      <c r="K354" s="3">
        <f>IF(D354="No R1",0,VLOOKUP(C354,'Peer-Review'!B:D,3,0))</f>
        <v>0</v>
      </c>
      <c r="L354" s="3">
        <f>IF(E354="No R2",0,VLOOKUP(C354,'Peer-Review'!F:H,2,0))</f>
        <v>0</v>
      </c>
      <c r="M354" s="3">
        <f>IF(E354="No R2",0,VLOOKUP(C354,'Peer-Review'!F:H,3,0))</f>
        <v>0</v>
      </c>
    </row>
    <row r="355" hidden="1">
      <c r="A355" s="3" t="str">
        <f>IFERROR(__xludf.DUMMYFUNCTION("""COMPUTED_VALUE"""),"22f3001912@ds.study.iitm.ac.in")</f>
        <v>22f3001912@ds.study.iitm.ac.in</v>
      </c>
      <c r="B355" s="3">
        <f>IFERROR(__xludf.DUMMYFUNCTION("""COMPUTED_VALUE"""),17.0)</f>
        <v>17</v>
      </c>
      <c r="C355" s="5" t="str">
        <f>IFERROR(__xludf.DUMMYFUNCTION("""COMPUTED_VALUE"""),"https://github.com/shramadeepd/TDS_1")</f>
        <v>https://github.com/shramadeepd/TDS_1</v>
      </c>
      <c r="D355" s="3" t="str">
        <f>IFERROR(VLOOKUP(C355,'Peer-Review'!B:J,9,0),"No R1")</f>
        <v>No R1</v>
      </c>
      <c r="E355" s="3" t="str">
        <f>IFERROR(VLOOKUP(C355,'Peer-Review'!F:J,5,0),"No R2")</f>
        <v>22f3001905@ds.study.iitm.ac.in</v>
      </c>
      <c r="F355" s="3">
        <f>COUNTIF('Peer-Review'!B:B,C355)+COUNTIF('Peer-Review'!F:F,C355)</f>
        <v>2</v>
      </c>
      <c r="G355" s="3">
        <f t="shared" si="1"/>
        <v>1</v>
      </c>
      <c r="H355" s="3" t="str">
        <f>IFERROR(__xludf.DUMMYFUNCTION("IFERROR(TRANSPOSE(FILTER('Peer-Review'!$J$2:$J$568,(TRIM('Peer-Review'!$B$2:$B$568)=C355 )+ (TRIM('Peer-Review'!$F$2:$F$568)=C355))),""No Reviews"")"),"22f3001905@ds.study.iitm.ac.in")</f>
        <v>22f3001905@ds.study.iitm.ac.in</v>
      </c>
      <c r="I355" s="3" t="str">
        <f>IFERROR(__xludf.DUMMYFUNCTION("""COMPUTED_VALUE"""),"23f3002624@ds.study.iitm.ac.in")</f>
        <v>23f3002624@ds.study.iitm.ac.in</v>
      </c>
      <c r="J355" s="3">
        <f>IF(D355="No R1",0,VLOOKUP(C355,'Peer-Review'!B:D,2,0))</f>
        <v>0</v>
      </c>
      <c r="K355" s="3">
        <f>IF(D355="No R1",0,VLOOKUP(C355,'Peer-Review'!B:D,3,0))</f>
        <v>0</v>
      </c>
      <c r="L355" s="3">
        <f>IF(E355="No R2",0,VLOOKUP(C355,'Peer-Review'!F:H,2,0))</f>
        <v>5</v>
      </c>
      <c r="M355" s="3">
        <f>IF(E355="No R2",0,VLOOKUP(C355,'Peer-Review'!F:H,3,0))</f>
        <v>4</v>
      </c>
    </row>
    <row r="356" hidden="1">
      <c r="A356" s="3" t="str">
        <f>IFERROR(__xludf.DUMMYFUNCTION("""COMPUTED_VALUE"""),"22f3001914@ds.study.iitm.ac.in")</f>
        <v>22f3001914@ds.study.iitm.ac.in</v>
      </c>
      <c r="B356" s="3">
        <f>IFERROR(__xludf.DUMMYFUNCTION("""COMPUTED_VALUE"""),14.0)</f>
        <v>14</v>
      </c>
      <c r="C356" s="5" t="str">
        <f>IFERROR(__xludf.DUMMYFUNCTION("""COMPUTED_VALUE"""),"https://github.com/22f3001914/TDS_Project1")</f>
        <v>https://github.com/22f3001914/TDS_Project1</v>
      </c>
      <c r="D356" s="3" t="str">
        <f>IFERROR(VLOOKUP(C356,'Peer-Review'!B:J,9,0),"No R1")</f>
        <v>No R1</v>
      </c>
      <c r="E356" s="3" t="str">
        <f>IFERROR(VLOOKUP(C356,'Peer-Review'!F:J,5,0),"No R2")</f>
        <v>No R2</v>
      </c>
      <c r="F356" s="3">
        <f>COUNTIF('Peer-Review'!B:B,C356)+COUNTIF('Peer-Review'!F:F,C356)</f>
        <v>0</v>
      </c>
      <c r="G356" s="3">
        <f t="shared" si="1"/>
        <v>0</v>
      </c>
      <c r="H356" s="3" t="str">
        <f>IFERROR(__xludf.DUMMYFUNCTION("IFERROR(TRANSPOSE(FILTER('Peer-Review'!$J$2:$J$568,(TRIM('Peer-Review'!$B$2:$B$568)=C356 )+ (TRIM('Peer-Review'!$F$2:$F$568)=C356))),""No Reviews"")"),"No Reviews")</f>
        <v>No Reviews</v>
      </c>
      <c r="J356" s="3">
        <f>IF(D356="No R1",0,VLOOKUP(C356,'Peer-Review'!B:D,2,0))</f>
        <v>0</v>
      </c>
      <c r="K356" s="3">
        <f>IF(D356="No R1",0,VLOOKUP(C356,'Peer-Review'!B:D,3,0))</f>
        <v>0</v>
      </c>
      <c r="L356" s="3">
        <f>IF(E356="No R2",0,VLOOKUP(C356,'Peer-Review'!F:H,2,0))</f>
        <v>0</v>
      </c>
      <c r="M356" s="3">
        <f>IF(E356="No R2",0,VLOOKUP(C356,'Peer-Review'!F:H,3,0))</f>
        <v>0</v>
      </c>
    </row>
    <row r="357" hidden="1">
      <c r="A357" s="3" t="str">
        <f>IFERROR(__xludf.DUMMYFUNCTION("""COMPUTED_VALUE"""),"22f3001943@ds.study.iitm.ac.in")</f>
        <v>22f3001943@ds.study.iitm.ac.in</v>
      </c>
      <c r="B357" s="3">
        <f>IFERROR(__xludf.DUMMYFUNCTION("""COMPUTED_VALUE"""),0.0)</f>
        <v>0</v>
      </c>
      <c r="C357" s="5" t="str">
        <f>IFERROR(__xludf.DUMMYFUNCTION("""COMPUTED_VALUE"""),"https://github.com/sam22ridhi/iitm")</f>
        <v>https://github.com/sam22ridhi/iitm</v>
      </c>
      <c r="D357" s="3" t="str">
        <f>IFERROR(VLOOKUP(C357,'Peer-Review'!B:J,9,0),"No R1")</f>
        <v>No R1</v>
      </c>
      <c r="E357" s="3" t="str">
        <f>IFERROR(VLOOKUP(C357,'Peer-Review'!F:J,5,0),"No R2")</f>
        <v>No R2</v>
      </c>
      <c r="F357" s="3">
        <f>COUNTIF('Peer-Review'!B:B,C357)+COUNTIF('Peer-Review'!F:F,C357)</f>
        <v>0</v>
      </c>
      <c r="G357" s="3">
        <f t="shared" si="1"/>
        <v>0</v>
      </c>
      <c r="H357" s="3" t="str">
        <f>IFERROR(__xludf.DUMMYFUNCTION("IFERROR(TRANSPOSE(FILTER('Peer-Review'!$J$2:$J$568,(TRIM('Peer-Review'!$B$2:$B$568)=C357 )+ (TRIM('Peer-Review'!$F$2:$F$568)=C357))),""No Reviews"")"),"No Reviews")</f>
        <v>No Reviews</v>
      </c>
      <c r="J357" s="3">
        <f>IF(D357="No R1",0,VLOOKUP(C357,'Peer-Review'!B:D,2,0))</f>
        <v>0</v>
      </c>
      <c r="K357" s="3">
        <f>IF(D357="No R1",0,VLOOKUP(C357,'Peer-Review'!B:D,3,0))</f>
        <v>0</v>
      </c>
      <c r="L357" s="3">
        <f>IF(E357="No R2",0,VLOOKUP(C357,'Peer-Review'!F:H,2,0))</f>
        <v>0</v>
      </c>
      <c r="M357" s="3">
        <f>IF(E357="No R2",0,VLOOKUP(C357,'Peer-Review'!F:H,3,0))</f>
        <v>0</v>
      </c>
    </row>
    <row r="358" hidden="1">
      <c r="A358" s="3" t="str">
        <f>IFERROR(__xludf.DUMMYFUNCTION("""COMPUTED_VALUE"""),"22f3001953@ds.study.iitm.ac.in")</f>
        <v>22f3001953@ds.study.iitm.ac.in</v>
      </c>
      <c r="B358" s="3">
        <f>IFERROR(__xludf.DUMMYFUNCTION("""COMPUTED_VALUE"""),17.0)</f>
        <v>17</v>
      </c>
      <c r="C358" s="5" t="str">
        <f>IFERROR(__xludf.DUMMYFUNCTION("""COMPUTED_VALUE"""),"https://github.com/Sh1617/Project1")</f>
        <v>https://github.com/Sh1617/Project1</v>
      </c>
      <c r="D358" s="3" t="str">
        <f>IFERROR(VLOOKUP(C358,'Peer-Review'!B:J,9,0),"No R1")</f>
        <v>No R1</v>
      </c>
      <c r="E358" s="3" t="str">
        <f>IFERROR(VLOOKUP(C358,'Peer-Review'!F:J,5,0),"No R2")</f>
        <v>23f3003721@ds.study.iitm.ac.in</v>
      </c>
      <c r="F358" s="3">
        <f>COUNTIF('Peer-Review'!B:B,C358)+COUNTIF('Peer-Review'!F:F,C358)</f>
        <v>2</v>
      </c>
      <c r="G358" s="3">
        <f t="shared" si="1"/>
        <v>1</v>
      </c>
      <c r="H358" s="3" t="str">
        <f>IFERROR(__xludf.DUMMYFUNCTION("IFERROR(TRANSPOSE(FILTER('Peer-Review'!$J$2:$J$568,(TRIM('Peer-Review'!$B$2:$B$568)=C358 )+ (TRIM('Peer-Review'!$F$2:$F$568)=C358))),""No Reviews"")"),"23f3003721@ds.study.iitm.ac.in")</f>
        <v>23f3003721@ds.study.iitm.ac.in</v>
      </c>
      <c r="I358" s="3" t="str">
        <f>IFERROR(__xludf.DUMMYFUNCTION("""COMPUTED_VALUE"""),"22f3001912@ds.study.iitm.ac.in")</f>
        <v>22f3001912@ds.study.iitm.ac.in</v>
      </c>
      <c r="J358" s="3">
        <f>IF(D358="No R1",0,VLOOKUP(C358,'Peer-Review'!B:D,2,0))</f>
        <v>0</v>
      </c>
      <c r="K358" s="3">
        <f>IF(D358="No R1",0,VLOOKUP(C358,'Peer-Review'!B:D,3,0))</f>
        <v>0</v>
      </c>
      <c r="L358" s="3">
        <f>IF(E358="No R2",0,VLOOKUP(C358,'Peer-Review'!F:H,2,0))</f>
        <v>8</v>
      </c>
      <c r="M358" s="3">
        <f>IF(E358="No R2",0,VLOOKUP(C358,'Peer-Review'!F:H,3,0))</f>
        <v>8</v>
      </c>
    </row>
    <row r="359" hidden="1">
      <c r="A359" s="3" t="str">
        <f>IFERROR(__xludf.DUMMYFUNCTION("""COMPUTED_VALUE"""),"22f3001954@ds.study.iitm.ac.in")</f>
        <v>22f3001954@ds.study.iitm.ac.in</v>
      </c>
      <c r="B359" s="3">
        <f>IFERROR(__xludf.DUMMYFUNCTION("""COMPUTED_VALUE"""),15.0)</f>
        <v>15</v>
      </c>
      <c r="C359" s="5" t="str">
        <f>IFERROR(__xludf.DUMMYFUNCTION("""COMPUTED_VALUE"""),"https://github.com/srupat/tds_project_1")</f>
        <v>https://github.com/srupat/tds_project_1</v>
      </c>
      <c r="D359" s="3" t="str">
        <f>IFERROR(VLOOKUP(C359,'Peer-Review'!B:J,9,0),"No R1")</f>
        <v>22f3002877@ds.study.iitm.ac.in</v>
      </c>
      <c r="E359" s="3" t="str">
        <f>IFERROR(VLOOKUP(C359,'Peer-Review'!F:J,5,0),"No R2")</f>
        <v>No R2</v>
      </c>
      <c r="F359" s="3">
        <f>COUNTIF('Peer-Review'!B:B,C359)+COUNTIF('Peer-Review'!F:F,C359)</f>
        <v>2</v>
      </c>
      <c r="G359" s="3">
        <f t="shared" si="1"/>
        <v>1</v>
      </c>
      <c r="H359" s="3" t="str">
        <f>IFERROR(__xludf.DUMMYFUNCTION("IFERROR(TRANSPOSE(FILTER('Peer-Review'!$J$2:$J$568,(TRIM('Peer-Review'!$B$2:$B$568)=C359 )+ (TRIM('Peer-Review'!$F$2:$F$568)=C359))),""No Reviews"")"),"22f3002877@ds.study.iitm.ac.in")</f>
        <v>22f3002877@ds.study.iitm.ac.in</v>
      </c>
      <c r="I359" s="3" t="str">
        <f>IFERROR(__xludf.DUMMYFUNCTION("""COMPUTED_VALUE"""),"23f2004499@ds.study.iitm.ac.in")</f>
        <v>23f2004499@ds.study.iitm.ac.in</v>
      </c>
      <c r="J359" s="3">
        <f>IF(D359="No R1",0,VLOOKUP(C359,'Peer-Review'!B:D,2,0))</f>
        <v>10</v>
      </c>
      <c r="K359" s="3">
        <f>IF(D359="No R1",0,VLOOKUP(C359,'Peer-Review'!B:D,3,0))</f>
        <v>10</v>
      </c>
      <c r="L359" s="3">
        <f>IF(E359="No R2",0,VLOOKUP(C359,'Peer-Review'!F:H,2,0))</f>
        <v>0</v>
      </c>
      <c r="M359" s="3">
        <f>IF(E359="No R2",0,VLOOKUP(C359,'Peer-Review'!F:H,3,0))</f>
        <v>0</v>
      </c>
    </row>
    <row r="360" hidden="1">
      <c r="A360" s="3" t="str">
        <f>IFERROR(__xludf.DUMMYFUNCTION("""COMPUTED_VALUE"""),"22f3001981@ds.study.iitm.ac.in")</f>
        <v>22f3001981@ds.study.iitm.ac.in</v>
      </c>
      <c r="B360" s="3">
        <f>IFERROR(__xludf.DUMMYFUNCTION("""COMPUTED_VALUE"""),17.0)</f>
        <v>17</v>
      </c>
      <c r="C360" s="5" t="str">
        <f>IFERROR(__xludf.DUMMYFUNCTION("""COMPUTED_VALUE"""),"https://github.com/LuckyArya27/tds-project1")</f>
        <v>https://github.com/LuckyArya27/tds-project1</v>
      </c>
      <c r="D360" s="3" t="str">
        <f>IFERROR(VLOOKUP(C360,'Peer-Review'!B:J,9,0),"No R1")</f>
        <v>No R1</v>
      </c>
      <c r="E360" s="3" t="str">
        <f>IFERROR(VLOOKUP(C360,'Peer-Review'!F:J,5,0),"No R2")</f>
        <v>22f3001953@ds.study.iitm.ac.in</v>
      </c>
      <c r="F360" s="3">
        <f>COUNTIF('Peer-Review'!B:B,C360)+COUNTIF('Peer-Review'!F:F,C360)</f>
        <v>1</v>
      </c>
      <c r="G360" s="3">
        <f t="shared" si="1"/>
        <v>1</v>
      </c>
      <c r="H360" s="3" t="str">
        <f>IFERROR(__xludf.DUMMYFUNCTION("IFERROR(TRANSPOSE(FILTER('Peer-Review'!$J$2:$J$568,(TRIM('Peer-Review'!$B$2:$B$568)=C360 )+ (TRIM('Peer-Review'!$F$2:$F$568)=C360))),""No Reviews"")"),"22f3001953@ds.study.iitm.ac.in")</f>
        <v>22f3001953@ds.study.iitm.ac.in</v>
      </c>
      <c r="J360" s="3">
        <f>IF(D360="No R1",0,VLOOKUP(C360,'Peer-Review'!B:D,2,0))</f>
        <v>0</v>
      </c>
      <c r="K360" s="3">
        <f>IF(D360="No R1",0,VLOOKUP(C360,'Peer-Review'!B:D,3,0))</f>
        <v>0</v>
      </c>
      <c r="L360" s="3">
        <f>IF(E360="No R2",0,VLOOKUP(C360,'Peer-Review'!F:H,2,0))</f>
        <v>10</v>
      </c>
      <c r="M360" s="3">
        <f>IF(E360="No R2",0,VLOOKUP(C360,'Peer-Review'!F:H,3,0))</f>
        <v>10</v>
      </c>
    </row>
    <row r="361" hidden="1">
      <c r="A361" s="3" t="str">
        <f>IFERROR(__xludf.DUMMYFUNCTION("""COMPUTED_VALUE"""),"22f3002004@ds.study.iitm.ac.in")</f>
        <v>22f3002004@ds.study.iitm.ac.in</v>
      </c>
      <c r="B361" s="3">
        <f>IFERROR(__xludf.DUMMYFUNCTION("""COMPUTED_VALUE"""),17.0)</f>
        <v>17</v>
      </c>
      <c r="C361" s="5" t="str">
        <f>IFERROR(__xludf.DUMMYFUNCTION("""COMPUTED_VALUE"""),"https://github.com/gadilashashank/tds_p1")</f>
        <v>https://github.com/gadilashashank/tds_p1</v>
      </c>
      <c r="D361" s="3" t="str">
        <f>IFERROR(VLOOKUP(C361,'Peer-Review'!B:J,9,0),"No R1")</f>
        <v>No R1</v>
      </c>
      <c r="E361" s="3" t="str">
        <f>IFERROR(VLOOKUP(C361,'Peer-Review'!F:J,5,0),"No R2")</f>
        <v>23f3004354@ds.study.iitm.ac.in</v>
      </c>
      <c r="F361" s="3">
        <f>COUNTIF('Peer-Review'!B:B,C361)+COUNTIF('Peer-Review'!F:F,C361)</f>
        <v>2</v>
      </c>
      <c r="G361" s="3">
        <f t="shared" si="1"/>
        <v>1</v>
      </c>
      <c r="H361" s="3" t="str">
        <f>IFERROR(__xludf.DUMMYFUNCTION("IFERROR(TRANSPOSE(FILTER('Peer-Review'!$J$2:$J$568,(TRIM('Peer-Review'!$B$2:$B$568)=C361 )+ (TRIM('Peer-Review'!$F$2:$F$568)=C361))),""No Reviews"")"),"23f3004354@ds.study.iitm.ac.in")</f>
        <v>23f3004354@ds.study.iitm.ac.in</v>
      </c>
      <c r="I361" s="3" t="str">
        <f>IFERROR(__xludf.DUMMYFUNCTION("""COMPUTED_VALUE"""),"22f3001981@ds.study.iitm.ac.in")</f>
        <v>22f3001981@ds.study.iitm.ac.in</v>
      </c>
      <c r="J361" s="3">
        <f>IF(D361="No R1",0,VLOOKUP(C361,'Peer-Review'!B:D,2,0))</f>
        <v>0</v>
      </c>
      <c r="K361" s="3">
        <f>IF(D361="No R1",0,VLOOKUP(C361,'Peer-Review'!B:D,3,0))</f>
        <v>0</v>
      </c>
      <c r="L361" s="3">
        <f>IF(E361="No R2",0,VLOOKUP(C361,'Peer-Review'!F:H,2,0))</f>
        <v>7</v>
      </c>
      <c r="M361" s="3">
        <f>IF(E361="No R2",0,VLOOKUP(C361,'Peer-Review'!F:H,3,0))</f>
        <v>7</v>
      </c>
    </row>
    <row r="362" hidden="1">
      <c r="A362" s="3" t="str">
        <f>IFERROR(__xludf.DUMMYFUNCTION("""COMPUTED_VALUE"""),"22f3002048@ds.study.iitm.ac.in")</f>
        <v>22f3002048@ds.study.iitm.ac.in</v>
      </c>
      <c r="B362" s="3">
        <f>IFERROR(__xludf.DUMMYFUNCTION("""COMPUTED_VALUE"""),14.0)</f>
        <v>14</v>
      </c>
      <c r="C362" s="5" t="str">
        <f>IFERROR(__xludf.DUMMYFUNCTION("""COMPUTED_VALUE"""),"https://github.com/chandrabs25/tds_project1")</f>
        <v>https://github.com/chandrabs25/tds_project1</v>
      </c>
      <c r="D362" s="3" t="str">
        <f>IFERROR(VLOOKUP(C362,'Peer-Review'!B:J,9,0),"No R1")</f>
        <v>No R1</v>
      </c>
      <c r="E362" s="3" t="str">
        <f>IFERROR(VLOOKUP(C362,'Peer-Review'!F:J,5,0),"No R2")</f>
        <v>23f1001050@ds.study.iitm.ac.in</v>
      </c>
      <c r="F362" s="3">
        <f>COUNTIF('Peer-Review'!B:B,C362)+COUNTIF('Peer-Review'!F:F,C362)</f>
        <v>1</v>
      </c>
      <c r="G362" s="3">
        <f t="shared" si="1"/>
        <v>1</v>
      </c>
      <c r="H362" s="3" t="str">
        <f>IFERROR(__xludf.DUMMYFUNCTION("IFERROR(TRANSPOSE(FILTER('Peer-Review'!$J$2:$J$568,(TRIM('Peer-Review'!$B$2:$B$568)=C362 )+ (TRIM('Peer-Review'!$F$2:$F$568)=C362))),""No Reviews"")"),"23f1001050@ds.study.iitm.ac.in")</f>
        <v>23f1001050@ds.study.iitm.ac.in</v>
      </c>
      <c r="J362" s="3">
        <f>IF(D362="No R1",0,VLOOKUP(C362,'Peer-Review'!B:D,2,0))</f>
        <v>0</v>
      </c>
      <c r="K362" s="3">
        <f>IF(D362="No R1",0,VLOOKUP(C362,'Peer-Review'!B:D,3,0))</f>
        <v>0</v>
      </c>
      <c r="L362" s="3">
        <f>IF(E362="No R2",0,VLOOKUP(C362,'Peer-Review'!F:H,2,0))</f>
        <v>5</v>
      </c>
      <c r="M362" s="3">
        <f>IF(E362="No R2",0,VLOOKUP(C362,'Peer-Review'!F:H,3,0))</f>
        <v>10</v>
      </c>
    </row>
    <row r="363" hidden="1">
      <c r="A363" s="3" t="str">
        <f>IFERROR(__xludf.DUMMYFUNCTION("""COMPUTED_VALUE"""),"22f3002051@ds.study.iitm.ac.in")</f>
        <v>22f3002051@ds.study.iitm.ac.in</v>
      </c>
      <c r="B363" s="3">
        <f>IFERROR(__xludf.DUMMYFUNCTION("""COMPUTED_VALUE"""),17.0)</f>
        <v>17</v>
      </c>
      <c r="C363" s="5" t="str">
        <f>IFERROR(__xludf.DUMMYFUNCTION("""COMPUTED_VALUE"""),"https://github.com/spacetime177/tds_proj")</f>
        <v>https://github.com/spacetime177/tds_proj</v>
      </c>
      <c r="D363" s="3" t="str">
        <f>IFERROR(VLOOKUP(C363,'Peer-Review'!B:J,9,0),"No R1")</f>
        <v>No R1</v>
      </c>
      <c r="E363" s="3" t="str">
        <f>IFERROR(VLOOKUP(C363,'Peer-Review'!F:J,5,0),"No R2")</f>
        <v>22f3002004@ds.study.iitm.ac.in</v>
      </c>
      <c r="F363" s="3">
        <f>COUNTIF('Peer-Review'!B:B,C363)+COUNTIF('Peer-Review'!F:F,C363)</f>
        <v>2</v>
      </c>
      <c r="G363" s="3">
        <f t="shared" si="1"/>
        <v>1</v>
      </c>
      <c r="H363" s="3" t="str">
        <f>IFERROR(__xludf.DUMMYFUNCTION("IFERROR(TRANSPOSE(FILTER('Peer-Review'!$J$2:$J$568,(TRIM('Peer-Review'!$B$2:$B$568)=C363 )+ (TRIM('Peer-Review'!$F$2:$F$568)=C363))),""No Reviews"")"),"22f3002004@ds.study.iitm.ac.in")</f>
        <v>22f3002004@ds.study.iitm.ac.in</v>
      </c>
      <c r="I363" s="3" t="str">
        <f>IFERROR(__xludf.DUMMYFUNCTION("""COMPUTED_VALUE"""),"23f3004405@ds.study.iitm.ac.in")</f>
        <v>23f3004405@ds.study.iitm.ac.in</v>
      </c>
      <c r="J363" s="3">
        <f>IF(D363="No R1",0,VLOOKUP(C363,'Peer-Review'!B:D,2,0))</f>
        <v>0</v>
      </c>
      <c r="K363" s="3">
        <f>IF(D363="No R1",0,VLOOKUP(C363,'Peer-Review'!B:D,3,0))</f>
        <v>0</v>
      </c>
      <c r="L363" s="3">
        <f>IF(E363="No R2",0,VLOOKUP(C363,'Peer-Review'!F:H,2,0))</f>
        <v>10</v>
      </c>
      <c r="M363" s="3">
        <f>IF(E363="No R2",0,VLOOKUP(C363,'Peer-Review'!F:H,3,0))</f>
        <v>10</v>
      </c>
    </row>
    <row r="364" hidden="1">
      <c r="A364" s="3" t="str">
        <f>IFERROR(__xludf.DUMMYFUNCTION("""COMPUTED_VALUE"""),"22f3002094@ds.study.iitm.ac.in")</f>
        <v>22f3002094@ds.study.iitm.ac.in</v>
      </c>
      <c r="B364" s="3">
        <f>IFERROR(__xludf.DUMMYFUNCTION("""COMPUTED_VALUE"""),17.0)</f>
        <v>17</v>
      </c>
      <c r="C364" s="5" t="str">
        <f>IFERROR(__xludf.DUMMYFUNCTION("""COMPUTED_VALUE"""),"https://github.com/22f3002094/Tds-project-1")</f>
        <v>https://github.com/22f3002094/Tds-project-1</v>
      </c>
      <c r="D364" s="3" t="str">
        <f>IFERROR(VLOOKUP(C364,'Peer-Review'!B:J,9,0),"No R1")</f>
        <v>No R1</v>
      </c>
      <c r="E364" s="3" t="str">
        <f>IFERROR(VLOOKUP(C364,'Peer-Review'!F:J,5,0),"No R2")</f>
        <v>24ds1000075@ds.study.iitm.ac.in</v>
      </c>
      <c r="F364" s="3">
        <f>COUNTIF('Peer-Review'!B:B,C364)+COUNTIF('Peer-Review'!F:F,C364)</f>
        <v>2</v>
      </c>
      <c r="G364" s="3">
        <f t="shared" si="1"/>
        <v>1</v>
      </c>
      <c r="H364" s="3" t="str">
        <f>IFERROR(__xludf.DUMMYFUNCTION("IFERROR(TRANSPOSE(FILTER('Peer-Review'!$J$2:$J$568,(TRIM('Peer-Review'!$B$2:$B$568)=C364 )+ (TRIM('Peer-Review'!$F$2:$F$568)=C364))),""No Reviews"")"),"24ds1000075@ds.study.iitm.ac.in")</f>
        <v>24ds1000075@ds.study.iitm.ac.in</v>
      </c>
      <c r="I364" s="3" t="str">
        <f>IFERROR(__xludf.DUMMYFUNCTION("""COMPUTED_VALUE"""),"22f3002051@ds.study.iitm.ac.in")</f>
        <v>22f3002051@ds.study.iitm.ac.in</v>
      </c>
      <c r="J364" s="3">
        <f>IF(D364="No R1",0,VLOOKUP(C364,'Peer-Review'!B:D,2,0))</f>
        <v>0</v>
      </c>
      <c r="K364" s="3">
        <f>IF(D364="No R1",0,VLOOKUP(C364,'Peer-Review'!B:D,3,0))</f>
        <v>0</v>
      </c>
      <c r="L364" s="3">
        <f>IF(E364="No R2",0,VLOOKUP(C364,'Peer-Review'!F:H,2,0))</f>
        <v>10</v>
      </c>
      <c r="M364" s="3">
        <f>IF(E364="No R2",0,VLOOKUP(C364,'Peer-Review'!F:H,3,0))</f>
        <v>10</v>
      </c>
    </row>
    <row r="365" hidden="1">
      <c r="A365" s="3" t="str">
        <f>IFERROR(__xludf.DUMMYFUNCTION("""COMPUTED_VALUE"""),"22f3002113@ds.study.iitm.ac.in")</f>
        <v>22f3002113@ds.study.iitm.ac.in</v>
      </c>
      <c r="B365" s="3">
        <f>IFERROR(__xludf.DUMMYFUNCTION("""COMPUTED_VALUE"""),13.0)</f>
        <v>13</v>
      </c>
      <c r="C365" s="5" t="str">
        <f>IFERROR(__xludf.DUMMYFUNCTION("""COMPUTED_VALUE"""),"https://github.com/randomuser438/TDS_proj")</f>
        <v>https://github.com/randomuser438/TDS_proj</v>
      </c>
      <c r="D365" s="3" t="str">
        <f>IFERROR(VLOOKUP(C365,'Peer-Review'!B:J,9,0),"No R1")</f>
        <v>22f3002200@ds.study.iitm.ac.in</v>
      </c>
      <c r="E365" s="3" t="str">
        <f>IFERROR(VLOOKUP(C365,'Peer-Review'!F:J,5,0),"No R2")</f>
        <v>No R2</v>
      </c>
      <c r="F365" s="3">
        <f>COUNTIF('Peer-Review'!B:B,C365)+COUNTIF('Peer-Review'!F:F,C365)</f>
        <v>1</v>
      </c>
      <c r="G365" s="3">
        <f t="shared" si="1"/>
        <v>1</v>
      </c>
      <c r="H365" s="3" t="str">
        <f>IFERROR(__xludf.DUMMYFUNCTION("IFERROR(TRANSPOSE(FILTER('Peer-Review'!$J$2:$J$568,(TRIM('Peer-Review'!$B$2:$B$568)=C365 )+ (TRIM('Peer-Review'!$F$2:$F$568)=C365))),""No Reviews"")"),"22f3002200@ds.study.iitm.ac.in")</f>
        <v>22f3002200@ds.study.iitm.ac.in</v>
      </c>
      <c r="J365" s="3">
        <f>IF(D365="No R1",0,VLOOKUP(C365,'Peer-Review'!B:D,2,0))</f>
        <v>10</v>
      </c>
      <c r="K365" s="3">
        <f>IF(D365="No R1",0,VLOOKUP(C365,'Peer-Review'!B:D,3,0))</f>
        <v>10</v>
      </c>
      <c r="L365" s="3">
        <f>IF(E365="No R2",0,VLOOKUP(C365,'Peer-Review'!F:H,2,0))</f>
        <v>0</v>
      </c>
      <c r="M365" s="3">
        <f>IF(E365="No R2",0,VLOOKUP(C365,'Peer-Review'!F:H,3,0))</f>
        <v>0</v>
      </c>
    </row>
    <row r="366" hidden="1">
      <c r="A366" s="3" t="str">
        <f>IFERROR(__xludf.DUMMYFUNCTION("""COMPUTED_VALUE"""),"22f3002119@ds.study.iitm.ac.in")</f>
        <v>22f3002119@ds.study.iitm.ac.in</v>
      </c>
      <c r="B366" s="3">
        <f>IFERROR(__xludf.DUMMYFUNCTION("""COMPUTED_VALUE"""),16.0)</f>
        <v>16</v>
      </c>
      <c r="C366" s="5" t="str">
        <f>IFERROR(__xludf.DUMMYFUNCTION("""COMPUTED_VALUE"""),"https://github.com/Pkant-b/TDS-Proj1/tree/main")</f>
        <v>https://github.com/Pkant-b/TDS-Proj1/tree/main</v>
      </c>
      <c r="D366" s="3" t="str">
        <f>IFERROR(VLOOKUP(C366,'Peer-Review'!B:J,9,0),"No R1")</f>
        <v>No R1</v>
      </c>
      <c r="E366" s="3" t="str">
        <f>IFERROR(VLOOKUP(C366,'Peer-Review'!F:J,5,0),"No R2")</f>
        <v>22f3001836@ds.study.iitm.ac.in</v>
      </c>
      <c r="F366" s="3">
        <f>COUNTIF('Peer-Review'!B:B,C366)+COUNTIF('Peer-Review'!F:F,C366)</f>
        <v>1</v>
      </c>
      <c r="G366" s="3">
        <f t="shared" si="1"/>
        <v>1</v>
      </c>
      <c r="H366" s="3" t="str">
        <f>IFERROR(__xludf.DUMMYFUNCTION("IFERROR(TRANSPOSE(FILTER('Peer-Review'!$J$2:$J$568,(TRIM('Peer-Review'!$B$2:$B$568)=C366 )+ (TRIM('Peer-Review'!$F$2:$F$568)=C366))),""No Reviews"")"),"22f3001836@ds.study.iitm.ac.in")</f>
        <v>22f3001836@ds.study.iitm.ac.in</v>
      </c>
      <c r="J366" s="3">
        <f>IF(D366="No R1",0,VLOOKUP(C366,'Peer-Review'!B:D,2,0))</f>
        <v>0</v>
      </c>
      <c r="K366" s="3">
        <f>IF(D366="No R1",0,VLOOKUP(C366,'Peer-Review'!B:D,3,0))</f>
        <v>0</v>
      </c>
      <c r="L366" s="3">
        <f>IF(E366="No R2",0,VLOOKUP(C366,'Peer-Review'!F:H,2,0))</f>
        <v>10</v>
      </c>
      <c r="M366" s="3">
        <f>IF(E366="No R2",0,VLOOKUP(C366,'Peer-Review'!F:H,3,0))</f>
        <v>10</v>
      </c>
    </row>
    <row r="367" hidden="1">
      <c r="A367" s="3" t="str">
        <f>IFERROR(__xludf.DUMMYFUNCTION("""COMPUTED_VALUE"""),"22f3002174@ds.study.iitm.ac.in")</f>
        <v>22f3002174@ds.study.iitm.ac.in</v>
      </c>
      <c r="B367" s="3">
        <f>IFERROR(__xludf.DUMMYFUNCTION("""COMPUTED_VALUE"""),14.0)</f>
        <v>14</v>
      </c>
      <c r="C367" s="5" t="str">
        <f>IFERROR(__xludf.DUMMYFUNCTION("""COMPUTED_VALUE"""),"https://github.com/mailkharshvardhan/chicago-developers-data")</f>
        <v>https://github.com/mailkharshvardhan/chicago-developers-data</v>
      </c>
      <c r="D367" s="3" t="str">
        <f>IFERROR(VLOOKUP(C367,'Peer-Review'!B:J,9,0),"No R1")</f>
        <v>23f1001125@ds.study.iitm.ac.in</v>
      </c>
      <c r="E367" s="3" t="str">
        <f>IFERROR(VLOOKUP(C367,'Peer-Review'!F:J,5,0),"No R2")</f>
        <v>No R2</v>
      </c>
      <c r="F367" s="3">
        <f>COUNTIF('Peer-Review'!B:B,C367)+COUNTIF('Peer-Review'!F:F,C367)</f>
        <v>1</v>
      </c>
      <c r="G367" s="3">
        <f t="shared" si="1"/>
        <v>1</v>
      </c>
      <c r="H367" s="3" t="str">
        <f>IFERROR(__xludf.DUMMYFUNCTION("IFERROR(TRANSPOSE(FILTER('Peer-Review'!$J$2:$J$568,(TRIM('Peer-Review'!$B$2:$B$568)=C367 )+ (TRIM('Peer-Review'!$F$2:$F$568)=C367))),""No Reviews"")"),"23f1001125@ds.study.iitm.ac.in")</f>
        <v>23f1001125@ds.study.iitm.ac.in</v>
      </c>
      <c r="J367" s="3">
        <f>IF(D367="No R1",0,VLOOKUP(C367,'Peer-Review'!B:D,2,0))</f>
        <v>5</v>
      </c>
      <c r="K367" s="3">
        <f>IF(D367="No R1",0,VLOOKUP(C367,'Peer-Review'!B:D,3,0))</f>
        <v>0</v>
      </c>
      <c r="L367" s="3">
        <f>IF(E367="No R2",0,VLOOKUP(C367,'Peer-Review'!F:H,2,0))</f>
        <v>0</v>
      </c>
      <c r="M367" s="3">
        <f>IF(E367="No R2",0,VLOOKUP(C367,'Peer-Review'!F:H,3,0))</f>
        <v>0</v>
      </c>
    </row>
    <row r="368" hidden="1">
      <c r="A368" s="3" t="str">
        <f>IFERROR(__xludf.DUMMYFUNCTION("""COMPUTED_VALUE"""),"22f3002192@ds.study.iitm.ac.in")</f>
        <v>22f3002192@ds.study.iitm.ac.in</v>
      </c>
      <c r="B368" s="3">
        <f>IFERROR(__xludf.DUMMYFUNCTION("""COMPUTED_VALUE"""),14.0)</f>
        <v>14</v>
      </c>
      <c r="C368" s="5" t="str">
        <f>IFERROR(__xludf.DUMMYFUNCTION("""COMPUTED_VALUE"""),"https://github.com/iitm-student/Project1")</f>
        <v>https://github.com/iitm-student/Project1</v>
      </c>
      <c r="D368" s="3" t="str">
        <f>IFERROR(VLOOKUP(C368,'Peer-Review'!B:J,9,0),"No R1")</f>
        <v>22f3002597@ds.study.iitm.ac.in</v>
      </c>
      <c r="E368" s="3" t="str">
        <f>IFERROR(VLOOKUP(C368,'Peer-Review'!F:J,5,0),"No R2")</f>
        <v>No R2</v>
      </c>
      <c r="F368" s="3">
        <f>COUNTIF('Peer-Review'!B:B,C368)+COUNTIF('Peer-Review'!F:F,C368)</f>
        <v>2</v>
      </c>
      <c r="G368" s="3">
        <f t="shared" si="1"/>
        <v>1</v>
      </c>
      <c r="H368" s="3" t="str">
        <f>IFERROR(__xludf.DUMMYFUNCTION("IFERROR(TRANSPOSE(FILTER('Peer-Review'!$J$2:$J$568,(TRIM('Peer-Review'!$B$2:$B$568)=C368 )+ (TRIM('Peer-Review'!$F$2:$F$568)=C368))),""No Reviews"")"),"22f3002597@ds.study.iitm.ac.in")</f>
        <v>22f3002597@ds.study.iitm.ac.in</v>
      </c>
      <c r="I368" s="3" t="str">
        <f>IFERROR(__xludf.DUMMYFUNCTION("""COMPUTED_VALUE"""),"23f1001130@ds.study.iitm.ac.in")</f>
        <v>23f1001130@ds.study.iitm.ac.in</v>
      </c>
      <c r="J368" s="3">
        <f>IF(D368="No R1",0,VLOOKUP(C368,'Peer-Review'!B:D,2,0))</f>
        <v>3</v>
      </c>
      <c r="K368" s="3">
        <f>IF(D368="No R1",0,VLOOKUP(C368,'Peer-Review'!B:D,3,0))</f>
        <v>0</v>
      </c>
      <c r="L368" s="3">
        <f>IF(E368="No R2",0,VLOOKUP(C368,'Peer-Review'!F:H,2,0))</f>
        <v>0</v>
      </c>
      <c r="M368" s="3">
        <f>IF(E368="No R2",0,VLOOKUP(C368,'Peer-Review'!F:H,3,0))</f>
        <v>0</v>
      </c>
    </row>
    <row r="369" hidden="1">
      <c r="A369" s="3" t="str">
        <f>IFERROR(__xludf.DUMMYFUNCTION("""COMPUTED_VALUE"""),"22f3002200@ds.study.iitm.ac.in")</f>
        <v>22f3002200@ds.study.iitm.ac.in</v>
      </c>
      <c r="B369" s="3">
        <f>IFERROR(__xludf.DUMMYFUNCTION("""COMPUTED_VALUE"""),13.0)</f>
        <v>13</v>
      </c>
      <c r="C369" s="5" t="str">
        <f>IFERROR(__xludf.DUMMYFUNCTION("""COMPUTED_VALUE"""),"https://github.com/sadiq1402/TDS-Project-1")</f>
        <v>https://github.com/sadiq1402/TDS-Project-1</v>
      </c>
      <c r="D369" s="3" t="str">
        <f>IFERROR(VLOOKUP(C369,'Peer-Review'!B:J,9,0),"No R1")</f>
        <v>22f3002204@ds.study.iitm.ac.in</v>
      </c>
      <c r="E369" s="3" t="str">
        <f>IFERROR(VLOOKUP(C369,'Peer-Review'!F:J,5,0),"No R2")</f>
        <v>No R2</v>
      </c>
      <c r="F369" s="3">
        <f>COUNTIF('Peer-Review'!B:B,C369)+COUNTIF('Peer-Review'!F:F,C369)</f>
        <v>2</v>
      </c>
      <c r="G369" s="3">
        <f t="shared" si="1"/>
        <v>1</v>
      </c>
      <c r="H369" s="3" t="str">
        <f>IFERROR(__xludf.DUMMYFUNCTION("IFERROR(TRANSPOSE(FILTER('Peer-Review'!$J$2:$J$568,(TRIM('Peer-Review'!$B$2:$B$568)=C369 )+ (TRIM('Peer-Review'!$F$2:$F$568)=C369))),""No Reviews"")"),"22f3002204@ds.study.iitm.ac.in")</f>
        <v>22f3002204@ds.study.iitm.ac.in</v>
      </c>
      <c r="I369" s="3" t="str">
        <f>IFERROR(__xludf.DUMMYFUNCTION("""COMPUTED_VALUE"""),"22f2001555@ds.study.iitm.ac.in")</f>
        <v>22f2001555@ds.study.iitm.ac.in</v>
      </c>
      <c r="J369" s="3">
        <f>IF(D369="No R1",0,VLOOKUP(C369,'Peer-Review'!B:D,2,0))</f>
        <v>6</v>
      </c>
      <c r="K369" s="3">
        <f>IF(D369="No R1",0,VLOOKUP(C369,'Peer-Review'!B:D,3,0))</f>
        <v>6</v>
      </c>
      <c r="L369" s="3">
        <f>IF(E369="No R2",0,VLOOKUP(C369,'Peer-Review'!F:H,2,0))</f>
        <v>0</v>
      </c>
      <c r="M369" s="3">
        <f>IF(E369="No R2",0,VLOOKUP(C369,'Peer-Review'!F:H,3,0))</f>
        <v>0</v>
      </c>
    </row>
    <row r="370" hidden="1">
      <c r="A370" s="3" t="str">
        <f>IFERROR(__xludf.DUMMYFUNCTION("""COMPUTED_VALUE"""),"22f3002204@ds.study.iitm.ac.in")</f>
        <v>22f3002204@ds.study.iitm.ac.in</v>
      </c>
      <c r="B370" s="3">
        <f>IFERROR(__xludf.DUMMYFUNCTION("""COMPUTED_VALUE"""),13.0)</f>
        <v>13</v>
      </c>
      <c r="C370" s="5" t="str">
        <f>IFERROR(__xludf.DUMMYFUNCTION("""COMPUTED_VALUE"""),"https://github.com/ratantiwaridev/tds_project1")</f>
        <v>https://github.com/ratantiwaridev/tds_project1</v>
      </c>
      <c r="D370" s="3" t="str">
        <f>IFERROR(VLOOKUP(C370,'Peer-Review'!B:J,9,0),"No R1")</f>
        <v>22f3000087@ds.study.iitm.ac.in</v>
      </c>
      <c r="E370" s="3" t="str">
        <f>IFERROR(VLOOKUP(C370,'Peer-Review'!F:J,5,0),"No R2")</f>
        <v>No R2</v>
      </c>
      <c r="F370" s="3">
        <f>COUNTIF('Peer-Review'!B:B,C370)+COUNTIF('Peer-Review'!F:F,C370)</f>
        <v>2</v>
      </c>
      <c r="G370" s="3">
        <f t="shared" si="1"/>
        <v>1</v>
      </c>
      <c r="H370" s="3" t="str">
        <f>IFERROR(__xludf.DUMMYFUNCTION("IFERROR(TRANSPOSE(FILTER('Peer-Review'!$J$2:$J$568,(TRIM('Peer-Review'!$B$2:$B$568)=C370 )+ (TRIM('Peer-Review'!$F$2:$F$568)=C370))),""No Reviews"")"),"22f3000087@ds.study.iitm.ac.in")</f>
        <v>22f3000087@ds.study.iitm.ac.in</v>
      </c>
      <c r="I370" s="3" t="str">
        <f>IFERROR(__xludf.DUMMYFUNCTION("""COMPUTED_VALUE"""),"22f3002614@ds.study.iitm.ac.in")</f>
        <v>22f3002614@ds.study.iitm.ac.in</v>
      </c>
      <c r="J370" s="3">
        <f>IF(D370="No R1",0,VLOOKUP(C370,'Peer-Review'!B:D,2,0))</f>
        <v>8</v>
      </c>
      <c r="K370" s="3">
        <f>IF(D370="No R1",0,VLOOKUP(C370,'Peer-Review'!B:D,3,0))</f>
        <v>9</v>
      </c>
      <c r="L370" s="3">
        <f>IF(E370="No R2",0,VLOOKUP(C370,'Peer-Review'!F:H,2,0))</f>
        <v>0</v>
      </c>
      <c r="M370" s="3">
        <f>IF(E370="No R2",0,VLOOKUP(C370,'Peer-Review'!F:H,3,0))</f>
        <v>0</v>
      </c>
    </row>
    <row r="371" hidden="1">
      <c r="A371" s="3" t="str">
        <f>IFERROR(__xludf.DUMMYFUNCTION("""COMPUTED_VALUE"""),"22f3002240@ds.study.iitm.ac.in")</f>
        <v>22f3002240@ds.study.iitm.ac.in</v>
      </c>
      <c r="B371" s="3">
        <f>IFERROR(__xludf.DUMMYFUNCTION("""COMPUTED_VALUE"""),0.0)</f>
        <v>0</v>
      </c>
      <c r="C371" s="5" t="str">
        <f>IFERROR(__xludf.DUMMYFUNCTION("""COMPUTED_VALUE"""),"https://github.com/zyrobeast/TDS_Week_4_Project")</f>
        <v>https://github.com/zyrobeast/TDS_Week_4_Project</v>
      </c>
      <c r="D371" s="3" t="str">
        <f>IFERROR(VLOOKUP(C371,'Peer-Review'!B:J,9,0),"No R1")</f>
        <v>No R1</v>
      </c>
      <c r="E371" s="3" t="str">
        <f>IFERROR(VLOOKUP(C371,'Peer-Review'!F:J,5,0),"No R2")</f>
        <v>No R2</v>
      </c>
      <c r="F371" s="3">
        <f>COUNTIF('Peer-Review'!B:B,C371)+COUNTIF('Peer-Review'!F:F,C371)</f>
        <v>0</v>
      </c>
      <c r="G371" s="3">
        <f t="shared" si="1"/>
        <v>0</v>
      </c>
      <c r="H371" s="3" t="str">
        <f>IFERROR(__xludf.DUMMYFUNCTION("IFERROR(TRANSPOSE(FILTER('Peer-Review'!$J$2:$J$568,(TRIM('Peer-Review'!$B$2:$B$568)=C371 )+ (TRIM('Peer-Review'!$F$2:$F$568)=C371))),""No Reviews"")"),"No Reviews")</f>
        <v>No Reviews</v>
      </c>
      <c r="J371" s="3">
        <f>IF(D371="No R1",0,VLOOKUP(C371,'Peer-Review'!B:D,2,0))</f>
        <v>0</v>
      </c>
      <c r="K371" s="3">
        <f>IF(D371="No R1",0,VLOOKUP(C371,'Peer-Review'!B:D,3,0))</f>
        <v>0</v>
      </c>
      <c r="L371" s="3">
        <f>IF(E371="No R2",0,VLOOKUP(C371,'Peer-Review'!F:H,2,0))</f>
        <v>0</v>
      </c>
      <c r="M371" s="3">
        <f>IF(E371="No R2",0,VLOOKUP(C371,'Peer-Review'!F:H,3,0))</f>
        <v>0</v>
      </c>
    </row>
    <row r="372" hidden="1">
      <c r="A372" s="3" t="str">
        <f>IFERROR(__xludf.DUMMYFUNCTION("""COMPUTED_VALUE"""),"22f3002275@ds.study.iitm.ac.in")</f>
        <v>22f3002275@ds.study.iitm.ac.in</v>
      </c>
      <c r="B372" s="3">
        <f>IFERROR(__xludf.DUMMYFUNCTION("""COMPUTED_VALUE"""),17.0)</f>
        <v>17</v>
      </c>
      <c r="C372" s="5" t="str">
        <f>IFERROR(__xludf.DUMMYFUNCTION("""COMPUTED_VALUE"""),"https://github.com/jahnavi-bd/Project_TDS")</f>
        <v>https://github.com/jahnavi-bd/Project_TDS</v>
      </c>
      <c r="D372" s="3" t="str">
        <f>IFERROR(VLOOKUP(C372,'Peer-Review'!B:J,9,0),"No R1")</f>
        <v>No R1</v>
      </c>
      <c r="E372" s="3" t="str">
        <f>IFERROR(VLOOKUP(C372,'Peer-Review'!F:J,5,0),"No R2")</f>
        <v>22f3002094@ds.study.iitm.ac.in</v>
      </c>
      <c r="F372" s="3">
        <f>COUNTIF('Peer-Review'!B:B,C372)+COUNTIF('Peer-Review'!F:F,C372)</f>
        <v>1</v>
      </c>
      <c r="G372" s="3">
        <f t="shared" si="1"/>
        <v>1</v>
      </c>
      <c r="H372" s="3" t="str">
        <f>IFERROR(__xludf.DUMMYFUNCTION("IFERROR(TRANSPOSE(FILTER('Peer-Review'!$J$2:$J$568,(TRIM('Peer-Review'!$B$2:$B$568)=C372 )+ (TRIM('Peer-Review'!$F$2:$F$568)=C372))),""No Reviews"")"),"22f3002094@ds.study.iitm.ac.in")</f>
        <v>22f3002094@ds.study.iitm.ac.in</v>
      </c>
      <c r="J372" s="3">
        <f>IF(D372="No R1",0,VLOOKUP(C372,'Peer-Review'!B:D,2,0))</f>
        <v>0</v>
      </c>
      <c r="K372" s="3">
        <f>IF(D372="No R1",0,VLOOKUP(C372,'Peer-Review'!B:D,3,0))</f>
        <v>0</v>
      </c>
      <c r="L372" s="3">
        <f>IF(E372="No R2",0,VLOOKUP(C372,'Peer-Review'!F:H,2,0))</f>
        <v>9</v>
      </c>
      <c r="M372" s="3">
        <f>IF(E372="No R2",0,VLOOKUP(C372,'Peer-Review'!F:H,3,0))</f>
        <v>10</v>
      </c>
    </row>
    <row r="373" hidden="1">
      <c r="A373" s="3" t="str">
        <f>IFERROR(__xludf.DUMMYFUNCTION("""COMPUTED_VALUE"""),"22f3002293@ds.study.iitm.ac.in")</f>
        <v>22f3002293@ds.study.iitm.ac.in</v>
      </c>
      <c r="B373" s="3">
        <f>IFERROR(__xludf.DUMMYFUNCTION("""COMPUTED_VALUE"""),17.0)</f>
        <v>17</v>
      </c>
      <c r="C373" s="5" t="str">
        <f>IFERROR(__xludf.DUMMYFUNCTION("""COMPUTED_VALUE"""),"https://github.com/22f3002293/TDS-project1")</f>
        <v>https://github.com/22f3002293/TDS-project1</v>
      </c>
      <c r="D373" s="3" t="str">
        <f>IFERROR(VLOOKUP(C373,'Peer-Review'!B:J,9,0),"No R1")</f>
        <v>No R1</v>
      </c>
      <c r="E373" s="3" t="str">
        <f>IFERROR(VLOOKUP(C373,'Peer-Review'!F:J,5,0),"No R2")</f>
        <v>24f1002079@ds.study.iitm.ac.in</v>
      </c>
      <c r="F373" s="3">
        <f>COUNTIF('Peer-Review'!B:B,C373)+COUNTIF('Peer-Review'!F:F,C373)</f>
        <v>2</v>
      </c>
      <c r="G373" s="3">
        <f t="shared" si="1"/>
        <v>1</v>
      </c>
      <c r="H373" s="3" t="str">
        <f>IFERROR(__xludf.DUMMYFUNCTION("IFERROR(TRANSPOSE(FILTER('Peer-Review'!$J$2:$J$568,(TRIM('Peer-Review'!$B$2:$B$568)=C373 )+ (TRIM('Peer-Review'!$F$2:$F$568)=C373))),""No Reviews"")"),"24f1002079@ds.study.iitm.ac.in")</f>
        <v>24f1002079@ds.study.iitm.ac.in</v>
      </c>
      <c r="I373" s="3" t="str">
        <f>IFERROR(__xludf.DUMMYFUNCTION("""COMPUTED_VALUE"""),"22f3002275@ds.study.iitm.ac.in")</f>
        <v>22f3002275@ds.study.iitm.ac.in</v>
      </c>
      <c r="J373" s="3">
        <f>IF(D373="No R1",0,VLOOKUP(C373,'Peer-Review'!B:D,2,0))</f>
        <v>0</v>
      </c>
      <c r="K373" s="3">
        <f>IF(D373="No R1",0,VLOOKUP(C373,'Peer-Review'!B:D,3,0))</f>
        <v>0</v>
      </c>
      <c r="L373" s="3">
        <f>IF(E373="No R2",0,VLOOKUP(C373,'Peer-Review'!F:H,2,0))</f>
        <v>10</v>
      </c>
      <c r="M373" s="3">
        <f>IF(E373="No R2",0,VLOOKUP(C373,'Peer-Review'!F:H,3,0))</f>
        <v>9</v>
      </c>
    </row>
    <row r="374" hidden="1">
      <c r="A374" s="3" t="str">
        <f>IFERROR(__xludf.DUMMYFUNCTION("""COMPUTED_VALUE"""),"22f3002336@ds.study.iitm.ac.in")</f>
        <v>22f3002336@ds.study.iitm.ac.in</v>
      </c>
      <c r="B374" s="3">
        <f>IFERROR(__xludf.DUMMYFUNCTION("""COMPUTED_VALUE"""),17.0)</f>
        <v>17</v>
      </c>
      <c r="C374" s="5" t="str">
        <f>IFERROR(__xludf.DUMMYFUNCTION("""COMPUTED_VALUE"""),"https://github.com/b-panda/Dublin-GitHub-Users")</f>
        <v>https://github.com/b-panda/Dublin-GitHub-Users</v>
      </c>
      <c r="D374" s="3" t="str">
        <f>IFERROR(VLOOKUP(C374,'Peer-Review'!B:J,9,0),"No R1")</f>
        <v>No R1</v>
      </c>
      <c r="E374" s="3" t="str">
        <f>IFERROR(VLOOKUP(C374,'Peer-Review'!F:J,5,0),"No R2")</f>
        <v>21f1002727@ds.study.iitm.ac.in</v>
      </c>
      <c r="F374" s="3">
        <f>COUNTIF('Peer-Review'!B:B,C374)+COUNTIF('Peer-Review'!F:F,C374)</f>
        <v>2</v>
      </c>
      <c r="G374" s="3">
        <f t="shared" si="1"/>
        <v>1</v>
      </c>
      <c r="H374" s="3" t="str">
        <f>IFERROR(__xludf.DUMMYFUNCTION("IFERROR(TRANSPOSE(FILTER('Peer-Review'!$J$2:$J$568,(TRIM('Peer-Review'!$B$2:$B$568)=C374 )+ (TRIM('Peer-Review'!$F$2:$F$568)=C374))),""No Reviews"")"),"21f1002727@ds.study.iitm.ac.in")</f>
        <v>21f1002727@ds.study.iitm.ac.in</v>
      </c>
      <c r="I374" s="3" t="str">
        <f>IFERROR(__xludf.DUMMYFUNCTION("""COMPUTED_VALUE"""),"22f3002293@ds.study.iitm.ac.in")</f>
        <v>22f3002293@ds.study.iitm.ac.in</v>
      </c>
      <c r="J374" s="3">
        <f>IF(D374="No R1",0,VLOOKUP(C374,'Peer-Review'!B:D,2,0))</f>
        <v>0</v>
      </c>
      <c r="K374" s="3">
        <f>IF(D374="No R1",0,VLOOKUP(C374,'Peer-Review'!B:D,3,0))</f>
        <v>0</v>
      </c>
      <c r="L374" s="3">
        <f>IF(E374="No R2",0,VLOOKUP(C374,'Peer-Review'!F:H,2,0))</f>
        <v>5</v>
      </c>
      <c r="M374" s="3">
        <f>IF(E374="No R2",0,VLOOKUP(C374,'Peer-Review'!F:H,3,0))</f>
        <v>6</v>
      </c>
    </row>
    <row r="375" hidden="1">
      <c r="A375" s="3" t="str">
        <f>IFERROR(__xludf.DUMMYFUNCTION("""COMPUTED_VALUE"""),"22f3002345@ds.study.iitm.ac.in")</f>
        <v>22f3002345@ds.study.iitm.ac.in</v>
      </c>
      <c r="B375" s="3">
        <f>IFERROR(__xludf.DUMMYFUNCTION("""COMPUTED_VALUE"""),0.0)</f>
        <v>0</v>
      </c>
      <c r="C375" s="5" t="str">
        <f>IFERROR(__xludf.DUMMYFUNCTION("""COMPUTED_VALUE"""),"https://github.com/lakshmanmutum/tds_project1")</f>
        <v>https://github.com/lakshmanmutum/tds_project1</v>
      </c>
      <c r="D375" s="3" t="str">
        <f>IFERROR(VLOOKUP(C375,'Peer-Review'!B:J,9,0),"No R1")</f>
        <v>No R1</v>
      </c>
      <c r="E375" s="3" t="str">
        <f>IFERROR(VLOOKUP(C375,'Peer-Review'!F:J,5,0),"No R2")</f>
        <v>No R2</v>
      </c>
      <c r="F375" s="3">
        <f>COUNTIF('Peer-Review'!B:B,C375)+COUNTIF('Peer-Review'!F:F,C375)</f>
        <v>0</v>
      </c>
      <c r="G375" s="3">
        <f t="shared" si="1"/>
        <v>0</v>
      </c>
      <c r="H375" s="3" t="str">
        <f>IFERROR(__xludf.DUMMYFUNCTION("IFERROR(TRANSPOSE(FILTER('Peer-Review'!$J$2:$J$568,(TRIM('Peer-Review'!$B$2:$B$568)=C375 )+ (TRIM('Peer-Review'!$F$2:$F$568)=C375))),""No Reviews"")"),"No Reviews")</f>
        <v>No Reviews</v>
      </c>
      <c r="J375" s="3">
        <f>IF(D375="No R1",0,VLOOKUP(C375,'Peer-Review'!B:D,2,0))</f>
        <v>0</v>
      </c>
      <c r="K375" s="3">
        <f>IF(D375="No R1",0,VLOOKUP(C375,'Peer-Review'!B:D,3,0))</f>
        <v>0</v>
      </c>
      <c r="L375" s="3">
        <f>IF(E375="No R2",0,VLOOKUP(C375,'Peer-Review'!F:H,2,0))</f>
        <v>0</v>
      </c>
      <c r="M375" s="3">
        <f>IF(E375="No R2",0,VLOOKUP(C375,'Peer-Review'!F:H,3,0))</f>
        <v>0</v>
      </c>
    </row>
    <row r="376" hidden="1">
      <c r="A376" s="3" t="str">
        <f>IFERROR(__xludf.DUMMYFUNCTION("""COMPUTED_VALUE"""),"22f3002354@ds.study.iitm.ac.in")</f>
        <v>22f3002354@ds.study.iitm.ac.in</v>
      </c>
      <c r="B376" s="3">
        <f>IFERROR(__xludf.DUMMYFUNCTION("""COMPUTED_VALUE"""),17.0)</f>
        <v>17</v>
      </c>
      <c r="C376" s="5" t="str">
        <f>IFERROR(__xludf.DUMMYFUNCTION("""COMPUTED_VALUE"""),"https://github.com/microdev1/tds-p1")</f>
        <v>https://github.com/microdev1/tds-p1</v>
      </c>
      <c r="D376" s="3" t="str">
        <f>IFERROR(VLOOKUP(C376,'Peer-Review'!B:J,9,0),"No R1")</f>
        <v>No R1</v>
      </c>
      <c r="E376" s="3" t="str">
        <f>IFERROR(VLOOKUP(C376,'Peer-Review'!F:J,5,0),"No R2")</f>
        <v>22f3002336@ds.study.iitm.ac.in</v>
      </c>
      <c r="F376" s="3">
        <f>COUNTIF('Peer-Review'!B:B,C376)+COUNTIF('Peer-Review'!F:F,C376)</f>
        <v>2</v>
      </c>
      <c r="G376" s="3">
        <f t="shared" si="1"/>
        <v>1</v>
      </c>
      <c r="H376" s="3" t="str">
        <f>IFERROR(__xludf.DUMMYFUNCTION("IFERROR(TRANSPOSE(FILTER('Peer-Review'!$J$2:$J$568,(TRIM('Peer-Review'!$B$2:$B$568)=C376 )+ (TRIM('Peer-Review'!$F$2:$F$568)=C376))),""No Reviews"")"),"22f3002336@ds.study.iitm.ac.in")</f>
        <v>22f3002336@ds.study.iitm.ac.in</v>
      </c>
      <c r="I376" s="3" t="str">
        <f>IFERROR(__xludf.DUMMYFUNCTION("""COMPUTED_VALUE"""),"21f1005280@ds.study.iitm.ac.in")</f>
        <v>21f1005280@ds.study.iitm.ac.in</v>
      </c>
      <c r="J376" s="3">
        <f>IF(D376="No R1",0,VLOOKUP(C376,'Peer-Review'!B:D,2,0))</f>
        <v>0</v>
      </c>
      <c r="K376" s="3">
        <f>IF(D376="No R1",0,VLOOKUP(C376,'Peer-Review'!B:D,3,0))</f>
        <v>0</v>
      </c>
      <c r="L376" s="3">
        <f>IF(E376="No R2",0,VLOOKUP(C376,'Peer-Review'!F:H,2,0))</f>
        <v>10</v>
      </c>
      <c r="M376" s="3">
        <f>IF(E376="No R2",0,VLOOKUP(C376,'Peer-Review'!F:H,3,0))</f>
        <v>10</v>
      </c>
    </row>
    <row r="377" hidden="1">
      <c r="A377" s="3" t="str">
        <f>IFERROR(__xludf.DUMMYFUNCTION("""COMPUTED_VALUE"""),"22f3002393@ds.study.iitm.ac.in")</f>
        <v>22f3002393@ds.study.iitm.ac.in</v>
      </c>
      <c r="B377" s="3">
        <f>IFERROR(__xludf.DUMMYFUNCTION("""COMPUTED_VALUE"""),16.0)</f>
        <v>16</v>
      </c>
      <c r="C377" s="5" t="str">
        <f>IFERROR(__xludf.DUMMYFUNCTION("""COMPUTED_VALUE"""),"https://github.com/vijayabhaskar78/TDS-PROJECT-1")</f>
        <v>https://github.com/vijayabhaskar78/TDS-PROJECT-1</v>
      </c>
      <c r="D377" s="3" t="str">
        <f>IFERROR(VLOOKUP(C377,'Peer-Review'!B:J,9,0),"No R1")</f>
        <v>No R1</v>
      </c>
      <c r="E377" s="3" t="str">
        <f>IFERROR(VLOOKUP(C377,'Peer-Review'!F:J,5,0),"No R2")</f>
        <v>21f1003945@ds.study.iitm.ac.in</v>
      </c>
      <c r="F377" s="3">
        <f>COUNTIF('Peer-Review'!B:B,C377)+COUNTIF('Peer-Review'!F:F,C377)</f>
        <v>2</v>
      </c>
      <c r="G377" s="3">
        <f t="shared" si="1"/>
        <v>1</v>
      </c>
      <c r="H377" s="3" t="str">
        <f>IFERROR(__xludf.DUMMYFUNCTION("IFERROR(TRANSPOSE(FILTER('Peer-Review'!$J$2:$J$568,(TRIM('Peer-Review'!$B$2:$B$568)=C377 )+ (TRIM('Peer-Review'!$F$2:$F$568)=C377))),""No Reviews"")"),"21f1003945@ds.study.iitm.ac.in")</f>
        <v>21f1003945@ds.study.iitm.ac.in</v>
      </c>
      <c r="I377" s="3" t="str">
        <f>IFERROR(__xludf.DUMMYFUNCTION("""COMPUTED_VALUE"""),"22f3002119@ds.study.iitm.ac.in")</f>
        <v>22f3002119@ds.study.iitm.ac.in</v>
      </c>
      <c r="J377" s="3">
        <f>IF(D377="No R1",0,VLOOKUP(C377,'Peer-Review'!B:D,2,0))</f>
        <v>0</v>
      </c>
      <c r="K377" s="3">
        <f>IF(D377="No R1",0,VLOOKUP(C377,'Peer-Review'!B:D,3,0))</f>
        <v>0</v>
      </c>
      <c r="L377" s="3">
        <f>IF(E377="No R2",0,VLOOKUP(C377,'Peer-Review'!F:H,2,0))</f>
        <v>10</v>
      </c>
      <c r="M377" s="3">
        <f>IF(E377="No R2",0,VLOOKUP(C377,'Peer-Review'!F:H,3,0))</f>
        <v>10</v>
      </c>
    </row>
    <row r="378" hidden="1">
      <c r="A378" s="3" t="str">
        <f>IFERROR(__xludf.DUMMYFUNCTION("""COMPUTED_VALUE"""),"22f3002442@ds.study.iitm.ac.in")</f>
        <v>22f3002442@ds.study.iitm.ac.in</v>
      </c>
      <c r="B378" s="3">
        <f>IFERROR(__xludf.DUMMYFUNCTION("""COMPUTED_VALUE"""),5.0)</f>
        <v>5</v>
      </c>
      <c r="C378" s="5" t="str">
        <f>IFERROR(__xludf.DUMMYFUNCTION("""COMPUTED_VALUE"""),"https://github.com/danishansarii78/sydney_github_users")</f>
        <v>https://github.com/danishansarii78/sydney_github_users</v>
      </c>
      <c r="D378" s="3" t="str">
        <f>IFERROR(VLOOKUP(C378,'Peer-Review'!B:J,9,0),"No R1")</f>
        <v>No R1</v>
      </c>
      <c r="E378" s="3" t="str">
        <f>IFERROR(VLOOKUP(C378,'Peer-Review'!F:J,5,0),"No R2")</f>
        <v>No R2</v>
      </c>
      <c r="F378" s="3">
        <f>COUNTIF('Peer-Review'!B:B,C378)+COUNTIF('Peer-Review'!F:F,C378)</f>
        <v>0</v>
      </c>
      <c r="G378" s="3">
        <f t="shared" si="1"/>
        <v>0</v>
      </c>
      <c r="H378" s="3" t="str">
        <f>IFERROR(__xludf.DUMMYFUNCTION("IFERROR(TRANSPOSE(FILTER('Peer-Review'!$J$2:$J$568,(TRIM('Peer-Review'!$B$2:$B$568)=C378 )+ (TRIM('Peer-Review'!$F$2:$F$568)=C378))),""No Reviews"")"),"No Reviews")</f>
        <v>No Reviews</v>
      </c>
      <c r="J378" s="3">
        <f>IF(D378="No R1",0,VLOOKUP(C378,'Peer-Review'!B:D,2,0))</f>
        <v>0</v>
      </c>
      <c r="K378" s="3">
        <f>IF(D378="No R1",0,VLOOKUP(C378,'Peer-Review'!B:D,3,0))</f>
        <v>0</v>
      </c>
      <c r="L378" s="3">
        <f>IF(E378="No R2",0,VLOOKUP(C378,'Peer-Review'!F:H,2,0))</f>
        <v>0</v>
      </c>
      <c r="M378" s="3">
        <f>IF(E378="No R2",0,VLOOKUP(C378,'Peer-Review'!F:H,3,0))</f>
        <v>0</v>
      </c>
    </row>
    <row r="379" hidden="1">
      <c r="A379" s="3" t="str">
        <f>IFERROR(__xludf.DUMMYFUNCTION("""COMPUTED_VALUE"""),"22f3002488@ds.study.iitm.ac.in")</f>
        <v>22f3002488@ds.study.iitm.ac.in</v>
      </c>
      <c r="B379" s="3">
        <f>IFERROR(__xludf.DUMMYFUNCTION("""COMPUTED_VALUE"""),16.0)</f>
        <v>16</v>
      </c>
      <c r="C379" s="5" t="str">
        <f>IFERROR(__xludf.DUMMYFUNCTION("""COMPUTED_VALUE"""),"https://github.com/sunnykumardangi/TDS_project-1")</f>
        <v>https://github.com/sunnykumardangi/TDS_project-1</v>
      </c>
      <c r="D379" s="3" t="str">
        <f>IFERROR(VLOOKUP(C379,'Peer-Review'!B:J,9,0),"No R1")</f>
        <v>No R1</v>
      </c>
      <c r="E379" s="3" t="str">
        <f>IFERROR(VLOOKUP(C379,'Peer-Review'!F:J,5,0),"No R2")</f>
        <v>22f3002393@ds.study.iitm.ac.in</v>
      </c>
      <c r="F379" s="3">
        <f>COUNTIF('Peer-Review'!B:B,C379)+COUNTIF('Peer-Review'!F:F,C379)</f>
        <v>2</v>
      </c>
      <c r="G379" s="3">
        <f t="shared" si="1"/>
        <v>1</v>
      </c>
      <c r="H379" s="3" t="str">
        <f>IFERROR(__xludf.DUMMYFUNCTION("IFERROR(TRANSPOSE(FILTER('Peer-Review'!$J$2:$J$568,(TRIM('Peer-Review'!$B$2:$B$568)=C379 )+ (TRIM('Peer-Review'!$F$2:$F$568)=C379))),""No Reviews"")"),"22f3002393@ds.study.iitm.ac.in")</f>
        <v>22f3002393@ds.study.iitm.ac.in</v>
      </c>
      <c r="I379" s="3" t="str">
        <f>IFERROR(__xludf.DUMMYFUNCTION("""COMPUTED_VALUE"""),"21f1006302@ds.study.iitm.ac.in")</f>
        <v>21f1006302@ds.study.iitm.ac.in</v>
      </c>
      <c r="J379" s="3">
        <f>IF(D379="No R1",0,VLOOKUP(C379,'Peer-Review'!B:D,2,0))</f>
        <v>0</v>
      </c>
      <c r="K379" s="3">
        <f>IF(D379="No R1",0,VLOOKUP(C379,'Peer-Review'!B:D,3,0))</f>
        <v>0</v>
      </c>
      <c r="L379" s="3">
        <f>IF(E379="No R2",0,VLOOKUP(C379,'Peer-Review'!F:H,2,0))</f>
        <v>0</v>
      </c>
      <c r="M379" s="3">
        <f>IF(E379="No R2",0,VLOOKUP(C379,'Peer-Review'!F:H,3,0))</f>
        <v>0</v>
      </c>
    </row>
    <row r="380" hidden="1">
      <c r="A380" s="3" t="str">
        <f>IFERROR(__xludf.DUMMYFUNCTION("""COMPUTED_VALUE"""),"22f3002525@ds.study.iitm.ac.in")</f>
        <v>22f3002525@ds.study.iitm.ac.in</v>
      </c>
      <c r="B380" s="3">
        <f>IFERROR(__xludf.DUMMYFUNCTION("""COMPUTED_VALUE"""),12.0)</f>
        <v>12</v>
      </c>
      <c r="C380" s="5" t="str">
        <f>IFERROR(__xludf.DUMMYFUNCTION("""COMPUTED_VALUE"""),"https://github.com/Amarks14/TDS_P1")</f>
        <v>https://github.com/Amarks14/TDS_P1</v>
      </c>
      <c r="D380" s="3" t="str">
        <f>IFERROR(VLOOKUP(C380,'Peer-Review'!B:J,9,0),"No R1")</f>
        <v>22f3002811@ds.study.iitm.ac.in</v>
      </c>
      <c r="E380" s="3" t="str">
        <f>IFERROR(VLOOKUP(C380,'Peer-Review'!F:J,5,0),"No R2")</f>
        <v>No R2</v>
      </c>
      <c r="F380" s="3">
        <f>COUNTIF('Peer-Review'!B:B,C380)+COUNTIF('Peer-Review'!F:F,C380)</f>
        <v>2</v>
      </c>
      <c r="G380" s="3">
        <f t="shared" si="1"/>
        <v>1</v>
      </c>
      <c r="H380" s="3" t="str">
        <f>IFERROR(__xludf.DUMMYFUNCTION("IFERROR(TRANSPOSE(FILTER('Peer-Review'!$J$2:$J$568,(TRIM('Peer-Review'!$B$2:$B$568)=C380 )+ (TRIM('Peer-Review'!$F$2:$F$568)=C380))),""No Reviews"")"),"22f3002811@ds.study.iitm.ac.in")</f>
        <v>22f3002811@ds.study.iitm.ac.in</v>
      </c>
      <c r="I380" s="3" t="str">
        <f>IFERROR(__xludf.DUMMYFUNCTION("""COMPUTED_VALUE"""),"21f2000639@ds.study.iitm.ac.in")</f>
        <v>21f2000639@ds.study.iitm.ac.in</v>
      </c>
      <c r="J380" s="3">
        <f>IF(D380="No R1",0,VLOOKUP(C380,'Peer-Review'!B:D,2,0))</f>
        <v>10</v>
      </c>
      <c r="K380" s="3">
        <f>IF(D380="No R1",0,VLOOKUP(C380,'Peer-Review'!B:D,3,0))</f>
        <v>10</v>
      </c>
      <c r="L380" s="3">
        <f>IF(E380="No R2",0,VLOOKUP(C380,'Peer-Review'!F:H,2,0))</f>
        <v>0</v>
      </c>
      <c r="M380" s="3">
        <f>IF(E380="No R2",0,VLOOKUP(C380,'Peer-Review'!F:H,3,0))</f>
        <v>0</v>
      </c>
    </row>
    <row r="381" hidden="1">
      <c r="A381" s="3" t="str">
        <f>IFERROR(__xludf.DUMMYFUNCTION("""COMPUTED_VALUE"""),"22f3002533@ds.study.iitm.ac.in")</f>
        <v>22f3002533@ds.study.iitm.ac.in</v>
      </c>
      <c r="B381" s="3">
        <f>IFERROR(__xludf.DUMMYFUNCTION("""COMPUTED_VALUE"""),17.0)</f>
        <v>17</v>
      </c>
      <c r="C381" s="5" t="str">
        <f>IFERROR(__xludf.DUMMYFUNCTION("""COMPUTED_VALUE"""),"https://github.com/regisprabha/TDS-Project1")</f>
        <v>https://github.com/regisprabha/TDS-Project1</v>
      </c>
      <c r="D381" s="3" t="str">
        <f>IFERROR(VLOOKUP(C381,'Peer-Review'!B:J,9,0),"No R1")</f>
        <v>21f1006244@ds.study.iitm.ac.in</v>
      </c>
      <c r="E381" s="3" t="str">
        <f>IFERROR(VLOOKUP(C381,'Peer-Review'!F:J,5,0),"No R2")</f>
        <v>22f3002354@ds.study.iitm.ac.in</v>
      </c>
      <c r="F381" s="3">
        <f>COUNTIF('Peer-Review'!B:B,C381)+COUNTIF('Peer-Review'!F:F,C381)</f>
        <v>2</v>
      </c>
      <c r="G381" s="3">
        <f t="shared" si="1"/>
        <v>2</v>
      </c>
      <c r="H381" s="3" t="str">
        <f>IFERROR(__xludf.DUMMYFUNCTION("IFERROR(TRANSPOSE(FILTER('Peer-Review'!$J$2:$J$568,(TRIM('Peer-Review'!$B$2:$B$568)=C381 )+ (TRIM('Peer-Review'!$F$2:$F$568)=C381))),""No Reviews"")"),"21f1006244@ds.study.iitm.ac.in")</f>
        <v>21f1006244@ds.study.iitm.ac.in</v>
      </c>
      <c r="I381" s="3" t="str">
        <f>IFERROR(__xludf.DUMMYFUNCTION("""COMPUTED_VALUE"""),"22f3002354@ds.study.iitm.ac.in")</f>
        <v>22f3002354@ds.study.iitm.ac.in</v>
      </c>
      <c r="J381" s="3">
        <f>IF(D381="No R1",0,VLOOKUP(C381,'Peer-Review'!B:D,2,0))</f>
        <v>8</v>
      </c>
      <c r="K381" s="3">
        <f>IF(D381="No R1",0,VLOOKUP(C381,'Peer-Review'!B:D,3,0))</f>
        <v>8</v>
      </c>
      <c r="L381" s="3">
        <f>IF(E381="No R2",0,VLOOKUP(C381,'Peer-Review'!F:H,2,0))</f>
        <v>5</v>
      </c>
      <c r="M381" s="3">
        <f>IF(E381="No R2",0,VLOOKUP(C381,'Peer-Review'!F:H,3,0))</f>
        <v>8</v>
      </c>
    </row>
    <row r="382" hidden="1">
      <c r="A382" s="3" t="str">
        <f>IFERROR(__xludf.DUMMYFUNCTION("""COMPUTED_VALUE"""),"22f3002542@ds.study.iitm.ac.in")</f>
        <v>22f3002542@ds.study.iitm.ac.in</v>
      </c>
      <c r="B382" s="3">
        <f>IFERROR(__xludf.DUMMYFUNCTION("""COMPUTED_VALUE"""),17.0)</f>
        <v>17</v>
      </c>
      <c r="C382" s="5" t="str">
        <f>IFERROR(__xludf.DUMMYFUNCTION("""COMPUTED_VALUE"""),"https://github.com/Jivraj-18/temp_repo_for_tds_project")</f>
        <v>https://github.com/Jivraj-18/temp_repo_for_tds_project</v>
      </c>
      <c r="D382" s="3" t="str">
        <f>IFERROR(VLOOKUP(C382,'Peer-Review'!B:J,9,0),"No R1")</f>
        <v>No R1</v>
      </c>
      <c r="E382" s="3" t="str">
        <f>IFERROR(VLOOKUP(C382,'Peer-Review'!F:J,5,0),"No R2")</f>
        <v>21f1006883@ds.study.iitm.ac.in</v>
      </c>
      <c r="F382" s="3">
        <f>COUNTIF('Peer-Review'!B:B,C382)+COUNTIF('Peer-Review'!F:F,C382)</f>
        <v>2</v>
      </c>
      <c r="G382" s="3">
        <f t="shared" si="1"/>
        <v>1</v>
      </c>
      <c r="H382" s="3" t="str">
        <f>IFERROR(__xludf.DUMMYFUNCTION("IFERROR(TRANSPOSE(FILTER('Peer-Review'!$J$2:$J$568,(TRIM('Peer-Review'!$B$2:$B$568)=C382 )+ (TRIM('Peer-Review'!$F$2:$F$568)=C382))),""No Reviews"")"),"21f1006883@ds.study.iitm.ac.in")</f>
        <v>21f1006883@ds.study.iitm.ac.in</v>
      </c>
      <c r="I382" s="3" t="str">
        <f>IFERROR(__xludf.DUMMYFUNCTION("""COMPUTED_VALUE"""),"22f3002533@ds.study.iitm.ac.in")</f>
        <v>22f3002533@ds.study.iitm.ac.in</v>
      </c>
      <c r="J382" s="3">
        <f>IF(D382="No R1",0,VLOOKUP(C382,'Peer-Review'!B:D,2,0))</f>
        <v>0</v>
      </c>
      <c r="K382" s="3">
        <f>IF(D382="No R1",0,VLOOKUP(C382,'Peer-Review'!B:D,3,0))</f>
        <v>0</v>
      </c>
      <c r="L382" s="3">
        <f>IF(E382="No R2",0,VLOOKUP(C382,'Peer-Review'!F:H,2,0))</f>
        <v>0</v>
      </c>
      <c r="M382" s="3">
        <f>IF(E382="No R2",0,VLOOKUP(C382,'Peer-Review'!F:H,3,0))</f>
        <v>5</v>
      </c>
    </row>
    <row r="383" hidden="1">
      <c r="A383" s="3" t="str">
        <f>IFERROR(__xludf.DUMMYFUNCTION("""COMPUTED_VALUE"""),"22f3002566@ds.study.iitm.ac.in")</f>
        <v>22f3002566@ds.study.iitm.ac.in</v>
      </c>
      <c r="B383" s="3">
        <f>IFERROR(__xludf.DUMMYFUNCTION("""COMPUTED_VALUE"""),16.0)</f>
        <v>16</v>
      </c>
      <c r="C383" s="5" t="str">
        <f>IFERROR(__xludf.DUMMYFUNCTION("""COMPUTED_VALUE"""),"https://github.com/EnggAditya03/ds")</f>
        <v>https://github.com/EnggAditya03/ds</v>
      </c>
      <c r="D383" s="3" t="str">
        <f>IFERROR(VLOOKUP(C383,'Peer-Review'!B:J,9,0),"No R1")</f>
        <v>No R1</v>
      </c>
      <c r="E383" s="3" t="str">
        <f>IFERROR(VLOOKUP(C383,'Peer-Review'!F:J,5,0),"No R2")</f>
        <v>22f1001630@ds.study.iitm.ac.in</v>
      </c>
      <c r="F383" s="3">
        <f>COUNTIF('Peer-Review'!B:B,C383)+COUNTIF('Peer-Review'!F:F,C383)</f>
        <v>1</v>
      </c>
      <c r="G383" s="3">
        <f t="shared" si="1"/>
        <v>1</v>
      </c>
      <c r="H383" s="3" t="str">
        <f>IFERROR(__xludf.DUMMYFUNCTION("IFERROR(TRANSPOSE(FILTER('Peer-Review'!$J$2:$J$568,(TRIM('Peer-Review'!$B$2:$B$568)=C383 )+ (TRIM('Peer-Review'!$F$2:$F$568)=C383))),""No Reviews"")"),"22f1001630@ds.study.iitm.ac.in")</f>
        <v>22f1001630@ds.study.iitm.ac.in</v>
      </c>
      <c r="J383" s="3">
        <f>IF(D383="No R1",0,VLOOKUP(C383,'Peer-Review'!B:D,2,0))</f>
        <v>0</v>
      </c>
      <c r="K383" s="3">
        <f>IF(D383="No R1",0,VLOOKUP(C383,'Peer-Review'!B:D,3,0))</f>
        <v>0</v>
      </c>
      <c r="L383" s="3">
        <f>IF(E383="No R2",0,VLOOKUP(C383,'Peer-Review'!F:H,2,0))</f>
        <v>10</v>
      </c>
      <c r="M383" s="3">
        <f>IF(E383="No R2",0,VLOOKUP(C383,'Peer-Review'!F:H,3,0))</f>
        <v>0</v>
      </c>
    </row>
    <row r="384" hidden="1">
      <c r="A384" s="3" t="str">
        <f>IFERROR(__xludf.DUMMYFUNCTION("""COMPUTED_VALUE"""),"22f3002593@ds.study.iitm.ac.in")</f>
        <v>22f3002593@ds.study.iitm.ac.in</v>
      </c>
      <c r="B384" s="3">
        <f>IFERROR(__xludf.DUMMYFUNCTION("""COMPUTED_VALUE"""),17.0)</f>
        <v>17</v>
      </c>
      <c r="C384" s="5" t="str">
        <f>IFERROR(__xludf.DUMMYFUNCTION("""COMPUTED_VALUE"""),"https://github.com/tanmay8542/project1")</f>
        <v>https://github.com/tanmay8542/project1</v>
      </c>
      <c r="D384" s="3" t="str">
        <f>IFERROR(VLOOKUP(C384,'Peer-Review'!B:J,9,0),"No R1")</f>
        <v>No R1</v>
      </c>
      <c r="E384" s="3" t="str">
        <f>IFERROR(VLOOKUP(C384,'Peer-Review'!F:J,5,0),"No R2")</f>
        <v>21f2000584@ds.study.iitm.ac.in</v>
      </c>
      <c r="F384" s="3">
        <f>COUNTIF('Peer-Review'!B:B,C384)+COUNTIF('Peer-Review'!F:F,C384)</f>
        <v>1</v>
      </c>
      <c r="G384" s="3">
        <f t="shared" si="1"/>
        <v>1</v>
      </c>
      <c r="H384" s="3" t="str">
        <f>IFERROR(__xludf.DUMMYFUNCTION("IFERROR(TRANSPOSE(FILTER('Peer-Review'!$J$2:$J$568,(TRIM('Peer-Review'!$B$2:$B$568)=C384 )+ (TRIM('Peer-Review'!$F$2:$F$568)=C384))),""No Reviews"")"),"21f2000584@ds.study.iitm.ac.in")</f>
        <v>21f2000584@ds.study.iitm.ac.in</v>
      </c>
      <c r="J384" s="3">
        <f>IF(D384="No R1",0,VLOOKUP(C384,'Peer-Review'!B:D,2,0))</f>
        <v>0</v>
      </c>
      <c r="K384" s="3">
        <f>IF(D384="No R1",0,VLOOKUP(C384,'Peer-Review'!B:D,3,0))</f>
        <v>0</v>
      </c>
      <c r="L384" s="3">
        <f>IF(E384="No R2",0,VLOOKUP(C384,'Peer-Review'!F:H,2,0))</f>
        <v>9</v>
      </c>
      <c r="M384" s="3">
        <f>IF(E384="No R2",0,VLOOKUP(C384,'Peer-Review'!F:H,3,0))</f>
        <v>10</v>
      </c>
    </row>
    <row r="385" hidden="1">
      <c r="A385" s="3" t="str">
        <f>IFERROR(__xludf.DUMMYFUNCTION("""COMPUTED_VALUE"""),"22f3002597@ds.study.iitm.ac.in")</f>
        <v>22f3002597@ds.study.iitm.ac.in</v>
      </c>
      <c r="B385" s="3">
        <f>IFERROR(__xludf.DUMMYFUNCTION("""COMPUTED_VALUE"""),14.0)</f>
        <v>14</v>
      </c>
      <c r="C385" s="5" t="str">
        <f>IFERROR(__xludf.DUMMYFUNCTION("""COMPUTED_VALUE"""),"https://github.com/KSoham-dev/TDS-Project-I")</f>
        <v>https://github.com/KSoham-dev/TDS-Project-I</v>
      </c>
      <c r="D385" s="3" t="str">
        <f>IFERROR(VLOOKUP(C385,'Peer-Review'!B:J,9,0),"No R1")</f>
        <v>23ds2000091@ds.study.iitm.ac.in</v>
      </c>
      <c r="E385" s="3" t="str">
        <f>IFERROR(VLOOKUP(C385,'Peer-Review'!F:J,5,0),"No R2")</f>
        <v>No R2</v>
      </c>
      <c r="F385" s="3">
        <f>COUNTIF('Peer-Review'!B:B,C385)+COUNTIF('Peer-Review'!F:F,C385)</f>
        <v>2</v>
      </c>
      <c r="G385" s="3">
        <f t="shared" si="1"/>
        <v>1</v>
      </c>
      <c r="H385" s="3" t="str">
        <f>IFERROR(__xludf.DUMMYFUNCTION("IFERROR(TRANSPOSE(FILTER('Peer-Review'!$J$2:$J$568,(TRIM('Peer-Review'!$B$2:$B$568)=C385 )+ (TRIM('Peer-Review'!$F$2:$F$568)=C385))),""No Reviews"")"),"23ds2000091@ds.study.iitm.ac.in")</f>
        <v>23ds2000091@ds.study.iitm.ac.in</v>
      </c>
      <c r="I385" s="3" t="str">
        <f>IFERROR(__xludf.DUMMYFUNCTION("""COMPUTED_VALUE"""),"23f1001168@ds.study.iitm.ac.in")</f>
        <v>23f1001168@ds.study.iitm.ac.in</v>
      </c>
      <c r="J385" s="3">
        <f>IF(D385="No R1",0,VLOOKUP(C385,'Peer-Review'!B:D,2,0))</f>
        <v>10</v>
      </c>
      <c r="K385" s="3">
        <f>IF(D385="No R1",0,VLOOKUP(C385,'Peer-Review'!B:D,3,0))</f>
        <v>10</v>
      </c>
      <c r="L385" s="3">
        <f>IF(E385="No R2",0,VLOOKUP(C385,'Peer-Review'!F:H,2,0))</f>
        <v>0</v>
      </c>
      <c r="M385" s="3">
        <f>IF(E385="No R2",0,VLOOKUP(C385,'Peer-Review'!F:H,3,0))</f>
        <v>0</v>
      </c>
    </row>
    <row r="386" hidden="1">
      <c r="A386" s="3" t="str">
        <f>IFERROR(__xludf.DUMMYFUNCTION("""COMPUTED_VALUE"""),"22f3002614@ds.study.iitm.ac.in")</f>
        <v>22f3002614@ds.study.iitm.ac.in</v>
      </c>
      <c r="B386" s="3">
        <f>IFERROR(__xludf.DUMMYFUNCTION("""COMPUTED_VALUE"""),13.0)</f>
        <v>13</v>
      </c>
      <c r="C386" s="5" t="str">
        <f>IFERROR(__xludf.DUMMYFUNCTION("""COMPUTED_VALUE"""),"https://github.com/AarushiVe/chennai50")</f>
        <v>https://github.com/AarushiVe/chennai50</v>
      </c>
      <c r="D386" s="3" t="str">
        <f>IFERROR(VLOOKUP(C386,'Peer-Review'!B:J,9,0),"No R1")</f>
        <v>22f3002622@ds.study.iitm.ac.in</v>
      </c>
      <c r="E386" s="3" t="str">
        <f>IFERROR(VLOOKUP(C386,'Peer-Review'!F:J,5,0),"No R2")</f>
        <v>No R2</v>
      </c>
      <c r="F386" s="3">
        <f>COUNTIF('Peer-Review'!B:B,C386)+COUNTIF('Peer-Review'!F:F,C386)</f>
        <v>2</v>
      </c>
      <c r="G386" s="3">
        <f t="shared" si="1"/>
        <v>1</v>
      </c>
      <c r="H386" s="3" t="str">
        <f>IFERROR(__xludf.DUMMYFUNCTION("IFERROR(TRANSPOSE(FILTER('Peer-Review'!$J$2:$J$568,(TRIM('Peer-Review'!$B$2:$B$568)=C386 )+ (TRIM('Peer-Review'!$F$2:$F$568)=C386))),""No Reviews"")"),"22f3002622@ds.study.iitm.ac.in")</f>
        <v>22f3002622@ds.study.iitm.ac.in</v>
      </c>
      <c r="I386" s="3" t="str">
        <f>IFERROR(__xludf.DUMMYFUNCTION("""COMPUTED_VALUE"""),"22f3000089@ds.study.iitm.ac.in")</f>
        <v>22f3000089@ds.study.iitm.ac.in</v>
      </c>
      <c r="J386" s="3">
        <f>IF(D386="No R1",0,VLOOKUP(C386,'Peer-Review'!B:D,2,0))</f>
        <v>2</v>
      </c>
      <c r="K386" s="3">
        <f>IF(D386="No R1",0,VLOOKUP(C386,'Peer-Review'!B:D,3,0))</f>
        <v>5</v>
      </c>
      <c r="L386" s="3">
        <f>IF(E386="No R2",0,VLOOKUP(C386,'Peer-Review'!F:H,2,0))</f>
        <v>0</v>
      </c>
      <c r="M386" s="3">
        <f>IF(E386="No R2",0,VLOOKUP(C386,'Peer-Review'!F:H,3,0))</f>
        <v>0</v>
      </c>
    </row>
    <row r="387" hidden="1">
      <c r="A387" s="3" t="str">
        <f>IFERROR(__xludf.DUMMYFUNCTION("""COMPUTED_VALUE"""),"22f3002622@ds.study.iitm.ac.in")</f>
        <v>22f3002622@ds.study.iitm.ac.in</v>
      </c>
      <c r="B387" s="3">
        <f>IFERROR(__xludf.DUMMYFUNCTION("""COMPUTED_VALUE"""),13.0)</f>
        <v>13</v>
      </c>
      <c r="C387" s="5" t="str">
        <f>IFERROR(__xludf.DUMMYFUNCTION("""COMPUTED_VALUE"""),"https://github.com/shekharkshitij/TDS_Project")</f>
        <v>https://github.com/shekharkshitij/TDS_Project</v>
      </c>
      <c r="D387" s="3" t="str">
        <f>IFERROR(VLOOKUP(C387,'Peer-Review'!B:J,9,0),"No R1")</f>
        <v>22f3003042@ds.study.iitm.ac.in</v>
      </c>
      <c r="E387" s="3" t="str">
        <f>IFERROR(VLOOKUP(C387,'Peer-Review'!F:J,5,0),"No R2")</f>
        <v>No R2</v>
      </c>
      <c r="F387" s="3">
        <f>COUNTIF('Peer-Review'!B:B,C387)+COUNTIF('Peer-Review'!F:F,C387)</f>
        <v>2</v>
      </c>
      <c r="G387" s="3">
        <f t="shared" si="1"/>
        <v>1</v>
      </c>
      <c r="H387" s="3" t="str">
        <f>IFERROR(__xludf.DUMMYFUNCTION("IFERROR(TRANSPOSE(FILTER('Peer-Review'!$J$2:$J$568,(TRIM('Peer-Review'!$B$2:$B$568)=C387 )+ (TRIM('Peer-Review'!$F$2:$F$568)=C387))),""No Reviews"")"),"22f3003042@ds.study.iitm.ac.in")</f>
        <v>22f3003042@ds.study.iitm.ac.in</v>
      </c>
      <c r="I387" s="3" t="str">
        <f>IFERROR(__xludf.DUMMYFUNCTION("""COMPUTED_VALUE"""),"22f3000130@ds.study.iitm.ac.in")</f>
        <v>22f3000130@ds.study.iitm.ac.in</v>
      </c>
      <c r="J387" s="3">
        <f>IF(D387="No R1",0,VLOOKUP(C387,'Peer-Review'!B:D,2,0))</f>
        <v>10</v>
      </c>
      <c r="K387" s="3">
        <f>IF(D387="No R1",0,VLOOKUP(C387,'Peer-Review'!B:D,3,0))</f>
        <v>10</v>
      </c>
      <c r="L387" s="3">
        <f>IF(E387="No R2",0,VLOOKUP(C387,'Peer-Review'!F:H,2,0))</f>
        <v>0</v>
      </c>
      <c r="M387" s="3">
        <f>IF(E387="No R2",0,VLOOKUP(C387,'Peer-Review'!F:H,3,0))</f>
        <v>0</v>
      </c>
    </row>
    <row r="388" hidden="1">
      <c r="A388" s="3" t="str">
        <f>IFERROR(__xludf.DUMMYFUNCTION("""COMPUTED_VALUE"""),"22f3002723@ds.study.iitm.ac.in")</f>
        <v>22f3002723@ds.study.iitm.ac.in</v>
      </c>
      <c r="B388" s="3">
        <f>IFERROR(__xludf.DUMMYFUNCTION("""COMPUTED_VALUE"""),6.0)</f>
        <v>6</v>
      </c>
      <c r="C388" s="5" t="str">
        <f>IFERROR(__xludf.DUMMYFUNCTION("""COMPUTED_VALUE"""),"https://github.com/rsjay1976/TDS-Project1")</f>
        <v>https://github.com/rsjay1976/TDS-Project1</v>
      </c>
      <c r="D388" s="3" t="str">
        <f>IFERROR(VLOOKUP(C388,'Peer-Review'!B:J,9,0),"No R1")</f>
        <v>22f2001632@ds.study.iitm.ac.in</v>
      </c>
      <c r="E388" s="3" t="str">
        <f>IFERROR(VLOOKUP(C388,'Peer-Review'!F:J,5,0),"No R2")</f>
        <v>No R2</v>
      </c>
      <c r="F388" s="3">
        <f>COUNTIF('Peer-Review'!B:B,C388)+COUNTIF('Peer-Review'!F:F,C388)</f>
        <v>1</v>
      </c>
      <c r="G388" s="3">
        <f t="shared" si="1"/>
        <v>1</v>
      </c>
      <c r="H388" s="3" t="str">
        <f>IFERROR(__xludf.DUMMYFUNCTION("IFERROR(TRANSPOSE(FILTER('Peer-Review'!$J$2:$J$568,(TRIM('Peer-Review'!$B$2:$B$568)=C388 )+ (TRIM('Peer-Review'!$F$2:$F$568)=C388))),""No Reviews"")"),"22f2001632@ds.study.iitm.ac.in")</f>
        <v>22f2001632@ds.study.iitm.ac.in</v>
      </c>
      <c r="J388" s="3">
        <f>IF(D388="No R1",0,VLOOKUP(C388,'Peer-Review'!B:D,2,0))</f>
        <v>10</v>
      </c>
      <c r="K388" s="3">
        <f>IF(D388="No R1",0,VLOOKUP(C388,'Peer-Review'!B:D,3,0))</f>
        <v>10</v>
      </c>
      <c r="L388" s="3">
        <f>IF(E388="No R2",0,VLOOKUP(C388,'Peer-Review'!F:H,2,0))</f>
        <v>0</v>
      </c>
      <c r="M388" s="3">
        <f>IF(E388="No R2",0,VLOOKUP(C388,'Peer-Review'!F:H,3,0))</f>
        <v>0</v>
      </c>
    </row>
    <row r="389" hidden="1">
      <c r="A389" s="3" t="str">
        <f>IFERROR(__xludf.DUMMYFUNCTION("""COMPUTED_VALUE"""),"22f3002743@ds.study.iitm.ac.in")</f>
        <v>22f3002743@ds.study.iitm.ac.in</v>
      </c>
      <c r="B389" s="3">
        <f>IFERROR(__xludf.DUMMYFUNCTION("""COMPUTED_VALUE"""),17.0)</f>
        <v>17</v>
      </c>
      <c r="C389" s="5" t="str">
        <f>IFERROR(__xludf.DUMMYFUNCTION("""COMPUTED_VALUE"""),"https://github.com/anshulbaliga7/iitm-tds-project1")</f>
        <v>https://github.com/anshulbaliga7/iitm-tds-project1</v>
      </c>
      <c r="D389" s="3" t="str">
        <f>IFERROR(VLOOKUP(C389,'Peer-Review'!B:J,9,0),"No R1")</f>
        <v>No R1</v>
      </c>
      <c r="E389" s="3" t="str">
        <f>IFERROR(VLOOKUP(C389,'Peer-Review'!F:J,5,0),"No R2")</f>
        <v>22f3002593@ds.study.iitm.ac.in</v>
      </c>
      <c r="F389" s="3">
        <f>COUNTIF('Peer-Review'!B:B,C389)+COUNTIF('Peer-Review'!F:F,C389)</f>
        <v>2</v>
      </c>
      <c r="G389" s="3">
        <f t="shared" si="1"/>
        <v>1</v>
      </c>
      <c r="H389" s="3" t="str">
        <f>IFERROR(__xludf.DUMMYFUNCTION("IFERROR(TRANSPOSE(FILTER('Peer-Review'!$J$2:$J$568,(TRIM('Peer-Review'!$B$2:$B$568)=C389 )+ (TRIM('Peer-Review'!$F$2:$F$568)=C389))),""No Reviews"")"),"22f3002593@ds.study.iitm.ac.in")</f>
        <v>22f3002593@ds.study.iitm.ac.in</v>
      </c>
      <c r="I389" s="3" t="str">
        <f>IFERROR(__xludf.DUMMYFUNCTION("""COMPUTED_VALUE"""),"21f2001136@ds.study.iitm.ac.in")</f>
        <v>21f2001136@ds.study.iitm.ac.in</v>
      </c>
      <c r="J389" s="3">
        <f>IF(D389="No R1",0,VLOOKUP(C389,'Peer-Review'!B:D,2,0))</f>
        <v>0</v>
      </c>
      <c r="K389" s="3">
        <f>IF(D389="No R1",0,VLOOKUP(C389,'Peer-Review'!B:D,3,0))</f>
        <v>0</v>
      </c>
      <c r="L389" s="3">
        <f>IF(E389="No R2",0,VLOOKUP(C389,'Peer-Review'!F:H,2,0))</f>
        <v>10</v>
      </c>
      <c r="M389" s="3">
        <f>IF(E389="No R2",0,VLOOKUP(C389,'Peer-Review'!F:H,3,0))</f>
        <v>10</v>
      </c>
    </row>
    <row r="390" hidden="1">
      <c r="A390" s="3" t="str">
        <f>IFERROR(__xludf.DUMMYFUNCTION("""COMPUTED_VALUE"""),"22f3002758@ds.study.iitm.ac.in")</f>
        <v>22f3002758@ds.study.iitm.ac.in</v>
      </c>
      <c r="B390" s="3">
        <f>IFERROR(__xludf.DUMMYFUNCTION("""COMPUTED_VALUE"""),17.0)</f>
        <v>17</v>
      </c>
      <c r="C390" s="5" t="str">
        <f>IFERROR(__xludf.DUMMYFUNCTION("""COMPUTED_VALUE"""),"https://github.com/22f3002758/TDS-Project1")</f>
        <v>https://github.com/22f3002758/TDS-Project1</v>
      </c>
      <c r="D390" s="3" t="str">
        <f>IFERROR(VLOOKUP(C390,'Peer-Review'!B:J,9,0),"No R1")</f>
        <v>No R1</v>
      </c>
      <c r="E390" s="3" t="str">
        <f>IFERROR(VLOOKUP(C390,'Peer-Review'!F:J,5,0),"No R2")</f>
        <v>22f3002743@ds.study.iitm.ac.in</v>
      </c>
      <c r="F390" s="3">
        <f>COUNTIF('Peer-Review'!B:B,C390)+COUNTIF('Peer-Review'!F:F,C390)</f>
        <v>2</v>
      </c>
      <c r="G390" s="3">
        <f t="shared" si="1"/>
        <v>1</v>
      </c>
      <c r="H390" s="3" t="str">
        <f>IFERROR(__xludf.DUMMYFUNCTION("IFERROR(TRANSPOSE(FILTER('Peer-Review'!$J$2:$J$568,(TRIM('Peer-Review'!$B$2:$B$568)=C390 )+ (TRIM('Peer-Review'!$F$2:$F$568)=C390))),""No Reviews"")"),"22f3002743@ds.study.iitm.ac.in")</f>
        <v>22f3002743@ds.study.iitm.ac.in</v>
      </c>
      <c r="I390" s="3" t="str">
        <f>IFERROR(__xludf.DUMMYFUNCTION("""COMPUTED_VALUE"""),"21f3000517@ds.study.iitm.ac.in")</f>
        <v>21f3000517@ds.study.iitm.ac.in</v>
      </c>
      <c r="J390" s="3">
        <f>IF(D390="No R1",0,VLOOKUP(C390,'Peer-Review'!B:D,2,0))</f>
        <v>0</v>
      </c>
      <c r="K390" s="3">
        <f>IF(D390="No R1",0,VLOOKUP(C390,'Peer-Review'!B:D,3,0))</f>
        <v>0</v>
      </c>
      <c r="L390" s="3">
        <f>IF(E390="No R2",0,VLOOKUP(C390,'Peer-Review'!F:H,2,0))</f>
        <v>10</v>
      </c>
      <c r="M390" s="3">
        <f>IF(E390="No R2",0,VLOOKUP(C390,'Peer-Review'!F:H,3,0))</f>
        <v>9</v>
      </c>
    </row>
    <row r="391" hidden="1">
      <c r="A391" s="3" t="str">
        <f>IFERROR(__xludf.DUMMYFUNCTION("""COMPUTED_VALUE"""),"22f3002796@ds.study.iitm.ac.in")</f>
        <v>22f3002796@ds.study.iitm.ac.in</v>
      </c>
      <c r="B391" s="3">
        <f>IFERROR(__xludf.DUMMYFUNCTION("""COMPUTED_VALUE"""),2.0)</f>
        <v>2</v>
      </c>
      <c r="C391" s="5" t="str">
        <f>IFERROR(__xludf.DUMMYFUNCTION("""COMPUTED_VALUE"""),"https://github.com/Aakash-Prime/github-users-chennai")</f>
        <v>https://github.com/Aakash-Prime/github-users-chennai</v>
      </c>
      <c r="D391" s="3" t="str">
        <f>IFERROR(VLOOKUP(C391,'Peer-Review'!B:J,9,0),"No R1")</f>
        <v>22ds3000009@ds.study.iitm.ac.in</v>
      </c>
      <c r="E391" s="3" t="str">
        <f>IFERROR(VLOOKUP(C391,'Peer-Review'!F:J,5,0),"No R2")</f>
        <v>23ds3000044@ds.study.iitm.ac.in</v>
      </c>
      <c r="F391" s="3">
        <f>COUNTIF('Peer-Review'!B:B,C391)+COUNTIF('Peer-Review'!F:F,C391)</f>
        <v>2</v>
      </c>
      <c r="G391" s="3">
        <f t="shared" si="1"/>
        <v>2</v>
      </c>
      <c r="H391" s="3" t="str">
        <f>IFERROR(__xludf.DUMMYFUNCTION("IFERROR(TRANSPOSE(FILTER('Peer-Review'!$J$2:$J$568,(TRIM('Peer-Review'!$B$2:$B$568)=C391 )+ (TRIM('Peer-Review'!$F$2:$F$568)=C391))),""No Reviews"")"),"22ds3000009@ds.study.iitm.ac.in")</f>
        <v>22ds3000009@ds.study.iitm.ac.in</v>
      </c>
      <c r="I391" s="3" t="str">
        <f>IFERROR(__xludf.DUMMYFUNCTION("""COMPUTED_VALUE"""),"23ds3000044@ds.study.iitm.ac.in")</f>
        <v>23ds3000044@ds.study.iitm.ac.in</v>
      </c>
      <c r="J391" s="3">
        <f>IF(D391="No R1",0,VLOOKUP(C391,'Peer-Review'!B:D,2,0))</f>
        <v>7</v>
      </c>
      <c r="K391" s="3">
        <f>IF(D391="No R1",0,VLOOKUP(C391,'Peer-Review'!B:D,3,0))</f>
        <v>10</v>
      </c>
      <c r="L391" s="3">
        <f>IF(E391="No R2",0,VLOOKUP(C391,'Peer-Review'!F:H,2,0))</f>
        <v>10</v>
      </c>
      <c r="M391" s="3">
        <f>IF(E391="No R2",0,VLOOKUP(C391,'Peer-Review'!F:H,3,0))</f>
        <v>10</v>
      </c>
    </row>
    <row r="392" hidden="1">
      <c r="A392" s="3" t="str">
        <f>IFERROR(__xludf.DUMMYFUNCTION("""COMPUTED_VALUE"""),"22f3002811@ds.study.iitm.ac.in")</f>
        <v>22f3002811@ds.study.iitm.ac.in</v>
      </c>
      <c r="B392" s="3">
        <f>IFERROR(__xludf.DUMMYFUNCTION("""COMPUTED_VALUE"""),12.0)</f>
        <v>12</v>
      </c>
      <c r="C392" s="5" t="str">
        <f>IFERROR(__xludf.DUMMYFUNCTION("""COMPUTED_VALUE"""),"https://github.com/AdityaGuptaVarshney/tds-project1-iitm")</f>
        <v>https://github.com/AdityaGuptaVarshney/tds-project1-iitm</v>
      </c>
      <c r="D392" s="3" t="str">
        <f>IFERROR(VLOOKUP(C392,'Peer-Review'!B:J,9,0),"No R1")</f>
        <v>21f2000717@ds.study.iitm.ac.in</v>
      </c>
      <c r="E392" s="3" t="str">
        <f>IFERROR(VLOOKUP(C392,'Peer-Review'!F:J,5,0),"No R2")</f>
        <v>No R2</v>
      </c>
      <c r="F392" s="3">
        <f>COUNTIF('Peer-Review'!B:B,C392)+COUNTIF('Peer-Review'!F:F,C392)</f>
        <v>2</v>
      </c>
      <c r="G392" s="3">
        <f t="shared" si="1"/>
        <v>1</v>
      </c>
      <c r="H392" s="3" t="str">
        <f>IFERROR(__xludf.DUMMYFUNCTION("IFERROR(TRANSPOSE(FILTER('Peer-Review'!$J$2:$J$568,(TRIM('Peer-Review'!$B$2:$B$568)=C392 )+ (TRIM('Peer-Review'!$F$2:$F$568)=C392))),""No Reviews"")"),"21f2000717@ds.study.iitm.ac.in")</f>
        <v>21f2000717@ds.study.iitm.ac.in</v>
      </c>
      <c r="I392" s="3" t="str">
        <f>IFERROR(__xludf.DUMMYFUNCTION("""COMPUTED_VALUE"""),"22f3003121@ds.study.iitm.ac.in")</f>
        <v>22f3003121@ds.study.iitm.ac.in</v>
      </c>
      <c r="J392" s="3">
        <f>IF(D392="No R1",0,VLOOKUP(C392,'Peer-Review'!B:D,2,0))</f>
        <v>10</v>
      </c>
      <c r="K392" s="3">
        <f>IF(D392="No R1",0,VLOOKUP(C392,'Peer-Review'!B:D,3,0))</f>
        <v>10</v>
      </c>
      <c r="L392" s="3">
        <f>IF(E392="No R2",0,VLOOKUP(C392,'Peer-Review'!F:H,2,0))</f>
        <v>0</v>
      </c>
      <c r="M392" s="3">
        <f>IF(E392="No R2",0,VLOOKUP(C392,'Peer-Review'!F:H,3,0))</f>
        <v>0</v>
      </c>
    </row>
    <row r="393" hidden="1">
      <c r="A393" s="3" t="str">
        <f>IFERROR(__xludf.DUMMYFUNCTION("""COMPUTED_VALUE"""),"22f3002877@ds.study.iitm.ac.in")</f>
        <v>22f3002877@ds.study.iitm.ac.in</v>
      </c>
      <c r="B393" s="3">
        <f>IFERROR(__xludf.DUMMYFUNCTION("""COMPUTED_VALUE"""),15.0)</f>
        <v>15</v>
      </c>
      <c r="C393" s="5" t="str">
        <f>IFERROR(__xludf.DUMMYFUNCTION("""COMPUTED_VALUE"""),"https://github.com/vilas-007/TDS-project1")</f>
        <v>https://github.com/vilas-007/TDS-project1</v>
      </c>
      <c r="D393" s="3" t="str">
        <f>IFERROR(VLOOKUP(C393,'Peer-Review'!B:J,9,0),"No R1")</f>
        <v>22f3003074@ds.study.iitm.ac.in</v>
      </c>
      <c r="E393" s="3" t="str">
        <f>IFERROR(VLOOKUP(C393,'Peer-Review'!F:J,5,0),"No R2")</f>
        <v>No R2</v>
      </c>
      <c r="F393" s="3">
        <f>COUNTIF('Peer-Review'!B:B,C393)+COUNTIF('Peer-Review'!F:F,C393)</f>
        <v>2</v>
      </c>
      <c r="G393" s="3">
        <f t="shared" si="1"/>
        <v>1</v>
      </c>
      <c r="H393" s="3" t="str">
        <f>IFERROR(__xludf.DUMMYFUNCTION("IFERROR(TRANSPOSE(FILTER('Peer-Review'!$J$2:$J$568,(TRIM('Peer-Review'!$B$2:$B$568)=C393 )+ (TRIM('Peer-Review'!$F$2:$F$568)=C393))),""No Reviews"")"),"22f3003074@ds.study.iitm.ac.in")</f>
        <v>22f3003074@ds.study.iitm.ac.in</v>
      </c>
      <c r="I393" s="3" t="str">
        <f>IFERROR(__xludf.DUMMYFUNCTION("""COMPUTED_VALUE"""),"23f2004593@ds.study.iitm.ac.in")</f>
        <v>23f2004593@ds.study.iitm.ac.in</v>
      </c>
      <c r="J393" s="3">
        <f>IF(D393="No R1",0,VLOOKUP(C393,'Peer-Review'!B:D,2,0))</f>
        <v>2</v>
      </c>
      <c r="K393" s="3">
        <f>IF(D393="No R1",0,VLOOKUP(C393,'Peer-Review'!B:D,3,0))</f>
        <v>0</v>
      </c>
      <c r="L393" s="3">
        <f>IF(E393="No R2",0,VLOOKUP(C393,'Peer-Review'!F:H,2,0))</f>
        <v>0</v>
      </c>
      <c r="M393" s="3">
        <f>IF(E393="No R2",0,VLOOKUP(C393,'Peer-Review'!F:H,3,0))</f>
        <v>0</v>
      </c>
    </row>
    <row r="394" hidden="1">
      <c r="A394" s="3" t="str">
        <f>IFERROR(__xludf.DUMMYFUNCTION("""COMPUTED_VALUE"""),"22f3002885@ds.study.iitm.ac.in")</f>
        <v>22f3002885@ds.study.iitm.ac.in</v>
      </c>
      <c r="B394" s="3">
        <f>IFERROR(__xludf.DUMMYFUNCTION("""COMPUTED_VALUE"""),16.0)</f>
        <v>16</v>
      </c>
      <c r="C394" s="5" t="str">
        <f>IFERROR(__xludf.DUMMYFUNCTION("""COMPUTED_VALUE"""),"https://github.com/a1zen77/tds_p1")</f>
        <v>https://github.com/a1zen77/tds_p1</v>
      </c>
      <c r="D394" s="3" t="str">
        <f>IFERROR(VLOOKUP(C394,'Peer-Review'!B:J,9,0),"No R1")</f>
        <v>No R1</v>
      </c>
      <c r="E394" s="3" t="str">
        <f>IFERROR(VLOOKUP(C394,'Peer-Review'!F:J,5,0),"No R2")</f>
        <v>22f3002566@ds.study.iitm.ac.in</v>
      </c>
      <c r="F394" s="3">
        <f>COUNTIF('Peer-Review'!B:B,C394)+COUNTIF('Peer-Review'!F:F,C394)</f>
        <v>1</v>
      </c>
      <c r="G394" s="3">
        <f t="shared" si="1"/>
        <v>1</v>
      </c>
      <c r="H394" s="3" t="str">
        <f>IFERROR(__xludf.DUMMYFUNCTION("IFERROR(TRANSPOSE(FILTER('Peer-Review'!$J$2:$J$568,(TRIM('Peer-Review'!$B$2:$B$568)=C394 )+ (TRIM('Peer-Review'!$F$2:$F$568)=C394))),""No Reviews"")"),"22f3002566@ds.study.iitm.ac.in")</f>
        <v>22f3002566@ds.study.iitm.ac.in</v>
      </c>
      <c r="J394" s="3">
        <f>IF(D394="No R1",0,VLOOKUP(C394,'Peer-Review'!B:D,2,0))</f>
        <v>0</v>
      </c>
      <c r="K394" s="3">
        <f>IF(D394="No R1",0,VLOOKUP(C394,'Peer-Review'!B:D,3,0))</f>
        <v>0</v>
      </c>
      <c r="L394" s="3">
        <f>IF(E394="No R2",0,VLOOKUP(C394,'Peer-Review'!F:H,2,0))</f>
        <v>10</v>
      </c>
      <c r="M394" s="3">
        <f>IF(E394="No R2",0,VLOOKUP(C394,'Peer-Review'!F:H,3,0))</f>
        <v>9</v>
      </c>
    </row>
    <row r="395" hidden="1">
      <c r="A395" s="3" t="str">
        <f>IFERROR(__xludf.DUMMYFUNCTION("""COMPUTED_VALUE"""),"22f3002981@ds.study.iitm.ac.in")</f>
        <v>22f3002981@ds.study.iitm.ac.in</v>
      </c>
      <c r="B395" s="3">
        <f>IFERROR(__xludf.DUMMYFUNCTION("""COMPUTED_VALUE"""),16.0)</f>
        <v>16</v>
      </c>
      <c r="C395" s="5" t="str">
        <f>IFERROR(__xludf.DUMMYFUNCTION("""COMPUTED_VALUE"""),"https://github.com/kthirumlaesh17/tdsproject-1")</f>
        <v>https://github.com/kthirumlaesh17/tdsproject-1</v>
      </c>
      <c r="D395" s="3" t="str">
        <f>IFERROR(VLOOKUP(C395,'Peer-Review'!B:J,9,0),"No R1")</f>
        <v>No R1</v>
      </c>
      <c r="E395" s="3" t="str">
        <f>IFERROR(VLOOKUP(C395,'Peer-Review'!F:J,5,0),"No R2")</f>
        <v>22f3002885@ds.study.iitm.ac.in</v>
      </c>
      <c r="F395" s="3">
        <f>COUNTIF('Peer-Review'!B:B,C395)+COUNTIF('Peer-Review'!F:F,C395)</f>
        <v>1</v>
      </c>
      <c r="G395" s="3">
        <f t="shared" si="1"/>
        <v>1</v>
      </c>
      <c r="H395" s="3" t="str">
        <f>IFERROR(__xludf.DUMMYFUNCTION("IFERROR(TRANSPOSE(FILTER('Peer-Review'!$J$2:$J$568,(TRIM('Peer-Review'!$B$2:$B$568)=C395 )+ (TRIM('Peer-Review'!$F$2:$F$568)=C395))),""No Reviews"")"),"22f3002885@ds.study.iitm.ac.in")</f>
        <v>22f3002885@ds.study.iitm.ac.in</v>
      </c>
      <c r="J395" s="3">
        <f>IF(D395="No R1",0,VLOOKUP(C395,'Peer-Review'!B:D,2,0))</f>
        <v>0</v>
      </c>
      <c r="K395" s="3">
        <f>IF(D395="No R1",0,VLOOKUP(C395,'Peer-Review'!B:D,3,0))</f>
        <v>0</v>
      </c>
      <c r="L395" s="3">
        <f>IF(E395="No R2",0,VLOOKUP(C395,'Peer-Review'!F:H,2,0))</f>
        <v>10</v>
      </c>
      <c r="M395" s="3">
        <f>IF(E395="No R2",0,VLOOKUP(C395,'Peer-Review'!F:H,3,0))</f>
        <v>10</v>
      </c>
    </row>
    <row r="396" hidden="1">
      <c r="A396" s="3" t="str">
        <f>IFERROR(__xludf.DUMMYFUNCTION("""COMPUTED_VALUE"""),"22f3002986@ds.study.iitm.ac.in")</f>
        <v>22f3002986@ds.study.iitm.ac.in</v>
      </c>
      <c r="B396" s="3">
        <f>IFERROR(__xludf.DUMMYFUNCTION("""COMPUTED_VALUE"""),17.0)</f>
        <v>17</v>
      </c>
      <c r="C396" s="5" t="str">
        <f>IFERROR(__xludf.DUMMYFUNCTION("""COMPUTED_VALUE"""),"https://github.com/rajyalakshmijampani-iitm/tds-project1")</f>
        <v>https://github.com/rajyalakshmijampani-iitm/tds-project1</v>
      </c>
      <c r="D396" s="3" t="str">
        <f>IFERROR(VLOOKUP(C396,'Peer-Review'!B:J,9,0),"No R1")</f>
        <v>No R1</v>
      </c>
      <c r="E396" s="3" t="str">
        <f>IFERROR(VLOOKUP(C396,'Peer-Review'!F:J,5,0),"No R2")</f>
        <v>22f3002758@ds.study.iitm.ac.in</v>
      </c>
      <c r="F396" s="3">
        <f>COUNTIF('Peer-Review'!B:B,C396)+COUNTIF('Peer-Review'!F:F,C396)</f>
        <v>1</v>
      </c>
      <c r="G396" s="3">
        <f t="shared" si="1"/>
        <v>1</v>
      </c>
      <c r="H396" s="3" t="str">
        <f>IFERROR(__xludf.DUMMYFUNCTION("IFERROR(TRANSPOSE(FILTER('Peer-Review'!$J$2:$J$568,(TRIM('Peer-Review'!$B$2:$B$568)=C396 )+ (TRIM('Peer-Review'!$F$2:$F$568)=C396))),""No Reviews"")"),"22f3002758@ds.study.iitm.ac.in")</f>
        <v>22f3002758@ds.study.iitm.ac.in</v>
      </c>
      <c r="J396" s="3">
        <f>IF(D396="No R1",0,VLOOKUP(C396,'Peer-Review'!B:D,2,0))</f>
        <v>0</v>
      </c>
      <c r="K396" s="3">
        <f>IF(D396="No R1",0,VLOOKUP(C396,'Peer-Review'!B:D,3,0))</f>
        <v>0</v>
      </c>
      <c r="L396" s="3">
        <f>IF(E396="No R2",0,VLOOKUP(C396,'Peer-Review'!F:H,2,0))</f>
        <v>10</v>
      </c>
      <c r="M396" s="3">
        <f>IF(E396="No R2",0,VLOOKUP(C396,'Peer-Review'!F:H,3,0))</f>
        <v>10</v>
      </c>
    </row>
    <row r="397" hidden="1">
      <c r="A397" s="3" t="str">
        <f>IFERROR(__xludf.DUMMYFUNCTION("""COMPUTED_VALUE"""),"22f3003021@ds.study.iitm.ac.in")</f>
        <v>22f3003021@ds.study.iitm.ac.in</v>
      </c>
      <c r="B397" s="3">
        <f>IFERROR(__xludf.DUMMYFUNCTION("""COMPUTED_VALUE"""),17.0)</f>
        <v>17</v>
      </c>
      <c r="C397" s="5" t="str">
        <f>IFERROR(__xludf.DUMMYFUNCTION("""COMPUTED_VALUE"""),"https://github.com/harini-perumandla/TDS-P1")</f>
        <v>https://github.com/harini-perumandla/TDS-P1</v>
      </c>
      <c r="D397" s="3" t="str">
        <f>IFERROR(VLOOKUP(C397,'Peer-Review'!B:J,9,0),"No R1")</f>
        <v>No R1</v>
      </c>
      <c r="E397" s="3" t="str">
        <f>IFERROR(VLOOKUP(C397,'Peer-Review'!F:J,5,0),"No R2")</f>
        <v>22f3002986@ds.study.iitm.ac.in</v>
      </c>
      <c r="F397" s="3">
        <f>COUNTIF('Peer-Review'!B:B,C397)+COUNTIF('Peer-Review'!F:F,C397)</f>
        <v>2</v>
      </c>
      <c r="G397" s="3">
        <f t="shared" si="1"/>
        <v>1</v>
      </c>
      <c r="H397" s="3" t="str">
        <f>IFERROR(__xludf.DUMMYFUNCTION("IFERROR(TRANSPOSE(FILTER('Peer-Review'!$J$2:$J$568,(TRIM('Peer-Review'!$B$2:$B$568)=C397 )+ (TRIM('Peer-Review'!$F$2:$F$568)=C397))),""No Reviews"")"),"22f3002986@ds.study.iitm.ac.in")</f>
        <v>22f3002986@ds.study.iitm.ac.in</v>
      </c>
      <c r="I397" s="3" t="str">
        <f>IFERROR(__xludf.DUMMYFUNCTION("""COMPUTED_VALUE"""),"21f3001323@ds.study.iitm.ac.in")</f>
        <v>21f3001323@ds.study.iitm.ac.in</v>
      </c>
      <c r="J397" s="3">
        <f>IF(D397="No R1",0,VLOOKUP(C397,'Peer-Review'!B:D,2,0))</f>
        <v>0</v>
      </c>
      <c r="K397" s="3">
        <f>IF(D397="No R1",0,VLOOKUP(C397,'Peer-Review'!B:D,3,0))</f>
        <v>0</v>
      </c>
      <c r="L397" s="3">
        <f>IF(E397="No R2",0,VLOOKUP(C397,'Peer-Review'!F:H,2,0))</f>
        <v>6</v>
      </c>
      <c r="M397" s="3">
        <f>IF(E397="No R2",0,VLOOKUP(C397,'Peer-Review'!F:H,3,0))</f>
        <v>9</v>
      </c>
    </row>
    <row r="398" hidden="1">
      <c r="A398" s="3" t="str">
        <f>IFERROR(__xludf.DUMMYFUNCTION("""COMPUTED_VALUE"""),"22f3003031@ds.study.iitm.ac.in")</f>
        <v>22f3003031@ds.study.iitm.ac.in</v>
      </c>
      <c r="B398" s="3">
        <f>IFERROR(__xludf.DUMMYFUNCTION("""COMPUTED_VALUE"""),17.0)</f>
        <v>17</v>
      </c>
      <c r="C398" s="5" t="str">
        <f>IFERROR(__xludf.DUMMYFUNCTION("""COMPUTED_VALUE"""),"https://github.com/sidg75/tds-project1")</f>
        <v>https://github.com/sidg75/tds-project1</v>
      </c>
      <c r="D398" s="3" t="str">
        <f>IFERROR(VLOOKUP(C398,'Peer-Review'!B:J,9,0),"No R1")</f>
        <v>No R1</v>
      </c>
      <c r="E398" s="3" t="str">
        <f>IFERROR(VLOOKUP(C398,'Peer-Review'!F:J,5,0),"No R2")</f>
        <v>22f3003021@ds.study.iitm.ac.in</v>
      </c>
      <c r="F398" s="3">
        <f>COUNTIF('Peer-Review'!B:B,C398)+COUNTIF('Peer-Review'!F:F,C398)</f>
        <v>1</v>
      </c>
      <c r="G398" s="3">
        <f t="shared" si="1"/>
        <v>1</v>
      </c>
      <c r="H398" s="3" t="str">
        <f>IFERROR(__xludf.DUMMYFUNCTION("IFERROR(TRANSPOSE(FILTER('Peer-Review'!$J$2:$J$568,(TRIM('Peer-Review'!$B$2:$B$568)=C398 )+ (TRIM('Peer-Review'!$F$2:$F$568)=C398))),""No Reviews"")"),"22f3003021@ds.study.iitm.ac.in")</f>
        <v>22f3003021@ds.study.iitm.ac.in</v>
      </c>
      <c r="J398" s="3">
        <f>IF(D398="No R1",0,VLOOKUP(C398,'Peer-Review'!B:D,2,0))</f>
        <v>0</v>
      </c>
      <c r="K398" s="3">
        <f>IF(D398="No R1",0,VLOOKUP(C398,'Peer-Review'!B:D,3,0))</f>
        <v>0</v>
      </c>
      <c r="L398" s="3">
        <f>IF(E398="No R2",0,VLOOKUP(C398,'Peer-Review'!F:H,2,0))</f>
        <v>9</v>
      </c>
      <c r="M398" s="3">
        <f>IF(E398="No R2",0,VLOOKUP(C398,'Peer-Review'!F:H,3,0))</f>
        <v>10</v>
      </c>
    </row>
    <row r="399" hidden="1">
      <c r="A399" s="3" t="str">
        <f>IFERROR(__xludf.DUMMYFUNCTION("""COMPUTED_VALUE"""),"22f3003042@ds.study.iitm.ac.in")</f>
        <v>22f3003042@ds.study.iitm.ac.in</v>
      </c>
      <c r="B399" s="3">
        <f>IFERROR(__xludf.DUMMYFUNCTION("""COMPUTED_VALUE"""),13.0)</f>
        <v>13</v>
      </c>
      <c r="C399" s="5" t="str">
        <f>IFERROR(__xludf.DUMMYFUNCTION("""COMPUTED_VALUE"""),"https://github.com/nishant1909/TDS-Project-1")</f>
        <v>https://github.com/nishant1909/TDS-Project-1</v>
      </c>
      <c r="D399" s="3" t="str">
        <f>IFERROR(VLOOKUP(C399,'Peer-Review'!B:J,9,0),"No R1")</f>
        <v>22f3000182@ds.study.iitm.ac.in</v>
      </c>
      <c r="E399" s="3" t="str">
        <f>IFERROR(VLOOKUP(C399,'Peer-Review'!F:J,5,0),"No R2")</f>
        <v>No R2</v>
      </c>
      <c r="F399" s="3">
        <f>COUNTIF('Peer-Review'!B:B,C399)+COUNTIF('Peer-Review'!F:F,C399)</f>
        <v>2</v>
      </c>
      <c r="G399" s="3">
        <f t="shared" si="1"/>
        <v>1</v>
      </c>
      <c r="H399" s="3" t="str">
        <f>IFERROR(__xludf.DUMMYFUNCTION("IFERROR(TRANSPOSE(FILTER('Peer-Review'!$J$2:$J$568,(TRIM('Peer-Review'!$B$2:$B$568)=C399 )+ (TRIM('Peer-Review'!$F$2:$F$568)=C399))),""No Reviews"")"),"22f3000182@ds.study.iitm.ac.in")</f>
        <v>22f3000182@ds.study.iitm.ac.in</v>
      </c>
      <c r="I399" s="3" t="str">
        <f>IFERROR(__xludf.DUMMYFUNCTION("""COMPUTED_VALUE"""),"23ds1000051@ds.study.iitm.ac.in")</f>
        <v>23ds1000051@ds.study.iitm.ac.in</v>
      </c>
      <c r="J399" s="3">
        <f>IF(D399="No R1",0,VLOOKUP(C399,'Peer-Review'!B:D,2,0))</f>
        <v>10</v>
      </c>
      <c r="K399" s="3">
        <f>IF(D399="No R1",0,VLOOKUP(C399,'Peer-Review'!B:D,3,0))</f>
        <v>0</v>
      </c>
      <c r="L399" s="3">
        <f>IF(E399="No R2",0,VLOOKUP(C399,'Peer-Review'!F:H,2,0))</f>
        <v>0</v>
      </c>
      <c r="M399" s="3">
        <f>IF(E399="No R2",0,VLOOKUP(C399,'Peer-Review'!F:H,3,0))</f>
        <v>0</v>
      </c>
    </row>
    <row r="400" hidden="1">
      <c r="A400" s="3" t="str">
        <f>IFERROR(__xludf.DUMMYFUNCTION("""COMPUTED_VALUE"""),"22f3003055@ds.study.iitm.ac.in")</f>
        <v>22f3003055@ds.study.iitm.ac.in</v>
      </c>
      <c r="B400" s="3">
        <f>IFERROR(__xludf.DUMMYFUNCTION("""COMPUTED_VALUE"""),17.0)</f>
        <v>17</v>
      </c>
      <c r="C400" s="5" t="str">
        <f>IFERROR(__xludf.DUMMYFUNCTION("""COMPUTED_VALUE"""),"https://github.com/AmanManiTiwari/Tools-In-Data-Science-Project-1")</f>
        <v>https://github.com/AmanManiTiwari/Tools-In-Data-Science-Project-1</v>
      </c>
      <c r="D400" s="3" t="str">
        <f>IFERROR(VLOOKUP(C400,'Peer-Review'!B:J,9,0),"No R1")</f>
        <v>No R1</v>
      </c>
      <c r="E400" s="3" t="str">
        <f>IFERROR(VLOOKUP(C400,'Peer-Review'!F:J,5,0),"No R2")</f>
        <v>21f3002415@ds.study.iitm.ac.in</v>
      </c>
      <c r="F400" s="3">
        <f>COUNTIF('Peer-Review'!B:B,C400)+COUNTIF('Peer-Review'!F:F,C400)</f>
        <v>2</v>
      </c>
      <c r="G400" s="3">
        <f t="shared" si="1"/>
        <v>1</v>
      </c>
      <c r="H400" s="3" t="str">
        <f>IFERROR(__xludf.DUMMYFUNCTION("IFERROR(TRANSPOSE(FILTER('Peer-Review'!$J$2:$J$568,(TRIM('Peer-Review'!$B$2:$B$568)=C400 )+ (TRIM('Peer-Review'!$F$2:$F$568)=C400))),""No Reviews"")"),"21f3002415@ds.study.iitm.ac.in")</f>
        <v>21f3002415@ds.study.iitm.ac.in</v>
      </c>
      <c r="I400" s="3" t="str">
        <f>IFERROR(__xludf.DUMMYFUNCTION("""COMPUTED_VALUE"""),"22f3003031@ds.study.iitm.ac.in")</f>
        <v>22f3003031@ds.study.iitm.ac.in</v>
      </c>
      <c r="J400" s="3">
        <f>IF(D400="No R1",0,VLOOKUP(C400,'Peer-Review'!B:D,2,0))</f>
        <v>0</v>
      </c>
      <c r="K400" s="3">
        <f>IF(D400="No R1",0,VLOOKUP(C400,'Peer-Review'!B:D,3,0))</f>
        <v>0</v>
      </c>
      <c r="L400" s="3">
        <f>IF(E400="No R2",0,VLOOKUP(C400,'Peer-Review'!F:H,2,0))</f>
        <v>6</v>
      </c>
      <c r="M400" s="3">
        <f>IF(E400="No R2",0,VLOOKUP(C400,'Peer-Review'!F:H,3,0))</f>
        <v>10</v>
      </c>
    </row>
    <row r="401" hidden="1">
      <c r="A401" s="3" t="str">
        <f>IFERROR(__xludf.DUMMYFUNCTION("""COMPUTED_VALUE"""),"22f3003067@ds.study.iitm.ac.in")</f>
        <v>22f3003067@ds.study.iitm.ac.in</v>
      </c>
      <c r="B401" s="3">
        <f>IFERROR(__xludf.DUMMYFUNCTION("""COMPUTED_VALUE"""),17.0)</f>
        <v>17</v>
      </c>
      <c r="C401" s="5" t="str">
        <f>IFERROR(__xludf.DUMMYFUNCTION("""COMPUTED_VALUE"""),"https://github.com/rishikarai23/TDS-PROJECT")</f>
        <v>https://github.com/rishikarai23/TDS-PROJECT</v>
      </c>
      <c r="D401" s="3" t="str">
        <f>IFERROR(VLOOKUP(C401,'Peer-Review'!B:J,9,0),"No R1")</f>
        <v>22f3003055@ds.study.iitm.ac.in</v>
      </c>
      <c r="E401" s="3" t="str">
        <f>IFERROR(VLOOKUP(C401,'Peer-Review'!F:J,5,0),"No R2")</f>
        <v>21f3002950@ds.study.iitm.ac.in</v>
      </c>
      <c r="F401" s="3">
        <f>COUNTIF('Peer-Review'!B:B,C401)+COUNTIF('Peer-Review'!F:F,C401)</f>
        <v>2</v>
      </c>
      <c r="G401" s="3">
        <f t="shared" si="1"/>
        <v>2</v>
      </c>
      <c r="H401" s="3" t="str">
        <f>IFERROR(__xludf.DUMMYFUNCTION("IFERROR(TRANSPOSE(FILTER('Peer-Review'!$J$2:$J$568,(TRIM('Peer-Review'!$B$2:$B$568)=C401 )+ (TRIM('Peer-Review'!$F$2:$F$568)=C401))),""No Reviews"")"),"22f3003055@ds.study.iitm.ac.in")</f>
        <v>22f3003055@ds.study.iitm.ac.in</v>
      </c>
      <c r="I401" s="3" t="str">
        <f>IFERROR(__xludf.DUMMYFUNCTION("""COMPUTED_VALUE"""),"21f3002950@ds.study.iitm.ac.in")</f>
        <v>21f3002950@ds.study.iitm.ac.in</v>
      </c>
      <c r="J401" s="3">
        <f>IF(D401="No R1",0,VLOOKUP(C401,'Peer-Review'!B:D,2,0))</f>
        <v>10</v>
      </c>
      <c r="K401" s="3">
        <f>IF(D401="No R1",0,VLOOKUP(C401,'Peer-Review'!B:D,3,0))</f>
        <v>9</v>
      </c>
      <c r="L401" s="3">
        <f>IF(E401="No R2",0,VLOOKUP(C401,'Peer-Review'!F:H,2,0))</f>
        <v>9</v>
      </c>
      <c r="M401" s="3">
        <f>IF(E401="No R2",0,VLOOKUP(C401,'Peer-Review'!F:H,3,0))</f>
        <v>10</v>
      </c>
    </row>
    <row r="402" hidden="1">
      <c r="A402" s="3" t="str">
        <f>IFERROR(__xludf.DUMMYFUNCTION("""COMPUTED_VALUE"""),"22f3003074@ds.study.iitm.ac.in")</f>
        <v>22f3003074@ds.study.iitm.ac.in</v>
      </c>
      <c r="B402" s="3">
        <f>IFERROR(__xludf.DUMMYFUNCTION("""COMPUTED_VALUE"""),15.0)</f>
        <v>15</v>
      </c>
      <c r="C402" s="5" t="str">
        <f>IFERROR(__xludf.DUMMYFUNCTION("""COMPUTED_VALUE"""),"https://github.com/UJJWALg-08/TDS-Project1")</f>
        <v>https://github.com/UJJWALg-08/TDS-Project1</v>
      </c>
      <c r="D402" s="3" t="str">
        <f>IFERROR(VLOOKUP(C402,'Peer-Review'!B:J,9,0),"No R1")</f>
        <v>23f2004625@ds.study.iitm.ac.in</v>
      </c>
      <c r="E402" s="3" t="str">
        <f>IFERROR(VLOOKUP(C402,'Peer-Review'!F:J,5,0),"No R2")</f>
        <v>No R2</v>
      </c>
      <c r="F402" s="3">
        <f>COUNTIF('Peer-Review'!B:B,C402)+COUNTIF('Peer-Review'!F:F,C402)</f>
        <v>2</v>
      </c>
      <c r="G402" s="3">
        <f t="shared" si="1"/>
        <v>1</v>
      </c>
      <c r="H402" s="3" t="str">
        <f>IFERROR(__xludf.DUMMYFUNCTION("IFERROR(TRANSPOSE(FILTER('Peer-Review'!$J$2:$J$568,(TRIM('Peer-Review'!$B$2:$B$568)=C402 )+ (TRIM('Peer-Review'!$F$2:$F$568)=C402))),""No Reviews"")"),"23f2004625@ds.study.iitm.ac.in")</f>
        <v>23f2004625@ds.study.iitm.ac.in</v>
      </c>
      <c r="I402" s="3" t="str">
        <f>IFERROR(__xludf.DUMMYFUNCTION("""COMPUTED_VALUE"""),"23ds1000121@ds.study.iitm.ac.in")</f>
        <v>23ds1000121@ds.study.iitm.ac.in</v>
      </c>
      <c r="J402" s="3">
        <f>IF(D402="No R1",0,VLOOKUP(C402,'Peer-Review'!B:D,2,0))</f>
        <v>10</v>
      </c>
      <c r="K402" s="3">
        <f>IF(D402="No R1",0,VLOOKUP(C402,'Peer-Review'!B:D,3,0))</f>
        <v>10</v>
      </c>
      <c r="L402" s="3">
        <f>IF(E402="No R2",0,VLOOKUP(C402,'Peer-Review'!F:H,2,0))</f>
        <v>0</v>
      </c>
      <c r="M402" s="3">
        <f>IF(E402="No R2",0,VLOOKUP(C402,'Peer-Review'!F:H,3,0))</f>
        <v>0</v>
      </c>
    </row>
    <row r="403" hidden="1">
      <c r="A403" s="3" t="str">
        <f>IFERROR(__xludf.DUMMYFUNCTION("""COMPUTED_VALUE"""),"22f3003086@ds.study.iitm.ac.in")</f>
        <v>22f3003086@ds.study.iitm.ac.in</v>
      </c>
      <c r="B403" s="3">
        <f>IFERROR(__xludf.DUMMYFUNCTION("""COMPUTED_VALUE"""),16.0)</f>
        <v>16</v>
      </c>
      <c r="C403" s="5" t="str">
        <f>IFERROR(__xludf.DUMMYFUNCTION("""COMPUTED_VALUE"""),"https://github.com/dhaanicodes/project1")</f>
        <v>https://github.com/dhaanicodes/project1</v>
      </c>
      <c r="D403" s="3" t="str">
        <f>IFERROR(VLOOKUP(C403,'Peer-Review'!B:J,9,0),"No R1")</f>
        <v>23f1003126@ds.study.iitm.ac.in</v>
      </c>
      <c r="E403" s="3" t="str">
        <f>IFERROR(VLOOKUP(C403,'Peer-Review'!F:J,5,0),"No R2")</f>
        <v>23f1003126@ds.study.iitm.ac.in</v>
      </c>
      <c r="F403" s="3">
        <f>COUNTIF('Peer-Review'!B:B,C403)+COUNTIF('Peer-Review'!F:F,C403)</f>
        <v>3</v>
      </c>
      <c r="G403" s="3">
        <f t="shared" si="1"/>
        <v>2</v>
      </c>
      <c r="H403" s="3" t="str">
        <f>IFERROR(__xludf.DUMMYFUNCTION("IFERROR(TRANSPOSE(FILTER('Peer-Review'!$J$2:$J$568,(TRIM('Peer-Review'!$B$2:$B$568)=C403 )+ (TRIM('Peer-Review'!$F$2:$F$568)=C403))),""No Reviews"")"),"23f1003126@ds.study.iitm.ac.in")</f>
        <v>23f1003126@ds.study.iitm.ac.in</v>
      </c>
      <c r="I403" s="3" t="str">
        <f>IFERROR(__xludf.DUMMYFUNCTION("""COMPUTED_VALUE"""),"22f3002981@ds.study.iitm.ac.in")</f>
        <v>22f3002981@ds.study.iitm.ac.in</v>
      </c>
      <c r="J403" s="3">
        <f>IF(D403="No R1",0,VLOOKUP(C403,'Peer-Review'!B:D,2,0))</f>
        <v>10</v>
      </c>
      <c r="K403" s="3">
        <f>IF(D403="No R1",0,VLOOKUP(C403,'Peer-Review'!B:D,3,0))</f>
        <v>10</v>
      </c>
      <c r="L403" s="3">
        <f>IF(E403="No R2",0,VLOOKUP(C403,'Peer-Review'!F:H,2,0))</f>
        <v>10</v>
      </c>
      <c r="M403" s="3">
        <f>IF(E403="No R2",0,VLOOKUP(C403,'Peer-Review'!F:H,3,0))</f>
        <v>10</v>
      </c>
    </row>
    <row r="404" hidden="1">
      <c r="A404" s="3" t="str">
        <f>IFERROR(__xludf.DUMMYFUNCTION("""COMPUTED_VALUE"""),"22f3003110@ds.study.iitm.ac.in")</f>
        <v>22f3003110@ds.study.iitm.ac.in</v>
      </c>
      <c r="B404" s="3">
        <f>IFERROR(__xludf.DUMMYFUNCTION("""COMPUTED_VALUE"""),0.0)</f>
        <v>0</v>
      </c>
      <c r="C404" s="5" t="str">
        <f>IFERROR(__xludf.DUMMYFUNCTION("""COMPUTED_VALUE"""),"https://github.com/gaurav870922/moscowProj01.git")</f>
        <v>https://github.com/gaurav870922/moscowProj01.git</v>
      </c>
      <c r="D404" s="3" t="str">
        <f>IFERROR(VLOOKUP(C404,'Peer-Review'!B:J,9,0),"No R1")</f>
        <v>No R1</v>
      </c>
      <c r="E404" s="3" t="str">
        <f>IFERROR(VLOOKUP(C404,'Peer-Review'!F:J,5,0),"No R2")</f>
        <v>No R2</v>
      </c>
      <c r="F404" s="3">
        <f>COUNTIF('Peer-Review'!B:B,C404)+COUNTIF('Peer-Review'!F:F,C404)</f>
        <v>0</v>
      </c>
      <c r="G404" s="3">
        <f t="shared" si="1"/>
        <v>0</v>
      </c>
      <c r="H404" s="3" t="str">
        <f>IFERROR(__xludf.DUMMYFUNCTION("IFERROR(TRANSPOSE(FILTER('Peer-Review'!$J$2:$J$568,(TRIM('Peer-Review'!$B$2:$B$568)=C404 )+ (TRIM('Peer-Review'!$F$2:$F$568)=C404))),""No Reviews"")"),"No Reviews")</f>
        <v>No Reviews</v>
      </c>
      <c r="J404" s="3">
        <f>IF(D404="No R1",0,VLOOKUP(C404,'Peer-Review'!B:D,2,0))</f>
        <v>0</v>
      </c>
      <c r="K404" s="3">
        <f>IF(D404="No R1",0,VLOOKUP(C404,'Peer-Review'!B:D,3,0))</f>
        <v>0</v>
      </c>
      <c r="L404" s="3">
        <f>IF(E404="No R2",0,VLOOKUP(C404,'Peer-Review'!F:H,2,0))</f>
        <v>0</v>
      </c>
      <c r="M404" s="3">
        <f>IF(E404="No R2",0,VLOOKUP(C404,'Peer-Review'!F:H,3,0))</f>
        <v>0</v>
      </c>
    </row>
    <row r="405" hidden="1">
      <c r="A405" s="3" t="str">
        <f>IFERROR(__xludf.DUMMYFUNCTION("""COMPUTED_VALUE"""),"22f3003121@ds.study.iitm.ac.in")</f>
        <v>22f3003121@ds.study.iitm.ac.in</v>
      </c>
      <c r="B405" s="3">
        <f>IFERROR(__xludf.DUMMYFUNCTION("""COMPUTED_VALUE"""),12.0)</f>
        <v>12</v>
      </c>
      <c r="C405" s="5" t="str">
        <f>IFERROR(__xludf.DUMMYFUNCTION("""COMPUTED_VALUE"""),"https://github.com/VijeethC300/BangaloreGitHubUsers")</f>
        <v>https://github.com/VijeethC300/BangaloreGitHubUsers</v>
      </c>
      <c r="D405" s="3" t="str">
        <f>IFERROR(VLOOKUP(C405,'Peer-Review'!B:J,9,0),"No R1")</f>
        <v>22f3003170@ds.study.iitm.ac.in</v>
      </c>
      <c r="E405" s="3" t="str">
        <f>IFERROR(VLOOKUP(C405,'Peer-Review'!F:J,5,0),"No R2")</f>
        <v>No R2</v>
      </c>
      <c r="F405" s="3">
        <f>COUNTIF('Peer-Review'!B:B,C405)+COUNTIF('Peer-Review'!F:F,C405)</f>
        <v>2</v>
      </c>
      <c r="G405" s="3">
        <f t="shared" si="1"/>
        <v>1</v>
      </c>
      <c r="H405" s="3" t="str">
        <f>IFERROR(__xludf.DUMMYFUNCTION("IFERROR(TRANSPOSE(FILTER('Peer-Review'!$J$2:$J$568,(TRIM('Peer-Review'!$B$2:$B$568)=C405 )+ (TRIM('Peer-Review'!$F$2:$F$568)=C405))),""No Reviews"")"),"22f3003170@ds.study.iitm.ac.in")</f>
        <v>22f3003170@ds.study.iitm.ac.in</v>
      </c>
      <c r="I405" s="3" t="str">
        <f>IFERROR(__xludf.DUMMYFUNCTION("""COMPUTED_VALUE"""),"21f2000852@ds.study.iitm.ac.in")</f>
        <v>21f2000852@ds.study.iitm.ac.in</v>
      </c>
      <c r="J405" s="3">
        <f>IF(D405="No R1",0,VLOOKUP(C405,'Peer-Review'!B:D,2,0))</f>
        <v>10</v>
      </c>
      <c r="K405" s="3">
        <f>IF(D405="No R1",0,VLOOKUP(C405,'Peer-Review'!B:D,3,0))</f>
        <v>8</v>
      </c>
      <c r="L405" s="3">
        <f>IF(E405="No R2",0,VLOOKUP(C405,'Peer-Review'!F:H,2,0))</f>
        <v>0</v>
      </c>
      <c r="M405" s="3">
        <f>IF(E405="No R2",0,VLOOKUP(C405,'Peer-Review'!F:H,3,0))</f>
        <v>0</v>
      </c>
    </row>
    <row r="406" hidden="1">
      <c r="A406" s="3" t="str">
        <f>IFERROR(__xludf.DUMMYFUNCTION("""COMPUTED_VALUE"""),"22f3003124@ds.study.iitm.ac.in")</f>
        <v>22f3003124@ds.study.iitm.ac.in</v>
      </c>
      <c r="B406" s="3">
        <f>IFERROR(__xludf.DUMMYFUNCTION("""COMPUTED_VALUE"""),16.0)</f>
        <v>16</v>
      </c>
      <c r="C406" s="5" t="str">
        <f>IFERROR(__xludf.DUMMYFUNCTION("""COMPUTED_VALUE"""),"https://github.com/namish18/TDSP1")</f>
        <v>https://github.com/namish18/TDSP1</v>
      </c>
      <c r="D406" s="3" t="str">
        <f>IFERROR(VLOOKUP(C406,'Peer-Review'!B:J,9,0),"No R1")</f>
        <v>No R1</v>
      </c>
      <c r="E406" s="3" t="str">
        <f>IFERROR(VLOOKUP(C406,'Peer-Review'!F:J,5,0),"No R2")</f>
        <v>23f2000573@ds.study.iitm.ac.in</v>
      </c>
      <c r="F406" s="3">
        <f>COUNTIF('Peer-Review'!B:B,C406)+COUNTIF('Peer-Review'!F:F,C406)</f>
        <v>2</v>
      </c>
      <c r="G406" s="3">
        <f t="shared" si="1"/>
        <v>1</v>
      </c>
      <c r="H406" s="3" t="str">
        <f>IFERROR(__xludf.DUMMYFUNCTION("IFERROR(TRANSPOSE(FILTER('Peer-Review'!$J$2:$J$568,(TRIM('Peer-Review'!$B$2:$B$568)=C406 )+ (TRIM('Peer-Review'!$F$2:$F$568)=C406))),""No Reviews"")"),"23f2000573@ds.study.iitm.ac.in")</f>
        <v>23f2000573@ds.study.iitm.ac.in</v>
      </c>
      <c r="I406" s="3" t="str">
        <f>IFERROR(__xludf.DUMMYFUNCTION("""COMPUTED_VALUE"""),"22f3003086@ds.study.iitm.ac.in")</f>
        <v>22f3003086@ds.study.iitm.ac.in</v>
      </c>
      <c r="J406" s="3">
        <f>IF(D406="No R1",0,VLOOKUP(C406,'Peer-Review'!B:D,2,0))</f>
        <v>0</v>
      </c>
      <c r="K406" s="3">
        <f>IF(D406="No R1",0,VLOOKUP(C406,'Peer-Review'!B:D,3,0))</f>
        <v>0</v>
      </c>
      <c r="L406" s="3">
        <f>IF(E406="No R2",0,VLOOKUP(C406,'Peer-Review'!F:H,2,0))</f>
        <v>10</v>
      </c>
      <c r="M406" s="3">
        <f>IF(E406="No R2",0,VLOOKUP(C406,'Peer-Review'!F:H,3,0))</f>
        <v>10</v>
      </c>
    </row>
    <row r="407" hidden="1">
      <c r="A407" s="3" t="str">
        <f>IFERROR(__xludf.DUMMYFUNCTION("""COMPUTED_VALUE"""),"22f3003157@ds.study.iitm.ac.in")</f>
        <v>22f3003157@ds.study.iitm.ac.in</v>
      </c>
      <c r="B407" s="3">
        <f>IFERROR(__xludf.DUMMYFUNCTION("""COMPUTED_VALUE"""),17.0)</f>
        <v>17</v>
      </c>
      <c r="C407" s="5" t="str">
        <f>IFERROR(__xludf.DUMMYFUNCTION("""COMPUTED_VALUE"""),"https://github.com/praveen37bn/now_project1")</f>
        <v>https://github.com/praveen37bn/now_project1</v>
      </c>
      <c r="D407" s="3" t="str">
        <f>IFERROR(VLOOKUP(C407,'Peer-Review'!B:J,9,0),"No R1")</f>
        <v>No R1</v>
      </c>
      <c r="E407" s="3" t="str">
        <f>IFERROR(VLOOKUP(C407,'Peer-Review'!F:J,5,0),"No R2")</f>
        <v>22f3003067@ds.study.iitm.ac.in</v>
      </c>
      <c r="F407" s="3">
        <f>COUNTIF('Peer-Review'!B:B,C407)+COUNTIF('Peer-Review'!F:F,C407)</f>
        <v>1</v>
      </c>
      <c r="G407" s="3">
        <f t="shared" si="1"/>
        <v>1</v>
      </c>
      <c r="H407" s="3" t="str">
        <f>IFERROR(__xludf.DUMMYFUNCTION("IFERROR(TRANSPOSE(FILTER('Peer-Review'!$J$2:$J$568,(TRIM('Peer-Review'!$B$2:$B$568)=C407 )+ (TRIM('Peer-Review'!$F$2:$F$568)=C407))),""No Reviews"")"),"22f3003067@ds.study.iitm.ac.in")</f>
        <v>22f3003067@ds.study.iitm.ac.in</v>
      </c>
      <c r="J407" s="3">
        <f>IF(D407="No R1",0,VLOOKUP(C407,'Peer-Review'!B:D,2,0))</f>
        <v>0</v>
      </c>
      <c r="K407" s="3">
        <f>IF(D407="No R1",0,VLOOKUP(C407,'Peer-Review'!B:D,3,0))</f>
        <v>0</v>
      </c>
      <c r="L407" s="3">
        <f>IF(E407="No R2",0,VLOOKUP(C407,'Peer-Review'!F:H,2,0))</f>
        <v>8</v>
      </c>
      <c r="M407" s="3">
        <f>IF(E407="No R2",0,VLOOKUP(C407,'Peer-Review'!F:H,3,0))</f>
        <v>6</v>
      </c>
    </row>
    <row r="408" hidden="1">
      <c r="A408" s="3" t="str">
        <f>IFERROR(__xludf.DUMMYFUNCTION("""COMPUTED_VALUE"""),"22f3003170@ds.study.iitm.ac.in")</f>
        <v>22f3003170@ds.study.iitm.ac.in</v>
      </c>
      <c r="B408" s="3">
        <f>IFERROR(__xludf.DUMMYFUNCTION("""COMPUTED_VALUE"""),12.0)</f>
        <v>12</v>
      </c>
      <c r="C408" s="5" t="str">
        <f>IFERROR(__xludf.DUMMYFUNCTION("""COMPUTED_VALUE"""),"https://github.com/sanskar-gupta206/TDS_P1")</f>
        <v>https://github.com/sanskar-gupta206/TDS_P1</v>
      </c>
      <c r="D408" s="3" t="str">
        <f>IFERROR(VLOOKUP(C408,'Peer-Review'!B:J,9,0),"No R1")</f>
        <v>23ds2000054@ds.study.iitm.ac.in</v>
      </c>
      <c r="E408" s="3" t="str">
        <f>IFERROR(VLOOKUP(C408,'Peer-Review'!F:J,5,0),"No R2")</f>
        <v>No R2</v>
      </c>
      <c r="F408" s="3">
        <f>COUNTIF('Peer-Review'!B:B,C408)+COUNTIF('Peer-Review'!F:F,C408)</f>
        <v>2</v>
      </c>
      <c r="G408" s="3">
        <f t="shared" si="1"/>
        <v>1</v>
      </c>
      <c r="H408" s="3" t="str">
        <f>IFERROR(__xludf.DUMMYFUNCTION("IFERROR(TRANSPOSE(FILTER('Peer-Review'!$J$2:$J$568,(TRIM('Peer-Review'!$B$2:$B$568)=C408 )+ (TRIM('Peer-Review'!$F$2:$F$568)=C408))),""No Reviews"")"),"23ds2000054@ds.study.iitm.ac.in")</f>
        <v>23ds2000054@ds.study.iitm.ac.in</v>
      </c>
      <c r="I408" s="3" t="str">
        <f>IFERROR(__xludf.DUMMYFUNCTION("""COMPUTED_VALUE"""),"21f2001015@ds.study.iitm.ac.in")</f>
        <v>21f2001015@ds.study.iitm.ac.in</v>
      </c>
      <c r="J408" s="3">
        <f>IF(D408="No R1",0,VLOOKUP(C408,'Peer-Review'!B:D,2,0))</f>
        <v>10</v>
      </c>
      <c r="K408" s="3">
        <f>IF(D408="No R1",0,VLOOKUP(C408,'Peer-Review'!B:D,3,0))</f>
        <v>10</v>
      </c>
      <c r="L408" s="3">
        <f>IF(E408="No R2",0,VLOOKUP(C408,'Peer-Review'!F:H,2,0))</f>
        <v>0</v>
      </c>
      <c r="M408" s="3">
        <f>IF(E408="No R2",0,VLOOKUP(C408,'Peer-Review'!F:H,3,0))</f>
        <v>0</v>
      </c>
    </row>
    <row r="409" hidden="1">
      <c r="A409" s="3" t="str">
        <f>IFERROR(__xludf.DUMMYFUNCTION("""COMPUTED_VALUE"""),"22f3003208@ds.study.iitm.ac.in")</f>
        <v>22f3003208@ds.study.iitm.ac.in</v>
      </c>
      <c r="B409" s="3">
        <f>IFERROR(__xludf.DUMMYFUNCTION("""COMPUTED_VALUE"""),17.0)</f>
        <v>17</v>
      </c>
      <c r="C409" s="5" t="str">
        <f>IFERROR(__xludf.DUMMYFUNCTION("""COMPUTED_VALUE"""),"https://github.com/tanishka-26saxena/Tokyo-200")</f>
        <v>https://github.com/tanishka-26saxena/Tokyo-200</v>
      </c>
      <c r="D409" s="3" t="str">
        <f>IFERROR(VLOOKUP(C409,'Peer-Review'!B:J,9,0),"No R1")</f>
        <v>No R1</v>
      </c>
      <c r="E409" s="3" t="str">
        <f>IFERROR(VLOOKUP(C409,'Peer-Review'!F:J,5,0),"No R2")</f>
        <v>22f3003157@ds.study.iitm.ac.in</v>
      </c>
      <c r="F409" s="3">
        <f>COUNTIF('Peer-Review'!B:B,C409)+COUNTIF('Peer-Review'!F:F,C409)</f>
        <v>2</v>
      </c>
      <c r="G409" s="3">
        <f t="shared" si="1"/>
        <v>1</v>
      </c>
      <c r="H409" s="3" t="str">
        <f>IFERROR(__xludf.DUMMYFUNCTION("IFERROR(TRANSPOSE(FILTER('Peer-Review'!$J$2:$J$568,(TRIM('Peer-Review'!$B$2:$B$568)=C409 )+ (TRIM('Peer-Review'!$F$2:$F$568)=C409))),""No Reviews"")"),"22f3003157@ds.study.iitm.ac.in")</f>
        <v>22f3003157@ds.study.iitm.ac.in</v>
      </c>
      <c r="I409" s="3" t="str">
        <f>IFERROR(__xludf.DUMMYFUNCTION("""COMPUTED_VALUE"""),"22f1000386@ds.study.iitm.ac.in")</f>
        <v>22f1000386@ds.study.iitm.ac.in</v>
      </c>
      <c r="J409" s="3">
        <f>IF(D409="No R1",0,VLOOKUP(C409,'Peer-Review'!B:D,2,0))</f>
        <v>0</v>
      </c>
      <c r="K409" s="3">
        <f>IF(D409="No R1",0,VLOOKUP(C409,'Peer-Review'!B:D,3,0))</f>
        <v>0</v>
      </c>
      <c r="L409" s="3">
        <f>IF(E409="No R2",0,VLOOKUP(C409,'Peer-Review'!F:H,2,0))</f>
        <v>10</v>
      </c>
      <c r="M409" s="3">
        <f>IF(E409="No R2",0,VLOOKUP(C409,'Peer-Review'!F:H,3,0))</f>
        <v>0</v>
      </c>
    </row>
    <row r="410" hidden="1">
      <c r="A410" s="3" t="str">
        <f>IFERROR(__xludf.DUMMYFUNCTION("""COMPUTED_VALUE"""),"22f3003253@ds.study.iitm.ac.in")</f>
        <v>22f3003253@ds.study.iitm.ac.in</v>
      </c>
      <c r="B410" s="3">
        <f>IFERROR(__xludf.DUMMYFUNCTION("""COMPUTED_VALUE"""),16.0)</f>
        <v>16</v>
      </c>
      <c r="C410" s="5" t="str">
        <f>IFERROR(__xludf.DUMMYFUNCTION("""COMPUTED_VALUE"""),"https://github.com/Anupama-Manjunath/22f3003253_tdsPA1")</f>
        <v>https://github.com/Anupama-Manjunath/22f3003253_tdsPA1</v>
      </c>
      <c r="D410" s="3" t="str">
        <f>IFERROR(VLOOKUP(C410,'Peer-Review'!B:J,9,0),"No R1")</f>
        <v>No R1</v>
      </c>
      <c r="E410" s="3" t="str">
        <f>IFERROR(VLOOKUP(C410,'Peer-Review'!F:J,5,0),"No R2")</f>
        <v>23f2000919@ds.study.iitm.ac.in</v>
      </c>
      <c r="F410" s="3">
        <f>COUNTIF('Peer-Review'!B:B,C410)+COUNTIF('Peer-Review'!F:F,C410)</f>
        <v>2</v>
      </c>
      <c r="G410" s="3">
        <f t="shared" si="1"/>
        <v>1</v>
      </c>
      <c r="H410" s="3" t="str">
        <f>IFERROR(__xludf.DUMMYFUNCTION("IFERROR(TRANSPOSE(FILTER('Peer-Review'!$J$2:$J$568,(TRIM('Peer-Review'!$B$2:$B$568)=C410 )+ (TRIM('Peer-Review'!$F$2:$F$568)=C410))),""No Reviews"")"),"23f2000919@ds.study.iitm.ac.in")</f>
        <v>23f2000919@ds.study.iitm.ac.in</v>
      </c>
      <c r="I410" s="3" t="str">
        <f>IFERROR(__xludf.DUMMYFUNCTION("""COMPUTED_VALUE"""),"22f3003124@ds.study.iitm.ac.in")</f>
        <v>22f3003124@ds.study.iitm.ac.in</v>
      </c>
      <c r="J410" s="3">
        <f>IF(D410="No R1",0,VLOOKUP(C410,'Peer-Review'!B:D,2,0))</f>
        <v>0</v>
      </c>
      <c r="K410" s="3">
        <f>IF(D410="No R1",0,VLOOKUP(C410,'Peer-Review'!B:D,3,0))</f>
        <v>0</v>
      </c>
      <c r="L410" s="3">
        <f>IF(E410="No R2",0,VLOOKUP(C410,'Peer-Review'!F:H,2,0))</f>
        <v>10</v>
      </c>
      <c r="M410" s="3">
        <f>IF(E410="No R2",0,VLOOKUP(C410,'Peer-Review'!F:H,3,0))</f>
        <v>10</v>
      </c>
    </row>
    <row r="411" hidden="1">
      <c r="A411" s="3" t="str">
        <f>IFERROR(__xludf.DUMMYFUNCTION("""COMPUTED_VALUE"""),"22f3003270@ds.study.iitm.ac.in")</f>
        <v>22f3003270@ds.study.iitm.ac.in</v>
      </c>
      <c r="B411" s="3">
        <f>IFERROR(__xludf.DUMMYFUNCTION("""COMPUTED_VALUE"""),11.0)</f>
        <v>11</v>
      </c>
      <c r="C411" s="5" t="str">
        <f>IFERROR(__xludf.DUMMYFUNCTION("""COMPUTED_VALUE"""),"https://github.com/Akif29/TDS-Project-1")</f>
        <v>https://github.com/Akif29/TDS-Project-1</v>
      </c>
      <c r="D411" s="3" t="str">
        <f>IFERROR(VLOOKUP(C411,'Peer-Review'!B:J,9,0),"No R1")</f>
        <v>23f3002354@ds.study.iitm.ac.in</v>
      </c>
      <c r="E411" s="3" t="str">
        <f>IFERROR(VLOOKUP(C411,'Peer-Review'!F:J,5,0),"No R2")</f>
        <v>No R2</v>
      </c>
      <c r="F411" s="3">
        <f>COUNTIF('Peer-Review'!B:B,C411)+COUNTIF('Peer-Review'!F:F,C411)</f>
        <v>2</v>
      </c>
      <c r="G411" s="3">
        <f t="shared" si="1"/>
        <v>1</v>
      </c>
      <c r="H411" s="3" t="str">
        <f>IFERROR(__xludf.DUMMYFUNCTION("IFERROR(TRANSPOSE(FILTER('Peer-Review'!$J$2:$J$568,(TRIM('Peer-Review'!$B$2:$B$568)=C411 )+ (TRIM('Peer-Review'!$F$2:$F$568)=C411))),""No Reviews"")"),"23f3002354@ds.study.iitm.ac.in")</f>
        <v>23f3002354@ds.study.iitm.ac.in</v>
      </c>
      <c r="I411" s="3" t="str">
        <f>IFERROR(__xludf.DUMMYFUNCTION("""COMPUTED_VALUE"""),"23f1000029@ds.study.iitm.ac.in")</f>
        <v>23f1000029@ds.study.iitm.ac.in</v>
      </c>
      <c r="J411" s="3">
        <f>IF(D411="No R1",0,VLOOKUP(C411,'Peer-Review'!B:D,2,0))</f>
        <v>8</v>
      </c>
      <c r="K411" s="3">
        <f>IF(D411="No R1",0,VLOOKUP(C411,'Peer-Review'!B:D,3,0))</f>
        <v>8</v>
      </c>
      <c r="L411" s="3">
        <f>IF(E411="No R2",0,VLOOKUP(C411,'Peer-Review'!F:H,2,0))</f>
        <v>0</v>
      </c>
      <c r="M411" s="3">
        <f>IF(E411="No R2",0,VLOOKUP(C411,'Peer-Review'!F:H,3,0))</f>
        <v>0</v>
      </c>
    </row>
    <row r="412" hidden="1">
      <c r="A412" s="3" t="str">
        <f>IFERROR(__xludf.DUMMYFUNCTION("""COMPUTED_VALUE"""),"22f3003282@ds.study.iitm.ac.in")</f>
        <v>22f3003282@ds.study.iitm.ac.in</v>
      </c>
      <c r="B412" s="3">
        <f>IFERROR(__xludf.DUMMYFUNCTION("""COMPUTED_VALUE"""),17.0)</f>
        <v>17</v>
      </c>
      <c r="C412" s="5" t="str">
        <f>IFERROR(__xludf.DUMMYFUNCTION("""COMPUTED_VALUE"""),"https://github.com/sanchit-in/sydney-github-users")</f>
        <v>https://github.com/sanchit-in/sydney-github-users</v>
      </c>
      <c r="D412" s="3" t="str">
        <f>IFERROR(VLOOKUP(C412,'Peer-Review'!B:J,9,0),"No R1")</f>
        <v>No R1</v>
      </c>
      <c r="E412" s="3" t="str">
        <f>IFERROR(VLOOKUP(C412,'Peer-Review'!F:J,5,0),"No R2")</f>
        <v>22f1001144@ds.study.iitm.ac.in</v>
      </c>
      <c r="F412" s="3">
        <f>COUNTIF('Peer-Review'!B:B,C412)+COUNTIF('Peer-Review'!F:F,C412)</f>
        <v>1</v>
      </c>
      <c r="G412" s="3">
        <f t="shared" si="1"/>
        <v>1</v>
      </c>
      <c r="H412" s="3" t="str">
        <f>IFERROR(__xludf.DUMMYFUNCTION("IFERROR(TRANSPOSE(FILTER('Peer-Review'!$J$2:$J$568,(TRIM('Peer-Review'!$B$2:$B$568)=C412 )+ (TRIM('Peer-Review'!$F$2:$F$568)=C412))),""No Reviews"")"),"22f1001144@ds.study.iitm.ac.in")</f>
        <v>22f1001144@ds.study.iitm.ac.in</v>
      </c>
      <c r="J412" s="3">
        <f>IF(D412="No R1",0,VLOOKUP(C412,'Peer-Review'!B:D,2,0))</f>
        <v>0</v>
      </c>
      <c r="K412" s="3">
        <f>IF(D412="No R1",0,VLOOKUP(C412,'Peer-Review'!B:D,3,0))</f>
        <v>0</v>
      </c>
      <c r="L412" s="3">
        <f>IF(E412="No R2",0,VLOOKUP(C412,'Peer-Review'!F:H,2,0))</f>
        <v>10</v>
      </c>
      <c r="M412" s="3">
        <f>IF(E412="No R2",0,VLOOKUP(C412,'Peer-Review'!F:H,3,0))</f>
        <v>9</v>
      </c>
    </row>
    <row r="413" hidden="1">
      <c r="A413" s="3" t="str">
        <f>IFERROR(__xludf.DUMMYFUNCTION("""COMPUTED_VALUE"""),"23ds1000023@ds.study.iitm.ac.in")</f>
        <v>23ds1000023@ds.study.iitm.ac.in</v>
      </c>
      <c r="B413" s="3">
        <f>IFERROR(__xludf.DUMMYFUNCTION("""COMPUTED_VALUE"""),16.0)</f>
        <v>16</v>
      </c>
      <c r="C413" s="5" t="str">
        <f>IFERROR(__xludf.DUMMYFUNCTION("""COMPUTED_VALUE"""),"https://github.com/srishtyAg19/Moscow-50")</f>
        <v>https://github.com/srishtyAg19/Moscow-50</v>
      </c>
      <c r="D413" s="3" t="str">
        <f>IFERROR(VLOOKUP(C413,'Peer-Review'!B:J,9,0),"No R1")</f>
        <v>No R1</v>
      </c>
      <c r="E413" s="3" t="str">
        <f>IFERROR(VLOOKUP(C413,'Peer-Review'!F:J,5,0),"No R2")</f>
        <v>23f2003190@ds.study.iitm.ac.in</v>
      </c>
      <c r="F413" s="3">
        <f>COUNTIF('Peer-Review'!B:B,C413)+COUNTIF('Peer-Review'!F:F,C413)</f>
        <v>2</v>
      </c>
      <c r="G413" s="3">
        <f t="shared" si="1"/>
        <v>1</v>
      </c>
      <c r="H413" s="3" t="str">
        <f>IFERROR(__xludf.DUMMYFUNCTION("IFERROR(TRANSPOSE(FILTER('Peer-Review'!$J$2:$J$568,(TRIM('Peer-Review'!$B$2:$B$568)=C413 )+ (TRIM('Peer-Review'!$F$2:$F$568)=C413))),""No Reviews"")"),"23f2003190@ds.study.iitm.ac.in")</f>
        <v>23f2003190@ds.study.iitm.ac.in</v>
      </c>
      <c r="I413" s="3" t="str">
        <f>IFERROR(__xludf.DUMMYFUNCTION("""COMPUTED_VALUE"""),"22f3003253@ds.study.iitm.ac.in")</f>
        <v>22f3003253@ds.study.iitm.ac.in</v>
      </c>
      <c r="J413" s="3">
        <f>IF(D413="No R1",0,VLOOKUP(C413,'Peer-Review'!B:D,2,0))</f>
        <v>0</v>
      </c>
      <c r="K413" s="3">
        <f>IF(D413="No R1",0,VLOOKUP(C413,'Peer-Review'!B:D,3,0))</f>
        <v>0</v>
      </c>
      <c r="L413" s="3">
        <f>IF(E413="No R2",0,VLOOKUP(C413,'Peer-Review'!F:H,2,0))</f>
        <v>10</v>
      </c>
      <c r="M413" s="3">
        <f>IF(E413="No R2",0,VLOOKUP(C413,'Peer-Review'!F:H,3,0))</f>
        <v>10</v>
      </c>
    </row>
    <row r="414" hidden="1">
      <c r="A414" s="3" t="str">
        <f>IFERROR(__xludf.DUMMYFUNCTION("""COMPUTED_VALUE"""),"23ds1000051@ds.study.iitm.ac.in")</f>
        <v>23ds1000051@ds.study.iitm.ac.in</v>
      </c>
      <c r="B414" s="3">
        <f>IFERROR(__xludf.DUMMYFUNCTION("""COMPUTED_VALUE"""),13.0)</f>
        <v>13</v>
      </c>
      <c r="C414" s="5" t="str">
        <f>IFERROR(__xludf.DUMMYFUNCTION("""COMPUTED_VALUE"""),"https://github.com/23ds1000051/tds_project_1")</f>
        <v>https://github.com/23ds1000051/tds_project_1</v>
      </c>
      <c r="D414" s="3" t="str">
        <f>IFERROR(VLOOKUP(C414,'Peer-Review'!B:J,9,0),"No R1")</f>
        <v>23ds3000049@ds.study.iitm.ac.in</v>
      </c>
      <c r="E414" s="3" t="str">
        <f>IFERROR(VLOOKUP(C414,'Peer-Review'!F:J,5,0),"No R2")</f>
        <v>No R2</v>
      </c>
      <c r="F414" s="3">
        <f>COUNTIF('Peer-Review'!B:B,C414)+COUNTIF('Peer-Review'!F:F,C414)</f>
        <v>2</v>
      </c>
      <c r="G414" s="3">
        <f t="shared" si="1"/>
        <v>1</v>
      </c>
      <c r="H414" s="3" t="str">
        <f>IFERROR(__xludf.DUMMYFUNCTION("IFERROR(TRANSPOSE(FILTER('Peer-Review'!$J$2:$J$568,(TRIM('Peer-Review'!$B$2:$B$568)=C414 )+ (TRIM('Peer-Review'!$F$2:$F$568)=C414))),""No Reviews"")"),"23ds3000049@ds.study.iitm.ac.in")</f>
        <v>23ds3000049@ds.study.iitm.ac.in</v>
      </c>
      <c r="I414" s="3" t="str">
        <f>IFERROR(__xludf.DUMMYFUNCTION("""COMPUTED_VALUE"""),"22f3000364@ds.study.iitm.ac.in")</f>
        <v>22f3000364@ds.study.iitm.ac.in</v>
      </c>
      <c r="J414" s="3">
        <f>IF(D414="No R1",0,VLOOKUP(C414,'Peer-Review'!B:D,2,0))</f>
        <v>5</v>
      </c>
      <c r="K414" s="3">
        <f>IF(D414="No R1",0,VLOOKUP(C414,'Peer-Review'!B:D,3,0))</f>
        <v>9</v>
      </c>
      <c r="L414" s="3">
        <f>IF(E414="No R2",0,VLOOKUP(C414,'Peer-Review'!F:H,2,0))</f>
        <v>0</v>
      </c>
      <c r="M414" s="3">
        <f>IF(E414="No R2",0,VLOOKUP(C414,'Peer-Review'!F:H,3,0))</f>
        <v>0</v>
      </c>
    </row>
    <row r="415" hidden="1">
      <c r="A415" s="3" t="str">
        <f>IFERROR(__xludf.DUMMYFUNCTION("""COMPUTED_VALUE"""),"23ds1000057@ds.study.iitm.ac.in")</f>
        <v>23ds1000057@ds.study.iitm.ac.in</v>
      </c>
      <c r="B415" s="3">
        <f>IFERROR(__xludf.DUMMYFUNCTION("""COMPUTED_VALUE"""),17.0)</f>
        <v>17</v>
      </c>
      <c r="C415" s="5" t="str">
        <f>IFERROR(__xludf.DUMMYFUNCTION("""COMPUTED_VALUE"""),"https://github.com/Alge199/TDS-Project-1")</f>
        <v>https://github.com/Alge199/TDS-Project-1</v>
      </c>
      <c r="D415" s="3" t="str">
        <f>IFERROR(VLOOKUP(C415,'Peer-Review'!B:J,9,0),"No R1")</f>
        <v>No R1</v>
      </c>
      <c r="E415" s="3" t="str">
        <f>IFERROR(VLOOKUP(C415,'Peer-Review'!F:J,5,0),"No R2")</f>
        <v>22f1001637@ds.study.iitm.ac.in</v>
      </c>
      <c r="F415" s="3">
        <f>COUNTIF('Peer-Review'!B:B,C415)+COUNTIF('Peer-Review'!F:F,C415)</f>
        <v>1</v>
      </c>
      <c r="G415" s="3">
        <f t="shared" si="1"/>
        <v>1</v>
      </c>
      <c r="H415" s="3" t="str">
        <f>IFERROR(__xludf.DUMMYFUNCTION("IFERROR(TRANSPOSE(FILTER('Peer-Review'!$J$2:$J$568,(TRIM('Peer-Review'!$B$2:$B$568)=C415 )+ (TRIM('Peer-Review'!$F$2:$F$568)=C415))),""No Reviews"")"),"22f1001637@ds.study.iitm.ac.in")</f>
        <v>22f1001637@ds.study.iitm.ac.in</v>
      </c>
      <c r="J415" s="3">
        <f>IF(D415="No R1",0,VLOOKUP(C415,'Peer-Review'!B:D,2,0))</f>
        <v>0</v>
      </c>
      <c r="K415" s="3">
        <f>IF(D415="No R1",0,VLOOKUP(C415,'Peer-Review'!B:D,3,0))</f>
        <v>0</v>
      </c>
      <c r="L415" s="3">
        <f>IF(E415="No R2",0,VLOOKUP(C415,'Peer-Review'!F:H,2,0))</f>
        <v>10</v>
      </c>
      <c r="M415" s="3">
        <f>IF(E415="No R2",0,VLOOKUP(C415,'Peer-Review'!F:H,3,0))</f>
        <v>10</v>
      </c>
    </row>
    <row r="416" hidden="1">
      <c r="A416" s="3" t="str">
        <f>IFERROR(__xludf.DUMMYFUNCTION("""COMPUTED_VALUE"""),"23ds1000121@ds.study.iitm.ac.in")</f>
        <v>23ds1000121@ds.study.iitm.ac.in</v>
      </c>
      <c r="B416" s="3">
        <f>IFERROR(__xludf.DUMMYFUNCTION("""COMPUTED_VALUE"""),15.0)</f>
        <v>15</v>
      </c>
      <c r="C416" s="5" t="str">
        <f>IFERROR(__xludf.DUMMYFUNCTION("""COMPUTED_VALUE"""),"https://github.com/amitkrajput08/IITM_TDS_PROJECT1")</f>
        <v>https://github.com/amitkrajput08/IITM_TDS_PROJECT1</v>
      </c>
      <c r="D416" s="3" t="str">
        <f>IFERROR(VLOOKUP(C416,'Peer-Review'!B:J,9,0),"No R1")</f>
        <v>23f2004652@ds.study.iitm.ac.in</v>
      </c>
      <c r="E416" s="3" t="str">
        <f>IFERROR(VLOOKUP(C416,'Peer-Review'!F:J,5,0),"No R2")</f>
        <v>No R2</v>
      </c>
      <c r="F416" s="3">
        <f>COUNTIF('Peer-Review'!B:B,C416)+COUNTIF('Peer-Review'!F:F,C416)</f>
        <v>2</v>
      </c>
      <c r="G416" s="3">
        <f t="shared" si="1"/>
        <v>1</v>
      </c>
      <c r="H416" s="3" t="str">
        <f>IFERROR(__xludf.DUMMYFUNCTION("IFERROR(TRANSPOSE(FILTER('Peer-Review'!$J$2:$J$568,(TRIM('Peer-Review'!$B$2:$B$568)=C416 )+ (TRIM('Peer-Review'!$F$2:$F$568)=C416))),""No Reviews"")"),"23f2004652@ds.study.iitm.ac.in")</f>
        <v>23f2004652@ds.study.iitm.ac.in</v>
      </c>
      <c r="I416" s="3" t="str">
        <f>IFERROR(__xludf.DUMMYFUNCTION("""COMPUTED_VALUE"""),"23ds2000050@ds.study.iitm.ac.in")</f>
        <v>23ds2000050@ds.study.iitm.ac.in</v>
      </c>
      <c r="J416" s="3">
        <f>IF(D416="No R1",0,VLOOKUP(C416,'Peer-Review'!B:D,2,0))</f>
        <v>6</v>
      </c>
      <c r="K416" s="3">
        <f>IF(D416="No R1",0,VLOOKUP(C416,'Peer-Review'!B:D,3,0))</f>
        <v>7</v>
      </c>
      <c r="L416" s="3">
        <f>IF(E416="No R2",0,VLOOKUP(C416,'Peer-Review'!F:H,2,0))</f>
        <v>0</v>
      </c>
      <c r="M416" s="3">
        <f>IF(E416="No R2",0,VLOOKUP(C416,'Peer-Review'!F:H,3,0))</f>
        <v>0</v>
      </c>
    </row>
    <row r="417" hidden="1">
      <c r="A417" s="3" t="str">
        <f>IFERROR(__xludf.DUMMYFUNCTION("""COMPUTED_VALUE"""),"23ds2000023@ds.study.iitm.ac.in")</f>
        <v>23ds2000023@ds.study.iitm.ac.in</v>
      </c>
      <c r="B417" s="3">
        <f>IFERROR(__xludf.DUMMYFUNCTION("""COMPUTED_VALUE"""),17.0)</f>
        <v>17</v>
      </c>
      <c r="C417" s="5" t="str">
        <f>IFERROR(__xludf.DUMMYFUNCTION("""COMPUTED_VALUE"""),"https://github.com/vazemon/TDS_Project1")</f>
        <v>https://github.com/vazemon/TDS_Project1</v>
      </c>
      <c r="D417" s="3" t="str">
        <f>IFERROR(VLOOKUP(C417,'Peer-Review'!B:J,9,0),"No R1")</f>
        <v>No R1</v>
      </c>
      <c r="E417" s="3" t="str">
        <f>IFERROR(VLOOKUP(C417,'Peer-Review'!F:J,5,0),"No R2")</f>
        <v>22f1001807@ds.study.iitm.ac.in</v>
      </c>
      <c r="F417" s="3">
        <f>COUNTIF('Peer-Review'!B:B,C417)+COUNTIF('Peer-Review'!F:F,C417)</f>
        <v>1</v>
      </c>
      <c r="G417" s="3">
        <f t="shared" si="1"/>
        <v>1</v>
      </c>
      <c r="H417" s="3" t="str">
        <f>IFERROR(__xludf.DUMMYFUNCTION("IFERROR(TRANSPOSE(FILTER('Peer-Review'!$J$2:$J$568,(TRIM('Peer-Review'!$B$2:$B$568)=C417 )+ (TRIM('Peer-Review'!$F$2:$F$568)=C417))),""No Reviews"")"),"22f1001807@ds.study.iitm.ac.in")</f>
        <v>22f1001807@ds.study.iitm.ac.in</v>
      </c>
      <c r="J417" s="3">
        <f>IF(D417="No R1",0,VLOOKUP(C417,'Peer-Review'!B:D,2,0))</f>
        <v>0</v>
      </c>
      <c r="K417" s="3">
        <f>IF(D417="No R1",0,VLOOKUP(C417,'Peer-Review'!B:D,3,0))</f>
        <v>0</v>
      </c>
      <c r="L417" s="3">
        <f>IF(E417="No R2",0,VLOOKUP(C417,'Peer-Review'!F:H,2,0))</f>
        <v>8</v>
      </c>
      <c r="M417" s="3">
        <f>IF(E417="No R2",0,VLOOKUP(C417,'Peer-Review'!F:H,3,0))</f>
        <v>9</v>
      </c>
    </row>
    <row r="418" hidden="1">
      <c r="A418" s="3" t="str">
        <f>IFERROR(__xludf.DUMMYFUNCTION("""COMPUTED_VALUE"""),"23ds2000050@ds.study.iitm.ac.in")</f>
        <v>23ds2000050@ds.study.iitm.ac.in</v>
      </c>
      <c r="B418" s="3">
        <f>IFERROR(__xludf.DUMMYFUNCTION("""COMPUTED_VALUE"""),15.0)</f>
        <v>15</v>
      </c>
      <c r="C418" s="5" t="str">
        <f>IFERROR(__xludf.DUMMYFUNCTION("""COMPUTED_VALUE"""),"https://github.com/Biray143/Project-1")</f>
        <v>https://github.com/Biray143/Project-1</v>
      </c>
      <c r="D418" s="3" t="str">
        <f>IFERROR(VLOOKUP(C418,'Peer-Review'!B:J,9,0),"No R1")</f>
        <v>23f2004747@ds.study.iitm.ac.in</v>
      </c>
      <c r="E418" s="3" t="str">
        <f>IFERROR(VLOOKUP(C418,'Peer-Review'!F:J,5,0),"No R2")</f>
        <v>No R2</v>
      </c>
      <c r="F418" s="3">
        <f>COUNTIF('Peer-Review'!B:B,C418)+COUNTIF('Peer-Review'!F:F,C418)</f>
        <v>2</v>
      </c>
      <c r="G418" s="3">
        <f t="shared" si="1"/>
        <v>1</v>
      </c>
      <c r="H418" s="3" t="str">
        <f>IFERROR(__xludf.DUMMYFUNCTION("IFERROR(TRANSPOSE(FILTER('Peer-Review'!$J$2:$J$568,(TRIM('Peer-Review'!$B$2:$B$568)=C418 )+ (TRIM('Peer-Review'!$F$2:$F$568)=C418))),""No Reviews"")"),"23f2004747@ds.study.iitm.ac.in")</f>
        <v>23f2004747@ds.study.iitm.ac.in</v>
      </c>
      <c r="I418" s="3" t="str">
        <f>IFERROR(__xludf.DUMMYFUNCTION("""COMPUTED_VALUE"""),"23ds3000059@ds.study.iitm.ac.in")</f>
        <v>23ds3000059@ds.study.iitm.ac.in</v>
      </c>
      <c r="J418" s="3">
        <f>IF(D418="No R1",0,VLOOKUP(C418,'Peer-Review'!B:D,2,0))</f>
        <v>10</v>
      </c>
      <c r="K418" s="3">
        <f>IF(D418="No R1",0,VLOOKUP(C418,'Peer-Review'!B:D,3,0))</f>
        <v>10</v>
      </c>
      <c r="L418" s="3">
        <f>IF(E418="No R2",0,VLOOKUP(C418,'Peer-Review'!F:H,2,0))</f>
        <v>0</v>
      </c>
      <c r="M418" s="3">
        <f>IF(E418="No R2",0,VLOOKUP(C418,'Peer-Review'!F:H,3,0))</f>
        <v>0</v>
      </c>
    </row>
    <row r="419" hidden="1">
      <c r="A419" s="3" t="str">
        <f>IFERROR(__xludf.DUMMYFUNCTION("""COMPUTED_VALUE"""),"23ds2000054@ds.study.iitm.ac.in")</f>
        <v>23ds2000054@ds.study.iitm.ac.in</v>
      </c>
      <c r="B419" s="3">
        <f>IFERROR(__xludf.DUMMYFUNCTION("""COMPUTED_VALUE"""),12.0)</f>
        <v>12</v>
      </c>
      <c r="C419" s="5" t="str">
        <f>IFERROR(__xludf.DUMMYFUNCTION("""COMPUTED_VALUE"""),"https://github.com/jalajverma007/tds-pj1")</f>
        <v>https://github.com/jalajverma007/tds-pj1</v>
      </c>
      <c r="D419" s="3" t="str">
        <f>IFERROR(VLOOKUP(C419,'Peer-Review'!B:J,9,0),"No R1")</f>
        <v>21f2001119@ds.study.iitm.ac.in</v>
      </c>
      <c r="E419" s="3" t="str">
        <f>IFERROR(VLOOKUP(C419,'Peer-Review'!F:J,5,0),"No R2")</f>
        <v>No R2</v>
      </c>
      <c r="F419" s="3">
        <f>COUNTIF('Peer-Review'!B:B,C419)+COUNTIF('Peer-Review'!F:F,C419)</f>
        <v>1</v>
      </c>
      <c r="G419" s="3">
        <f t="shared" si="1"/>
        <v>1</v>
      </c>
      <c r="H419" s="3" t="str">
        <f>IFERROR(__xludf.DUMMYFUNCTION("IFERROR(TRANSPOSE(FILTER('Peer-Review'!$J$2:$J$568,(TRIM('Peer-Review'!$B$2:$B$568)=C419 )+ (TRIM('Peer-Review'!$F$2:$F$568)=C419))),""No Reviews"")"),"21f2001119@ds.study.iitm.ac.in")</f>
        <v>21f2001119@ds.study.iitm.ac.in</v>
      </c>
      <c r="J419" s="3">
        <f>IF(D419="No R1",0,VLOOKUP(C419,'Peer-Review'!B:D,2,0))</f>
        <v>10</v>
      </c>
      <c r="K419" s="3">
        <f>IF(D419="No R1",0,VLOOKUP(C419,'Peer-Review'!B:D,3,0))</f>
        <v>10</v>
      </c>
      <c r="L419" s="3">
        <f>IF(E419="No R2",0,VLOOKUP(C419,'Peer-Review'!F:H,2,0))</f>
        <v>0</v>
      </c>
      <c r="M419" s="3">
        <f>IF(E419="No R2",0,VLOOKUP(C419,'Peer-Review'!F:H,3,0))</f>
        <v>0</v>
      </c>
    </row>
    <row r="420" hidden="1">
      <c r="A420" s="3" t="str">
        <f>IFERROR(__xludf.DUMMYFUNCTION("""COMPUTED_VALUE"""),"23ds2000091@ds.study.iitm.ac.in")</f>
        <v>23ds2000091@ds.study.iitm.ac.in</v>
      </c>
      <c r="B420" s="3">
        <f>IFERROR(__xludf.DUMMYFUNCTION("""COMPUTED_VALUE"""),14.0)</f>
        <v>14</v>
      </c>
      <c r="C420" s="5" t="str">
        <f>IFERROR(__xludf.DUMMYFUNCTION("""COMPUTED_VALUE"""),"https://github.com/rajakumari-sp/TDS_project1")</f>
        <v>https://github.com/rajakumari-sp/TDS_project1</v>
      </c>
      <c r="D420" s="3" t="str">
        <f>IFERROR(VLOOKUP(C420,'Peer-Review'!B:J,9,0),"No R1")</f>
        <v>23ds3000113@ds.study.iitm.ac.in</v>
      </c>
      <c r="E420" s="3" t="str">
        <f>IFERROR(VLOOKUP(C420,'Peer-Review'!F:J,5,0),"No R2")</f>
        <v>No R2</v>
      </c>
      <c r="F420" s="3">
        <f>COUNTIF('Peer-Review'!B:B,C420)+COUNTIF('Peer-Review'!F:F,C420)</f>
        <v>2</v>
      </c>
      <c r="G420" s="3">
        <f t="shared" si="1"/>
        <v>1</v>
      </c>
      <c r="H420" s="3" t="str">
        <f>IFERROR(__xludf.DUMMYFUNCTION("IFERROR(TRANSPOSE(FILTER('Peer-Review'!$J$2:$J$568,(TRIM('Peer-Review'!$B$2:$B$568)=C420 )+ (TRIM('Peer-Review'!$F$2:$F$568)=C420))),""No Reviews"")"),"23ds3000113@ds.study.iitm.ac.in")</f>
        <v>23ds3000113@ds.study.iitm.ac.in</v>
      </c>
      <c r="I420" s="3" t="str">
        <f>IFERROR(__xludf.DUMMYFUNCTION("""COMPUTED_VALUE"""),"23f1001173@ds.study.iitm.ac.in")</f>
        <v>23f1001173@ds.study.iitm.ac.in</v>
      </c>
      <c r="J420" s="3">
        <f>IF(D420="No R1",0,VLOOKUP(C420,'Peer-Review'!B:D,2,0))</f>
        <v>7</v>
      </c>
      <c r="K420" s="3">
        <f>IF(D420="No R1",0,VLOOKUP(C420,'Peer-Review'!B:D,3,0))</f>
        <v>6</v>
      </c>
      <c r="L420" s="3">
        <f>IF(E420="No R2",0,VLOOKUP(C420,'Peer-Review'!F:H,2,0))</f>
        <v>0</v>
      </c>
      <c r="M420" s="3">
        <f>IF(E420="No R2",0,VLOOKUP(C420,'Peer-Review'!F:H,3,0))</f>
        <v>0</v>
      </c>
    </row>
    <row r="421" hidden="1">
      <c r="A421" s="3" t="str">
        <f>IFERROR(__xludf.DUMMYFUNCTION("""COMPUTED_VALUE"""),"23ds2000095@ds.study.iitm.ac.in")</f>
        <v>23ds2000095@ds.study.iitm.ac.in</v>
      </c>
      <c r="B421" s="3">
        <f>IFERROR(__xludf.DUMMYFUNCTION("""COMPUTED_VALUE"""),16.0)</f>
        <v>16</v>
      </c>
      <c r="C421" s="5" t="str">
        <f>IFERROR(__xludf.DUMMYFUNCTION("""COMPUTED_VALUE"""),"https://github.com/kp-bhara/tds_proj1_stockholm_100")</f>
        <v>https://github.com/kp-bhara/tds_proj1_stockholm_100</v>
      </c>
      <c r="D421" s="3" t="str">
        <f>IFERROR(VLOOKUP(C421,'Peer-Review'!B:J,9,0),"No R1")</f>
        <v>No R1</v>
      </c>
      <c r="E421" s="3" t="str">
        <f>IFERROR(VLOOKUP(C421,'Peer-Review'!F:J,5,0),"No R2")</f>
        <v>23f2005504@ds.study.iitm.ac.in</v>
      </c>
      <c r="F421" s="3">
        <f>COUNTIF('Peer-Review'!B:B,C421)+COUNTIF('Peer-Review'!F:F,C421)</f>
        <v>1</v>
      </c>
      <c r="G421" s="3">
        <f t="shared" si="1"/>
        <v>1</v>
      </c>
      <c r="H421" s="3" t="str">
        <f>IFERROR(__xludf.DUMMYFUNCTION("IFERROR(TRANSPOSE(FILTER('Peer-Review'!$J$2:$J$568,(TRIM('Peer-Review'!$B$2:$B$568)=C421 )+ (TRIM('Peer-Review'!$F$2:$F$568)=C421))),""No Reviews"")"),"23f2005504@ds.study.iitm.ac.in")</f>
        <v>23f2005504@ds.study.iitm.ac.in</v>
      </c>
      <c r="J421" s="3">
        <f>IF(D421="No R1",0,VLOOKUP(C421,'Peer-Review'!B:D,2,0))</f>
        <v>0</v>
      </c>
      <c r="K421" s="3">
        <f>IF(D421="No R1",0,VLOOKUP(C421,'Peer-Review'!B:D,3,0))</f>
        <v>0</v>
      </c>
      <c r="L421" s="3">
        <f>IF(E421="No R2",0,VLOOKUP(C421,'Peer-Review'!F:H,2,0))</f>
        <v>9</v>
      </c>
      <c r="M421" s="3">
        <f>IF(E421="No R2",0,VLOOKUP(C421,'Peer-Review'!F:H,3,0))</f>
        <v>7</v>
      </c>
    </row>
    <row r="422" hidden="1">
      <c r="A422" s="3" t="str">
        <f>IFERROR(__xludf.DUMMYFUNCTION("""COMPUTED_VALUE"""),"23ds2000155@ds.study.iitm.ac.in")</f>
        <v>23ds2000155@ds.study.iitm.ac.in</v>
      </c>
      <c r="B422" s="3">
        <f>IFERROR(__xludf.DUMMYFUNCTION("""COMPUTED_VALUE"""),17.0)</f>
        <v>17</v>
      </c>
      <c r="C422" s="5" t="str">
        <f>IFERROR(__xludf.DUMMYFUNCTION("""COMPUTED_VALUE"""),"https://github.com/virajjdm1/TDS-Project-1")</f>
        <v>https://github.com/virajjdm1/TDS-Project-1</v>
      </c>
      <c r="D422" s="3" t="str">
        <f>IFERROR(VLOOKUP(C422,'Peer-Review'!B:J,9,0),"No R1")</f>
        <v>No R1</v>
      </c>
      <c r="E422" s="3" t="str">
        <f>IFERROR(VLOOKUP(C422,'Peer-Review'!F:J,5,0),"No R2")</f>
        <v>23ds2000023@ds.study.iitm.ac.in</v>
      </c>
      <c r="F422" s="3">
        <f>COUNTIF('Peer-Review'!B:B,C422)+COUNTIF('Peer-Review'!F:F,C422)</f>
        <v>2</v>
      </c>
      <c r="G422" s="3">
        <f t="shared" si="1"/>
        <v>1</v>
      </c>
      <c r="H422" s="3" t="str">
        <f>IFERROR(__xludf.DUMMYFUNCTION("IFERROR(TRANSPOSE(FILTER('Peer-Review'!$J$2:$J$568,(TRIM('Peer-Review'!$B$2:$B$568)=C422 )+ (TRIM('Peer-Review'!$F$2:$F$568)=C422))),""No Reviews"")"),"23ds2000023@ds.study.iitm.ac.in")</f>
        <v>23ds2000023@ds.study.iitm.ac.in</v>
      </c>
      <c r="I422" s="3" t="str">
        <f>IFERROR(__xludf.DUMMYFUNCTION("""COMPUTED_VALUE"""),"22f2000078@ds.study.iitm.ac.in")</f>
        <v>22f2000078@ds.study.iitm.ac.in</v>
      </c>
      <c r="J422" s="3">
        <f>IF(D422="No R1",0,VLOOKUP(C422,'Peer-Review'!B:D,2,0))</f>
        <v>0</v>
      </c>
      <c r="K422" s="3">
        <f>IF(D422="No R1",0,VLOOKUP(C422,'Peer-Review'!B:D,3,0))</f>
        <v>0</v>
      </c>
      <c r="L422" s="3">
        <f>IF(E422="No R2",0,VLOOKUP(C422,'Peer-Review'!F:H,2,0))</f>
        <v>10</v>
      </c>
      <c r="M422" s="3">
        <f>IF(E422="No R2",0,VLOOKUP(C422,'Peer-Review'!F:H,3,0))</f>
        <v>7</v>
      </c>
    </row>
    <row r="423" hidden="1">
      <c r="A423" s="3" t="str">
        <f>IFERROR(__xludf.DUMMYFUNCTION("""COMPUTED_VALUE"""),"23ds3000044@ds.study.iitm.ac.in")</f>
        <v>23ds3000044@ds.study.iitm.ac.in</v>
      </c>
      <c r="B423" s="3">
        <f>IFERROR(__xludf.DUMMYFUNCTION("""COMPUTED_VALUE"""),2.0)</f>
        <v>2</v>
      </c>
      <c r="C423" s="5" t="str">
        <f>IFERROR(__xludf.DUMMYFUNCTION("""COMPUTED_VALUE"""),"https://github.com/Mv98dell/Mv/blob/33999fa40510af74122c53f73c6b8df2b53129c9/repositories.csv")</f>
        <v>https://github.com/Mv98dell/Mv/blob/33999fa40510af74122c53f73c6b8df2b53129c9/repositories.csv</v>
      </c>
      <c r="D423" s="3" t="str">
        <f>IFERROR(VLOOKUP(C423,'Peer-Review'!B:J,9,0),"No R1")</f>
        <v>21f2000615@ds.study.iitm.ac.in</v>
      </c>
      <c r="E423" s="3" t="str">
        <f>IFERROR(VLOOKUP(C423,'Peer-Review'!F:J,5,0),"No R2")</f>
        <v>No R2</v>
      </c>
      <c r="F423" s="3">
        <f>COUNTIF('Peer-Review'!B:B,C423)+COUNTIF('Peer-Review'!F:F,C423)</f>
        <v>1</v>
      </c>
      <c r="G423" s="3">
        <f t="shared" si="1"/>
        <v>1</v>
      </c>
      <c r="H423" s="3" t="str">
        <f>IFERROR(__xludf.DUMMYFUNCTION("IFERROR(TRANSPOSE(FILTER('Peer-Review'!$J$2:$J$568,(TRIM('Peer-Review'!$B$2:$B$568)=C423 )+ (TRIM('Peer-Review'!$F$2:$F$568)=C423))),""No Reviews"")"),"21f2000615@ds.study.iitm.ac.in")</f>
        <v>21f2000615@ds.study.iitm.ac.in</v>
      </c>
      <c r="J423" s="3">
        <f>IF(D423="No R1",0,VLOOKUP(C423,'Peer-Review'!B:D,2,0))</f>
        <v>5</v>
      </c>
      <c r="K423" s="3">
        <f>IF(D423="No R1",0,VLOOKUP(C423,'Peer-Review'!B:D,3,0))</f>
        <v>8</v>
      </c>
      <c r="L423" s="3">
        <f>IF(E423="No R2",0,VLOOKUP(C423,'Peer-Review'!F:H,2,0))</f>
        <v>0</v>
      </c>
      <c r="M423" s="3">
        <f>IF(E423="No R2",0,VLOOKUP(C423,'Peer-Review'!F:H,3,0))</f>
        <v>0</v>
      </c>
    </row>
    <row r="424" hidden="1">
      <c r="A424" s="3" t="str">
        <f>IFERROR(__xludf.DUMMYFUNCTION("""COMPUTED_VALUE"""),"23ds3000049@ds.study.iitm.ac.in")</f>
        <v>23ds3000049@ds.study.iitm.ac.in</v>
      </c>
      <c r="B424" s="3">
        <f>IFERROR(__xludf.DUMMYFUNCTION("""COMPUTED_VALUE"""),13.0)</f>
        <v>13</v>
      </c>
      <c r="C424" s="5" t="str">
        <f>IFERROR(__xludf.DUMMYFUNCTION("""COMPUTED_VALUE"""),"https://github.com/Kumaran-akm/tds-project1")</f>
        <v>https://github.com/Kumaran-akm/tds-project1</v>
      </c>
      <c r="D424" s="3" t="str">
        <f>IFERROR(VLOOKUP(C424,'Peer-Review'!B:J,9,0),"No R1")</f>
        <v>No R1</v>
      </c>
      <c r="E424" s="3" t="str">
        <f>IFERROR(VLOOKUP(C424,'Peer-Review'!F:J,5,0),"No R2")</f>
        <v>No R2</v>
      </c>
      <c r="F424" s="3">
        <f>COUNTIF('Peer-Review'!B:B,C424)+COUNTIF('Peer-Review'!F:F,C424)</f>
        <v>0</v>
      </c>
      <c r="G424" s="3">
        <f t="shared" si="1"/>
        <v>0</v>
      </c>
      <c r="H424" s="3" t="str">
        <f>IFERROR(__xludf.DUMMYFUNCTION("IFERROR(TRANSPOSE(FILTER('Peer-Review'!$J$2:$J$568,(TRIM('Peer-Review'!$B$2:$B$568)=C424 )+ (TRIM('Peer-Review'!$F$2:$F$568)=C424))),""No Reviews"")"),"No Reviews")</f>
        <v>No Reviews</v>
      </c>
      <c r="J424" s="3">
        <f>IF(D424="No R1",0,VLOOKUP(C424,'Peer-Review'!B:D,2,0))</f>
        <v>0</v>
      </c>
      <c r="K424" s="3">
        <f>IF(D424="No R1",0,VLOOKUP(C424,'Peer-Review'!B:D,3,0))</f>
        <v>0</v>
      </c>
      <c r="L424" s="3">
        <f>IF(E424="No R2",0,VLOOKUP(C424,'Peer-Review'!F:H,2,0))</f>
        <v>0</v>
      </c>
      <c r="M424" s="3">
        <f>IF(E424="No R2",0,VLOOKUP(C424,'Peer-Review'!F:H,3,0))</f>
        <v>0</v>
      </c>
    </row>
    <row r="425" hidden="1">
      <c r="A425" s="3" t="str">
        <f>IFERROR(__xludf.DUMMYFUNCTION("""COMPUTED_VALUE"""),"23ds3000059@ds.study.iitm.ac.in")</f>
        <v>23ds3000059@ds.study.iitm.ac.in</v>
      </c>
      <c r="B425" s="3">
        <f>IFERROR(__xludf.DUMMYFUNCTION("""COMPUTED_VALUE"""),15.0)</f>
        <v>15</v>
      </c>
      <c r="C425" s="5" t="str">
        <f>IFERROR(__xludf.DUMMYFUNCTION("""COMPUTED_VALUE"""),"https://github.com/23ds3000059/tds_project_1")</f>
        <v>https://github.com/23ds3000059/tds_project_1</v>
      </c>
      <c r="D425" s="3" t="str">
        <f>IFERROR(VLOOKUP(C425,'Peer-Review'!B:J,9,0),"No R1")</f>
        <v>23ds3000136@ds.study.iitm.ac.in</v>
      </c>
      <c r="E425" s="3" t="str">
        <f>IFERROR(VLOOKUP(C425,'Peer-Review'!F:J,5,0),"No R2")</f>
        <v>No R2</v>
      </c>
      <c r="F425" s="3">
        <f>COUNTIF('Peer-Review'!B:B,C425)+COUNTIF('Peer-Review'!F:F,C425)</f>
        <v>2</v>
      </c>
      <c r="G425" s="3">
        <f t="shared" si="1"/>
        <v>1</v>
      </c>
      <c r="H425" s="3" t="str">
        <f>IFERROR(__xludf.DUMMYFUNCTION("IFERROR(TRANSPOSE(FILTER('Peer-Review'!$J$2:$J$568,(TRIM('Peer-Review'!$B$2:$B$568)=C425 )+ (TRIM('Peer-Review'!$F$2:$F$568)=C425))),""No Reviews"")"),"23ds3000136@ds.study.iitm.ac.in")</f>
        <v>23ds3000136@ds.study.iitm.ac.in</v>
      </c>
      <c r="I425" s="3" t="str">
        <f>IFERROR(__xludf.DUMMYFUNCTION("""COMPUTED_VALUE"""),"23f2004790@ds.study.iitm.ac.in")</f>
        <v>23f2004790@ds.study.iitm.ac.in</v>
      </c>
      <c r="J425" s="3">
        <f>IF(D425="No R1",0,VLOOKUP(C425,'Peer-Review'!B:D,2,0))</f>
        <v>10</v>
      </c>
      <c r="K425" s="3">
        <f>IF(D425="No R1",0,VLOOKUP(C425,'Peer-Review'!B:D,3,0))</f>
        <v>10</v>
      </c>
      <c r="L425" s="3">
        <f>IF(E425="No R2",0,VLOOKUP(C425,'Peer-Review'!F:H,2,0))</f>
        <v>0</v>
      </c>
      <c r="M425" s="3">
        <f>IF(E425="No R2",0,VLOOKUP(C425,'Peer-Review'!F:H,3,0))</f>
        <v>0</v>
      </c>
    </row>
    <row r="426" hidden="1">
      <c r="A426" s="3" t="str">
        <f>IFERROR(__xludf.DUMMYFUNCTION("""COMPUTED_VALUE"""),"23ds3000066@ds.study.iitm.ac.in")</f>
        <v>23ds3000066@ds.study.iitm.ac.in</v>
      </c>
      <c r="B426" s="3">
        <f>IFERROR(__xludf.DUMMYFUNCTION("""COMPUTED_VALUE"""),17.0)</f>
        <v>17</v>
      </c>
      <c r="C426" s="5" t="str">
        <f>IFERROR(__xludf.DUMMYFUNCTION("""COMPUTED_VALUE"""),"https://github.com/jayasri-js/github-london-users")</f>
        <v>https://github.com/jayasri-js/github-london-users</v>
      </c>
      <c r="D426" s="3" t="str">
        <f>IFERROR(VLOOKUP(C426,'Peer-Review'!B:J,9,0),"No R1")</f>
        <v>No R1</v>
      </c>
      <c r="E426" s="3" t="str">
        <f>IFERROR(VLOOKUP(C426,'Peer-Review'!F:J,5,0),"No R2")</f>
        <v>22f2000774@ds.study.iitm.ac.in</v>
      </c>
      <c r="F426" s="3">
        <f>COUNTIF('Peer-Review'!B:B,C426)+COUNTIF('Peer-Review'!F:F,C426)</f>
        <v>2</v>
      </c>
      <c r="G426" s="3">
        <f t="shared" si="1"/>
        <v>1</v>
      </c>
      <c r="H426" s="3" t="str">
        <f>IFERROR(__xludf.DUMMYFUNCTION("IFERROR(TRANSPOSE(FILTER('Peer-Review'!$J$2:$J$568,(TRIM('Peer-Review'!$B$2:$B$568)=C426 )+ (TRIM('Peer-Review'!$F$2:$F$568)=C426))),""No Reviews"")"),"22f2000774@ds.study.iitm.ac.in")</f>
        <v>22f2000774@ds.study.iitm.ac.in</v>
      </c>
      <c r="I426" s="3" t="str">
        <f>IFERROR(__xludf.DUMMYFUNCTION("""COMPUTED_VALUE"""),"23ds2000155@ds.study.iitm.ac.in")</f>
        <v>23ds2000155@ds.study.iitm.ac.in</v>
      </c>
      <c r="J426" s="3">
        <f>IF(D426="No R1",0,VLOOKUP(C426,'Peer-Review'!B:D,2,0))</f>
        <v>0</v>
      </c>
      <c r="K426" s="3">
        <f>IF(D426="No R1",0,VLOOKUP(C426,'Peer-Review'!B:D,3,0))</f>
        <v>0</v>
      </c>
      <c r="L426" s="3">
        <f>IF(E426="No R2",0,VLOOKUP(C426,'Peer-Review'!F:H,2,0))</f>
        <v>8</v>
      </c>
      <c r="M426" s="3">
        <f>IF(E426="No R2",0,VLOOKUP(C426,'Peer-Review'!F:H,3,0))</f>
        <v>8</v>
      </c>
    </row>
    <row r="427" hidden="1">
      <c r="A427" s="3" t="str">
        <f>IFERROR(__xludf.DUMMYFUNCTION("""COMPUTED_VALUE"""),"23ds3000067@ds.study.iitm.ac.in")</f>
        <v>23ds3000067@ds.study.iitm.ac.in</v>
      </c>
      <c r="B427" s="3">
        <f>IFERROR(__xludf.DUMMYFUNCTION("""COMPUTED_VALUE"""),16.0)</f>
        <v>16</v>
      </c>
      <c r="C427" s="5" t="str">
        <f>IFERROR(__xludf.DUMMYFUNCTION("""COMPUTED_VALUE"""),"https://github.com/Anas007-lab/Toronto_Scraper")</f>
        <v>https://github.com/Anas007-lab/Toronto_Scraper</v>
      </c>
      <c r="D427" s="3" t="str">
        <f>IFERROR(VLOOKUP(C427,'Peer-Review'!B:J,9,0),"No R1")</f>
        <v>No R1</v>
      </c>
      <c r="E427" s="3" t="str">
        <f>IFERROR(VLOOKUP(C427,'Peer-Review'!F:J,5,0),"No R2")</f>
        <v>23ds2000095@ds.study.iitm.ac.in</v>
      </c>
      <c r="F427" s="3">
        <f>COUNTIF('Peer-Review'!B:B,C427)+COUNTIF('Peer-Review'!F:F,C427)</f>
        <v>2</v>
      </c>
      <c r="G427" s="3">
        <f t="shared" si="1"/>
        <v>1</v>
      </c>
      <c r="H427" s="3" t="str">
        <f>IFERROR(__xludf.DUMMYFUNCTION("IFERROR(TRANSPOSE(FILTER('Peer-Review'!$J$2:$J$568,(TRIM('Peer-Review'!$B$2:$B$568)=C427 )+ (TRIM('Peer-Review'!$F$2:$F$568)=C427))),""No Reviews"")"),"23ds2000095@ds.study.iitm.ac.in")</f>
        <v>23ds2000095@ds.study.iitm.ac.in</v>
      </c>
      <c r="I427" s="3" t="str">
        <f>IFERROR(__xludf.DUMMYFUNCTION("""COMPUTED_VALUE"""),"23f3002262@ds.study.iitm.ac.in")</f>
        <v>23f3002262@ds.study.iitm.ac.in</v>
      </c>
      <c r="J427" s="3">
        <f>IF(D427="No R1",0,VLOOKUP(C427,'Peer-Review'!B:D,2,0))</f>
        <v>0</v>
      </c>
      <c r="K427" s="3">
        <f>IF(D427="No R1",0,VLOOKUP(C427,'Peer-Review'!B:D,3,0))</f>
        <v>0</v>
      </c>
      <c r="L427" s="3">
        <f>IF(E427="No R2",0,VLOOKUP(C427,'Peer-Review'!F:H,2,0))</f>
        <v>7</v>
      </c>
      <c r="M427" s="3">
        <f>IF(E427="No R2",0,VLOOKUP(C427,'Peer-Review'!F:H,3,0))</f>
        <v>7</v>
      </c>
    </row>
    <row r="428" hidden="1">
      <c r="A428" s="3" t="str">
        <f>IFERROR(__xludf.DUMMYFUNCTION("""COMPUTED_VALUE"""),"23ds3000081@ds.study.iitm.ac.in")</f>
        <v>23ds3000081@ds.study.iitm.ac.in</v>
      </c>
      <c r="B428" s="3">
        <f>IFERROR(__xludf.DUMMYFUNCTION("""COMPUTED_VALUE"""),17.0)</f>
        <v>17</v>
      </c>
      <c r="C428" s="5" t="str">
        <f>IFERROR(__xludf.DUMMYFUNCTION("""COMPUTED_VALUE"""),"https://github.com/JaySoni77/Project-1")</f>
        <v>https://github.com/JaySoni77/Project-1</v>
      </c>
      <c r="D428" s="3" t="str">
        <f>IFERROR(VLOOKUP(C428,'Peer-Review'!B:J,9,0),"No R1")</f>
        <v>No R1</v>
      </c>
      <c r="E428" s="3" t="str">
        <f>IFERROR(VLOOKUP(C428,'Peer-Review'!F:J,5,0),"No R2")</f>
        <v>22f2000809@ds.study.iitm.ac.in</v>
      </c>
      <c r="F428" s="3">
        <f>COUNTIF('Peer-Review'!B:B,C428)+COUNTIF('Peer-Review'!F:F,C428)</f>
        <v>2</v>
      </c>
      <c r="G428" s="3">
        <f t="shared" si="1"/>
        <v>1</v>
      </c>
      <c r="H428" s="3" t="str">
        <f>IFERROR(__xludf.DUMMYFUNCTION("IFERROR(TRANSPOSE(FILTER('Peer-Review'!$J$2:$J$568,(TRIM('Peer-Review'!$B$2:$B$568)=C428 )+ (TRIM('Peer-Review'!$F$2:$F$568)=C428))),""No Reviews"")"),"22f2000809@ds.study.iitm.ac.in")</f>
        <v>22f2000809@ds.study.iitm.ac.in</v>
      </c>
      <c r="I428" s="3" t="str">
        <f>IFERROR(__xludf.DUMMYFUNCTION("""COMPUTED_VALUE"""),"23ds3000066@ds.study.iitm.ac.in")</f>
        <v>23ds3000066@ds.study.iitm.ac.in</v>
      </c>
      <c r="J428" s="3">
        <f>IF(D428="No R1",0,VLOOKUP(C428,'Peer-Review'!B:D,2,0))</f>
        <v>0</v>
      </c>
      <c r="K428" s="3">
        <f>IF(D428="No R1",0,VLOOKUP(C428,'Peer-Review'!B:D,3,0))</f>
        <v>0</v>
      </c>
      <c r="L428" s="3">
        <f>IF(E428="No R2",0,VLOOKUP(C428,'Peer-Review'!F:H,2,0))</f>
        <v>10</v>
      </c>
      <c r="M428" s="3">
        <f>IF(E428="No R2",0,VLOOKUP(C428,'Peer-Review'!F:H,3,0))</f>
        <v>10</v>
      </c>
    </row>
    <row r="429" hidden="1">
      <c r="A429" s="3" t="str">
        <f>IFERROR(__xludf.DUMMYFUNCTION("""COMPUTED_VALUE"""),"23ds3000089@ds.study.iitm.ac.in")</f>
        <v>23ds3000089@ds.study.iitm.ac.in</v>
      </c>
      <c r="B429" s="3">
        <f>IFERROR(__xludf.DUMMYFUNCTION("""COMPUTED_VALUE"""),8.0)</f>
        <v>8</v>
      </c>
      <c r="C429" s="5" t="str">
        <f>IFERROR(__xludf.DUMMYFUNCTION("""COMPUTED_VALUE"""),"https://github.com/Stephen-iitm/Melbourne-100")</f>
        <v>https://github.com/Stephen-iitm/Melbourne-100</v>
      </c>
      <c r="D429" s="3" t="str">
        <f>IFERROR(VLOOKUP(C429,'Peer-Review'!B:J,9,0),"No R1")</f>
        <v>22f3001192@ds.study.iitm.ac.in</v>
      </c>
      <c r="E429" s="3" t="str">
        <f>IFERROR(VLOOKUP(C429,'Peer-Review'!F:J,5,0),"No R2")</f>
        <v>No R2</v>
      </c>
      <c r="F429" s="3">
        <f>COUNTIF('Peer-Review'!B:B,C429)+COUNTIF('Peer-Review'!F:F,C429)</f>
        <v>1</v>
      </c>
      <c r="G429" s="3">
        <f t="shared" si="1"/>
        <v>1</v>
      </c>
      <c r="H429" s="3" t="str">
        <f>IFERROR(__xludf.DUMMYFUNCTION("IFERROR(TRANSPOSE(FILTER('Peer-Review'!$J$2:$J$568,(TRIM('Peer-Review'!$B$2:$B$568)=C429 )+ (TRIM('Peer-Review'!$F$2:$F$568)=C429))),""No Reviews"")"),"22f3001192@ds.study.iitm.ac.in")</f>
        <v>22f3001192@ds.study.iitm.ac.in</v>
      </c>
      <c r="J429" s="3">
        <f>IF(D429="No R1",0,VLOOKUP(C429,'Peer-Review'!B:D,2,0))</f>
        <v>8</v>
      </c>
      <c r="K429" s="3">
        <f>IF(D429="No R1",0,VLOOKUP(C429,'Peer-Review'!B:D,3,0))</f>
        <v>8</v>
      </c>
      <c r="L429" s="3">
        <f>IF(E429="No R2",0,VLOOKUP(C429,'Peer-Review'!F:H,2,0))</f>
        <v>0</v>
      </c>
      <c r="M429" s="3">
        <f>IF(E429="No R2",0,VLOOKUP(C429,'Peer-Review'!F:H,3,0))</f>
        <v>0</v>
      </c>
    </row>
    <row r="430" hidden="1">
      <c r="A430" s="3" t="str">
        <f>IFERROR(__xludf.DUMMYFUNCTION("""COMPUTED_VALUE"""),"23ds3000113@ds.study.iitm.ac.in")</f>
        <v>23ds3000113@ds.study.iitm.ac.in</v>
      </c>
      <c r="B430" s="3">
        <f>IFERROR(__xludf.DUMMYFUNCTION("""COMPUTED_VALUE"""),14.0)</f>
        <v>14</v>
      </c>
      <c r="C430" s="5" t="str">
        <f>IFERROR(__xludf.DUMMYFUNCTION("""COMPUTED_VALUE"""),"https://github.com/Ankit972-dotcom/sydney-github-users")</f>
        <v>https://github.com/Ankit972-dotcom/sydney-github-users</v>
      </c>
      <c r="D430" s="3" t="str">
        <f>IFERROR(VLOOKUP(C430,'Peer-Review'!B:J,9,0),"No R1")</f>
        <v>23f1001245@ds.study.iitm.ac.in</v>
      </c>
      <c r="E430" s="3" t="str">
        <f>IFERROR(VLOOKUP(C430,'Peer-Review'!F:J,5,0),"No R2")</f>
        <v>No R2</v>
      </c>
      <c r="F430" s="3">
        <f>COUNTIF('Peer-Review'!B:B,C430)+COUNTIF('Peer-Review'!F:F,C430)</f>
        <v>2</v>
      </c>
      <c r="G430" s="3">
        <f t="shared" si="1"/>
        <v>1</v>
      </c>
      <c r="H430" s="3" t="str">
        <f>IFERROR(__xludf.DUMMYFUNCTION("IFERROR(TRANSPOSE(FILTER('Peer-Review'!$J$2:$J$568,(TRIM('Peer-Review'!$B$2:$B$568)=C430 )+ (TRIM('Peer-Review'!$F$2:$F$568)=C430))),""No Reviews"")"),"23f1001245@ds.study.iitm.ac.in")</f>
        <v>23f1001245@ds.study.iitm.ac.in</v>
      </c>
      <c r="I430" s="3" t="str">
        <f>IFERROR(__xludf.DUMMYFUNCTION("""COMPUTED_VALUE"""),"23ds3000218@ds.study.iitm.ac.in")</f>
        <v>23ds3000218@ds.study.iitm.ac.in</v>
      </c>
      <c r="J430" s="3">
        <f>IF(D430="No R1",0,VLOOKUP(C430,'Peer-Review'!B:D,2,0))</f>
        <v>7</v>
      </c>
      <c r="K430" s="3">
        <f>IF(D430="No R1",0,VLOOKUP(C430,'Peer-Review'!B:D,3,0))</f>
        <v>0</v>
      </c>
      <c r="L430" s="3">
        <f>IF(E430="No R2",0,VLOOKUP(C430,'Peer-Review'!F:H,2,0))</f>
        <v>0</v>
      </c>
      <c r="M430" s="3">
        <f>IF(E430="No R2",0,VLOOKUP(C430,'Peer-Review'!F:H,3,0))</f>
        <v>0</v>
      </c>
    </row>
    <row r="431" hidden="1">
      <c r="A431" s="3" t="str">
        <f>IFERROR(__xludf.DUMMYFUNCTION("""COMPUTED_VALUE"""),"23ds3000136@ds.study.iitm.ac.in")</f>
        <v>23ds3000136@ds.study.iitm.ac.in</v>
      </c>
      <c r="B431" s="3">
        <f>IFERROR(__xludf.DUMMYFUNCTION("""COMPUTED_VALUE"""),15.0)</f>
        <v>15</v>
      </c>
      <c r="C431" s="5" t="str">
        <f>IFERROR(__xludf.DUMMYFUNCTION("""COMPUTED_VALUE"""),"https://github.com/GOPIKA178/github-data-london")</f>
        <v>https://github.com/GOPIKA178/github-data-london</v>
      </c>
      <c r="D431" s="3" t="str">
        <f>IFERROR(VLOOKUP(C431,'Peer-Review'!B:J,9,0),"No R1")</f>
        <v>23f2005014@ds.study.iitm.ac.in</v>
      </c>
      <c r="E431" s="3" t="str">
        <f>IFERROR(VLOOKUP(C431,'Peer-Review'!F:J,5,0),"No R2")</f>
        <v>No R2</v>
      </c>
      <c r="F431" s="3">
        <f>COUNTIF('Peer-Review'!B:B,C431)+COUNTIF('Peer-Review'!F:F,C431)</f>
        <v>1</v>
      </c>
      <c r="G431" s="3">
        <f t="shared" si="1"/>
        <v>1</v>
      </c>
      <c r="H431" s="3" t="str">
        <f>IFERROR(__xludf.DUMMYFUNCTION("IFERROR(TRANSPOSE(FILTER('Peer-Review'!$J$2:$J$568,(TRIM('Peer-Review'!$B$2:$B$568)=C431 )+ (TRIM('Peer-Review'!$F$2:$F$568)=C431))),""No Reviews"")"),"23f2005014@ds.study.iitm.ac.in")</f>
        <v>23f2005014@ds.study.iitm.ac.in</v>
      </c>
      <c r="J431" s="3">
        <f>IF(D431="No R1",0,VLOOKUP(C431,'Peer-Review'!B:D,2,0))</f>
        <v>10</v>
      </c>
      <c r="K431" s="3">
        <f>IF(D431="No R1",0,VLOOKUP(C431,'Peer-Review'!B:D,3,0))</f>
        <v>10</v>
      </c>
      <c r="L431" s="3">
        <f>IF(E431="No R2",0,VLOOKUP(C431,'Peer-Review'!F:H,2,0))</f>
        <v>0</v>
      </c>
      <c r="M431" s="3">
        <f>IF(E431="No R2",0,VLOOKUP(C431,'Peer-Review'!F:H,3,0))</f>
        <v>0</v>
      </c>
    </row>
    <row r="432" hidden="1">
      <c r="A432" s="3" t="str">
        <f>IFERROR(__xludf.DUMMYFUNCTION("""COMPUTED_VALUE"""),"23ds3000139@ds.study.iitm.ac.in")</f>
        <v>23ds3000139@ds.study.iitm.ac.in</v>
      </c>
      <c r="B432" s="3">
        <f>IFERROR(__xludf.DUMMYFUNCTION("""COMPUTED_VALUE"""),17.0)</f>
        <v>17</v>
      </c>
      <c r="C432" s="5" t="str">
        <f>IFERROR(__xludf.DUMMYFUNCTION("""COMPUTED_VALUE"""),"https://github.com/23ds3000139/my_TDS_P1_submission")</f>
        <v>https://github.com/23ds3000139/my_TDS_P1_submission</v>
      </c>
      <c r="D432" s="3" t="str">
        <f>IFERROR(VLOOKUP(C432,'Peer-Review'!B:J,9,0),"No R1")</f>
        <v>No R1</v>
      </c>
      <c r="E432" s="3" t="str">
        <f>IFERROR(VLOOKUP(C432,'Peer-Review'!F:J,5,0),"No R2")</f>
        <v>22f2000854@ds.study.iitm.ac.in</v>
      </c>
      <c r="F432" s="3">
        <f>COUNTIF('Peer-Review'!B:B,C432)+COUNTIF('Peer-Review'!F:F,C432)</f>
        <v>2</v>
      </c>
      <c r="G432" s="3">
        <f t="shared" si="1"/>
        <v>1</v>
      </c>
      <c r="H432" s="3" t="str">
        <f>IFERROR(__xludf.DUMMYFUNCTION("IFERROR(TRANSPOSE(FILTER('Peer-Review'!$J$2:$J$568,(TRIM('Peer-Review'!$B$2:$B$568)=C432 )+ (TRIM('Peer-Review'!$F$2:$F$568)=C432))),""No Reviews"")"),"22f2000854@ds.study.iitm.ac.in")</f>
        <v>22f2000854@ds.study.iitm.ac.in</v>
      </c>
      <c r="I432" s="3" t="str">
        <f>IFERROR(__xludf.DUMMYFUNCTION("""COMPUTED_VALUE"""),"23ds3000081@ds.study.iitm.ac.in")</f>
        <v>23ds3000081@ds.study.iitm.ac.in</v>
      </c>
      <c r="J432" s="3">
        <f>IF(D432="No R1",0,VLOOKUP(C432,'Peer-Review'!B:D,2,0))</f>
        <v>0</v>
      </c>
      <c r="K432" s="3">
        <f>IF(D432="No R1",0,VLOOKUP(C432,'Peer-Review'!B:D,3,0))</f>
        <v>0</v>
      </c>
      <c r="L432" s="3">
        <f>IF(E432="No R2",0,VLOOKUP(C432,'Peer-Review'!F:H,2,0))</f>
        <v>9</v>
      </c>
      <c r="M432" s="3">
        <f>IF(E432="No R2",0,VLOOKUP(C432,'Peer-Review'!F:H,3,0))</f>
        <v>9</v>
      </c>
    </row>
    <row r="433" hidden="1">
      <c r="A433" s="3" t="str">
        <f>IFERROR(__xludf.DUMMYFUNCTION("""COMPUTED_VALUE"""),"23ds3000149@ds.study.iitm.ac.in")</f>
        <v>23ds3000149@ds.study.iitm.ac.in</v>
      </c>
      <c r="B433" s="3">
        <f>IFERROR(__xludf.DUMMYFUNCTION("""COMPUTED_VALUE"""),15.0)</f>
        <v>15</v>
      </c>
      <c r="C433" s="5" t="str">
        <f>IFERROR(__xludf.DUMMYFUNCTION("""COMPUTED_VALUE"""),"https://github.com/Rajalakshmi12/IITM_Tds_Project1")</f>
        <v>https://github.com/Rajalakshmi12/IITM_Tds_Project1</v>
      </c>
      <c r="D433" s="3" t="str">
        <f>IFERROR(VLOOKUP(C433,'Peer-Review'!B:J,9,0),"No R1")</f>
        <v>23f2005059@ds.study.iitm.ac.in</v>
      </c>
      <c r="E433" s="3" t="str">
        <f>IFERROR(VLOOKUP(C433,'Peer-Review'!F:J,5,0),"No R2")</f>
        <v>No R2</v>
      </c>
      <c r="F433" s="3">
        <f>COUNTIF('Peer-Review'!B:B,C433)+COUNTIF('Peer-Review'!F:F,C433)</f>
        <v>2</v>
      </c>
      <c r="G433" s="3">
        <f t="shared" si="1"/>
        <v>1</v>
      </c>
      <c r="H433" s="3" t="str">
        <f>IFERROR(__xludf.DUMMYFUNCTION("IFERROR(TRANSPOSE(FILTER('Peer-Review'!$J$2:$J$568,(TRIM('Peer-Review'!$B$2:$B$568)=C433 )+ (TRIM('Peer-Review'!$F$2:$F$568)=C433))),""No Reviews"")"),"23f2005059@ds.study.iitm.ac.in")</f>
        <v>23f2005059@ds.study.iitm.ac.in</v>
      </c>
      <c r="I433" s="3" t="str">
        <f>IFERROR(__xludf.DUMMYFUNCTION("""COMPUTED_VALUE"""),"23ds3000215@ds.study.iitm.ac.in")</f>
        <v>23ds3000215@ds.study.iitm.ac.in</v>
      </c>
      <c r="J433" s="3">
        <f>IF(D433="No R1",0,VLOOKUP(C433,'Peer-Review'!B:D,2,0))</f>
        <v>10</v>
      </c>
      <c r="K433" s="3">
        <f>IF(D433="No R1",0,VLOOKUP(C433,'Peer-Review'!B:D,3,0))</f>
        <v>10</v>
      </c>
      <c r="L433" s="3">
        <f>IF(E433="No R2",0,VLOOKUP(C433,'Peer-Review'!F:H,2,0))</f>
        <v>0</v>
      </c>
      <c r="M433" s="3">
        <f>IF(E433="No R2",0,VLOOKUP(C433,'Peer-Review'!F:H,3,0))</f>
        <v>0</v>
      </c>
    </row>
    <row r="434" hidden="1">
      <c r="A434" s="3" t="str">
        <f>IFERROR(__xludf.DUMMYFUNCTION("""COMPUTED_VALUE"""),"23ds3000176@ds.study.iitm.ac.in")</f>
        <v>23ds3000176@ds.study.iitm.ac.in</v>
      </c>
      <c r="B434" s="3">
        <f>IFERROR(__xludf.DUMMYFUNCTION("""COMPUTED_VALUE"""),17.0)</f>
        <v>17</v>
      </c>
      <c r="C434" s="5" t="str">
        <f>IFERROR(__xludf.DUMMYFUNCTION("""COMPUTED_VALUE"""),"https://github.com/Anburajasp/TDS-PROJECT-1")</f>
        <v>https://github.com/Anburajasp/TDS-PROJECT-1</v>
      </c>
      <c r="D434" s="3" t="str">
        <f>IFERROR(VLOOKUP(C434,'Peer-Review'!B:J,9,0),"No R1")</f>
        <v>No R1</v>
      </c>
      <c r="E434" s="3" t="str">
        <f>IFERROR(VLOOKUP(C434,'Peer-Review'!F:J,5,0),"No R2")</f>
        <v>23ds3000139@ds.study.iitm.ac.in</v>
      </c>
      <c r="F434" s="3">
        <f>COUNTIF('Peer-Review'!B:B,C434)+COUNTIF('Peer-Review'!F:F,C434)</f>
        <v>2</v>
      </c>
      <c r="G434" s="3">
        <f t="shared" si="1"/>
        <v>1</v>
      </c>
      <c r="H434" s="3" t="str">
        <f>IFERROR(__xludf.DUMMYFUNCTION("IFERROR(TRANSPOSE(FILTER('Peer-Review'!$J$2:$J$568,(TRIM('Peer-Review'!$B$2:$B$568)=C434 )+ (TRIM('Peer-Review'!$F$2:$F$568)=C434))),""No Reviews"")"),"23ds3000139@ds.study.iitm.ac.in")</f>
        <v>23ds3000139@ds.study.iitm.ac.in</v>
      </c>
      <c r="I434" s="3" t="str">
        <f>IFERROR(__xludf.DUMMYFUNCTION("""COMPUTED_VALUE"""),"22f2001075@ds.study.iitm.ac.in")</f>
        <v>22f2001075@ds.study.iitm.ac.in</v>
      </c>
      <c r="J434" s="3">
        <f>IF(D434="No R1",0,VLOOKUP(C434,'Peer-Review'!B:D,2,0))</f>
        <v>0</v>
      </c>
      <c r="K434" s="3">
        <f>IF(D434="No R1",0,VLOOKUP(C434,'Peer-Review'!B:D,3,0))</f>
        <v>0</v>
      </c>
      <c r="L434" s="3">
        <f>IF(E434="No R2",0,VLOOKUP(C434,'Peer-Review'!F:H,2,0))</f>
        <v>5</v>
      </c>
      <c r="M434" s="3">
        <f>IF(E434="No R2",0,VLOOKUP(C434,'Peer-Review'!F:H,3,0))</f>
        <v>10</v>
      </c>
    </row>
    <row r="435" hidden="1">
      <c r="A435" s="3" t="str">
        <f>IFERROR(__xludf.DUMMYFUNCTION("""COMPUTED_VALUE"""),"23ds3000177@ds.study.iitm.ac.in")</f>
        <v>23ds3000177@ds.study.iitm.ac.in</v>
      </c>
      <c r="B435" s="3">
        <f>IFERROR(__xludf.DUMMYFUNCTION("""COMPUTED_VALUE"""),16.0)</f>
        <v>16</v>
      </c>
      <c r="C435" s="5" t="str">
        <f>IFERROR(__xludf.DUMMYFUNCTION("""COMPUTED_VALUE"""),"https://github.com/manojpaul9986/tds_project1")</f>
        <v>https://github.com/manojpaul9986/tds_project1</v>
      </c>
      <c r="D435" s="3" t="str">
        <f>IFERROR(VLOOKUP(C435,'Peer-Review'!B:J,9,0),"No R1")</f>
        <v>No R1</v>
      </c>
      <c r="E435" s="3" t="str">
        <f>IFERROR(VLOOKUP(C435,'Peer-Review'!F:J,5,0),"No R2")</f>
        <v>21f3000628@ds.study.iitm.ac.in</v>
      </c>
      <c r="F435" s="3">
        <f>COUNTIF('Peer-Review'!B:B,C435)+COUNTIF('Peer-Review'!F:F,C435)</f>
        <v>2</v>
      </c>
      <c r="G435" s="3">
        <f t="shared" si="1"/>
        <v>1</v>
      </c>
      <c r="H435" s="3" t="str">
        <f>IFERROR(__xludf.DUMMYFUNCTION("IFERROR(TRANSPOSE(FILTER('Peer-Review'!$J$2:$J$568,(TRIM('Peer-Review'!$B$2:$B$568)=C435 )+ (TRIM('Peer-Review'!$F$2:$F$568)=C435))),""No Reviews"")"),"21f3000628@ds.study.iitm.ac.in")</f>
        <v>21f3000628@ds.study.iitm.ac.in</v>
      </c>
      <c r="I435" s="3" t="str">
        <f>IFERROR(__xludf.DUMMYFUNCTION("""COMPUTED_VALUE"""),"23ds3000067@ds.study.iitm.ac.in")</f>
        <v>23ds3000067@ds.study.iitm.ac.in</v>
      </c>
      <c r="J435" s="3">
        <f>IF(D435="No R1",0,VLOOKUP(C435,'Peer-Review'!B:D,2,0))</f>
        <v>0</v>
      </c>
      <c r="K435" s="3">
        <f>IF(D435="No R1",0,VLOOKUP(C435,'Peer-Review'!B:D,3,0))</f>
        <v>0</v>
      </c>
      <c r="L435" s="3">
        <f>IF(E435="No R2",0,VLOOKUP(C435,'Peer-Review'!F:H,2,0))</f>
        <v>7</v>
      </c>
      <c r="M435" s="3">
        <f>IF(E435="No R2",0,VLOOKUP(C435,'Peer-Review'!F:H,3,0))</f>
        <v>7</v>
      </c>
    </row>
    <row r="436" hidden="1">
      <c r="A436" s="3" t="str">
        <f>IFERROR(__xludf.DUMMYFUNCTION("""COMPUTED_VALUE"""),"23ds3000191@ds.study.iitm.ac.in")</f>
        <v>23ds3000191@ds.study.iitm.ac.in</v>
      </c>
      <c r="B436" s="3">
        <f>IFERROR(__xludf.DUMMYFUNCTION("""COMPUTED_VALUE"""),6.0)</f>
        <v>6</v>
      </c>
      <c r="C436" s="5" t="str">
        <f>IFERROR(__xludf.DUMMYFUNCTION("""COMPUTED_VALUE"""),"https://github.com/Chinni1904/TDS_Proj1")</f>
        <v>https://github.com/Chinni1904/TDS_Proj1</v>
      </c>
      <c r="D436" s="3" t="str">
        <f>IFERROR(VLOOKUP(C436,'Peer-Review'!B:J,9,0),"No R1")</f>
        <v>23f2003198@ds.study.iitm.ac.in</v>
      </c>
      <c r="E436" s="3" t="str">
        <f>IFERROR(VLOOKUP(C436,'Peer-Review'!F:J,5,0),"No R2")</f>
        <v>22f3000082@ds.study.iitm.ac.in</v>
      </c>
      <c r="F436" s="3">
        <f>COUNTIF('Peer-Review'!B:B,C436)+COUNTIF('Peer-Review'!F:F,C436)</f>
        <v>2</v>
      </c>
      <c r="G436" s="3">
        <f t="shared" si="1"/>
        <v>2</v>
      </c>
      <c r="H436" s="3" t="str">
        <f>IFERROR(__xludf.DUMMYFUNCTION("IFERROR(TRANSPOSE(FILTER('Peer-Review'!$J$2:$J$568,(TRIM('Peer-Review'!$B$2:$B$568)=C436 )+ (TRIM('Peer-Review'!$F$2:$F$568)=C436))),""No Reviews"")"),"23f2003198@ds.study.iitm.ac.in")</f>
        <v>23f2003198@ds.study.iitm.ac.in</v>
      </c>
      <c r="I436" s="3" t="str">
        <f>IFERROR(__xludf.DUMMYFUNCTION("""COMPUTED_VALUE"""),"22f3000082@ds.study.iitm.ac.in")</f>
        <v>22f3000082@ds.study.iitm.ac.in</v>
      </c>
      <c r="J436" s="3">
        <f>IF(D436="No R1",0,VLOOKUP(C436,'Peer-Review'!B:D,2,0))</f>
        <v>5</v>
      </c>
      <c r="K436" s="3">
        <f>IF(D436="No R1",0,VLOOKUP(C436,'Peer-Review'!B:D,3,0))</f>
        <v>0</v>
      </c>
      <c r="L436" s="3">
        <f>IF(E436="No R2",0,VLOOKUP(C436,'Peer-Review'!F:H,2,0))</f>
        <v>6</v>
      </c>
      <c r="M436" s="3">
        <f>IF(E436="No R2",0,VLOOKUP(C436,'Peer-Review'!F:H,3,0))</f>
        <v>4</v>
      </c>
    </row>
    <row r="437" hidden="1">
      <c r="A437" s="3" t="str">
        <f>IFERROR(__xludf.DUMMYFUNCTION("""COMPUTED_VALUE"""),"23ds3000215@ds.study.iitm.ac.in")</f>
        <v>23ds3000215@ds.study.iitm.ac.in</v>
      </c>
      <c r="B437" s="3">
        <f>IFERROR(__xludf.DUMMYFUNCTION("""COMPUTED_VALUE"""),15.0)</f>
        <v>15</v>
      </c>
      <c r="C437" s="5" t="str">
        <f>IFERROR(__xludf.DUMMYFUNCTION("""COMPUTED_VALUE"""),"https://github.com/Nupur-learns/Project1")</f>
        <v>https://github.com/Nupur-learns/Project1</v>
      </c>
      <c r="D437" s="3" t="str">
        <f>IFERROR(VLOOKUP(C437,'Peer-Review'!B:J,9,0),"No R1")</f>
        <v>23f1000602@ds.study.iitm.ac.in</v>
      </c>
      <c r="E437" s="3" t="str">
        <f>IFERROR(VLOOKUP(C437,'Peer-Review'!F:J,5,0),"No R2")</f>
        <v>No R2</v>
      </c>
      <c r="F437" s="3">
        <f>COUNTIF('Peer-Review'!B:B,C437)+COUNTIF('Peer-Review'!F:F,C437)</f>
        <v>2</v>
      </c>
      <c r="G437" s="3">
        <f t="shared" si="1"/>
        <v>1</v>
      </c>
      <c r="H437" s="3" t="str">
        <f>IFERROR(__xludf.DUMMYFUNCTION("IFERROR(TRANSPOSE(FILTER('Peer-Review'!$J$2:$J$568,(TRIM('Peer-Review'!$B$2:$B$568)=C437 )+ (TRIM('Peer-Review'!$F$2:$F$568)=C437))),""No Reviews"")"),"23f1000602@ds.study.iitm.ac.in")</f>
        <v>23f1000602@ds.study.iitm.ac.in</v>
      </c>
      <c r="I437" s="3" t="str">
        <f>IFERROR(__xludf.DUMMYFUNCTION("""COMPUTED_VALUE"""),"23f2005375@ds.study.iitm.ac.in")</f>
        <v>23f2005375@ds.study.iitm.ac.in</v>
      </c>
      <c r="J437" s="3">
        <f>IF(D437="No R1",0,VLOOKUP(C437,'Peer-Review'!B:D,2,0))</f>
        <v>10</v>
      </c>
      <c r="K437" s="3">
        <f>IF(D437="No R1",0,VLOOKUP(C437,'Peer-Review'!B:D,3,0))</f>
        <v>10</v>
      </c>
      <c r="L437" s="3">
        <f>IF(E437="No R2",0,VLOOKUP(C437,'Peer-Review'!F:H,2,0))</f>
        <v>0</v>
      </c>
      <c r="M437" s="3">
        <f>IF(E437="No R2",0,VLOOKUP(C437,'Peer-Review'!F:H,3,0))</f>
        <v>0</v>
      </c>
    </row>
    <row r="438" hidden="1">
      <c r="A438" s="3" t="str">
        <f>IFERROR(__xludf.DUMMYFUNCTION("""COMPUTED_VALUE"""),"23ds3000218@ds.study.iitm.ac.in")</f>
        <v>23ds3000218@ds.study.iitm.ac.in</v>
      </c>
      <c r="B438" s="3">
        <f>IFERROR(__xludf.DUMMYFUNCTION("""COMPUTED_VALUE"""),14.0)</f>
        <v>14</v>
      </c>
      <c r="C438" s="5" t="str">
        <f>IFERROR(__xludf.DUMMYFUNCTION("""COMPUTED_VALUE"""),"https://github.com/MeenakshiIIT/Project1")</f>
        <v>https://github.com/MeenakshiIIT/Project1</v>
      </c>
      <c r="D438" s="3" t="str">
        <f>IFERROR(VLOOKUP(C438,'Peer-Review'!B:J,9,0),"No R1")</f>
        <v>23f1001418@ds.study.iitm.ac.in</v>
      </c>
      <c r="E438" s="3" t="str">
        <f>IFERROR(VLOOKUP(C438,'Peer-Review'!F:J,5,0),"No R2")</f>
        <v>No R2</v>
      </c>
      <c r="F438" s="3">
        <f>COUNTIF('Peer-Review'!B:B,C438)+COUNTIF('Peer-Review'!F:F,C438)</f>
        <v>2</v>
      </c>
      <c r="G438" s="3">
        <f t="shared" si="1"/>
        <v>1</v>
      </c>
      <c r="H438" s="3" t="str">
        <f>IFERROR(__xludf.DUMMYFUNCTION("IFERROR(TRANSPOSE(FILTER('Peer-Review'!$J$2:$J$568,(TRIM('Peer-Review'!$B$2:$B$568)=C438 )+ (TRIM('Peer-Review'!$F$2:$F$568)=C438))),""No Reviews"")"),"23f1001418@ds.study.iitm.ac.in")</f>
        <v>23f1001418@ds.study.iitm.ac.in</v>
      </c>
      <c r="I438" s="3" t="str">
        <f>IFERROR(__xludf.DUMMYFUNCTION("""COMPUTED_VALUE"""),"21f3000678@ds.study.iitm.ac.in")</f>
        <v>21f3000678@ds.study.iitm.ac.in</v>
      </c>
      <c r="J438" s="3">
        <f>IF(D438="No R1",0,VLOOKUP(C438,'Peer-Review'!B:D,2,0))</f>
        <v>10</v>
      </c>
      <c r="K438" s="3">
        <f>IF(D438="No R1",0,VLOOKUP(C438,'Peer-Review'!B:D,3,0))</f>
        <v>8</v>
      </c>
      <c r="L438" s="3">
        <f>IF(E438="No R2",0,VLOOKUP(C438,'Peer-Review'!F:H,2,0))</f>
        <v>0</v>
      </c>
      <c r="M438" s="3">
        <f>IF(E438="No R2",0,VLOOKUP(C438,'Peer-Review'!F:H,3,0))</f>
        <v>0</v>
      </c>
    </row>
    <row r="439" hidden="1">
      <c r="A439" s="3" t="str">
        <f>IFERROR(__xludf.DUMMYFUNCTION("""COMPUTED_VALUE"""),"23ds3000221@ds.study.iitm.ac.in")</f>
        <v>23ds3000221@ds.study.iitm.ac.in</v>
      </c>
      <c r="B439" s="3">
        <f>IFERROR(__xludf.DUMMYFUNCTION("""COMPUTED_VALUE"""),13.0)</f>
        <v>13</v>
      </c>
      <c r="C439" s="5" t="str">
        <f>IFERROR(__xludf.DUMMYFUNCTION("""COMPUTED_VALUE"""),"https://github.com/raghu5427/TDS_Proj_1")</f>
        <v>https://github.com/raghu5427/TDS_Proj_1</v>
      </c>
      <c r="D439" s="3" t="str">
        <f>IFERROR(VLOOKUP(C439,'Peer-Review'!B:J,9,0),"No R1")</f>
        <v>23f1000043@ds.study.iitm.ac.in</v>
      </c>
      <c r="E439" s="3" t="str">
        <f>IFERROR(VLOOKUP(C439,'Peer-Review'!F:J,5,0),"No R2")</f>
        <v>No R2</v>
      </c>
      <c r="F439" s="3">
        <f>COUNTIF('Peer-Review'!B:B,C439)+COUNTIF('Peer-Review'!F:F,C439)</f>
        <v>2</v>
      </c>
      <c r="G439" s="3">
        <f t="shared" si="1"/>
        <v>1</v>
      </c>
      <c r="H439" s="3" t="str">
        <f>IFERROR(__xludf.DUMMYFUNCTION("IFERROR(TRANSPOSE(FILTER('Peer-Review'!$J$2:$J$568,(TRIM('Peer-Review'!$B$2:$B$568)=C439 )+ (TRIM('Peer-Review'!$F$2:$F$568)=C439))),""No Reviews"")"),"23f1000043@ds.study.iitm.ac.in")</f>
        <v>23f1000043@ds.study.iitm.ac.in</v>
      </c>
      <c r="I439" s="3" t="str">
        <f>IFERROR(__xludf.DUMMYFUNCTION("""COMPUTED_VALUE"""),"22f3000448@ds.study.iitm.ac.in")</f>
        <v>22f3000448@ds.study.iitm.ac.in</v>
      </c>
      <c r="J439" s="3">
        <f>IF(D439="No R1",0,VLOOKUP(C439,'Peer-Review'!B:D,2,0))</f>
        <v>10</v>
      </c>
      <c r="K439" s="3">
        <f>IF(D439="No R1",0,VLOOKUP(C439,'Peer-Review'!B:D,3,0))</f>
        <v>10</v>
      </c>
      <c r="L439" s="3">
        <f>IF(E439="No R2",0,VLOOKUP(C439,'Peer-Review'!F:H,2,0))</f>
        <v>0</v>
      </c>
      <c r="M439" s="3">
        <f>IF(E439="No R2",0,VLOOKUP(C439,'Peer-Review'!F:H,3,0))</f>
        <v>0</v>
      </c>
    </row>
    <row r="440" hidden="1">
      <c r="A440" s="3" t="str">
        <f>IFERROR(__xludf.DUMMYFUNCTION("""COMPUTED_VALUE"""),"23ds3000239@ds.study.iitm.ac.in")</f>
        <v>23ds3000239@ds.study.iitm.ac.in</v>
      </c>
      <c r="B440" s="3">
        <f>IFERROR(__xludf.DUMMYFUNCTION("""COMPUTED_VALUE"""),9.0)</f>
        <v>9</v>
      </c>
      <c r="C440" s="5" t="str">
        <f>IFERROR(__xludf.DUMMYFUNCTION("""COMPUTED_VALUE"""),"https://github.com/harinivas21/tds")</f>
        <v>https://github.com/harinivas21/tds</v>
      </c>
      <c r="D440" s="3" t="str">
        <f>IFERROR(VLOOKUP(C440,'Peer-Review'!B:J,9,0),"No R1")</f>
        <v>23f1001562@ds.study.iitm.ac.in</v>
      </c>
      <c r="E440" s="3" t="str">
        <f>IFERROR(VLOOKUP(C440,'Peer-Review'!F:J,5,0),"No R2")</f>
        <v>No R2</v>
      </c>
      <c r="F440" s="3">
        <f>COUNTIF('Peer-Review'!B:B,C440)+COUNTIF('Peer-Review'!F:F,C440)</f>
        <v>1</v>
      </c>
      <c r="G440" s="3">
        <f t="shared" si="1"/>
        <v>1</v>
      </c>
      <c r="H440" s="3" t="str">
        <f>IFERROR(__xludf.DUMMYFUNCTION("IFERROR(TRANSPOSE(FILTER('Peer-Review'!$J$2:$J$568,(TRIM('Peer-Review'!$B$2:$B$568)=C440 )+ (TRIM('Peer-Review'!$F$2:$F$568)=C440))),""No Reviews"")"),"23f1001562@ds.study.iitm.ac.in")</f>
        <v>23f1001562@ds.study.iitm.ac.in</v>
      </c>
      <c r="J440" s="3">
        <f>IF(D440="No R1",0,VLOOKUP(C440,'Peer-Review'!B:D,2,0))</f>
        <v>6</v>
      </c>
      <c r="K440" s="3">
        <f>IF(D440="No R1",0,VLOOKUP(C440,'Peer-Review'!B:D,3,0))</f>
        <v>5</v>
      </c>
      <c r="L440" s="3">
        <f>IF(E440="No R2",0,VLOOKUP(C440,'Peer-Review'!F:H,2,0))</f>
        <v>0</v>
      </c>
      <c r="M440" s="3">
        <f>IF(E440="No R2",0,VLOOKUP(C440,'Peer-Review'!F:H,3,0))</f>
        <v>0</v>
      </c>
    </row>
    <row r="441" hidden="1">
      <c r="A441" s="3" t="str">
        <f>IFERROR(__xludf.DUMMYFUNCTION("""COMPUTED_VALUE"""),"23ds3000248@ds.study.iitm.ac.in")</f>
        <v>23ds3000248@ds.study.iitm.ac.in</v>
      </c>
      <c r="B441" s="3">
        <f>IFERROR(__xludf.DUMMYFUNCTION("""COMPUTED_VALUE"""),17.0)</f>
        <v>17</v>
      </c>
      <c r="C441" s="5" t="str">
        <f>IFERROR(__xludf.DUMMYFUNCTION("""COMPUTED_VALUE"""),"https://github.com/bhavin-iitm/tds-project1")</f>
        <v>https://github.com/bhavin-iitm/tds-project1</v>
      </c>
      <c r="D441" s="3" t="str">
        <f>IFERROR(VLOOKUP(C441,'Peer-Review'!B:J,9,0),"No R1")</f>
        <v>No R1</v>
      </c>
      <c r="E441" s="3" t="str">
        <f>IFERROR(VLOOKUP(C441,'Peer-Review'!F:J,5,0),"No R2")</f>
        <v>23ds3000176@ds.study.iitm.ac.in</v>
      </c>
      <c r="F441" s="3">
        <f>COUNTIF('Peer-Review'!B:B,C441)+COUNTIF('Peer-Review'!F:F,C441)</f>
        <v>1</v>
      </c>
      <c r="G441" s="3">
        <f t="shared" si="1"/>
        <v>1</v>
      </c>
      <c r="H441" s="3" t="str">
        <f>IFERROR(__xludf.DUMMYFUNCTION("IFERROR(TRANSPOSE(FILTER('Peer-Review'!$J$2:$J$568,(TRIM('Peer-Review'!$B$2:$B$568)=C441 )+ (TRIM('Peer-Review'!$F$2:$F$568)=C441))),""No Reviews"")"),"23ds3000176@ds.study.iitm.ac.in")</f>
        <v>23ds3000176@ds.study.iitm.ac.in</v>
      </c>
      <c r="J441" s="3">
        <f>IF(D441="No R1",0,VLOOKUP(C441,'Peer-Review'!B:D,2,0))</f>
        <v>0</v>
      </c>
      <c r="K441" s="3">
        <f>IF(D441="No R1",0,VLOOKUP(C441,'Peer-Review'!B:D,3,0))</f>
        <v>0</v>
      </c>
      <c r="L441" s="3">
        <f>IF(E441="No R2",0,VLOOKUP(C441,'Peer-Review'!F:H,2,0))</f>
        <v>8</v>
      </c>
      <c r="M441" s="3">
        <f>IF(E441="No R2",0,VLOOKUP(C441,'Peer-Review'!F:H,3,0))</f>
        <v>9</v>
      </c>
    </row>
    <row r="442" hidden="1">
      <c r="A442" s="3" t="str">
        <f>IFERROR(__xludf.DUMMYFUNCTION("""COMPUTED_VALUE"""),"23ds3000249@ds.study.iitm.ac.in")</f>
        <v>23ds3000249@ds.study.iitm.ac.in</v>
      </c>
      <c r="B442" s="3">
        <f>IFERROR(__xludf.DUMMYFUNCTION("""COMPUTED_VALUE"""),16.0)</f>
        <v>16</v>
      </c>
      <c r="C442" s="5" t="str">
        <f>IFERROR(__xludf.DUMMYFUNCTION("""COMPUTED_VALUE"""),"https://github.com/Saba-Usman/TDS-Project-1")</f>
        <v>https://github.com/Saba-Usman/TDS-Project-1</v>
      </c>
      <c r="D442" s="3" t="str">
        <f>IFERROR(VLOOKUP(C442,'Peer-Review'!B:J,9,0),"No R1")</f>
        <v>No R1</v>
      </c>
      <c r="E442" s="3" t="str">
        <f>IFERROR(VLOOKUP(C442,'Peer-Review'!F:J,5,0),"No R2")</f>
        <v>22f1000213@ds.study.iitm.ac.in</v>
      </c>
      <c r="F442" s="3">
        <f>COUNTIF('Peer-Review'!B:B,C442)+COUNTIF('Peer-Review'!F:F,C442)</f>
        <v>2</v>
      </c>
      <c r="G442" s="3">
        <f t="shared" si="1"/>
        <v>1</v>
      </c>
      <c r="H442" s="3" t="str">
        <f>IFERROR(__xludf.DUMMYFUNCTION("IFERROR(TRANSPOSE(FILTER('Peer-Review'!$J$2:$J$568,(TRIM('Peer-Review'!$B$2:$B$568)=C442 )+ (TRIM('Peer-Review'!$F$2:$F$568)=C442))),""No Reviews"")"),"22f1000213@ds.study.iitm.ac.in")</f>
        <v>22f1000213@ds.study.iitm.ac.in</v>
      </c>
      <c r="I442" s="3" t="str">
        <f>IFERROR(__xludf.DUMMYFUNCTION("""COMPUTED_VALUE"""),"23ds3000177@ds.study.iitm.ac.in")</f>
        <v>23ds3000177@ds.study.iitm.ac.in</v>
      </c>
      <c r="J442" s="3">
        <f>IF(D442="No R1",0,VLOOKUP(C442,'Peer-Review'!B:D,2,0))</f>
        <v>0</v>
      </c>
      <c r="K442" s="3">
        <f>IF(D442="No R1",0,VLOOKUP(C442,'Peer-Review'!B:D,3,0))</f>
        <v>0</v>
      </c>
      <c r="L442" s="3">
        <f>IF(E442="No R2",0,VLOOKUP(C442,'Peer-Review'!F:H,2,0))</f>
        <v>9</v>
      </c>
      <c r="M442" s="3">
        <f>IF(E442="No R2",0,VLOOKUP(C442,'Peer-Review'!F:H,3,0))</f>
        <v>9</v>
      </c>
    </row>
    <row r="443" hidden="1">
      <c r="A443" s="3" t="str">
        <f>IFERROR(__xludf.DUMMYFUNCTION("""COMPUTED_VALUE"""),"23f1000017@ds.study.iitm.ac.in")</f>
        <v>23f1000017@ds.study.iitm.ac.in</v>
      </c>
      <c r="B443" s="3">
        <f>IFERROR(__xludf.DUMMYFUNCTION("""COMPUTED_VALUE"""),17.0)</f>
        <v>17</v>
      </c>
      <c r="C443" s="5" t="str">
        <f>IFERROR(__xludf.DUMMYFUNCTION("""COMPUTED_VALUE"""),"https://github.com/DurgaPriyaY/proj1")</f>
        <v>https://github.com/DurgaPriyaY/proj1</v>
      </c>
      <c r="D443" s="3" t="str">
        <f>IFERROR(VLOOKUP(C443,'Peer-Review'!B:J,9,0),"No R1")</f>
        <v>No R1</v>
      </c>
      <c r="E443" s="3" t="str">
        <f>IFERROR(VLOOKUP(C443,'Peer-Review'!F:J,5,0),"No R2")</f>
        <v>23ds3000248@ds.study.iitm.ac.in</v>
      </c>
      <c r="F443" s="3">
        <f>COUNTIF('Peer-Review'!B:B,C443)+COUNTIF('Peer-Review'!F:F,C443)</f>
        <v>2</v>
      </c>
      <c r="G443" s="3">
        <f t="shared" si="1"/>
        <v>1</v>
      </c>
      <c r="H443" s="3" t="str">
        <f>IFERROR(__xludf.DUMMYFUNCTION("IFERROR(TRANSPOSE(FILTER('Peer-Review'!$J$2:$J$568,(TRIM('Peer-Review'!$B$2:$B$568)=C443 )+ (TRIM('Peer-Review'!$F$2:$F$568)=C443))),""No Reviews"")"),"23ds3000248@ds.study.iitm.ac.in")</f>
        <v>23ds3000248@ds.study.iitm.ac.in</v>
      </c>
      <c r="I443" s="3" t="str">
        <f>IFERROR(__xludf.DUMMYFUNCTION("""COMPUTED_VALUE"""),"22f2001730@ds.study.iitm.ac.in")</f>
        <v>22f2001730@ds.study.iitm.ac.in</v>
      </c>
      <c r="J443" s="3">
        <f>IF(D443="No R1",0,VLOOKUP(C443,'Peer-Review'!B:D,2,0))</f>
        <v>0</v>
      </c>
      <c r="K443" s="3">
        <f>IF(D443="No R1",0,VLOOKUP(C443,'Peer-Review'!B:D,3,0))</f>
        <v>0</v>
      </c>
      <c r="L443" s="3">
        <f>IF(E443="No R2",0,VLOOKUP(C443,'Peer-Review'!F:H,2,0))</f>
        <v>4</v>
      </c>
      <c r="M443" s="3">
        <f>IF(E443="No R2",0,VLOOKUP(C443,'Peer-Review'!F:H,3,0))</f>
        <v>5</v>
      </c>
    </row>
    <row r="444" hidden="1">
      <c r="A444" s="3" t="str">
        <f>IFERROR(__xludf.DUMMYFUNCTION("""COMPUTED_VALUE"""),"23f1000024@ds.study.iitm.ac.in")</f>
        <v>23f1000024@ds.study.iitm.ac.in</v>
      </c>
      <c r="B444" s="3">
        <f>IFERROR(__xludf.DUMMYFUNCTION("""COMPUTED_VALUE"""),0.0)</f>
        <v>0</v>
      </c>
      <c r="C444" s="5" t="str">
        <f>IFERROR(__xludf.DUMMYFUNCTION("""COMPUTED_VALUE"""),"https://github.com/Your-Coder-Guy/Bengluru_Github_users.git")</f>
        <v>https://github.com/Your-Coder-Guy/Bengluru_Github_users.git</v>
      </c>
      <c r="D444" s="3" t="str">
        <f>IFERROR(VLOOKUP(C444,'Peer-Review'!B:J,9,0),"No R1")</f>
        <v>No R1</v>
      </c>
      <c r="E444" s="3" t="str">
        <f>IFERROR(VLOOKUP(C444,'Peer-Review'!F:J,5,0),"No R2")</f>
        <v>No R2</v>
      </c>
      <c r="F444" s="3">
        <f>COUNTIF('Peer-Review'!B:B,C444)+COUNTIF('Peer-Review'!F:F,C444)</f>
        <v>0</v>
      </c>
      <c r="G444" s="3">
        <f t="shared" si="1"/>
        <v>0</v>
      </c>
      <c r="H444" s="3" t="str">
        <f>IFERROR(__xludf.DUMMYFUNCTION("IFERROR(TRANSPOSE(FILTER('Peer-Review'!$J$2:$J$568,(TRIM('Peer-Review'!$B$2:$B$568)=C444 )+ (TRIM('Peer-Review'!$F$2:$F$568)=C444))),""No Reviews"")"),"No Reviews")</f>
        <v>No Reviews</v>
      </c>
      <c r="J444" s="3">
        <f>IF(D444="No R1",0,VLOOKUP(C444,'Peer-Review'!B:D,2,0))</f>
        <v>0</v>
      </c>
      <c r="K444" s="3">
        <f>IF(D444="No R1",0,VLOOKUP(C444,'Peer-Review'!B:D,3,0))</f>
        <v>0</v>
      </c>
      <c r="L444" s="3">
        <f>IF(E444="No R2",0,VLOOKUP(C444,'Peer-Review'!F:H,2,0))</f>
        <v>0</v>
      </c>
      <c r="M444" s="3">
        <f>IF(E444="No R2",0,VLOOKUP(C444,'Peer-Review'!F:H,3,0))</f>
        <v>0</v>
      </c>
    </row>
    <row r="445" hidden="1">
      <c r="A445" s="3" t="str">
        <f>IFERROR(__xludf.DUMMYFUNCTION("""COMPUTED_VALUE"""),"23f1000029@ds.study.iitm.ac.in")</f>
        <v>23f1000029@ds.study.iitm.ac.in</v>
      </c>
      <c r="B445" s="3">
        <f>IFERROR(__xludf.DUMMYFUNCTION("""COMPUTED_VALUE"""),11.0)</f>
        <v>11</v>
      </c>
      <c r="C445" s="5" t="str">
        <f>IFERROR(__xludf.DUMMYFUNCTION("""COMPUTED_VALUE"""),"https://github.com/231fiitm/tdsproject")</f>
        <v>https://github.com/231fiitm/tdsproject</v>
      </c>
      <c r="D445" s="3" t="str">
        <f>IFERROR(VLOOKUP(C445,'Peer-Review'!B:J,9,0),"No R1")</f>
        <v>24ds1000086@ds.study.iitm.ac.in</v>
      </c>
      <c r="E445" s="3" t="str">
        <f>IFERROR(VLOOKUP(C445,'Peer-Review'!F:J,5,0),"No R2")</f>
        <v>No R2</v>
      </c>
      <c r="F445" s="3">
        <f>COUNTIF('Peer-Review'!B:B,C445)+COUNTIF('Peer-Review'!F:F,C445)</f>
        <v>1</v>
      </c>
      <c r="G445" s="3">
        <f t="shared" si="1"/>
        <v>1</v>
      </c>
      <c r="H445" s="3" t="str">
        <f>IFERROR(__xludf.DUMMYFUNCTION("IFERROR(TRANSPOSE(FILTER('Peer-Review'!$J$2:$J$568,(TRIM('Peer-Review'!$B$2:$B$568)=C445 )+ (TRIM('Peer-Review'!$F$2:$F$568)=C445))),""No Reviews"")"),"24ds1000086@ds.study.iitm.ac.in")</f>
        <v>24ds1000086@ds.study.iitm.ac.in</v>
      </c>
      <c r="J445" s="3">
        <f>IF(D445="No R1",0,VLOOKUP(C445,'Peer-Review'!B:D,2,0))</f>
        <v>10</v>
      </c>
      <c r="K445" s="3">
        <f>IF(D445="No R1",0,VLOOKUP(C445,'Peer-Review'!B:D,3,0))</f>
        <v>10</v>
      </c>
      <c r="L445" s="3">
        <f>IF(E445="No R2",0,VLOOKUP(C445,'Peer-Review'!F:H,2,0))</f>
        <v>0</v>
      </c>
      <c r="M445" s="3">
        <f>IF(E445="No R2",0,VLOOKUP(C445,'Peer-Review'!F:H,3,0))</f>
        <v>0</v>
      </c>
    </row>
    <row r="446" hidden="1">
      <c r="A446" s="3" t="str">
        <f>IFERROR(__xludf.DUMMYFUNCTION("""COMPUTED_VALUE"""),"23f1000043@ds.study.iitm.ac.in")</f>
        <v>23f1000043@ds.study.iitm.ac.in</v>
      </c>
      <c r="B446" s="3">
        <f>IFERROR(__xludf.DUMMYFUNCTION("""COMPUTED_VALUE"""),13.0)</f>
        <v>13</v>
      </c>
      <c r="C446" s="5" t="str">
        <f>IFERROR(__xludf.DUMMYFUNCTION("""COMPUTED_VALUE"""),"https://github.com/ViratJinjala/TDS-project-1")</f>
        <v>https://github.com/ViratJinjala/TDS-project-1</v>
      </c>
      <c r="D446" s="3" t="str">
        <f>IFERROR(VLOOKUP(C446,'Peer-Review'!B:J,9,0),"No R1")</f>
        <v>23f1000092@ds.study.iitm.ac.in</v>
      </c>
      <c r="E446" s="3" t="str">
        <f>IFERROR(VLOOKUP(C446,'Peer-Review'!F:J,5,0),"No R2")</f>
        <v>No R2</v>
      </c>
      <c r="F446" s="3">
        <f>COUNTIF('Peer-Review'!B:B,C446)+COUNTIF('Peer-Review'!F:F,C446)</f>
        <v>2</v>
      </c>
      <c r="G446" s="3">
        <f t="shared" si="1"/>
        <v>1</v>
      </c>
      <c r="H446" s="3" t="str">
        <f>IFERROR(__xludf.DUMMYFUNCTION("IFERROR(TRANSPOSE(FILTER('Peer-Review'!$J$2:$J$568,(TRIM('Peer-Review'!$B$2:$B$568)=C446 )+ (TRIM('Peer-Review'!$F$2:$F$568)=C446))),""No Reviews"")"),"23f1000092@ds.study.iitm.ac.in")</f>
        <v>23f1000092@ds.study.iitm.ac.in</v>
      </c>
      <c r="I446" s="3" t="str">
        <f>IFERROR(__xludf.DUMMYFUNCTION("""COMPUTED_VALUE"""),"22f3000452@ds.study.iitm.ac.in")</f>
        <v>22f3000452@ds.study.iitm.ac.in</v>
      </c>
      <c r="J446" s="3">
        <f>IF(D446="No R1",0,VLOOKUP(C446,'Peer-Review'!B:D,2,0))</f>
        <v>0</v>
      </c>
      <c r="K446" s="3">
        <f>IF(D446="No R1",0,VLOOKUP(C446,'Peer-Review'!B:D,3,0))</f>
        <v>10</v>
      </c>
      <c r="L446" s="3">
        <f>IF(E446="No R2",0,VLOOKUP(C446,'Peer-Review'!F:H,2,0))</f>
        <v>0</v>
      </c>
      <c r="M446" s="3">
        <f>IF(E446="No R2",0,VLOOKUP(C446,'Peer-Review'!F:H,3,0))</f>
        <v>0</v>
      </c>
    </row>
    <row r="447" hidden="1">
      <c r="A447" s="3" t="str">
        <f>IFERROR(__xludf.DUMMYFUNCTION("""COMPUTED_VALUE"""),"23f1000075@ds.study.iitm.ac.in")</f>
        <v>23f1000075@ds.study.iitm.ac.in</v>
      </c>
      <c r="B447" s="3">
        <f>IFERROR(__xludf.DUMMYFUNCTION("""COMPUTED_VALUE"""),17.0)</f>
        <v>17</v>
      </c>
      <c r="C447" s="5" t="str">
        <f>IFERROR(__xludf.DUMMYFUNCTION("""COMPUTED_VALUE"""),"https://github.com/VaishHa/Delhi100_TDS")</f>
        <v>https://github.com/VaishHa/Delhi100_TDS</v>
      </c>
      <c r="D447" s="3" t="str">
        <f>IFERROR(VLOOKUP(C447,'Peer-Review'!B:J,9,0),"No R1")</f>
        <v>No R1</v>
      </c>
      <c r="E447" s="3" t="str">
        <f>IFERROR(VLOOKUP(C447,'Peer-Review'!F:J,5,0),"No R2")</f>
        <v>23f1000017@ds.study.iitm.ac.in</v>
      </c>
      <c r="F447" s="3">
        <f>COUNTIF('Peer-Review'!B:B,C447)+COUNTIF('Peer-Review'!F:F,C447)</f>
        <v>2</v>
      </c>
      <c r="G447" s="3">
        <f t="shared" si="1"/>
        <v>1</v>
      </c>
      <c r="H447" s="3" t="str">
        <f>IFERROR(__xludf.DUMMYFUNCTION("IFERROR(TRANSPOSE(FILTER('Peer-Review'!$J$2:$J$568,(TRIM('Peer-Review'!$B$2:$B$568)=C447 )+ (TRIM('Peer-Review'!$F$2:$F$568)=C447))),""No Reviews"")"),"23f1000017@ds.study.iitm.ac.in")</f>
        <v>23f1000017@ds.study.iitm.ac.in</v>
      </c>
      <c r="I447" s="3" t="str">
        <f>IFERROR(__xludf.DUMMYFUNCTION("""COMPUTED_VALUE"""),"22f3000313@ds.study.iitm.ac.in")</f>
        <v>22f3000313@ds.study.iitm.ac.in</v>
      </c>
      <c r="J447" s="3">
        <f>IF(D447="No R1",0,VLOOKUP(C447,'Peer-Review'!B:D,2,0))</f>
        <v>0</v>
      </c>
      <c r="K447" s="3">
        <f>IF(D447="No R1",0,VLOOKUP(C447,'Peer-Review'!B:D,3,0))</f>
        <v>0</v>
      </c>
      <c r="L447" s="3">
        <f>IF(E447="No R2",0,VLOOKUP(C447,'Peer-Review'!F:H,2,0))</f>
        <v>10</v>
      </c>
      <c r="M447" s="3">
        <f>IF(E447="No R2",0,VLOOKUP(C447,'Peer-Review'!F:H,3,0))</f>
        <v>10</v>
      </c>
    </row>
    <row r="448" hidden="1">
      <c r="A448" s="3" t="str">
        <f>IFERROR(__xludf.DUMMYFUNCTION("""COMPUTED_VALUE"""),"23f1000092@ds.study.iitm.ac.in")</f>
        <v>23f1000092@ds.study.iitm.ac.in</v>
      </c>
      <c r="B448" s="3">
        <f>IFERROR(__xludf.DUMMYFUNCTION("""COMPUTED_VALUE"""),13.0)</f>
        <v>13</v>
      </c>
      <c r="C448" s="5" t="str">
        <f>IFERROR(__xludf.DUMMYFUNCTION("""COMPUTED_VALUE"""),"https://github.com/Udita1122/23f1000092")</f>
        <v>https://github.com/Udita1122/23f1000092</v>
      </c>
      <c r="D448" s="3" t="str">
        <f>IFERROR(VLOOKUP(C448,'Peer-Review'!B:J,9,0),"No R1")</f>
        <v>23f1000583@ds.study.iitm.ac.in</v>
      </c>
      <c r="E448" s="3" t="str">
        <f>IFERROR(VLOOKUP(C448,'Peer-Review'!F:J,5,0),"No R2")</f>
        <v>No R2</v>
      </c>
      <c r="F448" s="3">
        <f>COUNTIF('Peer-Review'!B:B,C448)+COUNTIF('Peer-Review'!F:F,C448)</f>
        <v>2</v>
      </c>
      <c r="G448" s="3">
        <f t="shared" si="1"/>
        <v>1</v>
      </c>
      <c r="H448" s="3" t="str">
        <f>IFERROR(__xludf.DUMMYFUNCTION("IFERROR(TRANSPOSE(FILTER('Peer-Review'!$J$2:$J$568,(TRIM('Peer-Review'!$B$2:$B$568)=C448 )+ (TRIM('Peer-Review'!$F$2:$F$568)=C448))),""No Reviews"")"),"23f1000583@ds.study.iitm.ac.in")</f>
        <v>23f1000583@ds.study.iitm.ac.in</v>
      </c>
      <c r="I448" s="3" t="str">
        <f>IFERROR(__xludf.DUMMYFUNCTION("""COMPUTED_VALUE"""),"22f3000534@ds.study.iitm.ac.in")</f>
        <v>22f3000534@ds.study.iitm.ac.in</v>
      </c>
      <c r="J448" s="3">
        <f>IF(D448="No R1",0,VLOOKUP(C448,'Peer-Review'!B:D,2,0))</f>
        <v>5</v>
      </c>
      <c r="K448" s="3">
        <f>IF(D448="No R1",0,VLOOKUP(C448,'Peer-Review'!B:D,3,0))</f>
        <v>5</v>
      </c>
      <c r="L448" s="3">
        <f>IF(E448="No R2",0,VLOOKUP(C448,'Peer-Review'!F:H,2,0))</f>
        <v>0</v>
      </c>
      <c r="M448" s="3">
        <f>IF(E448="No R2",0,VLOOKUP(C448,'Peer-Review'!F:H,3,0))</f>
        <v>0</v>
      </c>
    </row>
    <row r="449" hidden="1">
      <c r="A449" s="3" t="str">
        <f>IFERROR(__xludf.DUMMYFUNCTION("""COMPUTED_VALUE"""),"23f1000113@ds.study.iitm.ac.in")</f>
        <v>23f1000113@ds.study.iitm.ac.in</v>
      </c>
      <c r="B449" s="3">
        <f>IFERROR(__xludf.DUMMYFUNCTION("""COMPUTED_VALUE"""),17.0)</f>
        <v>17</v>
      </c>
      <c r="C449" s="5" t="str">
        <f>IFERROR(__xludf.DUMMYFUNCTION("""COMPUTED_VALUE"""),"https://github.com/tarunarora6029/tdsgit")</f>
        <v>https://github.com/tarunarora6029/tdsgit</v>
      </c>
      <c r="D449" s="3" t="str">
        <f>IFERROR(VLOOKUP(C449,'Peer-Review'!B:J,9,0),"No R1")</f>
        <v>No R1</v>
      </c>
      <c r="E449" s="3" t="str">
        <f>IFERROR(VLOOKUP(C449,'Peer-Review'!F:J,5,0),"No R2")</f>
        <v>22f3000399@ds.study.iitm.ac.in</v>
      </c>
      <c r="F449" s="3">
        <f>COUNTIF('Peer-Review'!B:B,C449)+COUNTIF('Peer-Review'!F:F,C449)</f>
        <v>2</v>
      </c>
      <c r="G449" s="3">
        <f t="shared" si="1"/>
        <v>1</v>
      </c>
      <c r="H449" s="3" t="str">
        <f>IFERROR(__xludf.DUMMYFUNCTION("IFERROR(TRANSPOSE(FILTER('Peer-Review'!$J$2:$J$568,(TRIM('Peer-Review'!$B$2:$B$568)=C449 )+ (TRIM('Peer-Review'!$F$2:$F$568)=C449))),""No Reviews"")"),"22f3000399@ds.study.iitm.ac.in")</f>
        <v>22f3000399@ds.study.iitm.ac.in</v>
      </c>
      <c r="I449" s="3" t="str">
        <f>IFERROR(__xludf.DUMMYFUNCTION("""COMPUTED_VALUE"""),"23f1000075@ds.study.iitm.ac.in")</f>
        <v>23f1000075@ds.study.iitm.ac.in</v>
      </c>
      <c r="J449" s="3">
        <f>IF(D449="No R1",0,VLOOKUP(C449,'Peer-Review'!B:D,2,0))</f>
        <v>0</v>
      </c>
      <c r="K449" s="3">
        <f>IF(D449="No R1",0,VLOOKUP(C449,'Peer-Review'!B:D,3,0))</f>
        <v>0</v>
      </c>
      <c r="L449" s="3">
        <f>IF(E449="No R2",0,VLOOKUP(C449,'Peer-Review'!F:H,2,0))</f>
        <v>9</v>
      </c>
      <c r="M449" s="3">
        <f>IF(E449="No R2",0,VLOOKUP(C449,'Peer-Review'!F:H,3,0))</f>
        <v>9</v>
      </c>
    </row>
    <row r="450" hidden="1">
      <c r="A450" s="3" t="str">
        <f>IFERROR(__xludf.DUMMYFUNCTION("""COMPUTED_VALUE"""),"23f1000200@ds.study.iitm.ac.in")</f>
        <v>23f1000200@ds.study.iitm.ac.in</v>
      </c>
      <c r="B450" s="3">
        <f>IFERROR(__xludf.DUMMYFUNCTION("""COMPUTED_VALUE"""),17.0)</f>
        <v>17</v>
      </c>
      <c r="C450" s="5" t="str">
        <f>IFERROR(__xludf.DUMMYFUNCTION("""COMPUTED_VALUE"""),"https://github.com/sneha-singh-12345578998/TDSProj-1")</f>
        <v>https://github.com/sneha-singh-12345578998/TDSProj-1</v>
      </c>
      <c r="D450" s="3" t="str">
        <f>IFERROR(VLOOKUP(C450,'Peer-Review'!B:J,9,0),"No R1")</f>
        <v>No R1</v>
      </c>
      <c r="E450" s="3" t="str">
        <f>IFERROR(VLOOKUP(C450,'Peer-Review'!F:J,5,0),"No R2")</f>
        <v>23f1000113@ds.study.iitm.ac.in</v>
      </c>
      <c r="F450" s="3">
        <f>COUNTIF('Peer-Review'!B:B,C450)+COUNTIF('Peer-Review'!F:F,C450)</f>
        <v>1</v>
      </c>
      <c r="G450" s="3">
        <f t="shared" si="1"/>
        <v>1</v>
      </c>
      <c r="H450" s="3" t="str">
        <f>IFERROR(__xludf.DUMMYFUNCTION("IFERROR(TRANSPOSE(FILTER('Peer-Review'!$J$2:$J$568,(TRIM('Peer-Review'!$B$2:$B$568)=C450 )+ (TRIM('Peer-Review'!$F$2:$F$568)=C450))),""No Reviews"")"),"23f1000113@ds.study.iitm.ac.in")</f>
        <v>23f1000113@ds.study.iitm.ac.in</v>
      </c>
      <c r="J450" s="3">
        <f>IF(D450="No R1",0,VLOOKUP(C450,'Peer-Review'!B:D,2,0))</f>
        <v>0</v>
      </c>
      <c r="K450" s="3">
        <f>IF(D450="No R1",0,VLOOKUP(C450,'Peer-Review'!B:D,3,0))</f>
        <v>0</v>
      </c>
      <c r="L450" s="3">
        <f>IF(E450="No R2",0,VLOOKUP(C450,'Peer-Review'!F:H,2,0))</f>
        <v>10</v>
      </c>
      <c r="M450" s="3">
        <f>IF(E450="No R2",0,VLOOKUP(C450,'Peer-Review'!F:H,3,0))</f>
        <v>9</v>
      </c>
    </row>
    <row r="451" hidden="1">
      <c r="A451" s="3" t="str">
        <f>IFERROR(__xludf.DUMMYFUNCTION("""COMPUTED_VALUE"""),"23f1000205@ds.study.iitm.ac.in")</f>
        <v>23f1000205@ds.study.iitm.ac.in</v>
      </c>
      <c r="B451" s="3">
        <f>IFERROR(__xludf.DUMMYFUNCTION("""COMPUTED_VALUE"""),17.0)</f>
        <v>17</v>
      </c>
      <c r="C451" s="5" t="str">
        <f>IFERROR(__xludf.DUMMYFUNCTION("""COMPUTED_VALUE"""),"https://github.com/itznoor998/TDS_project1")</f>
        <v>https://github.com/itznoor998/TDS_project1</v>
      </c>
      <c r="D451" s="3" t="str">
        <f>IFERROR(VLOOKUP(C451,'Peer-Review'!B:J,9,0),"No R1")</f>
        <v>No R1</v>
      </c>
      <c r="E451" s="3" t="str">
        <f>IFERROR(VLOOKUP(C451,'Peer-Review'!F:J,5,0),"No R2")</f>
        <v>22f3000612@ds.study.iitm.ac.in</v>
      </c>
      <c r="F451" s="3">
        <f>COUNTIF('Peer-Review'!B:B,C451)+COUNTIF('Peer-Review'!F:F,C451)</f>
        <v>2</v>
      </c>
      <c r="G451" s="3">
        <f t="shared" si="1"/>
        <v>1</v>
      </c>
      <c r="H451" s="3" t="str">
        <f>IFERROR(__xludf.DUMMYFUNCTION("IFERROR(TRANSPOSE(FILTER('Peer-Review'!$J$2:$J$568,(TRIM('Peer-Review'!$B$2:$B$568)=C451 )+ (TRIM('Peer-Review'!$F$2:$F$568)=C451))),""No Reviews"")"),"22f3000612@ds.study.iitm.ac.in")</f>
        <v>22f3000612@ds.study.iitm.ac.in</v>
      </c>
      <c r="I451" s="3" t="str">
        <f>IFERROR(__xludf.DUMMYFUNCTION("""COMPUTED_VALUE"""),"23f1000200@ds.study.iitm.ac.in")</f>
        <v>23f1000200@ds.study.iitm.ac.in</v>
      </c>
      <c r="J451" s="3">
        <f>IF(D451="No R1",0,VLOOKUP(C451,'Peer-Review'!B:D,2,0))</f>
        <v>0</v>
      </c>
      <c r="K451" s="3">
        <f>IF(D451="No R1",0,VLOOKUP(C451,'Peer-Review'!B:D,3,0))</f>
        <v>0</v>
      </c>
      <c r="L451" s="3">
        <f>IF(E451="No R2",0,VLOOKUP(C451,'Peer-Review'!F:H,2,0))</f>
        <v>7</v>
      </c>
      <c r="M451" s="3">
        <f>IF(E451="No R2",0,VLOOKUP(C451,'Peer-Review'!F:H,3,0))</f>
        <v>10</v>
      </c>
    </row>
    <row r="452">
      <c r="A452" s="3" t="str">
        <f>IFERROR(__xludf.DUMMYFUNCTION("""COMPUTED_VALUE"""),"23f1000307@ds.study.iitm.ac.in")</f>
        <v>23f1000307@ds.study.iitm.ac.in</v>
      </c>
      <c r="B452" s="3">
        <f>IFERROR(__xludf.DUMMYFUNCTION("""COMPUTED_VALUE"""),0.0)</f>
        <v>0</v>
      </c>
      <c r="C452" s="3"/>
      <c r="D452" s="3" t="str">
        <f>IFERROR(VLOOKUP(C452,'Peer-Review'!B:J,9,0),"No R1")</f>
        <v>No R1</v>
      </c>
      <c r="E452" s="3" t="str">
        <f>IFERROR(VLOOKUP(C452,'Peer-Review'!F:J,5,0),"No R2")</f>
        <v>No R2</v>
      </c>
      <c r="F452" s="3">
        <f>COUNTIF('Peer-Review'!B:B,C452)+COUNTIF('Peer-Review'!F:F,C452)</f>
        <v>0</v>
      </c>
      <c r="G452" s="3">
        <f t="shared" si="1"/>
        <v>0</v>
      </c>
      <c r="H452" s="3" t="str">
        <f>IFERROR(__xludf.DUMMYFUNCTION("IFERROR(TRANSPOSE(FILTER('Peer-Review'!$J$2:$J$568,(TRIM('Peer-Review'!$B$2:$B$568)=C452 )+ (TRIM('Peer-Review'!$F$2:$F$568)=C452))),""No Reviews"")"),"No Reviews")</f>
        <v>No Reviews</v>
      </c>
      <c r="J452" s="3">
        <f>IF(D452="No R1",0,VLOOKUP(C452,'Peer-Review'!B:D,2,0))</f>
        <v>0</v>
      </c>
      <c r="K452" s="3">
        <f>IF(D452="No R1",0,VLOOKUP(C452,'Peer-Review'!B:D,3,0))</f>
        <v>0</v>
      </c>
      <c r="L452" s="3">
        <f>IF(E452="No R2",0,VLOOKUP(C452,'Peer-Review'!F:H,2,0))</f>
        <v>0</v>
      </c>
      <c r="M452" s="3">
        <f>IF(E452="No R2",0,VLOOKUP(C452,'Peer-Review'!F:H,3,0))</f>
        <v>0</v>
      </c>
    </row>
    <row r="453" hidden="1">
      <c r="A453" s="3" t="str">
        <f>IFERROR(__xludf.DUMMYFUNCTION("""COMPUTED_VALUE"""),"23f1000356@ds.study.iitm.ac.in")</f>
        <v>23f1000356@ds.study.iitm.ac.in</v>
      </c>
      <c r="B453" s="3">
        <f>IFERROR(__xludf.DUMMYFUNCTION("""COMPUTED_VALUE"""),16.0)</f>
        <v>16</v>
      </c>
      <c r="C453" s="5" t="str">
        <f>IFERROR(__xludf.DUMMYFUNCTION("""COMPUTED_VALUE"""),"https://github.com/Tanuroy10/TdsProject")</f>
        <v>https://github.com/Tanuroy10/TdsProject</v>
      </c>
      <c r="D453" s="3" t="str">
        <f>IFERROR(VLOOKUP(C453,'Peer-Review'!B:J,9,0),"No R1")</f>
        <v>No R1</v>
      </c>
      <c r="E453" s="3" t="str">
        <f>IFERROR(VLOOKUP(C453,'Peer-Review'!F:J,5,0),"No R2")</f>
        <v>23ds3000249@ds.study.iitm.ac.in</v>
      </c>
      <c r="F453" s="3">
        <f>COUNTIF('Peer-Review'!B:B,C453)+COUNTIF('Peer-Review'!F:F,C453)</f>
        <v>2</v>
      </c>
      <c r="G453" s="3">
        <f t="shared" si="1"/>
        <v>1</v>
      </c>
      <c r="H453" s="3" t="str">
        <f>IFERROR(__xludf.DUMMYFUNCTION("IFERROR(TRANSPOSE(FILTER('Peer-Review'!$J$2:$J$568,(TRIM('Peer-Review'!$B$2:$B$568)=C453 )+ (TRIM('Peer-Review'!$F$2:$F$568)=C453))),""No Reviews"")"),"23ds3000249@ds.study.iitm.ac.in")</f>
        <v>23ds3000249@ds.study.iitm.ac.in</v>
      </c>
      <c r="I453" s="3" t="str">
        <f>IFERROR(__xludf.DUMMYFUNCTION("""COMPUTED_VALUE"""),"22f1000599@ds.study.iitm.ac.in")</f>
        <v>22f1000599@ds.study.iitm.ac.in</v>
      </c>
      <c r="J453" s="3">
        <f>IF(D453="No R1",0,VLOOKUP(C453,'Peer-Review'!B:D,2,0))</f>
        <v>0</v>
      </c>
      <c r="K453" s="3">
        <f>IF(D453="No R1",0,VLOOKUP(C453,'Peer-Review'!B:D,3,0))</f>
        <v>0</v>
      </c>
      <c r="L453" s="3">
        <f>IF(E453="No R2",0,VLOOKUP(C453,'Peer-Review'!F:H,2,0))</f>
        <v>5</v>
      </c>
      <c r="M453" s="3">
        <f>IF(E453="No R2",0,VLOOKUP(C453,'Peer-Review'!F:H,3,0))</f>
        <v>0</v>
      </c>
    </row>
    <row r="454" hidden="1">
      <c r="A454" s="3" t="str">
        <f>IFERROR(__xludf.DUMMYFUNCTION("""COMPUTED_VALUE"""),"23f1000404@ds.study.iitm.ac.in")</f>
        <v>23f1000404@ds.study.iitm.ac.in</v>
      </c>
      <c r="B454" s="3">
        <f>IFERROR(__xludf.DUMMYFUNCTION("""COMPUTED_VALUE"""),17.0)</f>
        <v>17</v>
      </c>
      <c r="C454" s="5" t="str">
        <f>IFERROR(__xludf.DUMMYFUNCTION("""COMPUTED_VALUE"""),"https://github.com/raunak-kumar800/tds-project")</f>
        <v>https://github.com/raunak-kumar800/tds-project</v>
      </c>
      <c r="D454" s="3" t="str">
        <f>IFERROR(VLOOKUP(C454,'Peer-Review'!B:J,9,0),"No R1")</f>
        <v>No R1</v>
      </c>
      <c r="E454" s="3" t="str">
        <f>IFERROR(VLOOKUP(C454,'Peer-Review'!F:J,5,0),"No R2")</f>
        <v>23f1000205@ds.study.iitm.ac.in</v>
      </c>
      <c r="F454" s="3">
        <f>COUNTIF('Peer-Review'!B:B,C454)+COUNTIF('Peer-Review'!F:F,C454)</f>
        <v>2</v>
      </c>
      <c r="G454" s="3">
        <f t="shared" si="1"/>
        <v>1</v>
      </c>
      <c r="H454" s="3" t="str">
        <f>IFERROR(__xludf.DUMMYFUNCTION("IFERROR(TRANSPOSE(FILTER('Peer-Review'!$J$2:$J$568,(TRIM('Peer-Review'!$B$2:$B$568)=C454 )+ (TRIM('Peer-Review'!$F$2:$F$568)=C454))),""No Reviews"")"),"23f1000205@ds.study.iitm.ac.in")</f>
        <v>23f1000205@ds.study.iitm.ac.in</v>
      </c>
      <c r="I454" s="3" t="str">
        <f>IFERROR(__xludf.DUMMYFUNCTION("""COMPUTED_VALUE"""),"22f3000703@ds.study.iitm.ac.in")</f>
        <v>22f3000703@ds.study.iitm.ac.in</v>
      </c>
      <c r="J454" s="3">
        <f>IF(D454="No R1",0,VLOOKUP(C454,'Peer-Review'!B:D,2,0))</f>
        <v>0</v>
      </c>
      <c r="K454" s="3">
        <f>IF(D454="No R1",0,VLOOKUP(C454,'Peer-Review'!B:D,3,0))</f>
        <v>0</v>
      </c>
      <c r="L454" s="3">
        <f>IF(E454="No R2",0,VLOOKUP(C454,'Peer-Review'!F:H,2,0))</f>
        <v>5</v>
      </c>
      <c r="M454" s="3">
        <f>IF(E454="No R2",0,VLOOKUP(C454,'Peer-Review'!F:H,3,0))</f>
        <v>8</v>
      </c>
    </row>
    <row r="455" hidden="1">
      <c r="A455" s="3" t="str">
        <f>IFERROR(__xludf.DUMMYFUNCTION("""COMPUTED_VALUE"""),"23f1000542@ds.study.iitm.ac.in")</f>
        <v>23f1000542@ds.study.iitm.ac.in</v>
      </c>
      <c r="B455" s="3">
        <f>IFERROR(__xludf.DUMMYFUNCTION("""COMPUTED_VALUE"""),17.0)</f>
        <v>17</v>
      </c>
      <c r="C455" s="5" t="str">
        <f>IFERROR(__xludf.DUMMYFUNCTION("""COMPUTED_VALUE"""),"https://github.com/Nachiket-GORE/TDS-project-1")</f>
        <v>https://github.com/Nachiket-GORE/TDS-project-1</v>
      </c>
      <c r="D455" s="3" t="str">
        <f>IFERROR(VLOOKUP(C455,'Peer-Review'!B:J,9,0),"No R1")</f>
        <v>No R1</v>
      </c>
      <c r="E455" s="3" t="str">
        <f>IFERROR(VLOOKUP(C455,'Peer-Review'!F:J,5,0),"No R2")</f>
        <v>23f1000404@ds.study.iitm.ac.in</v>
      </c>
      <c r="F455" s="3">
        <f>COUNTIF('Peer-Review'!B:B,C455)+COUNTIF('Peer-Review'!F:F,C455)</f>
        <v>2</v>
      </c>
      <c r="G455" s="3">
        <f t="shared" si="1"/>
        <v>1</v>
      </c>
      <c r="H455" s="3" t="str">
        <f>IFERROR(__xludf.DUMMYFUNCTION("IFERROR(TRANSPOSE(FILTER('Peer-Review'!$J$2:$J$568,(TRIM('Peer-Review'!$B$2:$B$568)=C455 )+ (TRIM('Peer-Review'!$F$2:$F$568)=C455))),""No Reviews"")"),"23f1000404@ds.study.iitm.ac.in")</f>
        <v>23f1000404@ds.study.iitm.ac.in</v>
      </c>
      <c r="I455" s="3" t="str">
        <f>IFERROR(__xludf.DUMMYFUNCTION("""COMPUTED_VALUE"""),"22f3000813@ds.study.iitm.ac.in")</f>
        <v>22f3000813@ds.study.iitm.ac.in</v>
      </c>
      <c r="J455" s="3">
        <f>IF(D455="No R1",0,VLOOKUP(C455,'Peer-Review'!B:D,2,0))</f>
        <v>0</v>
      </c>
      <c r="K455" s="3">
        <f>IF(D455="No R1",0,VLOOKUP(C455,'Peer-Review'!B:D,3,0))</f>
        <v>0</v>
      </c>
      <c r="L455" s="3">
        <f>IF(E455="No R2",0,VLOOKUP(C455,'Peer-Review'!F:H,2,0))</f>
        <v>10</v>
      </c>
      <c r="M455" s="3">
        <f>IF(E455="No R2",0,VLOOKUP(C455,'Peer-Review'!F:H,3,0))</f>
        <v>10</v>
      </c>
    </row>
    <row r="456" hidden="1">
      <c r="A456" s="3" t="str">
        <f>IFERROR(__xludf.DUMMYFUNCTION("""COMPUTED_VALUE"""),"23f1000583@ds.study.iitm.ac.in")</f>
        <v>23f1000583@ds.study.iitm.ac.in</v>
      </c>
      <c r="B456" s="3">
        <f>IFERROR(__xludf.DUMMYFUNCTION("""COMPUTED_VALUE"""),13.0)</f>
        <v>13</v>
      </c>
      <c r="C456" s="5" t="str">
        <f>IFERROR(__xludf.DUMMYFUNCTION("""COMPUTED_VALUE"""),"https://github.com/Rivansh-Illika/TDS-ASSIGNMENT-P-1")</f>
        <v>https://github.com/Rivansh-Illika/TDS-ASSIGNMENT-P-1</v>
      </c>
      <c r="D456" s="3" t="str">
        <f>IFERROR(VLOOKUP(C456,'Peer-Review'!B:J,9,0),"No R1")</f>
        <v>22f3000545@ds.study.iitm.ac.in</v>
      </c>
      <c r="E456" s="3" t="str">
        <f>IFERROR(VLOOKUP(C456,'Peer-Review'!F:J,5,0),"No R2")</f>
        <v>No R2</v>
      </c>
      <c r="F456" s="3">
        <f>COUNTIF('Peer-Review'!B:B,C456)+COUNTIF('Peer-Review'!F:F,C456)</f>
        <v>2</v>
      </c>
      <c r="G456" s="3">
        <f t="shared" si="1"/>
        <v>1</v>
      </c>
      <c r="H456" s="3" t="str">
        <f>IFERROR(__xludf.DUMMYFUNCTION("IFERROR(TRANSPOSE(FILTER('Peer-Review'!$J$2:$J$568,(TRIM('Peer-Review'!$B$2:$B$568)=C456 )+ (TRIM('Peer-Review'!$F$2:$F$568)=C456))),""No Reviews"")"),"22f3000545@ds.study.iitm.ac.in")</f>
        <v>22f3000545@ds.study.iitm.ac.in</v>
      </c>
      <c r="I456" s="3" t="str">
        <f>IFERROR(__xludf.DUMMYFUNCTION("""COMPUTED_VALUE"""),"23f1001535@ds.study.iitm.ac.in")</f>
        <v>23f1001535@ds.study.iitm.ac.in</v>
      </c>
      <c r="J456" s="3">
        <f>IF(D456="No R1",0,VLOOKUP(C456,'Peer-Review'!B:D,2,0))</f>
        <v>2</v>
      </c>
      <c r="K456" s="3">
        <f>IF(D456="No R1",0,VLOOKUP(C456,'Peer-Review'!B:D,3,0))</f>
        <v>0</v>
      </c>
      <c r="L456" s="3">
        <f>IF(E456="No R2",0,VLOOKUP(C456,'Peer-Review'!F:H,2,0))</f>
        <v>0</v>
      </c>
      <c r="M456" s="3">
        <f>IF(E456="No R2",0,VLOOKUP(C456,'Peer-Review'!F:H,3,0))</f>
        <v>0</v>
      </c>
    </row>
    <row r="457" hidden="1">
      <c r="A457" s="3" t="str">
        <f>IFERROR(__xludf.DUMMYFUNCTION("""COMPUTED_VALUE"""),"23f1000602@ds.study.iitm.ac.in")</f>
        <v>23f1000602@ds.study.iitm.ac.in</v>
      </c>
      <c r="B457" s="3">
        <f>IFERROR(__xludf.DUMMYFUNCTION("""COMPUTED_VALUE"""),15.0)</f>
        <v>15</v>
      </c>
      <c r="C457" s="5" t="str">
        <f>IFERROR(__xludf.DUMMYFUNCTION("""COMPUTED_VALUE"""),"https://github.com/harshx45/tdsproj1")</f>
        <v>https://github.com/harshx45/tdsproj1</v>
      </c>
      <c r="D457" s="3" t="str">
        <f>IFERROR(VLOOKUP(C457,'Peer-Review'!B:J,9,0),"No R1")</f>
        <v>23f3000169@ds.study.iitm.ac.in</v>
      </c>
      <c r="E457" s="3" t="str">
        <f>IFERROR(VLOOKUP(C457,'Peer-Review'!F:J,5,0),"No R2")</f>
        <v>No R2</v>
      </c>
      <c r="F457" s="3">
        <f>COUNTIF('Peer-Review'!B:B,C457)+COUNTIF('Peer-Review'!F:F,C457)</f>
        <v>1</v>
      </c>
      <c r="G457" s="3">
        <f t="shared" si="1"/>
        <v>1</v>
      </c>
      <c r="H457" s="3" t="str">
        <f>IFERROR(__xludf.DUMMYFUNCTION("IFERROR(TRANSPOSE(FILTER('Peer-Review'!$J$2:$J$568,(TRIM('Peer-Review'!$B$2:$B$568)=C457 )+ (TRIM('Peer-Review'!$F$2:$F$568)=C457))),""No Reviews"")"),"23f3000169@ds.study.iitm.ac.in")</f>
        <v>23f3000169@ds.study.iitm.ac.in</v>
      </c>
      <c r="J457" s="3">
        <f>IF(D457="No R1",0,VLOOKUP(C457,'Peer-Review'!B:D,2,0))</f>
        <v>10</v>
      </c>
      <c r="K457" s="3">
        <f>IF(D457="No R1",0,VLOOKUP(C457,'Peer-Review'!B:D,3,0))</f>
        <v>10</v>
      </c>
      <c r="L457" s="3">
        <f>IF(E457="No R2",0,VLOOKUP(C457,'Peer-Review'!F:H,2,0))</f>
        <v>0</v>
      </c>
      <c r="M457" s="3">
        <f>IF(E457="No R2",0,VLOOKUP(C457,'Peer-Review'!F:H,3,0))</f>
        <v>0</v>
      </c>
    </row>
    <row r="458" hidden="1">
      <c r="A458" s="3" t="str">
        <f>IFERROR(__xludf.DUMMYFUNCTION("""COMPUTED_VALUE"""),"23f1000629@ds.study.iitm.ac.in")</f>
        <v>23f1000629@ds.study.iitm.ac.in</v>
      </c>
      <c r="B458" s="3">
        <f>IFERROR(__xludf.DUMMYFUNCTION("""COMPUTED_VALUE"""),17.0)</f>
        <v>17</v>
      </c>
      <c r="C458" s="5" t="str">
        <f>IFERROR(__xludf.DUMMYFUNCTION("""COMPUTED_VALUE"""),"https://github.com/Ganesh002005/data_analysis_boostan")</f>
        <v>https://github.com/Ganesh002005/data_analysis_boostan</v>
      </c>
      <c r="D458" s="3" t="str">
        <f>IFERROR(VLOOKUP(C458,'Peer-Review'!B:J,9,0),"No R1")</f>
        <v>No R1</v>
      </c>
      <c r="E458" s="3" t="str">
        <f>IFERROR(VLOOKUP(C458,'Peer-Review'!F:J,5,0),"No R2")</f>
        <v>23f1000542@ds.study.iitm.ac.in</v>
      </c>
      <c r="F458" s="3">
        <f>COUNTIF('Peer-Review'!B:B,C458)+COUNTIF('Peer-Review'!F:F,C458)</f>
        <v>2</v>
      </c>
      <c r="G458" s="3">
        <f t="shared" si="1"/>
        <v>1</v>
      </c>
      <c r="H458" s="3" t="str">
        <f>IFERROR(__xludf.DUMMYFUNCTION("IFERROR(TRANSPOSE(FILTER('Peer-Review'!$J$2:$J$568,(TRIM('Peer-Review'!$B$2:$B$568)=C458 )+ (TRIM('Peer-Review'!$F$2:$F$568)=C458))),""No Reviews"")"),"23f1000542@ds.study.iitm.ac.in")</f>
        <v>23f1000542@ds.study.iitm.ac.in</v>
      </c>
      <c r="J458" s="3">
        <f>IF(D458="No R1",0,VLOOKUP(C458,'Peer-Review'!B:D,2,0))</f>
        <v>0</v>
      </c>
      <c r="K458" s="3">
        <f>IF(D458="No R1",0,VLOOKUP(C458,'Peer-Review'!B:D,3,0))</f>
        <v>0</v>
      </c>
      <c r="L458" s="3">
        <f>IF(E458="No R2",0,VLOOKUP(C458,'Peer-Review'!F:H,2,0))</f>
        <v>10</v>
      </c>
      <c r="M458" s="3">
        <f>IF(E458="No R2",0,VLOOKUP(C458,'Peer-Review'!F:H,3,0))</f>
        <v>10</v>
      </c>
    </row>
    <row r="459" hidden="1">
      <c r="A459" s="3" t="str">
        <f>IFERROR(__xludf.DUMMYFUNCTION("""COMPUTED_VALUE"""),"23f1000645@ds.study.iitm.ac.in")</f>
        <v>23f1000645@ds.study.iitm.ac.in</v>
      </c>
      <c r="B459" s="3">
        <f>IFERROR(__xludf.DUMMYFUNCTION("""COMPUTED_VALUE"""),0.0)</f>
        <v>0</v>
      </c>
      <c r="C459" s="5" t="str">
        <f>IFERROR(__xludf.DUMMYFUNCTION("""COMPUTED_VALUE"""),"https://github.com/shanukmr123/TDS_Project1/")</f>
        <v>https://github.com/shanukmr123/TDS_Project1/</v>
      </c>
      <c r="D459" s="3" t="str">
        <f>IFERROR(VLOOKUP(C459,'Peer-Review'!B:J,9,0),"No R1")</f>
        <v>No R1</v>
      </c>
      <c r="E459" s="3" t="str">
        <f>IFERROR(VLOOKUP(C459,'Peer-Review'!F:J,5,0),"No R2")</f>
        <v>No R2</v>
      </c>
      <c r="F459" s="3">
        <f>COUNTIF('Peer-Review'!B:B,C459)+COUNTIF('Peer-Review'!F:F,C459)</f>
        <v>0</v>
      </c>
      <c r="G459" s="3">
        <f t="shared" si="1"/>
        <v>0</v>
      </c>
      <c r="H459" s="3" t="str">
        <f>IFERROR(__xludf.DUMMYFUNCTION("IFERROR(TRANSPOSE(FILTER('Peer-Review'!$J$2:$J$568,(TRIM('Peer-Review'!$B$2:$B$568)=C459 )+ (TRIM('Peer-Review'!$F$2:$F$568)=C459))),""No Reviews"")"),"No Reviews")</f>
        <v>No Reviews</v>
      </c>
      <c r="J459" s="3">
        <f>IF(D459="No R1",0,VLOOKUP(C459,'Peer-Review'!B:D,2,0))</f>
        <v>0</v>
      </c>
      <c r="K459" s="3">
        <f>IF(D459="No R1",0,VLOOKUP(C459,'Peer-Review'!B:D,3,0))</f>
        <v>0</v>
      </c>
      <c r="L459" s="3">
        <f>IF(E459="No R2",0,VLOOKUP(C459,'Peer-Review'!F:H,2,0))</f>
        <v>0</v>
      </c>
      <c r="M459" s="3">
        <f>IF(E459="No R2",0,VLOOKUP(C459,'Peer-Review'!F:H,3,0))</f>
        <v>0</v>
      </c>
    </row>
    <row r="460" hidden="1">
      <c r="A460" s="3" t="str">
        <f>IFERROR(__xludf.DUMMYFUNCTION("""COMPUTED_VALUE"""),"23f1000647@ds.study.iitm.ac.in")</f>
        <v>23f1000647@ds.study.iitm.ac.in</v>
      </c>
      <c r="B460" s="3">
        <f>IFERROR(__xludf.DUMMYFUNCTION("""COMPUTED_VALUE"""),17.0)</f>
        <v>17</v>
      </c>
      <c r="C460" s="5" t="str">
        <f>IFERROR(__xludf.DUMMYFUNCTION("""COMPUTED_VALUE"""),"https://github.com/23f1000647/tds-project-1")</f>
        <v>https://github.com/23f1000647/tds-project-1</v>
      </c>
      <c r="D460" s="3" t="str">
        <f>IFERROR(VLOOKUP(C460,'Peer-Review'!B:J,9,0),"No R1")</f>
        <v>No R1</v>
      </c>
      <c r="E460" s="3" t="str">
        <f>IFERROR(VLOOKUP(C460,'Peer-Review'!F:J,5,0),"No R2")</f>
        <v>23f1000629@ds.study.iitm.ac.in</v>
      </c>
      <c r="F460" s="3">
        <f>COUNTIF('Peer-Review'!B:B,C460)+COUNTIF('Peer-Review'!F:F,C460)</f>
        <v>2</v>
      </c>
      <c r="G460" s="3">
        <f t="shared" si="1"/>
        <v>1</v>
      </c>
      <c r="H460" s="3" t="str">
        <f>IFERROR(__xludf.DUMMYFUNCTION("IFERROR(TRANSPOSE(FILTER('Peer-Review'!$J$2:$J$568,(TRIM('Peer-Review'!$B$2:$B$568)=C460 )+ (TRIM('Peer-Review'!$F$2:$F$568)=C460))),""No Reviews"")"),"23f1000629@ds.study.iitm.ac.in")</f>
        <v>23f1000629@ds.study.iitm.ac.in</v>
      </c>
      <c r="I460" s="3" t="str">
        <f>IFERROR(__xludf.DUMMYFUNCTION("""COMPUTED_VALUE"""),"22f3001252@ds.study.iitm.ac.in")</f>
        <v>22f3001252@ds.study.iitm.ac.in</v>
      </c>
      <c r="J460" s="3">
        <f>IF(D460="No R1",0,VLOOKUP(C460,'Peer-Review'!B:D,2,0))</f>
        <v>0</v>
      </c>
      <c r="K460" s="3">
        <f>IF(D460="No R1",0,VLOOKUP(C460,'Peer-Review'!B:D,3,0))</f>
        <v>0</v>
      </c>
      <c r="L460" s="3">
        <f>IF(E460="No R2",0,VLOOKUP(C460,'Peer-Review'!F:H,2,0))</f>
        <v>9</v>
      </c>
      <c r="M460" s="3">
        <f>IF(E460="No R2",0,VLOOKUP(C460,'Peer-Review'!F:H,3,0))</f>
        <v>8</v>
      </c>
    </row>
    <row r="461" hidden="1">
      <c r="A461" s="3" t="str">
        <f>IFERROR(__xludf.DUMMYFUNCTION("""COMPUTED_VALUE"""),"23f1000694@ds.study.iitm.ac.in")</f>
        <v>23f1000694@ds.study.iitm.ac.in</v>
      </c>
      <c r="B461" s="3">
        <f>IFERROR(__xludf.DUMMYFUNCTION("""COMPUTED_VALUE"""),17.0)</f>
        <v>17</v>
      </c>
      <c r="C461" s="5" t="str">
        <f>IFERROR(__xludf.DUMMYFUNCTION("""COMPUTED_VALUE"""),"https://github.com/kamalesh-79/tdsproj/tree/main")</f>
        <v>https://github.com/kamalesh-79/tdsproj/tree/main</v>
      </c>
      <c r="D461" s="3" t="str">
        <f>IFERROR(VLOOKUP(C461,'Peer-Review'!B:J,9,0),"No R1")</f>
        <v>No R1</v>
      </c>
      <c r="E461" s="3" t="str">
        <f>IFERROR(VLOOKUP(C461,'Peer-Review'!F:J,5,0),"No R2")</f>
        <v>22f3001321@ds.study.iitm.ac.in</v>
      </c>
      <c r="F461" s="3">
        <f>COUNTIF('Peer-Review'!B:B,C461)+COUNTIF('Peer-Review'!F:F,C461)</f>
        <v>1</v>
      </c>
      <c r="G461" s="3">
        <f t="shared" si="1"/>
        <v>1</v>
      </c>
      <c r="H461" s="3" t="str">
        <f>IFERROR(__xludf.DUMMYFUNCTION("IFERROR(TRANSPOSE(FILTER('Peer-Review'!$J$2:$J$568,(TRIM('Peer-Review'!$B$2:$B$568)=C461 )+ (TRIM('Peer-Review'!$F$2:$F$568)=C461))),""No Reviews"")"),"22f3001321@ds.study.iitm.ac.in")</f>
        <v>22f3001321@ds.study.iitm.ac.in</v>
      </c>
      <c r="J461" s="3">
        <f>IF(D461="No R1",0,VLOOKUP(C461,'Peer-Review'!B:D,2,0))</f>
        <v>0</v>
      </c>
      <c r="K461" s="3">
        <f>IF(D461="No R1",0,VLOOKUP(C461,'Peer-Review'!B:D,3,0))</f>
        <v>0</v>
      </c>
      <c r="L461" s="3">
        <f>IF(E461="No R2",0,VLOOKUP(C461,'Peer-Review'!F:H,2,0))</f>
        <v>10</v>
      </c>
      <c r="M461" s="3">
        <f>IF(E461="No R2",0,VLOOKUP(C461,'Peer-Review'!F:H,3,0))</f>
        <v>10</v>
      </c>
    </row>
    <row r="462" hidden="1">
      <c r="A462" s="3" t="str">
        <f>IFERROR(__xludf.DUMMYFUNCTION("""COMPUTED_VALUE"""),"23f1000698@ds.study.iitm.ac.in")</f>
        <v>23f1000698@ds.study.iitm.ac.in</v>
      </c>
      <c r="B462" s="3">
        <f>IFERROR(__xludf.DUMMYFUNCTION("""COMPUTED_VALUE"""),14.0)</f>
        <v>14</v>
      </c>
      <c r="C462" s="5" t="str">
        <f>IFERROR(__xludf.DUMMYFUNCTION("""COMPUTED_VALUE"""),"https://github.com/23f1000698/proj1")</f>
        <v>https://github.com/23f1000698/proj1</v>
      </c>
      <c r="D462" s="3" t="str">
        <f>IFERROR(VLOOKUP(C462,'Peer-Review'!B:J,9,0),"No R1")</f>
        <v>23f1001610@ds.study.iitm.ac.in</v>
      </c>
      <c r="E462" s="3" t="str">
        <f>IFERROR(VLOOKUP(C462,'Peer-Review'!F:J,5,0),"No R2")</f>
        <v>No R2</v>
      </c>
      <c r="F462" s="3">
        <f>COUNTIF('Peer-Review'!B:B,C462)+COUNTIF('Peer-Review'!F:F,C462)</f>
        <v>2</v>
      </c>
      <c r="G462" s="3">
        <f t="shared" si="1"/>
        <v>1</v>
      </c>
      <c r="H462" s="3" t="str">
        <f>IFERROR(__xludf.DUMMYFUNCTION("IFERROR(TRANSPOSE(FILTER('Peer-Review'!$J$2:$J$568,(TRIM('Peer-Review'!$B$2:$B$568)=C462 )+ (TRIM('Peer-Review'!$F$2:$F$568)=C462))),""No Reviews"")"),"23f1001610@ds.study.iitm.ac.in")</f>
        <v>23f1001610@ds.study.iitm.ac.in</v>
      </c>
      <c r="I462" s="3" t="str">
        <f>IFERROR(__xludf.DUMMYFUNCTION("""COMPUTED_VALUE"""),"23f1000776@ds.study.iitm.ac.in")</f>
        <v>23f1000776@ds.study.iitm.ac.in</v>
      </c>
      <c r="J462" s="3">
        <f>IF(D462="No R1",0,VLOOKUP(C462,'Peer-Review'!B:D,2,0))</f>
        <v>10</v>
      </c>
      <c r="K462" s="3">
        <f>IF(D462="No R1",0,VLOOKUP(C462,'Peer-Review'!B:D,3,0))</f>
        <v>10</v>
      </c>
      <c r="L462" s="3">
        <f>IF(E462="No R2",0,VLOOKUP(C462,'Peer-Review'!F:H,2,0))</f>
        <v>0</v>
      </c>
      <c r="M462" s="3">
        <f>IF(E462="No R2",0,VLOOKUP(C462,'Peer-Review'!F:H,3,0))</f>
        <v>0</v>
      </c>
    </row>
    <row r="463" hidden="1">
      <c r="A463" s="3" t="str">
        <f>IFERROR(__xludf.DUMMYFUNCTION("""COMPUTED_VALUE"""),"23f1000726@ds.study.iitm.ac.in")</f>
        <v>23f1000726@ds.study.iitm.ac.in</v>
      </c>
      <c r="B463" s="3">
        <f>IFERROR(__xludf.DUMMYFUNCTION("""COMPUTED_VALUE"""),15.0)</f>
        <v>15</v>
      </c>
      <c r="C463" s="5" t="str">
        <f>IFERROR(__xludf.DUMMYFUNCTION("""COMPUTED_VALUE"""),"https://github.com/jagrutiitm/tdsproject1")</f>
        <v>https://github.com/jagrutiitm/tdsproject1</v>
      </c>
      <c r="D463" s="3" t="str">
        <f>IFERROR(VLOOKUP(C463,'Peer-Review'!B:J,9,0),"No R1")</f>
        <v>23f1001673@ds.study.iitm.ac.in</v>
      </c>
      <c r="E463" s="3" t="str">
        <f>IFERROR(VLOOKUP(C463,'Peer-Review'!F:J,5,0),"No R2")</f>
        <v>No R2</v>
      </c>
      <c r="F463" s="3">
        <f>COUNTIF('Peer-Review'!B:B,C463)+COUNTIF('Peer-Review'!F:F,C463)</f>
        <v>2</v>
      </c>
      <c r="G463" s="3">
        <f t="shared" si="1"/>
        <v>1</v>
      </c>
      <c r="H463" s="3" t="str">
        <f>IFERROR(__xludf.DUMMYFUNCTION("IFERROR(TRANSPOSE(FILTER('Peer-Review'!$J$2:$J$568,(TRIM('Peer-Review'!$B$2:$B$568)=C463 )+ (TRIM('Peer-Review'!$F$2:$F$568)=C463))),""No Reviews"")"),"23f1001673@ds.study.iitm.ac.in")</f>
        <v>23f1001673@ds.study.iitm.ac.in</v>
      </c>
      <c r="I463" s="3" t="str">
        <f>IFERROR(__xludf.DUMMYFUNCTION("""COMPUTED_VALUE"""),"23f3001320@ds.study.iitm.ac.in")</f>
        <v>23f3001320@ds.study.iitm.ac.in</v>
      </c>
      <c r="J463" s="3">
        <f>IF(D463="No R1",0,VLOOKUP(C463,'Peer-Review'!B:D,2,0))</f>
        <v>0</v>
      </c>
      <c r="K463" s="3">
        <f>IF(D463="No R1",0,VLOOKUP(C463,'Peer-Review'!B:D,3,0))</f>
        <v>0</v>
      </c>
      <c r="L463" s="3">
        <f>IF(E463="No R2",0,VLOOKUP(C463,'Peer-Review'!F:H,2,0))</f>
        <v>0</v>
      </c>
      <c r="M463" s="3">
        <f>IF(E463="No R2",0,VLOOKUP(C463,'Peer-Review'!F:H,3,0))</f>
        <v>0</v>
      </c>
    </row>
    <row r="464" hidden="1">
      <c r="A464" s="3" t="str">
        <f>IFERROR(__xludf.DUMMYFUNCTION("""COMPUTED_VALUE"""),"23f1000774@ds.study.iitm.ac.in")</f>
        <v>23f1000774@ds.study.iitm.ac.in</v>
      </c>
      <c r="B464" s="3">
        <f>IFERROR(__xludf.DUMMYFUNCTION("""COMPUTED_VALUE"""),17.0)</f>
        <v>17</v>
      </c>
      <c r="C464" s="5" t="str">
        <f>IFERROR(__xludf.DUMMYFUNCTION("""COMPUTED_VALUE"""),"https://github.com/harikrishnan51688/TDS_Project_1")</f>
        <v>https://github.com/harikrishnan51688/TDS_Project_1</v>
      </c>
      <c r="D464" s="3" t="str">
        <f>IFERROR(VLOOKUP(C464,'Peer-Review'!B:J,9,0),"No R1")</f>
        <v>No R1</v>
      </c>
      <c r="E464" s="3" t="str">
        <f>IFERROR(VLOOKUP(C464,'Peer-Review'!F:J,5,0),"No R2")</f>
        <v>23f1000694@ds.study.iitm.ac.in</v>
      </c>
      <c r="F464" s="3">
        <f>COUNTIF('Peer-Review'!B:B,C464)+COUNTIF('Peer-Review'!F:F,C464)</f>
        <v>1</v>
      </c>
      <c r="G464" s="3">
        <f t="shared" si="1"/>
        <v>1</v>
      </c>
      <c r="H464" s="3" t="str">
        <f>IFERROR(__xludf.DUMMYFUNCTION("IFERROR(TRANSPOSE(FILTER('Peer-Review'!$J$2:$J$568,(TRIM('Peer-Review'!$B$2:$B$568)=C464 )+ (TRIM('Peer-Review'!$F$2:$F$568)=C464))),""No Reviews"")"),"23f1000694@ds.study.iitm.ac.in")</f>
        <v>23f1000694@ds.study.iitm.ac.in</v>
      </c>
      <c r="J464" s="3">
        <f>IF(D464="No R1",0,VLOOKUP(C464,'Peer-Review'!B:D,2,0))</f>
        <v>0</v>
      </c>
      <c r="K464" s="3">
        <f>IF(D464="No R1",0,VLOOKUP(C464,'Peer-Review'!B:D,3,0))</f>
        <v>0</v>
      </c>
      <c r="L464" s="3">
        <f>IF(E464="No R2",0,VLOOKUP(C464,'Peer-Review'!F:H,2,0))</f>
        <v>9</v>
      </c>
      <c r="M464" s="3">
        <f>IF(E464="No R2",0,VLOOKUP(C464,'Peer-Review'!F:H,3,0))</f>
        <v>9</v>
      </c>
    </row>
    <row r="465" hidden="1">
      <c r="A465" s="3" t="str">
        <f>IFERROR(__xludf.DUMMYFUNCTION("""COMPUTED_VALUE"""),"23f1000776@ds.study.iitm.ac.in")</f>
        <v>23f1000776@ds.study.iitm.ac.in</v>
      </c>
      <c r="B465" s="3">
        <f>IFERROR(__xludf.DUMMYFUNCTION("""COMPUTED_VALUE"""),14.0)</f>
        <v>14</v>
      </c>
      <c r="C465" s="5" t="str">
        <f>IFERROR(__xludf.DUMMYFUNCTION("""COMPUTED_VALUE"""),"https://github.com/hardikshub01/TDS-Project-1")</f>
        <v>https://github.com/hardikshub01/TDS-Project-1</v>
      </c>
      <c r="D465" s="3" t="str">
        <f>IFERROR(VLOOKUP(C465,'Peer-Review'!B:J,9,0),"No R1")</f>
        <v>23f1001734@ds.study.iitm.ac.in</v>
      </c>
      <c r="E465" s="3" t="str">
        <f>IFERROR(VLOOKUP(C465,'Peer-Review'!F:J,5,0),"No R2")</f>
        <v>No R2</v>
      </c>
      <c r="F465" s="3">
        <f>COUNTIF('Peer-Review'!B:B,C465)+COUNTIF('Peer-Review'!F:F,C465)</f>
        <v>2</v>
      </c>
      <c r="G465" s="3">
        <f t="shared" si="1"/>
        <v>1</v>
      </c>
      <c r="H465" s="3" t="str">
        <f>IFERROR(__xludf.DUMMYFUNCTION("IFERROR(TRANSPOSE(FILTER('Peer-Review'!$J$2:$J$568,(TRIM('Peer-Review'!$B$2:$B$568)=C465 )+ (TRIM('Peer-Review'!$F$2:$F$568)=C465))),""No Reviews"")"),"23f1001734@ds.study.iitm.ac.in")</f>
        <v>23f1001734@ds.study.iitm.ac.in</v>
      </c>
      <c r="I465" s="3" t="str">
        <f>IFERROR(__xludf.DUMMYFUNCTION("""COMPUTED_VALUE"""),"23f1001360@ds.study.iitm.ac.in")</f>
        <v>23f1001360@ds.study.iitm.ac.in</v>
      </c>
      <c r="J465" s="3">
        <f>IF(D465="No R1",0,VLOOKUP(C465,'Peer-Review'!B:D,2,0))</f>
        <v>5</v>
      </c>
      <c r="K465" s="3">
        <f>IF(D465="No R1",0,VLOOKUP(C465,'Peer-Review'!B:D,3,0))</f>
        <v>0</v>
      </c>
      <c r="L465" s="3">
        <f>IF(E465="No R2",0,VLOOKUP(C465,'Peer-Review'!F:H,2,0))</f>
        <v>0</v>
      </c>
      <c r="M465" s="3">
        <f>IF(E465="No R2",0,VLOOKUP(C465,'Peer-Review'!F:H,3,0))</f>
        <v>0</v>
      </c>
    </row>
    <row r="466" hidden="1">
      <c r="A466" s="3" t="str">
        <f>IFERROR(__xludf.DUMMYFUNCTION("""COMPUTED_VALUE"""),"23f1000965@ds.study.iitm.ac.in")</f>
        <v>23f1000965@ds.study.iitm.ac.in</v>
      </c>
      <c r="B466" s="3">
        <f>IFERROR(__xludf.DUMMYFUNCTION("""COMPUTED_VALUE"""),16.0)</f>
        <v>16</v>
      </c>
      <c r="C466" s="5" t="str">
        <f>IFERROR(__xludf.DUMMYFUNCTION("""COMPUTED_VALUE"""),"https://github.com/rohit0490/tdsp1")</f>
        <v>https://github.com/rohit0490/tdsp1</v>
      </c>
      <c r="D466" s="3" t="str">
        <f>IFERROR(VLOOKUP(C466,'Peer-Review'!B:J,9,0),"No R1")</f>
        <v>No R1</v>
      </c>
      <c r="E466" s="3" t="str">
        <f>IFERROR(VLOOKUP(C466,'Peer-Review'!F:J,5,0),"No R2")</f>
        <v>23f1000356@ds.study.iitm.ac.in</v>
      </c>
      <c r="F466" s="3">
        <f>COUNTIF('Peer-Review'!B:B,C466)+COUNTIF('Peer-Review'!F:F,C466)</f>
        <v>2</v>
      </c>
      <c r="G466" s="3">
        <f t="shared" si="1"/>
        <v>1</v>
      </c>
      <c r="H466" s="3" t="str">
        <f>IFERROR(__xludf.DUMMYFUNCTION("IFERROR(TRANSPOSE(FILTER('Peer-Review'!$J$2:$J$568,(TRIM('Peer-Review'!$B$2:$B$568)=C466 )+ (TRIM('Peer-Review'!$F$2:$F$568)=C466))),""No Reviews"")"),"23f1000356@ds.study.iitm.ac.in")</f>
        <v>23f1000356@ds.study.iitm.ac.in</v>
      </c>
      <c r="I466" s="3" t="str">
        <f>IFERROR(__xludf.DUMMYFUNCTION("""COMPUTED_VALUE"""),"22f1000990@ds.study.iitm.ac.in")</f>
        <v>22f1000990@ds.study.iitm.ac.in</v>
      </c>
      <c r="J466" s="3">
        <f>IF(D466="No R1",0,VLOOKUP(C466,'Peer-Review'!B:D,2,0))</f>
        <v>0</v>
      </c>
      <c r="K466" s="3">
        <f>IF(D466="No R1",0,VLOOKUP(C466,'Peer-Review'!B:D,3,0))</f>
        <v>0</v>
      </c>
      <c r="L466" s="3">
        <f>IF(E466="No R2",0,VLOOKUP(C466,'Peer-Review'!F:H,2,0))</f>
        <v>8</v>
      </c>
      <c r="M466" s="3">
        <f>IF(E466="No R2",0,VLOOKUP(C466,'Peer-Review'!F:H,3,0))</f>
        <v>8</v>
      </c>
    </row>
    <row r="467" hidden="1">
      <c r="A467" s="3" t="str">
        <f>IFERROR(__xludf.DUMMYFUNCTION("""COMPUTED_VALUE"""),"23f1000966@ds.study.iitm.ac.in")</f>
        <v>23f1000966@ds.study.iitm.ac.in</v>
      </c>
      <c r="B467" s="3">
        <f>IFERROR(__xludf.DUMMYFUNCTION("""COMPUTED_VALUE"""),17.0)</f>
        <v>17</v>
      </c>
      <c r="C467" s="5" t="str">
        <f>IFERROR(__xludf.DUMMYFUNCTION("""COMPUTED_VALUE"""),"https://github.com/AryanThakur-123/TDS-Project-1")</f>
        <v>https://github.com/AryanThakur-123/TDS-Project-1</v>
      </c>
      <c r="D467" s="3" t="str">
        <f>IFERROR(VLOOKUP(C467,'Peer-Review'!B:J,9,0),"No R1")</f>
        <v>No R1</v>
      </c>
      <c r="E467" s="3" t="str">
        <f>IFERROR(VLOOKUP(C467,'Peer-Review'!F:J,5,0),"No R2")</f>
        <v>23f1000774@ds.study.iitm.ac.in</v>
      </c>
      <c r="F467" s="3">
        <f>COUNTIF('Peer-Review'!B:B,C467)+COUNTIF('Peer-Review'!F:F,C467)</f>
        <v>2</v>
      </c>
      <c r="G467" s="3">
        <f t="shared" si="1"/>
        <v>1</v>
      </c>
      <c r="H467" s="3" t="str">
        <f>IFERROR(__xludf.DUMMYFUNCTION("IFERROR(TRANSPOSE(FILTER('Peer-Review'!$J$2:$J$568,(TRIM('Peer-Review'!$B$2:$B$568)=C467 )+ (TRIM('Peer-Review'!$F$2:$F$568)=C467))),""No Reviews"")"),"23f1000774@ds.study.iitm.ac.in")</f>
        <v>23f1000774@ds.study.iitm.ac.in</v>
      </c>
      <c r="I467" s="3" t="str">
        <f>IFERROR(__xludf.DUMMYFUNCTION("""COMPUTED_VALUE"""),"22f3001690@ds.study.iitm.ac.in")</f>
        <v>22f3001690@ds.study.iitm.ac.in</v>
      </c>
      <c r="J467" s="3">
        <f>IF(D467="No R1",0,VLOOKUP(C467,'Peer-Review'!B:D,2,0))</f>
        <v>0</v>
      </c>
      <c r="K467" s="3">
        <f>IF(D467="No R1",0,VLOOKUP(C467,'Peer-Review'!B:D,3,0))</f>
        <v>0</v>
      </c>
      <c r="L467" s="3">
        <f>IF(E467="No R2",0,VLOOKUP(C467,'Peer-Review'!F:H,2,0))</f>
        <v>10</v>
      </c>
      <c r="M467" s="3">
        <f>IF(E467="No R2",0,VLOOKUP(C467,'Peer-Review'!F:H,3,0))</f>
        <v>8</v>
      </c>
    </row>
    <row r="468" hidden="1">
      <c r="A468" s="3" t="str">
        <f>IFERROR(__xludf.DUMMYFUNCTION("""COMPUTED_VALUE"""),"23f1000996@ds.study.iitm.ac.in")</f>
        <v>23f1000996@ds.study.iitm.ac.in</v>
      </c>
      <c r="B468" s="3">
        <f>IFERROR(__xludf.DUMMYFUNCTION("""COMPUTED_VALUE"""),17.0)</f>
        <v>17</v>
      </c>
      <c r="C468" s="5" t="str">
        <f>IFERROR(__xludf.DUMMYFUNCTION("""COMPUTED_VALUE"""),"https://github.com/Irshadanwar/berlin-200-users-repositories")</f>
        <v>https://github.com/Irshadanwar/berlin-200-users-repositories</v>
      </c>
      <c r="D468" s="3" t="str">
        <f>IFERROR(VLOOKUP(C468,'Peer-Review'!B:J,9,0),"No R1")</f>
        <v>No R1</v>
      </c>
      <c r="E468" s="3" t="str">
        <f>IFERROR(VLOOKUP(C468,'Peer-Review'!F:J,5,0),"No R2")</f>
        <v>23f1000966@ds.study.iitm.ac.in</v>
      </c>
      <c r="F468" s="3">
        <f>COUNTIF('Peer-Review'!B:B,C468)+COUNTIF('Peer-Review'!F:F,C468)</f>
        <v>2</v>
      </c>
      <c r="G468" s="3">
        <f t="shared" si="1"/>
        <v>1</v>
      </c>
      <c r="H468" s="3" t="str">
        <f>IFERROR(__xludf.DUMMYFUNCTION("IFERROR(TRANSPOSE(FILTER('Peer-Review'!$J$2:$J$568,(TRIM('Peer-Review'!$B$2:$B$568)=C468 )+ (TRIM('Peer-Review'!$F$2:$F$568)=C468))),""No Reviews"")"),"23f1000966@ds.study.iitm.ac.in")</f>
        <v>23f1000966@ds.study.iitm.ac.in</v>
      </c>
      <c r="I468" s="3" t="str">
        <f>IFERROR(__xludf.DUMMYFUNCTION("""COMPUTED_VALUE"""),"22f3001914@ds.study.iitm.ac.in")</f>
        <v>22f3001914@ds.study.iitm.ac.in</v>
      </c>
      <c r="J468" s="3">
        <f>IF(D468="No R1",0,VLOOKUP(C468,'Peer-Review'!B:D,2,0))</f>
        <v>0</v>
      </c>
      <c r="K468" s="3">
        <f>IF(D468="No R1",0,VLOOKUP(C468,'Peer-Review'!B:D,3,0))</f>
        <v>0</v>
      </c>
      <c r="L468" s="3">
        <f>IF(E468="No R2",0,VLOOKUP(C468,'Peer-Review'!F:H,2,0))</f>
        <v>8</v>
      </c>
      <c r="M468" s="3">
        <f>IF(E468="No R2",0,VLOOKUP(C468,'Peer-Review'!F:H,3,0))</f>
        <v>8</v>
      </c>
    </row>
    <row r="469" hidden="1">
      <c r="A469" s="3" t="str">
        <f>IFERROR(__xludf.DUMMYFUNCTION("""COMPUTED_VALUE"""),"23f1000997@ds.study.iitm.ac.in")</f>
        <v>23f1000997@ds.study.iitm.ac.in</v>
      </c>
      <c r="B469" s="3">
        <f>IFERROR(__xludf.DUMMYFUNCTION("""COMPUTED_VALUE"""),16.0)</f>
        <v>16</v>
      </c>
      <c r="C469" s="5" t="str">
        <f>IFERROR(__xludf.DUMMYFUNCTION("""COMPUTED_VALUE"""),"https://github.com/Anvitha-Reddy-132218/TDS_Assignment")</f>
        <v>https://github.com/Anvitha-Reddy-132218/TDS_Assignment</v>
      </c>
      <c r="D469" s="3" t="str">
        <f>IFERROR(VLOOKUP(C469,'Peer-Review'!B:J,9,0),"No R1")</f>
        <v>No R1</v>
      </c>
      <c r="E469" s="3" t="str">
        <f>IFERROR(VLOOKUP(C469,'Peer-Review'!F:J,5,0),"No R2")</f>
        <v>23f1000965@ds.study.iitm.ac.in</v>
      </c>
      <c r="F469" s="3">
        <f>COUNTIF('Peer-Review'!B:B,C469)+COUNTIF('Peer-Review'!F:F,C469)</f>
        <v>2</v>
      </c>
      <c r="G469" s="3">
        <f t="shared" si="1"/>
        <v>1</v>
      </c>
      <c r="H469" s="3" t="str">
        <f>IFERROR(__xludf.DUMMYFUNCTION("IFERROR(TRANSPOSE(FILTER('Peer-Review'!$J$2:$J$568,(TRIM('Peer-Review'!$B$2:$B$568)=C469 )+ (TRIM('Peer-Review'!$F$2:$F$568)=C469))),""No Reviews"")"),"23f1000965@ds.study.iitm.ac.in")</f>
        <v>23f1000965@ds.study.iitm.ac.in</v>
      </c>
      <c r="I469" s="3" t="str">
        <f>IFERROR(__xludf.DUMMYFUNCTION("""COMPUTED_VALUE"""),"22f3001142@ds.study.iitm.ac.in")</f>
        <v>22f3001142@ds.study.iitm.ac.in</v>
      </c>
      <c r="J469" s="3">
        <f>IF(D469="No R1",0,VLOOKUP(C469,'Peer-Review'!B:D,2,0))</f>
        <v>0</v>
      </c>
      <c r="K469" s="3">
        <f>IF(D469="No R1",0,VLOOKUP(C469,'Peer-Review'!B:D,3,0))</f>
        <v>0</v>
      </c>
      <c r="L469" s="3">
        <f>IF(E469="No R2",0,VLOOKUP(C469,'Peer-Review'!F:H,2,0))</f>
        <v>10</v>
      </c>
      <c r="M469" s="3">
        <f>IF(E469="No R2",0,VLOOKUP(C469,'Peer-Review'!F:H,3,0))</f>
        <v>10</v>
      </c>
    </row>
    <row r="470" hidden="1">
      <c r="A470" s="3" t="str">
        <f>IFERROR(__xludf.DUMMYFUNCTION("""COMPUTED_VALUE"""),"23f1001050@ds.study.iitm.ac.in")</f>
        <v>23f1001050@ds.study.iitm.ac.in</v>
      </c>
      <c r="B470" s="3">
        <f>IFERROR(__xludf.DUMMYFUNCTION("""COMPUTED_VALUE"""),17.0)</f>
        <v>17</v>
      </c>
      <c r="C470" s="5" t="str">
        <f>IFERROR(__xludf.DUMMYFUNCTION("""COMPUTED_VALUE"""),"https://github.com/AlakhyaIITM/proj1")</f>
        <v>https://github.com/AlakhyaIITM/proj1</v>
      </c>
      <c r="D470" s="3" t="str">
        <f>IFERROR(VLOOKUP(C470,'Peer-Review'!B:J,9,0),"No R1")</f>
        <v>No R1</v>
      </c>
      <c r="E470" s="3" t="str">
        <f>IFERROR(VLOOKUP(C470,'Peer-Review'!F:J,5,0),"No R2")</f>
        <v>No R2</v>
      </c>
      <c r="F470" s="3">
        <f>COUNTIF('Peer-Review'!B:B,C470)+COUNTIF('Peer-Review'!F:F,C470)</f>
        <v>0</v>
      </c>
      <c r="G470" s="3">
        <f t="shared" si="1"/>
        <v>0</v>
      </c>
      <c r="H470" s="3" t="str">
        <f>IFERROR(__xludf.DUMMYFUNCTION("IFERROR(TRANSPOSE(FILTER('Peer-Review'!$J$2:$J$568,(TRIM('Peer-Review'!$B$2:$B$568)=C470 )+ (TRIM('Peer-Review'!$F$2:$F$568)=C470))),""No Reviews"")"),"No Reviews")</f>
        <v>No Reviews</v>
      </c>
      <c r="J470" s="3">
        <f>IF(D470="No R1",0,VLOOKUP(C470,'Peer-Review'!B:D,2,0))</f>
        <v>0</v>
      </c>
      <c r="K470" s="3">
        <f>IF(D470="No R1",0,VLOOKUP(C470,'Peer-Review'!B:D,3,0))</f>
        <v>0</v>
      </c>
      <c r="L470" s="3">
        <f>IF(E470="No R2",0,VLOOKUP(C470,'Peer-Review'!F:H,2,0))</f>
        <v>0</v>
      </c>
      <c r="M470" s="3">
        <f>IF(E470="No R2",0,VLOOKUP(C470,'Peer-Review'!F:H,3,0))</f>
        <v>0</v>
      </c>
    </row>
    <row r="471" hidden="1">
      <c r="A471" s="3" t="str">
        <f>IFERROR(__xludf.DUMMYFUNCTION("""COMPUTED_VALUE"""),"23f1001079@ds.study.iitm.ac.in")</f>
        <v>23f1001079@ds.study.iitm.ac.in</v>
      </c>
      <c r="B471" s="3">
        <f>IFERROR(__xludf.DUMMYFUNCTION("""COMPUTED_VALUE"""),0.0)</f>
        <v>0</v>
      </c>
      <c r="C471" s="5" t="str">
        <f>IFERROR(__xludf.DUMMYFUNCTION("""COMPUTED_VALUE"""),"https://github.com/AgRhIaTnRtAy/Proj1.git")</f>
        <v>https://github.com/AgRhIaTnRtAy/Proj1.git</v>
      </c>
      <c r="D471" s="3" t="str">
        <f>IFERROR(VLOOKUP(C471,'Peer-Review'!B:J,9,0),"No R1")</f>
        <v>No R1</v>
      </c>
      <c r="E471" s="3" t="str">
        <f>IFERROR(VLOOKUP(C471,'Peer-Review'!F:J,5,0),"No R2")</f>
        <v>No R2</v>
      </c>
      <c r="F471" s="3">
        <f>COUNTIF('Peer-Review'!B:B,C471)+COUNTIF('Peer-Review'!F:F,C471)</f>
        <v>0</v>
      </c>
      <c r="G471" s="3">
        <f t="shared" si="1"/>
        <v>0</v>
      </c>
      <c r="H471" s="3" t="str">
        <f>IFERROR(__xludf.DUMMYFUNCTION("IFERROR(TRANSPOSE(FILTER('Peer-Review'!$J$2:$J$568,(TRIM('Peer-Review'!$B$2:$B$568)=C471 )+ (TRIM('Peer-Review'!$F$2:$F$568)=C471))),""No Reviews"")"),"No Reviews")</f>
        <v>No Reviews</v>
      </c>
      <c r="J471" s="3">
        <f>IF(D471="No R1",0,VLOOKUP(C471,'Peer-Review'!B:D,2,0))</f>
        <v>0</v>
      </c>
      <c r="K471" s="3">
        <f>IF(D471="No R1",0,VLOOKUP(C471,'Peer-Review'!B:D,3,0))</f>
        <v>0</v>
      </c>
      <c r="L471" s="3">
        <f>IF(E471="No R2",0,VLOOKUP(C471,'Peer-Review'!F:H,2,0))</f>
        <v>0</v>
      </c>
      <c r="M471" s="3">
        <f>IF(E471="No R2",0,VLOOKUP(C471,'Peer-Review'!F:H,3,0))</f>
        <v>0</v>
      </c>
    </row>
    <row r="472" hidden="1">
      <c r="A472" s="3" t="str">
        <f>IFERROR(__xludf.DUMMYFUNCTION("""COMPUTED_VALUE"""),"23f1001125@ds.study.iitm.ac.in")</f>
        <v>23f1001125@ds.study.iitm.ac.in</v>
      </c>
      <c r="B472" s="3">
        <f>IFERROR(__xludf.DUMMYFUNCTION("""COMPUTED_VALUE"""),17.0)</f>
        <v>17</v>
      </c>
      <c r="C472" s="5" t="str">
        <f>IFERROR(__xludf.DUMMYFUNCTION("""COMPUTED_VALUE"""),"https://github.com/51Hypers/TDS_Project_1")</f>
        <v>https://github.com/51Hypers/TDS_Project_1</v>
      </c>
      <c r="D472" s="3" t="str">
        <f>IFERROR(VLOOKUP(C472,'Peer-Review'!B:J,9,0),"No R1")</f>
        <v>23f1001050@ds.study.iitm.ac.in</v>
      </c>
      <c r="E472" s="3" t="str">
        <f>IFERROR(VLOOKUP(C472,'Peer-Review'!F:J,5,0),"No R2")</f>
        <v>No R2</v>
      </c>
      <c r="F472" s="3">
        <f>COUNTIF('Peer-Review'!B:B,C472)+COUNTIF('Peer-Review'!F:F,C472)</f>
        <v>1</v>
      </c>
      <c r="G472" s="3">
        <f t="shared" si="1"/>
        <v>1</v>
      </c>
      <c r="H472" s="3" t="str">
        <f>IFERROR(__xludf.DUMMYFUNCTION("IFERROR(TRANSPOSE(FILTER('Peer-Review'!$J$2:$J$568,(TRIM('Peer-Review'!$B$2:$B$568)=C472 )+ (TRIM('Peer-Review'!$F$2:$F$568)=C472))),""No Reviews"")"),"23f1001050@ds.study.iitm.ac.in")</f>
        <v>23f1001050@ds.study.iitm.ac.in</v>
      </c>
      <c r="J472" s="3">
        <f>IF(D472="No R1",0,VLOOKUP(C472,'Peer-Review'!B:D,2,0))</f>
        <v>10</v>
      </c>
      <c r="K472" s="3">
        <f>IF(D472="No R1",0,VLOOKUP(C472,'Peer-Review'!B:D,3,0))</f>
        <v>10</v>
      </c>
      <c r="L472" s="3">
        <f>IF(E472="No R2",0,VLOOKUP(C472,'Peer-Review'!F:H,2,0))</f>
        <v>0</v>
      </c>
      <c r="M472" s="3">
        <f>IF(E472="No R2",0,VLOOKUP(C472,'Peer-Review'!F:H,3,0))</f>
        <v>0</v>
      </c>
    </row>
    <row r="473" hidden="1">
      <c r="A473" s="3" t="str">
        <f>IFERROR(__xludf.DUMMYFUNCTION("""COMPUTED_VALUE"""),"23f1001130@ds.study.iitm.ac.in")</f>
        <v>23f1001130@ds.study.iitm.ac.in</v>
      </c>
      <c r="B473" s="3">
        <f>IFERROR(__xludf.DUMMYFUNCTION("""COMPUTED_VALUE"""),17.0)</f>
        <v>17</v>
      </c>
      <c r="C473" s="5" t="str">
        <f>IFERROR(__xludf.DUMMYFUNCTION("""COMPUTED_VALUE"""),"https://github.com/Aadil-Iqbal1729/TDS_Project-1")</f>
        <v>https://github.com/Aadil-Iqbal1729/TDS_Project-1</v>
      </c>
      <c r="D473" s="3" t="str">
        <f>IFERROR(VLOOKUP(C473,'Peer-Review'!B:J,9,0),"No R1")</f>
        <v>No R1</v>
      </c>
      <c r="E473" s="3" t="str">
        <f>IFERROR(VLOOKUP(C473,'Peer-Review'!F:J,5,0),"No R2")</f>
        <v>23f1001125@ds.study.iitm.ac.in</v>
      </c>
      <c r="F473" s="3">
        <f>COUNTIF('Peer-Review'!B:B,C473)+COUNTIF('Peer-Review'!F:F,C473)</f>
        <v>1</v>
      </c>
      <c r="G473" s="3">
        <f t="shared" si="1"/>
        <v>1</v>
      </c>
      <c r="H473" s="3" t="str">
        <f>IFERROR(__xludf.DUMMYFUNCTION("IFERROR(TRANSPOSE(FILTER('Peer-Review'!$J$2:$J$568,(TRIM('Peer-Review'!$B$2:$B$568)=C473 )+ (TRIM('Peer-Review'!$F$2:$F$568)=C473))),""No Reviews"")"),"23f1001125@ds.study.iitm.ac.in")</f>
        <v>23f1001125@ds.study.iitm.ac.in</v>
      </c>
      <c r="J473" s="3">
        <f>IF(D473="No R1",0,VLOOKUP(C473,'Peer-Review'!B:D,2,0))</f>
        <v>0</v>
      </c>
      <c r="K473" s="3">
        <f>IF(D473="No R1",0,VLOOKUP(C473,'Peer-Review'!B:D,3,0))</f>
        <v>0</v>
      </c>
      <c r="L473" s="3">
        <f>IF(E473="No R2",0,VLOOKUP(C473,'Peer-Review'!F:H,2,0))</f>
        <v>10</v>
      </c>
      <c r="M473" s="3">
        <f>IF(E473="No R2",0,VLOOKUP(C473,'Peer-Review'!F:H,3,0))</f>
        <v>9</v>
      </c>
    </row>
    <row r="474" hidden="1">
      <c r="A474" s="3" t="str">
        <f>IFERROR(__xludf.DUMMYFUNCTION("""COMPUTED_VALUE"""),"23f1001168@ds.study.iitm.ac.in")</f>
        <v>23f1001168@ds.study.iitm.ac.in</v>
      </c>
      <c r="B474" s="3">
        <f>IFERROR(__xludf.DUMMYFUNCTION("""COMPUTED_VALUE"""),17.0)</f>
        <v>17</v>
      </c>
      <c r="C474" s="5" t="str">
        <f>IFERROR(__xludf.DUMMYFUNCTION("""COMPUTED_VALUE"""),"https://github.com/hamees-sayed/tds-project")</f>
        <v>https://github.com/hamees-sayed/tds-project</v>
      </c>
      <c r="D474" s="3" t="str">
        <f>IFERROR(VLOOKUP(C474,'Peer-Review'!B:J,9,0),"No R1")</f>
        <v>No R1</v>
      </c>
      <c r="E474" s="3" t="str">
        <f>IFERROR(VLOOKUP(C474,'Peer-Review'!F:J,5,0),"No R2")</f>
        <v>22f3002597@ds.study.iitm.ac.in</v>
      </c>
      <c r="F474" s="3">
        <f>COUNTIF('Peer-Review'!B:B,C474)+COUNTIF('Peer-Review'!F:F,C474)</f>
        <v>2</v>
      </c>
      <c r="G474" s="3">
        <f t="shared" si="1"/>
        <v>1</v>
      </c>
      <c r="H474" s="3" t="str">
        <f>IFERROR(__xludf.DUMMYFUNCTION("IFERROR(TRANSPOSE(FILTER('Peer-Review'!$J$2:$J$568,(TRIM('Peer-Review'!$B$2:$B$568)=C474 )+ (TRIM('Peer-Review'!$F$2:$F$568)=C474))),""No Reviews"")"),"22f3002597@ds.study.iitm.ac.in")</f>
        <v>22f3002597@ds.study.iitm.ac.in</v>
      </c>
      <c r="I474" s="3" t="str">
        <f>IFERROR(__xludf.DUMMYFUNCTION("""COMPUTED_VALUE"""),"23f1001130@ds.study.iitm.ac.in")</f>
        <v>23f1001130@ds.study.iitm.ac.in</v>
      </c>
      <c r="J474" s="3">
        <f>IF(D474="No R1",0,VLOOKUP(C474,'Peer-Review'!B:D,2,0))</f>
        <v>0</v>
      </c>
      <c r="K474" s="3">
        <f>IF(D474="No R1",0,VLOOKUP(C474,'Peer-Review'!B:D,3,0))</f>
        <v>0</v>
      </c>
      <c r="L474" s="3">
        <f>IF(E474="No R2",0,VLOOKUP(C474,'Peer-Review'!F:H,2,0))</f>
        <v>9</v>
      </c>
      <c r="M474" s="3">
        <f>IF(E474="No R2",0,VLOOKUP(C474,'Peer-Review'!F:H,3,0))</f>
        <v>8</v>
      </c>
    </row>
    <row r="475" hidden="1">
      <c r="A475" s="3" t="str">
        <f>IFERROR(__xludf.DUMMYFUNCTION("""COMPUTED_VALUE"""),"23f1001172@ds.study.iitm.ac.in")</f>
        <v>23f1001172@ds.study.iitm.ac.in</v>
      </c>
      <c r="B475" s="3">
        <f>IFERROR(__xludf.DUMMYFUNCTION("""COMPUTED_VALUE"""),16.0)</f>
        <v>16</v>
      </c>
      <c r="C475" s="5" t="str">
        <f>IFERROR(__xludf.DUMMYFUNCTION("""COMPUTED_VALUE"""),"https://github.com/23f1001172/melbourne-users-data")</f>
        <v>https://github.com/23f1001172/melbourne-users-data</v>
      </c>
      <c r="D475" s="3" t="str">
        <f>IFERROR(VLOOKUP(C475,'Peer-Review'!B:J,9,0),"No R1")</f>
        <v>No R1</v>
      </c>
      <c r="E475" s="3" t="str">
        <f>IFERROR(VLOOKUP(C475,'Peer-Review'!F:J,5,0),"No R2")</f>
        <v>23f1000997@ds.study.iitm.ac.in</v>
      </c>
      <c r="F475" s="3">
        <f>COUNTIF('Peer-Review'!B:B,C475)+COUNTIF('Peer-Review'!F:F,C475)</f>
        <v>2</v>
      </c>
      <c r="G475" s="3">
        <f t="shared" si="1"/>
        <v>1</v>
      </c>
      <c r="H475" s="3" t="str">
        <f>IFERROR(__xludf.DUMMYFUNCTION("IFERROR(TRANSPOSE(FILTER('Peer-Review'!$J$2:$J$568,(TRIM('Peer-Review'!$B$2:$B$568)=C475 )+ (TRIM('Peer-Review'!$F$2:$F$568)=C475))),""No Reviews"")"),"23f1000997@ds.study.iitm.ac.in")</f>
        <v>23f1000997@ds.study.iitm.ac.in</v>
      </c>
      <c r="I475" s="3" t="str">
        <f>IFERROR(__xludf.DUMMYFUNCTION("""COMPUTED_VALUE"""),"22f3001856@ds.study.iitm.ac.in")</f>
        <v>22f3001856@ds.study.iitm.ac.in</v>
      </c>
      <c r="J475" s="3">
        <f>IF(D475="No R1",0,VLOOKUP(C475,'Peer-Review'!B:D,2,0))</f>
        <v>0</v>
      </c>
      <c r="K475" s="3">
        <f>IF(D475="No R1",0,VLOOKUP(C475,'Peer-Review'!B:D,3,0))</f>
        <v>0</v>
      </c>
      <c r="L475" s="3">
        <f>IF(E475="No R2",0,VLOOKUP(C475,'Peer-Review'!F:H,2,0))</f>
        <v>8</v>
      </c>
      <c r="M475" s="3">
        <f>IF(E475="No R2",0,VLOOKUP(C475,'Peer-Review'!F:H,3,0))</f>
        <v>1</v>
      </c>
    </row>
    <row r="476" hidden="1">
      <c r="A476" s="3" t="str">
        <f>IFERROR(__xludf.DUMMYFUNCTION("""COMPUTED_VALUE"""),"23f1001173@ds.study.iitm.ac.in")</f>
        <v>23f1001173@ds.study.iitm.ac.in</v>
      </c>
      <c r="B476" s="3">
        <f>IFERROR(__xludf.DUMMYFUNCTION("""COMPUTED_VALUE"""),17.0)</f>
        <v>17</v>
      </c>
      <c r="C476" s="5" t="str">
        <f>IFERROR(__xludf.DUMMYFUNCTION("""COMPUTED_VALUE"""),"https://github.com/mdnabeelmn10/TDS_Project1_23f1001173")</f>
        <v>https://github.com/mdnabeelmn10/TDS_Project1_23f1001173</v>
      </c>
      <c r="D476" s="3" t="str">
        <f>IFERROR(VLOOKUP(C476,'Peer-Review'!B:J,9,0),"No R1")</f>
        <v>No R1</v>
      </c>
      <c r="E476" s="3" t="str">
        <f>IFERROR(VLOOKUP(C476,'Peer-Review'!F:J,5,0),"No R2")</f>
        <v>23ds2000091@ds.study.iitm.ac.in</v>
      </c>
      <c r="F476" s="3">
        <f>COUNTIF('Peer-Review'!B:B,C476)+COUNTIF('Peer-Review'!F:F,C476)</f>
        <v>2</v>
      </c>
      <c r="G476" s="3">
        <f t="shared" si="1"/>
        <v>1</v>
      </c>
      <c r="H476" s="3" t="str">
        <f>IFERROR(__xludf.DUMMYFUNCTION("IFERROR(TRANSPOSE(FILTER('Peer-Review'!$J$2:$J$568,(TRIM('Peer-Review'!$B$2:$B$568)=C476 )+ (TRIM('Peer-Review'!$F$2:$F$568)=C476))),""No Reviews"")"),"23ds2000091@ds.study.iitm.ac.in")</f>
        <v>23ds2000091@ds.study.iitm.ac.in</v>
      </c>
      <c r="I476" s="3" t="str">
        <f>IFERROR(__xludf.DUMMYFUNCTION("""COMPUTED_VALUE"""),"23f1001168@ds.study.iitm.ac.in")</f>
        <v>23f1001168@ds.study.iitm.ac.in</v>
      </c>
      <c r="J476" s="3">
        <f>IF(D476="No R1",0,VLOOKUP(C476,'Peer-Review'!B:D,2,0))</f>
        <v>0</v>
      </c>
      <c r="K476" s="3">
        <f>IF(D476="No R1",0,VLOOKUP(C476,'Peer-Review'!B:D,3,0))</f>
        <v>0</v>
      </c>
      <c r="L476" s="3">
        <f>IF(E476="No R2",0,VLOOKUP(C476,'Peer-Review'!F:H,2,0))</f>
        <v>9</v>
      </c>
      <c r="M476" s="3">
        <f>IF(E476="No R2",0,VLOOKUP(C476,'Peer-Review'!F:H,3,0))</f>
        <v>9</v>
      </c>
    </row>
    <row r="477" hidden="1">
      <c r="A477" s="3" t="str">
        <f>IFERROR(__xludf.DUMMYFUNCTION("""COMPUTED_VALUE"""),"23f1001245@ds.study.iitm.ac.in")</f>
        <v>23f1001245@ds.study.iitm.ac.in</v>
      </c>
      <c r="B477" s="3">
        <f>IFERROR(__xludf.DUMMYFUNCTION("""COMPUTED_VALUE"""),17.0)</f>
        <v>17</v>
      </c>
      <c r="C477" s="5" t="str">
        <f>IFERROR(__xludf.DUMMYFUNCTION("""COMPUTED_VALUE"""),"https://github.com/swaraj753/Project-1")</f>
        <v>https://github.com/swaraj753/Project-1</v>
      </c>
      <c r="D477" s="3" t="str">
        <f>IFERROR(VLOOKUP(C477,'Peer-Review'!B:J,9,0),"No R1")</f>
        <v>No R1</v>
      </c>
      <c r="E477" s="3" t="str">
        <f>IFERROR(VLOOKUP(C477,'Peer-Review'!F:J,5,0),"No R2")</f>
        <v>23ds3000113@ds.study.iitm.ac.in</v>
      </c>
      <c r="F477" s="3">
        <f>COUNTIF('Peer-Review'!B:B,C477)+COUNTIF('Peer-Review'!F:F,C477)</f>
        <v>2</v>
      </c>
      <c r="G477" s="3">
        <f t="shared" si="1"/>
        <v>1</v>
      </c>
      <c r="H477" s="3" t="str">
        <f>IFERROR(__xludf.DUMMYFUNCTION("IFERROR(TRANSPOSE(FILTER('Peer-Review'!$J$2:$J$568,(TRIM('Peer-Review'!$B$2:$B$568)=C477 )+ (TRIM('Peer-Review'!$F$2:$F$568)=C477))),""No Reviews"")"),"23ds3000113@ds.study.iitm.ac.in")</f>
        <v>23ds3000113@ds.study.iitm.ac.in</v>
      </c>
      <c r="I477" s="3" t="str">
        <f>IFERROR(__xludf.DUMMYFUNCTION("""COMPUTED_VALUE"""),"23f1001173@ds.study.iitm.ac.in")</f>
        <v>23f1001173@ds.study.iitm.ac.in</v>
      </c>
      <c r="J477" s="3">
        <f>IF(D477="No R1",0,VLOOKUP(C477,'Peer-Review'!B:D,2,0))</f>
        <v>0</v>
      </c>
      <c r="K477" s="3">
        <f>IF(D477="No R1",0,VLOOKUP(C477,'Peer-Review'!B:D,3,0))</f>
        <v>0</v>
      </c>
      <c r="L477" s="3">
        <f>IF(E477="No R2",0,VLOOKUP(C477,'Peer-Review'!F:H,2,0))</f>
        <v>8</v>
      </c>
      <c r="M477" s="3">
        <f>IF(E477="No R2",0,VLOOKUP(C477,'Peer-Review'!F:H,3,0))</f>
        <v>7</v>
      </c>
    </row>
    <row r="478" hidden="1">
      <c r="A478" s="3" t="str">
        <f>IFERROR(__xludf.DUMMYFUNCTION("""COMPUTED_VALUE"""),"23f1001293@ds.study.iitm.ac.in")</f>
        <v>23f1001293@ds.study.iitm.ac.in</v>
      </c>
      <c r="B478" s="3">
        <f>IFERROR(__xludf.DUMMYFUNCTION("""COMPUTED_VALUE"""),12.0)</f>
        <v>12</v>
      </c>
      <c r="C478" s="5" t="str">
        <f>IFERROR(__xludf.DUMMYFUNCTION("""COMPUTED_VALUE"""),"https://github.com/Gajanan09/GithubAustinUsers")</f>
        <v>https://github.com/Gajanan09/GithubAustinUsers</v>
      </c>
      <c r="D478" s="3" t="str">
        <f>IFERROR(VLOOKUP(C478,'Peer-Review'!B:J,9,0),"No R1")</f>
        <v>23f1001299@ds.study.iitm.ac.in</v>
      </c>
      <c r="E478" s="3" t="str">
        <f>IFERROR(VLOOKUP(C478,'Peer-Review'!F:J,5,0),"No R2")</f>
        <v>No R2</v>
      </c>
      <c r="F478" s="3">
        <f>COUNTIF('Peer-Review'!B:B,C478)+COUNTIF('Peer-Review'!F:F,C478)</f>
        <v>1</v>
      </c>
      <c r="G478" s="3">
        <f t="shared" si="1"/>
        <v>1</v>
      </c>
      <c r="H478" s="3" t="str">
        <f>IFERROR(__xludf.DUMMYFUNCTION("IFERROR(TRANSPOSE(FILTER('Peer-Review'!$J$2:$J$568,(TRIM('Peer-Review'!$B$2:$B$568)=C478 )+ (TRIM('Peer-Review'!$F$2:$F$568)=C478))),""No Reviews"")"),"23f1001299@ds.study.iitm.ac.in")</f>
        <v>23f1001299@ds.study.iitm.ac.in</v>
      </c>
      <c r="J478" s="3">
        <f>IF(D478="No R1",0,VLOOKUP(C478,'Peer-Review'!B:D,2,0))</f>
        <v>1</v>
      </c>
      <c r="K478" s="3">
        <f>IF(D478="No R1",0,VLOOKUP(C478,'Peer-Review'!B:D,3,0))</f>
        <v>9</v>
      </c>
      <c r="L478" s="3">
        <f>IF(E478="No R2",0,VLOOKUP(C478,'Peer-Review'!F:H,2,0))</f>
        <v>0</v>
      </c>
      <c r="M478" s="3">
        <f>IF(E478="No R2",0,VLOOKUP(C478,'Peer-Review'!F:H,3,0))</f>
        <v>0</v>
      </c>
    </row>
    <row r="479" hidden="1">
      <c r="A479" s="3" t="str">
        <f>IFERROR(__xludf.DUMMYFUNCTION("""COMPUTED_VALUE"""),"23f1001299@ds.study.iitm.ac.in")</f>
        <v>23f1001299@ds.study.iitm.ac.in</v>
      </c>
      <c r="B479" s="3">
        <f>IFERROR(__xludf.DUMMYFUNCTION("""COMPUTED_VALUE"""),12.0)</f>
        <v>12</v>
      </c>
      <c r="C479" s="5" t="str">
        <f>IFERROR(__xludf.DUMMYFUNCTION("""COMPUTED_VALUE"""),"https://github.com/rrawatt/Melbourne-100")</f>
        <v>https://github.com/rrawatt/Melbourne-100</v>
      </c>
      <c r="D479" s="3" t="str">
        <f>IFERROR(VLOOKUP(C479,'Peer-Review'!B:J,9,0),"No R1")</f>
        <v>21f2001512@ds.study.iitm.ac.in</v>
      </c>
      <c r="E479" s="3" t="str">
        <f>IFERROR(VLOOKUP(C479,'Peer-Review'!F:J,5,0),"No R2")</f>
        <v>No R2</v>
      </c>
      <c r="F479" s="3">
        <f>COUNTIF('Peer-Review'!B:B,C479)+COUNTIF('Peer-Review'!F:F,C479)</f>
        <v>1</v>
      </c>
      <c r="G479" s="3">
        <f t="shared" si="1"/>
        <v>1</v>
      </c>
      <c r="H479" s="3" t="str">
        <f>IFERROR(__xludf.DUMMYFUNCTION("IFERROR(TRANSPOSE(FILTER('Peer-Review'!$J$2:$J$568,(TRIM('Peer-Review'!$B$2:$B$568)=C479 )+ (TRIM('Peer-Review'!$F$2:$F$568)=C479))),""No Reviews"")"),"21f2001512@ds.study.iitm.ac.in")</f>
        <v>21f2001512@ds.study.iitm.ac.in</v>
      </c>
      <c r="J479" s="3">
        <f>IF(D479="No R1",0,VLOOKUP(C479,'Peer-Review'!B:D,2,0))</f>
        <v>9</v>
      </c>
      <c r="K479" s="3">
        <f>IF(D479="No R1",0,VLOOKUP(C479,'Peer-Review'!B:D,3,0))</f>
        <v>9</v>
      </c>
      <c r="L479" s="3">
        <f>IF(E479="No R2",0,VLOOKUP(C479,'Peer-Review'!F:H,2,0))</f>
        <v>0</v>
      </c>
      <c r="M479" s="3">
        <f>IF(E479="No R2",0,VLOOKUP(C479,'Peer-Review'!F:H,3,0))</f>
        <v>0</v>
      </c>
    </row>
    <row r="480" hidden="1">
      <c r="A480" s="3" t="str">
        <f>IFERROR(__xludf.DUMMYFUNCTION("""COMPUTED_VALUE"""),"23f1001316@ds.study.iitm.ac.in")</f>
        <v>23f1001316@ds.study.iitm.ac.in</v>
      </c>
      <c r="B480" s="3">
        <f>IFERROR(__xludf.DUMMYFUNCTION("""COMPUTED_VALUE"""),0.0)</f>
        <v>0</v>
      </c>
      <c r="C480" s="5" t="str">
        <f>IFERROR(__xludf.DUMMYFUNCTION("""COMPUTED_VALUE"""),"https://github.com/samta-web/TDS-PROJECT1")</f>
        <v>https://github.com/samta-web/TDS-PROJECT1</v>
      </c>
      <c r="D480" s="3" t="str">
        <f>IFERROR(VLOOKUP(C480,'Peer-Review'!B:J,9,0),"No R1")</f>
        <v>No R1</v>
      </c>
      <c r="E480" s="3" t="str">
        <f>IFERROR(VLOOKUP(C480,'Peer-Review'!F:J,5,0),"No R2")</f>
        <v>No R2</v>
      </c>
      <c r="F480" s="3">
        <f>COUNTIF('Peer-Review'!B:B,C480)+COUNTIF('Peer-Review'!F:F,C480)</f>
        <v>0</v>
      </c>
      <c r="G480" s="3">
        <f t="shared" si="1"/>
        <v>0</v>
      </c>
      <c r="H480" s="3" t="str">
        <f>IFERROR(__xludf.DUMMYFUNCTION("IFERROR(TRANSPOSE(FILTER('Peer-Review'!$J$2:$J$568,(TRIM('Peer-Review'!$B$2:$B$568)=C480 )+ (TRIM('Peer-Review'!$F$2:$F$568)=C480))),""No Reviews"")"),"No Reviews")</f>
        <v>No Reviews</v>
      </c>
      <c r="J480" s="3">
        <f>IF(D480="No R1",0,VLOOKUP(C480,'Peer-Review'!B:D,2,0))</f>
        <v>0</v>
      </c>
      <c r="K480" s="3">
        <f>IF(D480="No R1",0,VLOOKUP(C480,'Peer-Review'!B:D,3,0))</f>
        <v>0</v>
      </c>
      <c r="L480" s="3">
        <f>IF(E480="No R2",0,VLOOKUP(C480,'Peer-Review'!F:H,2,0))</f>
        <v>0</v>
      </c>
      <c r="M480" s="3">
        <f>IF(E480="No R2",0,VLOOKUP(C480,'Peer-Review'!F:H,3,0))</f>
        <v>0</v>
      </c>
    </row>
    <row r="481" hidden="1">
      <c r="A481" s="3" t="str">
        <f>IFERROR(__xludf.DUMMYFUNCTION("""COMPUTED_VALUE"""),"23f1001345@ds.study.iitm.ac.in")</f>
        <v>23f1001345@ds.study.iitm.ac.in</v>
      </c>
      <c r="B481" s="3">
        <f>IFERROR(__xludf.DUMMYFUNCTION("""COMPUTED_VALUE"""),12.0)</f>
        <v>12</v>
      </c>
      <c r="C481" s="5" t="str">
        <f>IFERROR(__xludf.DUMMYFUNCTION("""COMPUTED_VALUE"""),"https://github.com/deepika4786/tools-for-data-science-project---1")</f>
        <v>https://github.com/deepika4786/tools-for-data-science-project---1</v>
      </c>
      <c r="D481" s="3" t="str">
        <f>IFERROR(VLOOKUP(C481,'Peer-Review'!B:J,9,0),"No R1")</f>
        <v>21f2001565@ds.study.iitm.ac.in</v>
      </c>
      <c r="E481" s="3" t="str">
        <f>IFERROR(VLOOKUP(C481,'Peer-Review'!F:J,5,0),"No R2")</f>
        <v>No R2</v>
      </c>
      <c r="F481" s="3">
        <f>COUNTIF('Peer-Review'!B:B,C481)+COUNTIF('Peer-Review'!F:F,C481)</f>
        <v>1</v>
      </c>
      <c r="G481" s="3">
        <f t="shared" si="1"/>
        <v>1</v>
      </c>
      <c r="H481" s="3" t="str">
        <f>IFERROR(__xludf.DUMMYFUNCTION("IFERROR(TRANSPOSE(FILTER('Peer-Review'!$J$2:$J$568,(TRIM('Peer-Review'!$B$2:$B$568)=C481 )+ (TRIM('Peer-Review'!$F$2:$F$568)=C481))),""No Reviews"")"),"21f2001565@ds.study.iitm.ac.in")</f>
        <v>21f2001565@ds.study.iitm.ac.in</v>
      </c>
      <c r="J481" s="3">
        <f>IF(D481="No R1",0,VLOOKUP(C481,'Peer-Review'!B:D,2,0))</f>
        <v>3</v>
      </c>
      <c r="K481" s="3">
        <f>IF(D481="No R1",0,VLOOKUP(C481,'Peer-Review'!B:D,3,0))</f>
        <v>0</v>
      </c>
      <c r="L481" s="3">
        <f>IF(E481="No R2",0,VLOOKUP(C481,'Peer-Review'!F:H,2,0))</f>
        <v>0</v>
      </c>
      <c r="M481" s="3">
        <f>IF(E481="No R2",0,VLOOKUP(C481,'Peer-Review'!F:H,3,0))</f>
        <v>0</v>
      </c>
    </row>
    <row r="482" hidden="1">
      <c r="A482" s="3" t="str">
        <f>IFERROR(__xludf.DUMMYFUNCTION("""COMPUTED_VALUE"""),"23f1001357@ds.study.iitm.ac.in")</f>
        <v>23f1001357@ds.study.iitm.ac.in</v>
      </c>
      <c r="B482" s="3">
        <f>IFERROR(__xludf.DUMMYFUNCTION("""COMPUTED_VALUE"""),10.0)</f>
        <v>10</v>
      </c>
      <c r="C482" s="5" t="str">
        <f>IFERROR(__xludf.DUMMYFUNCTION("""COMPUTED_VALUE"""),"https://github.com/student2403/tds-project-1")</f>
        <v>https://github.com/student2403/tds-project-1</v>
      </c>
      <c r="D482" s="3" t="str">
        <f>IFERROR(VLOOKUP(C482,'Peer-Review'!B:J,9,0),"No R1")</f>
        <v>23f1001467@ds.study.iitm.ac.in</v>
      </c>
      <c r="E482" s="3" t="str">
        <f>IFERROR(VLOOKUP(C482,'Peer-Review'!F:J,5,0),"No R2")</f>
        <v>No R2</v>
      </c>
      <c r="F482" s="3">
        <f>COUNTIF('Peer-Review'!B:B,C482)+COUNTIF('Peer-Review'!F:F,C482)</f>
        <v>2</v>
      </c>
      <c r="G482" s="3">
        <f t="shared" si="1"/>
        <v>1</v>
      </c>
      <c r="H482" s="3" t="str">
        <f>IFERROR(__xludf.DUMMYFUNCTION("IFERROR(TRANSPOSE(FILTER('Peer-Review'!$J$2:$J$568,(TRIM('Peer-Review'!$B$2:$B$568)=C482 )+ (TRIM('Peer-Review'!$F$2:$F$568)=C482))),""No Reviews"")"),"23f1001467@ds.study.iitm.ac.in")</f>
        <v>23f1001467@ds.study.iitm.ac.in</v>
      </c>
      <c r="I482" s="3" t="str">
        <f>IFERROR(__xludf.DUMMYFUNCTION("""COMPUTED_VALUE"""),"23f1001990@ds.study.iitm.ac.in")</f>
        <v>23f1001990@ds.study.iitm.ac.in</v>
      </c>
      <c r="J482" s="3">
        <f>IF(D482="No R1",0,VLOOKUP(C482,'Peer-Review'!B:D,2,0))</f>
        <v>5</v>
      </c>
      <c r="K482" s="3">
        <f>IF(D482="No R1",0,VLOOKUP(C482,'Peer-Review'!B:D,3,0))</f>
        <v>10</v>
      </c>
      <c r="L482" s="3">
        <f>IF(E482="No R2",0,VLOOKUP(C482,'Peer-Review'!F:H,2,0))</f>
        <v>0</v>
      </c>
      <c r="M482" s="3">
        <f>IF(E482="No R2",0,VLOOKUP(C482,'Peer-Review'!F:H,3,0))</f>
        <v>0</v>
      </c>
    </row>
    <row r="483" hidden="1">
      <c r="A483" s="3" t="str">
        <f>IFERROR(__xludf.DUMMYFUNCTION("""COMPUTED_VALUE"""),"23f1001360@ds.study.iitm.ac.in")</f>
        <v>23f1001360@ds.study.iitm.ac.in</v>
      </c>
      <c r="B483" s="3">
        <f>IFERROR(__xludf.DUMMYFUNCTION("""COMPUTED_VALUE"""),14.0)</f>
        <v>14</v>
      </c>
      <c r="C483" s="5" t="str">
        <f>IFERROR(__xludf.DUMMYFUNCTION("""COMPUTED_VALUE"""),"https://github.com/DivyamShaiv/TDS_project1")</f>
        <v>https://github.com/DivyamShaiv/TDS_project1</v>
      </c>
      <c r="D483" s="3" t="str">
        <f>IFERROR(VLOOKUP(C483,'Peer-Review'!B:J,9,0),"No R1")</f>
        <v>23f1001473@ds.study.iitm.ac.in</v>
      </c>
      <c r="E483" s="3" t="str">
        <f>IFERROR(VLOOKUP(C483,'Peer-Review'!F:J,5,0),"No R2")</f>
        <v>No R2</v>
      </c>
      <c r="F483" s="3">
        <f>COUNTIF('Peer-Review'!B:B,C483)+COUNTIF('Peer-Review'!F:F,C483)</f>
        <v>1</v>
      </c>
      <c r="G483" s="3">
        <f t="shared" si="1"/>
        <v>1</v>
      </c>
      <c r="H483" s="3" t="str">
        <f>IFERROR(__xludf.DUMMYFUNCTION("IFERROR(TRANSPOSE(FILTER('Peer-Review'!$J$2:$J$568,(TRIM('Peer-Review'!$B$2:$B$568)=C483 )+ (TRIM('Peer-Review'!$F$2:$F$568)=C483))),""No Reviews"")"),"23f1001473@ds.study.iitm.ac.in")</f>
        <v>23f1001473@ds.study.iitm.ac.in</v>
      </c>
      <c r="J483" s="3">
        <f>IF(D483="No R1",0,VLOOKUP(C483,'Peer-Review'!B:D,2,0))</f>
        <v>10</v>
      </c>
      <c r="K483" s="3">
        <f>IF(D483="No R1",0,VLOOKUP(C483,'Peer-Review'!B:D,3,0))</f>
        <v>10</v>
      </c>
      <c r="L483" s="3">
        <f>IF(E483="No R2",0,VLOOKUP(C483,'Peer-Review'!F:H,2,0))</f>
        <v>0</v>
      </c>
      <c r="M483" s="3">
        <f>IF(E483="No R2",0,VLOOKUP(C483,'Peer-Review'!F:H,3,0))</f>
        <v>0</v>
      </c>
    </row>
    <row r="484" hidden="1">
      <c r="A484" s="3" t="str">
        <f>IFERROR(__xludf.DUMMYFUNCTION("""COMPUTED_VALUE"""),"23f1001362@ds.study.iitm.ac.in")</f>
        <v>23f1001362@ds.study.iitm.ac.in</v>
      </c>
      <c r="B484" s="3">
        <f>IFERROR(__xludf.DUMMYFUNCTION("""COMPUTED_VALUE"""),12.0)</f>
        <v>12</v>
      </c>
      <c r="C484" s="5" t="str">
        <f>IFERROR(__xludf.DUMMYFUNCTION("""COMPUTED_VALUE"""),"https://github.com/1yadavsid/tds-project-1")</f>
        <v>https://github.com/1yadavsid/tds-project-1</v>
      </c>
      <c r="D484" s="3" t="str">
        <f>IFERROR(VLOOKUP(C484,'Peer-Review'!B:J,9,0),"No R1")</f>
        <v>21f3000051@ds.study.iitm.ac.in</v>
      </c>
      <c r="E484" s="3" t="str">
        <f>IFERROR(VLOOKUP(C484,'Peer-Review'!F:J,5,0),"No R2")</f>
        <v>No R2</v>
      </c>
      <c r="F484" s="3">
        <f>COUNTIF('Peer-Review'!B:B,C484)+COUNTIF('Peer-Review'!F:F,C484)</f>
        <v>1</v>
      </c>
      <c r="G484" s="3">
        <f t="shared" si="1"/>
        <v>1</v>
      </c>
      <c r="H484" s="3" t="str">
        <f>IFERROR(__xludf.DUMMYFUNCTION("IFERROR(TRANSPOSE(FILTER('Peer-Review'!$J$2:$J$568,(TRIM('Peer-Review'!$B$2:$B$568)=C484 )+ (TRIM('Peer-Review'!$F$2:$F$568)=C484))),""No Reviews"")"),"21f3000051@ds.study.iitm.ac.in")</f>
        <v>21f3000051@ds.study.iitm.ac.in</v>
      </c>
      <c r="J484" s="3">
        <f>IF(D484="No R1",0,VLOOKUP(C484,'Peer-Review'!B:D,2,0))</f>
        <v>7</v>
      </c>
      <c r="K484" s="3">
        <f>IF(D484="No R1",0,VLOOKUP(C484,'Peer-Review'!B:D,3,0))</f>
        <v>5</v>
      </c>
      <c r="L484" s="3">
        <f>IF(E484="No R2",0,VLOOKUP(C484,'Peer-Review'!F:H,2,0))</f>
        <v>0</v>
      </c>
      <c r="M484" s="3">
        <f>IF(E484="No R2",0,VLOOKUP(C484,'Peer-Review'!F:H,3,0))</f>
        <v>0</v>
      </c>
    </row>
    <row r="485" hidden="1">
      <c r="A485" s="3" t="str">
        <f>IFERROR(__xludf.DUMMYFUNCTION("""COMPUTED_VALUE"""),"23f1001415@ds.study.iitm.ac.in")</f>
        <v>23f1001415@ds.study.iitm.ac.in</v>
      </c>
      <c r="B485" s="3">
        <f>IFERROR(__xludf.DUMMYFUNCTION("""COMPUTED_VALUE"""),0.0)</f>
        <v>0</v>
      </c>
      <c r="C485" s="5" t="str">
        <f>IFERROR(__xludf.DUMMYFUNCTION("""COMPUTED_VALUE"""),"https://github.com/NIkhilTejaC/Project_1/tree/main")</f>
        <v>https://github.com/NIkhilTejaC/Project_1/tree/main</v>
      </c>
      <c r="D485" s="3" t="str">
        <f>IFERROR(VLOOKUP(C485,'Peer-Review'!B:J,9,0),"No R1")</f>
        <v>No R1</v>
      </c>
      <c r="E485" s="3" t="str">
        <f>IFERROR(VLOOKUP(C485,'Peer-Review'!F:J,5,0),"No R2")</f>
        <v>No R2</v>
      </c>
      <c r="F485" s="3">
        <f>COUNTIF('Peer-Review'!B:B,C485)+COUNTIF('Peer-Review'!F:F,C485)</f>
        <v>0</v>
      </c>
      <c r="G485" s="3">
        <f t="shared" si="1"/>
        <v>0</v>
      </c>
      <c r="H485" s="3" t="str">
        <f>IFERROR(__xludf.DUMMYFUNCTION("IFERROR(TRANSPOSE(FILTER('Peer-Review'!$J$2:$J$568,(TRIM('Peer-Review'!$B$2:$B$568)=C485 )+ (TRIM('Peer-Review'!$F$2:$F$568)=C485))),""No Reviews"")"),"No Reviews")</f>
        <v>No Reviews</v>
      </c>
      <c r="J485" s="3">
        <f>IF(D485="No R1",0,VLOOKUP(C485,'Peer-Review'!B:D,2,0))</f>
        <v>0</v>
      </c>
      <c r="K485" s="3">
        <f>IF(D485="No R1",0,VLOOKUP(C485,'Peer-Review'!B:D,3,0))</f>
        <v>0</v>
      </c>
      <c r="L485" s="3">
        <f>IF(E485="No R2",0,VLOOKUP(C485,'Peer-Review'!F:H,2,0))</f>
        <v>0</v>
      </c>
      <c r="M485" s="3">
        <f>IF(E485="No R2",0,VLOOKUP(C485,'Peer-Review'!F:H,3,0))</f>
        <v>0</v>
      </c>
    </row>
    <row r="486" hidden="1">
      <c r="A486" s="3" t="str">
        <f>IFERROR(__xludf.DUMMYFUNCTION("""COMPUTED_VALUE"""),"23f1001418@ds.study.iitm.ac.in")</f>
        <v>23f1001418@ds.study.iitm.ac.in</v>
      </c>
      <c r="B486" s="3">
        <f>IFERROR(__xludf.DUMMYFUNCTION("""COMPUTED_VALUE"""),17.0)</f>
        <v>17</v>
      </c>
      <c r="C486" s="5" t="str">
        <f>IFERROR(__xludf.DUMMYFUNCTION("""COMPUTED_VALUE"""),"https://github.com/Madhu1005/tds-project1")</f>
        <v>https://github.com/Madhu1005/tds-project1</v>
      </c>
      <c r="D486" s="3" t="str">
        <f>IFERROR(VLOOKUP(C486,'Peer-Review'!B:J,9,0),"No R1")</f>
        <v>No R1</v>
      </c>
      <c r="E486" s="3" t="str">
        <f>IFERROR(VLOOKUP(C486,'Peer-Review'!F:J,5,0),"No R2")</f>
        <v>23f1001245@ds.study.iitm.ac.in</v>
      </c>
      <c r="F486" s="3">
        <f>COUNTIF('Peer-Review'!B:B,C486)+COUNTIF('Peer-Review'!F:F,C486)</f>
        <v>2</v>
      </c>
      <c r="G486" s="3">
        <f t="shared" si="1"/>
        <v>1</v>
      </c>
      <c r="H486" s="3" t="str">
        <f>IFERROR(__xludf.DUMMYFUNCTION("IFERROR(TRANSPOSE(FILTER('Peer-Review'!$J$2:$J$568,(TRIM('Peer-Review'!$B$2:$B$568)=C486 )+ (TRIM('Peer-Review'!$F$2:$F$568)=C486))),""No Reviews"")"),"23f1001245@ds.study.iitm.ac.in")</f>
        <v>23f1001245@ds.study.iitm.ac.in</v>
      </c>
      <c r="I486" s="3" t="str">
        <f>IFERROR(__xludf.DUMMYFUNCTION("""COMPUTED_VALUE"""),"23ds3000218@ds.study.iitm.ac.in")</f>
        <v>23ds3000218@ds.study.iitm.ac.in</v>
      </c>
      <c r="J486" s="3">
        <f>IF(D486="No R1",0,VLOOKUP(C486,'Peer-Review'!B:D,2,0))</f>
        <v>0</v>
      </c>
      <c r="K486" s="3">
        <f>IF(D486="No R1",0,VLOOKUP(C486,'Peer-Review'!B:D,3,0))</f>
        <v>0</v>
      </c>
      <c r="L486" s="3">
        <f>IF(E486="No R2",0,VLOOKUP(C486,'Peer-Review'!F:H,2,0))</f>
        <v>10</v>
      </c>
      <c r="M486" s="3">
        <f>IF(E486="No R2",0,VLOOKUP(C486,'Peer-Review'!F:H,3,0))</f>
        <v>10</v>
      </c>
    </row>
    <row r="487" hidden="1">
      <c r="A487" s="3" t="str">
        <f>IFERROR(__xludf.DUMMYFUNCTION("""COMPUTED_VALUE"""),"23f1001467@ds.study.iitm.ac.in")</f>
        <v>23f1001467@ds.study.iitm.ac.in</v>
      </c>
      <c r="B487" s="3">
        <f>IFERROR(__xludf.DUMMYFUNCTION("""COMPUTED_VALUE"""),16.0)</f>
        <v>16</v>
      </c>
      <c r="C487" s="5" t="str">
        <f>IFERROR(__xludf.DUMMYFUNCTION("""COMPUTED_VALUE"""),"https://github.com/PradeepIITMBS/TDS-PROJECT-1")</f>
        <v>https://github.com/PradeepIITMBS/TDS-PROJECT-1</v>
      </c>
      <c r="D487" s="3" t="str">
        <f>IFERROR(VLOOKUP(C487,'Peer-Review'!B:J,9,0),"No R1")</f>
        <v>No R1</v>
      </c>
      <c r="E487" s="3" t="str">
        <f>IFERROR(VLOOKUP(C487,'Peer-Review'!F:J,5,0),"No R2")</f>
        <v>23f1001172@ds.study.iitm.ac.in</v>
      </c>
      <c r="F487" s="3">
        <f>COUNTIF('Peer-Review'!B:B,C487)+COUNTIF('Peer-Review'!F:F,C487)</f>
        <v>1</v>
      </c>
      <c r="G487" s="3">
        <f t="shared" si="1"/>
        <v>1</v>
      </c>
      <c r="H487" s="3" t="str">
        <f>IFERROR(__xludf.DUMMYFUNCTION("IFERROR(TRANSPOSE(FILTER('Peer-Review'!$J$2:$J$568,(TRIM('Peer-Review'!$B$2:$B$568)=C487 )+ (TRIM('Peer-Review'!$F$2:$F$568)=C487))),""No Reviews"")"),"23f1001172@ds.study.iitm.ac.in")</f>
        <v>23f1001172@ds.study.iitm.ac.in</v>
      </c>
      <c r="J487" s="3">
        <f>IF(D487="No R1",0,VLOOKUP(C487,'Peer-Review'!B:D,2,0))</f>
        <v>0</v>
      </c>
      <c r="K487" s="3">
        <f>IF(D487="No R1",0,VLOOKUP(C487,'Peer-Review'!B:D,3,0))</f>
        <v>0</v>
      </c>
      <c r="L487" s="3">
        <f>IF(E487="No R2",0,VLOOKUP(C487,'Peer-Review'!F:H,2,0))</f>
        <v>10</v>
      </c>
      <c r="M487" s="3">
        <f>IF(E487="No R2",0,VLOOKUP(C487,'Peer-Review'!F:H,3,0))</f>
        <v>10</v>
      </c>
    </row>
    <row r="488" hidden="1">
      <c r="A488" s="3" t="str">
        <f>IFERROR(__xludf.DUMMYFUNCTION("""COMPUTED_VALUE"""),"23f1001473@ds.study.iitm.ac.in")</f>
        <v>23f1001473@ds.study.iitm.ac.in</v>
      </c>
      <c r="B488" s="3">
        <f>IFERROR(__xludf.DUMMYFUNCTION("""COMPUTED_VALUE"""),14.0)</f>
        <v>14</v>
      </c>
      <c r="C488" s="5" t="str">
        <f>IFERROR(__xludf.DUMMYFUNCTION("""COMPUTED_VALUE"""),"https://github.com/manojp23/TDS-Project-1")</f>
        <v>https://github.com/manojp23/TDS-Project-1</v>
      </c>
      <c r="D488" s="3" t="str">
        <f>IFERROR(VLOOKUP(C488,'Peer-Review'!B:J,9,0),"No R1")</f>
        <v>23f1002078@ds.study.iitm.ac.in</v>
      </c>
      <c r="E488" s="3" t="str">
        <f>IFERROR(VLOOKUP(C488,'Peer-Review'!F:J,5,0),"No R2")</f>
        <v>No R2</v>
      </c>
      <c r="F488" s="3">
        <f>COUNTIF('Peer-Review'!B:B,C488)+COUNTIF('Peer-Review'!F:F,C488)</f>
        <v>2</v>
      </c>
      <c r="G488" s="3">
        <f t="shared" si="1"/>
        <v>1</v>
      </c>
      <c r="H488" s="3" t="str">
        <f>IFERROR(__xludf.DUMMYFUNCTION("IFERROR(TRANSPOSE(FILTER('Peer-Review'!$J$2:$J$568,(TRIM('Peer-Review'!$B$2:$B$568)=C488 )+ (TRIM('Peer-Review'!$F$2:$F$568)=C488))),""No Reviews"")"),"23f1002078@ds.study.iitm.ac.in")</f>
        <v>23f1002078@ds.study.iitm.ac.in</v>
      </c>
      <c r="I488" s="3" t="str">
        <f>IFERROR(__xludf.DUMMYFUNCTION("""COMPUTED_VALUE"""),"23f1001763@ds.study.iitm.ac.in")</f>
        <v>23f1001763@ds.study.iitm.ac.in</v>
      </c>
      <c r="J488" s="3">
        <f>IF(D488="No R1",0,VLOOKUP(C488,'Peer-Review'!B:D,2,0))</f>
        <v>10</v>
      </c>
      <c r="K488" s="3">
        <f>IF(D488="No R1",0,VLOOKUP(C488,'Peer-Review'!B:D,3,0))</f>
        <v>10</v>
      </c>
      <c r="L488" s="3">
        <f>IF(E488="No R2",0,VLOOKUP(C488,'Peer-Review'!F:H,2,0))</f>
        <v>0</v>
      </c>
      <c r="M488" s="3">
        <f>IF(E488="No R2",0,VLOOKUP(C488,'Peer-Review'!F:H,3,0))</f>
        <v>0</v>
      </c>
    </row>
    <row r="489" hidden="1">
      <c r="A489" s="3" t="str">
        <f>IFERROR(__xludf.DUMMYFUNCTION("""COMPUTED_VALUE"""),"23f1001535@ds.study.iitm.ac.in")</f>
        <v>23f1001535@ds.study.iitm.ac.in</v>
      </c>
      <c r="B489" s="3">
        <f>IFERROR(__xludf.DUMMYFUNCTION("""COMPUTED_VALUE"""),13.0)</f>
        <v>13</v>
      </c>
      <c r="C489" s="5" t="str">
        <f>IFERROR(__xludf.DUMMYFUNCTION("""COMPUTED_VALUE"""),"https://github.com/23f1001535/Melbourne_100")</f>
        <v>https://github.com/23f1001535/Melbourne_100</v>
      </c>
      <c r="D489" s="3" t="str">
        <f>IFERROR(VLOOKUP(C489,'Peer-Review'!B:J,9,0),"No R1")</f>
        <v>22f3000626@ds.study.iitm.ac.in</v>
      </c>
      <c r="E489" s="3" t="str">
        <f>IFERROR(VLOOKUP(C489,'Peer-Review'!F:J,5,0),"No R2")</f>
        <v>No R2</v>
      </c>
      <c r="F489" s="3">
        <f>COUNTIF('Peer-Review'!B:B,C489)+COUNTIF('Peer-Review'!F:F,C489)</f>
        <v>1</v>
      </c>
      <c r="G489" s="3">
        <f t="shared" si="1"/>
        <v>1</v>
      </c>
      <c r="H489" s="3" t="str">
        <f>IFERROR(__xludf.DUMMYFUNCTION("IFERROR(TRANSPOSE(FILTER('Peer-Review'!$J$2:$J$568,(TRIM('Peer-Review'!$B$2:$B$568)=C489 )+ (TRIM('Peer-Review'!$F$2:$F$568)=C489))),""No Reviews"")"),"22f3000626@ds.study.iitm.ac.in")</f>
        <v>22f3000626@ds.study.iitm.ac.in</v>
      </c>
      <c r="J489" s="3">
        <f>IF(D489="No R1",0,VLOOKUP(C489,'Peer-Review'!B:D,2,0))</f>
        <v>9</v>
      </c>
      <c r="K489" s="3">
        <f>IF(D489="No R1",0,VLOOKUP(C489,'Peer-Review'!B:D,3,0))</f>
        <v>0</v>
      </c>
      <c r="L489" s="3">
        <f>IF(E489="No R2",0,VLOOKUP(C489,'Peer-Review'!F:H,2,0))</f>
        <v>0</v>
      </c>
      <c r="M489" s="3">
        <f>IF(E489="No R2",0,VLOOKUP(C489,'Peer-Review'!F:H,3,0))</f>
        <v>0</v>
      </c>
    </row>
    <row r="490" hidden="1">
      <c r="A490" s="3" t="str">
        <f>IFERROR(__xludf.DUMMYFUNCTION("""COMPUTED_VALUE"""),"23f1001545@ds.study.iitm.ac.in")</f>
        <v>23f1001545@ds.study.iitm.ac.in</v>
      </c>
      <c r="B490" s="3">
        <f>IFERROR(__xludf.DUMMYFUNCTION("""COMPUTED_VALUE"""),16.0)</f>
        <v>16</v>
      </c>
      <c r="C490" s="5" t="str">
        <f>IFERROR(__xludf.DUMMYFUNCTION("""COMPUTED_VALUE"""),"https://github.com/Aditya647bc/tds1")</f>
        <v>https://github.com/Aditya647bc/tds1</v>
      </c>
      <c r="D490" s="3" t="str">
        <f>IFERROR(VLOOKUP(C490,'Peer-Review'!B:J,9,0),"No R1")</f>
        <v>No R1</v>
      </c>
      <c r="E490" s="3" t="str">
        <f>IFERROR(VLOOKUP(C490,'Peer-Review'!F:J,5,0),"No R2")</f>
        <v>23f1001467@ds.study.iitm.ac.in</v>
      </c>
      <c r="F490" s="3">
        <f>COUNTIF('Peer-Review'!B:B,C490)+COUNTIF('Peer-Review'!F:F,C490)</f>
        <v>2</v>
      </c>
      <c r="G490" s="3">
        <f t="shared" si="1"/>
        <v>1</v>
      </c>
      <c r="H490" s="3" t="str">
        <f>IFERROR(__xludf.DUMMYFUNCTION("IFERROR(TRANSPOSE(FILTER('Peer-Review'!$J$2:$J$568,(TRIM('Peer-Review'!$B$2:$B$568)=C490 )+ (TRIM('Peer-Review'!$F$2:$F$568)=C490))),""No Reviews"")"),"23f1001467@ds.study.iitm.ac.in")</f>
        <v>23f1001467@ds.study.iitm.ac.in</v>
      </c>
      <c r="I490" s="3" t="str">
        <f>IFERROR(__xludf.DUMMYFUNCTION("""COMPUTED_VALUE"""),"23f1001990@ds.study.iitm.ac.in")</f>
        <v>23f1001990@ds.study.iitm.ac.in</v>
      </c>
      <c r="J490" s="3">
        <f>IF(D490="No R1",0,VLOOKUP(C490,'Peer-Review'!B:D,2,0))</f>
        <v>0</v>
      </c>
      <c r="K490" s="3">
        <f>IF(D490="No R1",0,VLOOKUP(C490,'Peer-Review'!B:D,3,0))</f>
        <v>0</v>
      </c>
      <c r="L490" s="3">
        <f>IF(E490="No R2",0,VLOOKUP(C490,'Peer-Review'!F:H,2,0))</f>
        <v>8</v>
      </c>
      <c r="M490" s="3">
        <f>IF(E490="No R2",0,VLOOKUP(C490,'Peer-Review'!F:H,3,0))</f>
        <v>10</v>
      </c>
    </row>
    <row r="491" hidden="1">
      <c r="A491" s="3" t="str">
        <f>IFERROR(__xludf.DUMMYFUNCTION("""COMPUTED_VALUE"""),"23f1001562@ds.study.iitm.ac.in")</f>
        <v>23f1001562@ds.study.iitm.ac.in</v>
      </c>
      <c r="B491" s="3">
        <f>IFERROR(__xludf.DUMMYFUNCTION("""COMPUTED_VALUE"""),17.0)</f>
        <v>17</v>
      </c>
      <c r="C491" s="5" t="str">
        <f>IFERROR(__xludf.DUMMYFUNCTION("""COMPUTED_VALUE"""),"https://github.com/puneeth2907/TDS-Project-1")</f>
        <v>https://github.com/puneeth2907/TDS-Project-1</v>
      </c>
      <c r="D491" s="3" t="str">
        <f>IFERROR(VLOOKUP(C491,'Peer-Review'!B:J,9,0),"No R1")</f>
        <v>No R1</v>
      </c>
      <c r="E491" s="3" t="str">
        <f>IFERROR(VLOOKUP(C491,'Peer-Review'!F:J,5,0),"No R2")</f>
        <v>23f1001418@ds.study.iitm.ac.in</v>
      </c>
      <c r="F491" s="3">
        <f>COUNTIF('Peer-Review'!B:B,C491)+COUNTIF('Peer-Review'!F:F,C491)</f>
        <v>2</v>
      </c>
      <c r="G491" s="3">
        <f t="shared" si="1"/>
        <v>1</v>
      </c>
      <c r="H491" s="3" t="str">
        <f>IFERROR(__xludf.DUMMYFUNCTION("IFERROR(TRANSPOSE(FILTER('Peer-Review'!$J$2:$J$568,(TRIM('Peer-Review'!$B$2:$B$568)=C491 )+ (TRIM('Peer-Review'!$F$2:$F$568)=C491))),""No Reviews"")"),"23f1001418@ds.study.iitm.ac.in")</f>
        <v>23f1001418@ds.study.iitm.ac.in</v>
      </c>
      <c r="I491" s="3" t="str">
        <f>IFERROR(__xludf.DUMMYFUNCTION("""COMPUTED_VALUE"""),"21f3000678@ds.study.iitm.ac.in")</f>
        <v>21f3000678@ds.study.iitm.ac.in</v>
      </c>
      <c r="J491" s="3">
        <f>IF(D491="No R1",0,VLOOKUP(C491,'Peer-Review'!B:D,2,0))</f>
        <v>0</v>
      </c>
      <c r="K491" s="3">
        <f>IF(D491="No R1",0,VLOOKUP(C491,'Peer-Review'!B:D,3,0))</f>
        <v>0</v>
      </c>
      <c r="L491" s="3">
        <f>IF(E491="No R2",0,VLOOKUP(C491,'Peer-Review'!F:H,2,0))</f>
        <v>10</v>
      </c>
      <c r="M491" s="3">
        <f>IF(E491="No R2",0,VLOOKUP(C491,'Peer-Review'!F:H,3,0))</f>
        <v>10</v>
      </c>
    </row>
    <row r="492" hidden="1">
      <c r="A492" s="3" t="str">
        <f>IFERROR(__xludf.DUMMYFUNCTION("""COMPUTED_VALUE"""),"23f1001585@ds.study.iitm.ac.in")</f>
        <v>23f1001585@ds.study.iitm.ac.in</v>
      </c>
      <c r="B492" s="3">
        <f>IFERROR(__xludf.DUMMYFUNCTION("""COMPUTED_VALUE"""),4.0)</f>
        <v>4</v>
      </c>
      <c r="C492" s="5" t="str">
        <f>IFERROR(__xludf.DUMMYFUNCTION("""COMPUTED_VALUE"""),"https://github.com/budhilnigam/TDS-Project1")</f>
        <v>https://github.com/budhilnigam/TDS-Project1</v>
      </c>
      <c r="D492" s="3" t="str">
        <f>IFERROR(VLOOKUP(C492,'Peer-Review'!B:J,9,0),"No R1")</f>
        <v>22f1001615@ds.study.iitm.ac.in</v>
      </c>
      <c r="E492" s="3" t="str">
        <f>IFERROR(VLOOKUP(C492,'Peer-Review'!F:J,5,0),"No R2")</f>
        <v>No R2</v>
      </c>
      <c r="F492" s="3">
        <f>COUNTIF('Peer-Review'!B:B,C492)+COUNTIF('Peer-Review'!F:F,C492)</f>
        <v>1</v>
      </c>
      <c r="G492" s="3">
        <f t="shared" si="1"/>
        <v>1</v>
      </c>
      <c r="H492" s="3" t="str">
        <f>IFERROR(__xludf.DUMMYFUNCTION("IFERROR(TRANSPOSE(FILTER('Peer-Review'!$J$2:$J$568,(TRIM('Peer-Review'!$B$2:$B$568)=C492 )+ (TRIM('Peer-Review'!$F$2:$F$568)=C492))),""No Reviews"")"),"22f1001615@ds.study.iitm.ac.in")</f>
        <v>22f1001615@ds.study.iitm.ac.in</v>
      </c>
      <c r="J492" s="3">
        <f>IF(D492="No R1",0,VLOOKUP(C492,'Peer-Review'!B:D,2,0))</f>
        <v>10</v>
      </c>
      <c r="K492" s="3">
        <f>IF(D492="No R1",0,VLOOKUP(C492,'Peer-Review'!B:D,3,0))</f>
        <v>0</v>
      </c>
      <c r="L492" s="3">
        <f>IF(E492="No R2",0,VLOOKUP(C492,'Peer-Review'!F:H,2,0))</f>
        <v>0</v>
      </c>
      <c r="M492" s="3">
        <f>IF(E492="No R2",0,VLOOKUP(C492,'Peer-Review'!F:H,3,0))</f>
        <v>0</v>
      </c>
    </row>
    <row r="493" hidden="1">
      <c r="A493" s="3" t="str">
        <f>IFERROR(__xludf.DUMMYFUNCTION("""COMPUTED_VALUE"""),"23f1001610@ds.study.iitm.ac.in")</f>
        <v>23f1001610@ds.study.iitm.ac.in</v>
      </c>
      <c r="B493" s="3">
        <f>IFERROR(__xludf.DUMMYFUNCTION("""COMPUTED_VALUE"""),17.0)</f>
        <v>17</v>
      </c>
      <c r="C493" s="5" t="str">
        <f>IFERROR(__xludf.DUMMYFUNCTION("""COMPUTED_VALUE"""),"https://github.com/SravanVullanki/TDSPROJECT1")</f>
        <v>https://github.com/SravanVullanki/TDSPROJECT1</v>
      </c>
      <c r="D493" s="3" t="str">
        <f>IFERROR(VLOOKUP(C493,'Peer-Review'!B:J,9,0),"No R1")</f>
        <v>No R1</v>
      </c>
      <c r="E493" s="3" t="str">
        <f>IFERROR(VLOOKUP(C493,'Peer-Review'!F:J,5,0),"No R2")</f>
        <v>23f1001562@ds.study.iitm.ac.in</v>
      </c>
      <c r="F493" s="3">
        <f>COUNTIF('Peer-Review'!B:B,C493)+COUNTIF('Peer-Review'!F:F,C493)</f>
        <v>1</v>
      </c>
      <c r="G493" s="3">
        <f t="shared" si="1"/>
        <v>1</v>
      </c>
      <c r="H493" s="3" t="str">
        <f>IFERROR(__xludf.DUMMYFUNCTION("IFERROR(TRANSPOSE(FILTER('Peer-Review'!$J$2:$J$568,(TRIM('Peer-Review'!$B$2:$B$568)=C493 )+ (TRIM('Peer-Review'!$F$2:$F$568)=C493))),""No Reviews"")"),"23f1001562@ds.study.iitm.ac.in")</f>
        <v>23f1001562@ds.study.iitm.ac.in</v>
      </c>
      <c r="J493" s="3">
        <f>IF(D493="No R1",0,VLOOKUP(C493,'Peer-Review'!B:D,2,0))</f>
        <v>0</v>
      </c>
      <c r="K493" s="3">
        <f>IF(D493="No R1",0,VLOOKUP(C493,'Peer-Review'!B:D,3,0))</f>
        <v>0</v>
      </c>
      <c r="L493" s="3">
        <f>IF(E493="No R2",0,VLOOKUP(C493,'Peer-Review'!F:H,2,0))</f>
        <v>9</v>
      </c>
      <c r="M493" s="3">
        <f>IF(E493="No R2",0,VLOOKUP(C493,'Peer-Review'!F:H,3,0))</f>
        <v>8</v>
      </c>
    </row>
    <row r="494" hidden="1">
      <c r="A494" s="3" t="str">
        <f>IFERROR(__xludf.DUMMYFUNCTION("""COMPUTED_VALUE"""),"23f1001663@ds.study.iitm.ac.in")</f>
        <v>23f1001663@ds.study.iitm.ac.in</v>
      </c>
      <c r="B494" s="3">
        <f>IFERROR(__xludf.DUMMYFUNCTION("""COMPUTED_VALUE"""),12.0)</f>
        <v>12</v>
      </c>
      <c r="C494" s="5" t="str">
        <f>IFERROR(__xludf.DUMMYFUNCTION("""COMPUTED_VALUE"""),"https://github.com/23f1001663/TDS-QUIZ-1")</f>
        <v>https://github.com/23f1001663/TDS-QUIZ-1</v>
      </c>
      <c r="D494" s="3" t="str">
        <f>IFERROR(VLOOKUP(C494,'Peer-Review'!B:J,9,0),"No R1")</f>
        <v>21f3000243@ds.study.iitm.ac.in</v>
      </c>
      <c r="E494" s="3" t="str">
        <f>IFERROR(VLOOKUP(C494,'Peer-Review'!F:J,5,0),"No R2")</f>
        <v>No R2</v>
      </c>
      <c r="F494" s="3">
        <f>COUNTIF('Peer-Review'!B:B,C494)+COUNTIF('Peer-Review'!F:F,C494)</f>
        <v>1</v>
      </c>
      <c r="G494" s="3">
        <f t="shared" si="1"/>
        <v>1</v>
      </c>
      <c r="H494" s="3" t="str">
        <f>IFERROR(__xludf.DUMMYFUNCTION("IFERROR(TRANSPOSE(FILTER('Peer-Review'!$J$2:$J$568,(TRIM('Peer-Review'!$B$2:$B$568)=C494 )+ (TRIM('Peer-Review'!$F$2:$F$568)=C494))),""No Reviews"")"),"21f3000243@ds.study.iitm.ac.in")</f>
        <v>21f3000243@ds.study.iitm.ac.in</v>
      </c>
      <c r="J494" s="3">
        <f>IF(D494="No R1",0,VLOOKUP(C494,'Peer-Review'!B:D,2,0))</f>
        <v>10</v>
      </c>
      <c r="K494" s="3">
        <f>IF(D494="No R1",0,VLOOKUP(C494,'Peer-Review'!B:D,3,0))</f>
        <v>10</v>
      </c>
      <c r="L494" s="3">
        <f>IF(E494="No R2",0,VLOOKUP(C494,'Peer-Review'!F:H,2,0))</f>
        <v>0</v>
      </c>
      <c r="M494" s="3">
        <f>IF(E494="No R2",0,VLOOKUP(C494,'Peer-Review'!F:H,3,0))</f>
        <v>0</v>
      </c>
    </row>
    <row r="495" hidden="1">
      <c r="A495" s="3" t="str">
        <f>IFERROR(__xludf.DUMMYFUNCTION("""COMPUTED_VALUE"""),"23f1001673@ds.study.iitm.ac.in")</f>
        <v>23f1001673@ds.study.iitm.ac.in</v>
      </c>
      <c r="B495" s="3">
        <f>IFERROR(__xludf.DUMMYFUNCTION("""COMPUTED_VALUE"""),15.0)</f>
        <v>15</v>
      </c>
      <c r="C495" s="5" t="str">
        <f>IFERROR(__xludf.DUMMYFUNCTION("""COMPUTED_VALUE"""),"https://github.com/StuteeP/Project_1")</f>
        <v>https://github.com/StuteeP/Project_1</v>
      </c>
      <c r="D495" s="3" t="str">
        <f>IFERROR(VLOOKUP(C495,'Peer-Review'!B:J,9,0),"No R1")</f>
        <v>23f3001322@ds.study.iitm.ac.in</v>
      </c>
      <c r="E495" s="3" t="str">
        <f>IFERROR(VLOOKUP(C495,'Peer-Review'!F:J,5,0),"No R2")</f>
        <v>No R2</v>
      </c>
      <c r="F495" s="3">
        <f>COUNTIF('Peer-Review'!B:B,C495)+COUNTIF('Peer-Review'!F:F,C495)</f>
        <v>1</v>
      </c>
      <c r="G495" s="3">
        <f t="shared" si="1"/>
        <v>1</v>
      </c>
      <c r="H495" s="3" t="str">
        <f>IFERROR(__xludf.DUMMYFUNCTION("IFERROR(TRANSPOSE(FILTER('Peer-Review'!$J$2:$J$568,(TRIM('Peer-Review'!$B$2:$B$568)=C495 )+ (TRIM('Peer-Review'!$F$2:$F$568)=C495))),""No Reviews"")"),"23f3001322@ds.study.iitm.ac.in")</f>
        <v>23f3001322@ds.study.iitm.ac.in</v>
      </c>
      <c r="J495" s="3">
        <f>IF(D495="No R1",0,VLOOKUP(C495,'Peer-Review'!B:D,2,0))</f>
        <v>10</v>
      </c>
      <c r="K495" s="3">
        <f>IF(D495="No R1",0,VLOOKUP(C495,'Peer-Review'!B:D,3,0))</f>
        <v>10</v>
      </c>
      <c r="L495" s="3">
        <f>IF(E495="No R2",0,VLOOKUP(C495,'Peer-Review'!F:H,2,0))</f>
        <v>0</v>
      </c>
      <c r="M495" s="3">
        <f>IF(E495="No R2",0,VLOOKUP(C495,'Peer-Review'!F:H,3,0))</f>
        <v>0</v>
      </c>
    </row>
    <row r="496" hidden="1">
      <c r="A496" s="3" t="str">
        <f>IFERROR(__xludf.DUMMYFUNCTION("""COMPUTED_VALUE"""),"23f1001705@ds.study.iitm.ac.in")</f>
        <v>23f1001705@ds.study.iitm.ac.in</v>
      </c>
      <c r="B496" s="3">
        <f>IFERROR(__xludf.DUMMYFUNCTION("""COMPUTED_VALUE"""),16.0)</f>
        <v>16</v>
      </c>
      <c r="C496" s="5" t="str">
        <f>IFERROR(__xludf.DUMMYFUNCTION("""COMPUTED_VALUE"""),"https://github.com/Abina-srini/TDS")</f>
        <v>https://github.com/Abina-srini/TDS</v>
      </c>
      <c r="D496" s="3" t="str">
        <f>IFERROR(VLOOKUP(C496,'Peer-Review'!B:J,9,0),"No R1")</f>
        <v>No R1</v>
      </c>
      <c r="E496" s="3" t="str">
        <f>IFERROR(VLOOKUP(C496,'Peer-Review'!F:J,5,0),"No R2")</f>
        <v>23f1001545@ds.study.iitm.ac.in</v>
      </c>
      <c r="F496" s="3">
        <f>COUNTIF('Peer-Review'!B:B,C496)+COUNTIF('Peer-Review'!F:F,C496)</f>
        <v>1</v>
      </c>
      <c r="G496" s="3">
        <f t="shared" si="1"/>
        <v>1</v>
      </c>
      <c r="H496" s="3" t="str">
        <f>IFERROR(__xludf.DUMMYFUNCTION("IFERROR(TRANSPOSE(FILTER('Peer-Review'!$J$2:$J$568,(TRIM('Peer-Review'!$B$2:$B$568)=C496 )+ (TRIM('Peer-Review'!$F$2:$F$568)=C496))),""No Reviews"")"),"23f1001545@ds.study.iitm.ac.in")</f>
        <v>23f1001545@ds.study.iitm.ac.in</v>
      </c>
      <c r="J496" s="3">
        <f>IF(D496="No R1",0,VLOOKUP(C496,'Peer-Review'!B:D,2,0))</f>
        <v>0</v>
      </c>
      <c r="K496" s="3">
        <f>IF(D496="No R1",0,VLOOKUP(C496,'Peer-Review'!B:D,3,0))</f>
        <v>0</v>
      </c>
      <c r="L496" s="3">
        <f>IF(E496="No R2",0,VLOOKUP(C496,'Peer-Review'!F:H,2,0))</f>
        <v>10</v>
      </c>
      <c r="M496" s="3">
        <f>IF(E496="No R2",0,VLOOKUP(C496,'Peer-Review'!F:H,3,0))</f>
        <v>5</v>
      </c>
    </row>
    <row r="497" hidden="1">
      <c r="A497" s="3" t="str">
        <f>IFERROR(__xludf.DUMMYFUNCTION("""COMPUTED_VALUE"""),"23f1001713@ds.study.iitm.ac.in")</f>
        <v>23f1001713@ds.study.iitm.ac.in</v>
      </c>
      <c r="B497" s="3">
        <f>IFERROR(__xludf.DUMMYFUNCTION("""COMPUTED_VALUE"""),13.0)</f>
        <v>13</v>
      </c>
      <c r="C497" s="5" t="str">
        <f>IFERROR(__xludf.DUMMYFUNCTION("""COMPUTED_VALUE"""),"https://github.com/sky-m1618/TDS_project_1")</f>
        <v>https://github.com/sky-m1618/TDS_project_1</v>
      </c>
      <c r="D497" s="3" t="str">
        <f>IFERROR(VLOOKUP(C497,'Peer-Review'!B:J,9,0),"No R1")</f>
        <v>23f1001963@ds.study.iitm.ac.in</v>
      </c>
      <c r="E497" s="3" t="str">
        <f>IFERROR(VLOOKUP(C497,'Peer-Review'!F:J,5,0),"No R2")</f>
        <v>No R2</v>
      </c>
      <c r="F497" s="3">
        <f>COUNTIF('Peer-Review'!B:B,C497)+COUNTIF('Peer-Review'!F:F,C497)</f>
        <v>2</v>
      </c>
      <c r="G497" s="3">
        <f t="shared" si="1"/>
        <v>1</v>
      </c>
      <c r="H497" s="3" t="str">
        <f>IFERROR(__xludf.DUMMYFUNCTION("IFERROR(TRANSPOSE(FILTER('Peer-Review'!$J$2:$J$568,(TRIM('Peer-Review'!$B$2:$B$568)=C497 )+ (TRIM('Peer-Review'!$F$2:$F$568)=C497))),""No Reviews"")"),"23f1001963@ds.study.iitm.ac.in")</f>
        <v>23f1001963@ds.study.iitm.ac.in</v>
      </c>
      <c r="I497" s="3" t="str">
        <f>IFERROR(__xludf.DUMMYFUNCTION("""COMPUTED_VALUE"""),"22f3000817@ds.study.iitm.ac.in")</f>
        <v>22f3000817@ds.study.iitm.ac.in</v>
      </c>
      <c r="J497" s="3">
        <f>IF(D497="No R1",0,VLOOKUP(C497,'Peer-Review'!B:D,2,0))</f>
        <v>5</v>
      </c>
      <c r="K497" s="3">
        <f>IF(D497="No R1",0,VLOOKUP(C497,'Peer-Review'!B:D,3,0))</f>
        <v>0</v>
      </c>
      <c r="L497" s="3">
        <f>IF(E497="No R2",0,VLOOKUP(C497,'Peer-Review'!F:H,2,0))</f>
        <v>0</v>
      </c>
      <c r="M497" s="3">
        <f>IF(E497="No R2",0,VLOOKUP(C497,'Peer-Review'!F:H,3,0))</f>
        <v>0</v>
      </c>
    </row>
    <row r="498" hidden="1">
      <c r="A498" s="3" t="str">
        <f>IFERROR(__xludf.DUMMYFUNCTION("""COMPUTED_VALUE"""),"23f1001734@ds.study.iitm.ac.in")</f>
        <v>23f1001734@ds.study.iitm.ac.in</v>
      </c>
      <c r="B498" s="3">
        <f>IFERROR(__xludf.DUMMYFUNCTION("""COMPUTED_VALUE"""),17.0)</f>
        <v>17</v>
      </c>
      <c r="C498" s="5" t="str">
        <f>IFERROR(__xludf.DUMMYFUNCTION("""COMPUTED_VALUE"""),"https://github.com/imstrk04/TDSProject_1")</f>
        <v>https://github.com/imstrk04/TDSProject_1</v>
      </c>
      <c r="D498" s="3" t="str">
        <f>IFERROR(VLOOKUP(C498,'Peer-Review'!B:J,9,0),"No R1")</f>
        <v>No R1</v>
      </c>
      <c r="E498" s="3" t="str">
        <f>IFERROR(VLOOKUP(C498,'Peer-Review'!F:J,5,0),"No R2")</f>
        <v>23f1001610@ds.study.iitm.ac.in</v>
      </c>
      <c r="F498" s="3">
        <f>COUNTIF('Peer-Review'!B:B,C498)+COUNTIF('Peer-Review'!F:F,C498)</f>
        <v>2</v>
      </c>
      <c r="G498" s="3">
        <f t="shared" si="1"/>
        <v>1</v>
      </c>
      <c r="H498" s="3" t="str">
        <f>IFERROR(__xludf.DUMMYFUNCTION("IFERROR(TRANSPOSE(FILTER('Peer-Review'!$J$2:$J$568,(TRIM('Peer-Review'!$B$2:$B$568)=C498 )+ (TRIM('Peer-Review'!$F$2:$F$568)=C498))),""No Reviews"")"),"23f1001610@ds.study.iitm.ac.in")</f>
        <v>23f1001610@ds.study.iitm.ac.in</v>
      </c>
      <c r="I498" s="3" t="str">
        <f>IFERROR(__xludf.DUMMYFUNCTION("""COMPUTED_VALUE"""),"23f1000776@ds.study.iitm.ac.in")</f>
        <v>23f1000776@ds.study.iitm.ac.in</v>
      </c>
      <c r="J498" s="3">
        <f>IF(D498="No R1",0,VLOOKUP(C498,'Peer-Review'!B:D,2,0))</f>
        <v>0</v>
      </c>
      <c r="K498" s="3">
        <f>IF(D498="No R1",0,VLOOKUP(C498,'Peer-Review'!B:D,3,0))</f>
        <v>0</v>
      </c>
      <c r="L498" s="3">
        <f>IF(E498="No R2",0,VLOOKUP(C498,'Peer-Review'!F:H,2,0))</f>
        <v>10</v>
      </c>
      <c r="M498" s="3">
        <f>IF(E498="No R2",0,VLOOKUP(C498,'Peer-Review'!F:H,3,0))</f>
        <v>10</v>
      </c>
    </row>
    <row r="499" hidden="1">
      <c r="A499" s="3" t="str">
        <f>IFERROR(__xludf.DUMMYFUNCTION("""COMPUTED_VALUE"""),"23f1001747@ds.study.iitm.ac.in")</f>
        <v>23f1001747@ds.study.iitm.ac.in</v>
      </c>
      <c r="B499" s="3">
        <f>IFERROR(__xludf.DUMMYFUNCTION("""COMPUTED_VALUE"""),17.0)</f>
        <v>17</v>
      </c>
      <c r="C499" s="5" t="str">
        <f>IFERROR(__xludf.DUMMYFUNCTION("""COMPUTED_VALUE"""),"https://github.com/Vishu-Ahlawat/tds_p1")</f>
        <v>https://github.com/Vishu-Ahlawat/tds_p1</v>
      </c>
      <c r="D499" s="3" t="str">
        <f>IFERROR(VLOOKUP(C499,'Peer-Review'!B:J,9,0),"No R1")</f>
        <v>No R1</v>
      </c>
      <c r="E499" s="3" t="str">
        <f>IFERROR(VLOOKUP(C499,'Peer-Review'!F:J,5,0),"No R2")</f>
        <v>23f1001734@ds.study.iitm.ac.in</v>
      </c>
      <c r="F499" s="3">
        <f>COUNTIF('Peer-Review'!B:B,C499)+COUNTIF('Peer-Review'!F:F,C499)</f>
        <v>2</v>
      </c>
      <c r="G499" s="3">
        <f t="shared" si="1"/>
        <v>1</v>
      </c>
      <c r="H499" s="3" t="str">
        <f>IFERROR(__xludf.DUMMYFUNCTION("IFERROR(TRANSPOSE(FILTER('Peer-Review'!$J$2:$J$568,(TRIM('Peer-Review'!$B$2:$B$568)=C499 )+ (TRIM('Peer-Review'!$F$2:$F$568)=C499))),""No Reviews"")"),"23f1001734@ds.study.iitm.ac.in")</f>
        <v>23f1001734@ds.study.iitm.ac.in</v>
      </c>
      <c r="I499" s="3" t="str">
        <f>IFERROR(__xludf.DUMMYFUNCTION("""COMPUTED_VALUE"""),"23f1001360@ds.study.iitm.ac.in")</f>
        <v>23f1001360@ds.study.iitm.ac.in</v>
      </c>
      <c r="J499" s="3">
        <f>IF(D499="No R1",0,VLOOKUP(C499,'Peer-Review'!B:D,2,0))</f>
        <v>0</v>
      </c>
      <c r="K499" s="3">
        <f>IF(D499="No R1",0,VLOOKUP(C499,'Peer-Review'!B:D,3,0))</f>
        <v>0</v>
      </c>
      <c r="L499" s="3">
        <f>IF(E499="No R2",0,VLOOKUP(C499,'Peer-Review'!F:H,2,0))</f>
        <v>8</v>
      </c>
      <c r="M499" s="3">
        <f>IF(E499="No R2",0,VLOOKUP(C499,'Peer-Review'!F:H,3,0))</f>
        <v>5</v>
      </c>
    </row>
    <row r="500" hidden="1">
      <c r="A500" s="3" t="str">
        <f>IFERROR(__xludf.DUMMYFUNCTION("""COMPUTED_VALUE"""),"23f1001763@ds.study.iitm.ac.in")</f>
        <v>23f1001763@ds.study.iitm.ac.in</v>
      </c>
      <c r="B500" s="3">
        <f>IFERROR(__xludf.DUMMYFUNCTION("""COMPUTED_VALUE"""),17.0)</f>
        <v>17</v>
      </c>
      <c r="C500" s="5" t="str">
        <f>IFERROR(__xludf.DUMMYFUNCTION("""COMPUTED_VALUE"""),"https://github.com/ShivamS191/hiiii")</f>
        <v>https://github.com/ShivamS191/hiiii</v>
      </c>
      <c r="D500" s="3" t="str">
        <f>IFERROR(VLOOKUP(C500,'Peer-Review'!B:J,9,0),"No R1")</f>
        <v>No R1</v>
      </c>
      <c r="E500" s="3" t="str">
        <f>IFERROR(VLOOKUP(C500,'Peer-Review'!F:J,5,0),"No R2")</f>
        <v>23f1001473@ds.study.iitm.ac.in</v>
      </c>
      <c r="F500" s="3">
        <f>COUNTIF('Peer-Review'!B:B,C500)+COUNTIF('Peer-Review'!F:F,C500)</f>
        <v>1</v>
      </c>
      <c r="G500" s="3">
        <f t="shared" si="1"/>
        <v>1</v>
      </c>
      <c r="H500" s="3" t="str">
        <f>IFERROR(__xludf.DUMMYFUNCTION("IFERROR(TRANSPOSE(FILTER('Peer-Review'!$J$2:$J$568,(TRIM('Peer-Review'!$B$2:$B$568)=C500 )+ (TRIM('Peer-Review'!$F$2:$F$568)=C500))),""No Reviews"")"),"23f1001473@ds.study.iitm.ac.in")</f>
        <v>23f1001473@ds.study.iitm.ac.in</v>
      </c>
      <c r="J500" s="3">
        <f>IF(D500="No R1",0,VLOOKUP(C500,'Peer-Review'!B:D,2,0))</f>
        <v>0</v>
      </c>
      <c r="K500" s="3">
        <f>IF(D500="No R1",0,VLOOKUP(C500,'Peer-Review'!B:D,3,0))</f>
        <v>0</v>
      </c>
      <c r="L500" s="3">
        <f>IF(E500="No R2",0,VLOOKUP(C500,'Peer-Review'!F:H,2,0))</f>
        <v>10</v>
      </c>
      <c r="M500" s="3">
        <f>IF(E500="No R2",0,VLOOKUP(C500,'Peer-Review'!F:H,3,0))</f>
        <v>10</v>
      </c>
    </row>
    <row r="501" hidden="1">
      <c r="A501" s="3" t="str">
        <f>IFERROR(__xludf.DUMMYFUNCTION("""COMPUTED_VALUE"""),"23f1001788@ds.study.iitm.ac.in")</f>
        <v>23f1001788@ds.study.iitm.ac.in</v>
      </c>
      <c r="B501" s="3">
        <f>IFERROR(__xludf.DUMMYFUNCTION("""COMPUTED_VALUE"""),11.0)</f>
        <v>11</v>
      </c>
      <c r="C501" s="5" t="str">
        <f>IFERROR(__xludf.DUMMYFUNCTION("""COMPUTED_VALUE"""),"https://github.com/MAUK9086/TDS_Project1")</f>
        <v>https://github.com/MAUK9086/TDS_Project1</v>
      </c>
      <c r="D501" s="3" t="str">
        <f>IFERROR(VLOOKUP(C501,'Peer-Review'!B:J,9,0),"No R1")</f>
        <v>23f1003128@ds.study.iitm.ac.in</v>
      </c>
      <c r="E501" s="3" t="str">
        <f>IFERROR(VLOOKUP(C501,'Peer-Review'!F:J,5,0),"No R2")</f>
        <v>No R2</v>
      </c>
      <c r="F501" s="3">
        <f>COUNTIF('Peer-Review'!B:B,C501)+COUNTIF('Peer-Review'!F:F,C501)</f>
        <v>2</v>
      </c>
      <c r="G501" s="3">
        <f t="shared" si="1"/>
        <v>1</v>
      </c>
      <c r="H501" s="3" t="str">
        <f>IFERROR(__xludf.DUMMYFUNCTION("IFERROR(TRANSPOSE(FILTER('Peer-Review'!$J$2:$J$568,(TRIM('Peer-Review'!$B$2:$B$568)=C501 )+ (TRIM('Peer-Review'!$F$2:$F$568)=C501))),""No Reviews"")"),"23f1003128@ds.study.iitm.ac.in")</f>
        <v>23f1003128@ds.study.iitm.ac.in</v>
      </c>
      <c r="I501" s="3" t="str">
        <f>IFERROR(__xludf.DUMMYFUNCTION("""COMPUTED_VALUE"""),"24ds2000127@ds.study.iitm.ac.in")</f>
        <v>24ds2000127@ds.study.iitm.ac.in</v>
      </c>
      <c r="J501" s="3">
        <f>IF(D501="No R1",0,VLOOKUP(C501,'Peer-Review'!B:D,2,0))</f>
        <v>9</v>
      </c>
      <c r="K501" s="3">
        <f>IF(D501="No R1",0,VLOOKUP(C501,'Peer-Review'!B:D,3,0))</f>
        <v>10</v>
      </c>
      <c r="L501" s="3">
        <f>IF(E501="No R2",0,VLOOKUP(C501,'Peer-Review'!F:H,2,0))</f>
        <v>0</v>
      </c>
      <c r="M501" s="3">
        <f>IF(E501="No R2",0,VLOOKUP(C501,'Peer-Review'!F:H,3,0))</f>
        <v>0</v>
      </c>
    </row>
    <row r="502" hidden="1">
      <c r="A502" s="3" t="str">
        <f>IFERROR(__xludf.DUMMYFUNCTION("""COMPUTED_VALUE"""),"23f1001832@ds.study.iitm.ac.in")</f>
        <v>23f1001832@ds.study.iitm.ac.in</v>
      </c>
      <c r="B502" s="3">
        <f>IFERROR(__xludf.DUMMYFUNCTION("""COMPUTED_VALUE"""),3.0)</f>
        <v>3</v>
      </c>
      <c r="C502" s="5" t="str">
        <f>IFERROR(__xludf.DUMMYFUNCTION("""COMPUTED_VALUE"""),"https://github.com/ManuIITM-Coder/MOSCOW-50")</f>
        <v>https://github.com/ManuIITM-Coder/MOSCOW-50</v>
      </c>
      <c r="D502" s="3" t="str">
        <f>IFERROR(VLOOKUP(C502,'Peer-Review'!B:J,9,0),"No R1")</f>
        <v>23f2004408@ds.study.iitm.ac.in</v>
      </c>
      <c r="E502" s="3" t="str">
        <f>IFERROR(VLOOKUP(C502,'Peer-Review'!F:J,5,0),"No R2")</f>
        <v>No R2</v>
      </c>
      <c r="F502" s="3">
        <f>COUNTIF('Peer-Review'!B:B,C502)+COUNTIF('Peer-Review'!F:F,C502)</f>
        <v>2</v>
      </c>
      <c r="G502" s="3">
        <f t="shared" si="1"/>
        <v>1</v>
      </c>
      <c r="H502" s="3" t="str">
        <f>IFERROR(__xludf.DUMMYFUNCTION("IFERROR(TRANSPOSE(FILTER('Peer-Review'!$J$2:$J$568,(TRIM('Peer-Review'!$B$2:$B$568)=C502 )+ (TRIM('Peer-Review'!$F$2:$F$568)=C502))),""No Reviews"")"),"23f2004408@ds.study.iitm.ac.in")</f>
        <v>23f2004408@ds.study.iitm.ac.in</v>
      </c>
      <c r="I502" s="3" t="str">
        <f>IFERROR(__xludf.DUMMYFUNCTION("""COMPUTED_VALUE"""),"22f1001210@ds.study.iitm.ac.in")</f>
        <v>22f1001210@ds.study.iitm.ac.in</v>
      </c>
      <c r="J502" s="3">
        <f>IF(D502="No R1",0,VLOOKUP(C502,'Peer-Review'!B:D,2,0))</f>
        <v>0</v>
      </c>
      <c r="K502" s="3">
        <f>IF(D502="No R1",0,VLOOKUP(C502,'Peer-Review'!B:D,3,0))</f>
        <v>0</v>
      </c>
      <c r="L502" s="3">
        <f>IF(E502="No R2",0,VLOOKUP(C502,'Peer-Review'!F:H,2,0))</f>
        <v>0</v>
      </c>
      <c r="M502" s="3">
        <f>IF(E502="No R2",0,VLOOKUP(C502,'Peer-Review'!F:H,3,0))</f>
        <v>0</v>
      </c>
    </row>
    <row r="503" hidden="1">
      <c r="A503" s="3" t="str">
        <f>IFERROR(__xludf.DUMMYFUNCTION("""COMPUTED_VALUE"""),"23f1001880@ds.study.iitm.ac.in")</f>
        <v>23f1001880@ds.study.iitm.ac.in</v>
      </c>
      <c r="B503" s="3">
        <f>IFERROR(__xludf.DUMMYFUNCTION("""COMPUTED_VALUE"""),17.0)</f>
        <v>17</v>
      </c>
      <c r="C503" s="5" t="str">
        <f>IFERROR(__xludf.DUMMYFUNCTION("""COMPUTED_VALUE"""),"https://github.com/IITM-007/Project1/tree/main")</f>
        <v>https://github.com/IITM-007/Project1/tree/main</v>
      </c>
      <c r="D503" s="3" t="str">
        <f>IFERROR(VLOOKUP(C503,'Peer-Review'!B:J,9,0),"No R1")</f>
        <v>No R1</v>
      </c>
      <c r="E503" s="3" t="str">
        <f>IFERROR(VLOOKUP(C503,'Peer-Review'!F:J,5,0),"No R2")</f>
        <v>23f1002078@ds.study.iitm.ac.in</v>
      </c>
      <c r="F503" s="3">
        <f>COUNTIF('Peer-Review'!B:B,C503)+COUNTIF('Peer-Review'!F:F,C503)</f>
        <v>2</v>
      </c>
      <c r="G503" s="3">
        <f t="shared" si="1"/>
        <v>1</v>
      </c>
      <c r="H503" s="3" t="str">
        <f>IFERROR(__xludf.DUMMYFUNCTION("IFERROR(TRANSPOSE(FILTER('Peer-Review'!$J$2:$J$568,(TRIM('Peer-Review'!$B$2:$B$568)=C503 )+ (TRIM('Peer-Review'!$F$2:$F$568)=C503))),""No Reviews"")"),"23f1002078@ds.study.iitm.ac.in")</f>
        <v>23f1002078@ds.study.iitm.ac.in</v>
      </c>
      <c r="I503" s="3" t="str">
        <f>IFERROR(__xludf.DUMMYFUNCTION("""COMPUTED_VALUE"""),"23f1001763@ds.study.iitm.ac.in")</f>
        <v>23f1001763@ds.study.iitm.ac.in</v>
      </c>
      <c r="J503" s="3">
        <f>IF(D503="No R1",0,VLOOKUP(C503,'Peer-Review'!B:D,2,0))</f>
        <v>0</v>
      </c>
      <c r="K503" s="3">
        <f>IF(D503="No R1",0,VLOOKUP(C503,'Peer-Review'!B:D,3,0))</f>
        <v>0</v>
      </c>
      <c r="L503" s="3">
        <f>IF(E503="No R2",0,VLOOKUP(C503,'Peer-Review'!F:H,2,0))</f>
        <v>10</v>
      </c>
      <c r="M503" s="3">
        <f>IF(E503="No R2",0,VLOOKUP(C503,'Peer-Review'!F:H,3,0))</f>
        <v>10</v>
      </c>
    </row>
    <row r="504" hidden="1">
      <c r="A504" s="3" t="str">
        <f>IFERROR(__xludf.DUMMYFUNCTION("""COMPUTED_VALUE"""),"23f1001897@ds.study.iitm.ac.in")</f>
        <v>23f1001897@ds.study.iitm.ac.in</v>
      </c>
      <c r="B504" s="3">
        <f>IFERROR(__xludf.DUMMYFUNCTION("""COMPUTED_VALUE"""),17.0)</f>
        <v>17</v>
      </c>
      <c r="C504" s="5" t="str">
        <f>IFERROR(__xludf.DUMMYFUNCTION("""COMPUTED_VALUE"""),"https://github.com/mfzlur/tds-iitm-project1")</f>
        <v>https://github.com/mfzlur/tds-iitm-project1</v>
      </c>
      <c r="D504" s="3" t="str">
        <f>IFERROR(VLOOKUP(C504,'Peer-Review'!B:J,9,0),"No R1")</f>
        <v>No R1</v>
      </c>
      <c r="E504" s="3" t="str">
        <f>IFERROR(VLOOKUP(C504,'Peer-Review'!F:J,5,0),"No R2")</f>
        <v>23f1001880@ds.study.iitm.ac.in</v>
      </c>
      <c r="F504" s="3">
        <f>COUNTIF('Peer-Review'!B:B,C504)+COUNTIF('Peer-Review'!F:F,C504)</f>
        <v>2</v>
      </c>
      <c r="G504" s="3">
        <f t="shared" si="1"/>
        <v>1</v>
      </c>
      <c r="H504" s="3" t="str">
        <f>IFERROR(__xludf.DUMMYFUNCTION("IFERROR(TRANSPOSE(FILTER('Peer-Review'!$J$2:$J$568,(TRIM('Peer-Review'!$B$2:$B$568)=C504 )+ (TRIM('Peer-Review'!$F$2:$F$568)=C504))),""No Reviews"")"),"23f1001880@ds.study.iitm.ac.in")</f>
        <v>23f1001880@ds.study.iitm.ac.in</v>
      </c>
      <c r="I504" s="3" t="str">
        <f>IFERROR(__xludf.DUMMYFUNCTION("""COMPUTED_VALUE"""),"23f1002829@ds.study.iitm.ac.in")</f>
        <v>23f1002829@ds.study.iitm.ac.in</v>
      </c>
      <c r="J504" s="3">
        <f>IF(D504="No R1",0,VLOOKUP(C504,'Peer-Review'!B:D,2,0))</f>
        <v>0</v>
      </c>
      <c r="K504" s="3">
        <f>IF(D504="No R1",0,VLOOKUP(C504,'Peer-Review'!B:D,3,0))</f>
        <v>0</v>
      </c>
      <c r="L504" s="3">
        <f>IF(E504="No R2",0,VLOOKUP(C504,'Peer-Review'!F:H,2,0))</f>
        <v>10</v>
      </c>
      <c r="M504" s="3">
        <f>IF(E504="No R2",0,VLOOKUP(C504,'Peer-Review'!F:H,3,0))</f>
        <v>10</v>
      </c>
    </row>
    <row r="505" hidden="1">
      <c r="A505" s="3" t="str">
        <f>IFERROR(__xludf.DUMMYFUNCTION("""COMPUTED_VALUE"""),"23f1001898@ds.study.iitm.ac.in")</f>
        <v>23f1001898@ds.study.iitm.ac.in</v>
      </c>
      <c r="B505" s="3">
        <f>IFERROR(__xludf.DUMMYFUNCTION("""COMPUTED_VALUE"""),12.0)</f>
        <v>12</v>
      </c>
      <c r="C505" s="5" t="str">
        <f>IFERROR(__xludf.DUMMYFUNCTION("""COMPUTED_VALUE"""),"https://github.com/Omkar-pawar1/TDS-PROJECT-1")</f>
        <v>https://github.com/Omkar-pawar1/TDS-PROJECT-1</v>
      </c>
      <c r="D505" s="3" t="str">
        <f>IFERROR(VLOOKUP(C505,'Peer-Review'!B:J,9,0),"No R1")</f>
        <v>21f3000331@ds.study.iitm.ac.in</v>
      </c>
      <c r="E505" s="3" t="str">
        <f>IFERROR(VLOOKUP(C505,'Peer-Review'!F:J,5,0),"No R2")</f>
        <v>No R2</v>
      </c>
      <c r="F505" s="3">
        <f>COUNTIF('Peer-Review'!B:B,C505)+COUNTIF('Peer-Review'!F:F,C505)</f>
        <v>1</v>
      </c>
      <c r="G505" s="3">
        <f t="shared" si="1"/>
        <v>1</v>
      </c>
      <c r="H505" s="3" t="str">
        <f>IFERROR(__xludf.DUMMYFUNCTION("IFERROR(TRANSPOSE(FILTER('Peer-Review'!$J$2:$J$568,(TRIM('Peer-Review'!$B$2:$B$568)=C505 )+ (TRIM('Peer-Review'!$F$2:$F$568)=C505))),""No Reviews"")"),"21f3000331@ds.study.iitm.ac.in")</f>
        <v>21f3000331@ds.study.iitm.ac.in</v>
      </c>
      <c r="J505" s="3">
        <f>IF(D505="No R1",0,VLOOKUP(C505,'Peer-Review'!B:D,2,0))</f>
        <v>1</v>
      </c>
      <c r="K505" s="3">
        <f>IF(D505="No R1",0,VLOOKUP(C505,'Peer-Review'!B:D,3,0))</f>
        <v>0</v>
      </c>
      <c r="L505" s="3">
        <f>IF(E505="No R2",0,VLOOKUP(C505,'Peer-Review'!F:H,2,0))</f>
        <v>0</v>
      </c>
      <c r="M505" s="3">
        <f>IF(E505="No R2",0,VLOOKUP(C505,'Peer-Review'!F:H,3,0))</f>
        <v>0</v>
      </c>
    </row>
    <row r="506" hidden="1">
      <c r="A506" s="3" t="str">
        <f>IFERROR(__xludf.DUMMYFUNCTION("""COMPUTED_VALUE"""),"23f1001901@ds.study.iitm.ac.in")</f>
        <v>23f1001901@ds.study.iitm.ac.in</v>
      </c>
      <c r="B506" s="3">
        <f>IFERROR(__xludf.DUMMYFUNCTION("""COMPUTED_VALUE"""),17.0)</f>
        <v>17</v>
      </c>
      <c r="C506" s="5" t="str">
        <f>IFERROR(__xludf.DUMMYFUNCTION("""COMPUTED_VALUE"""),"https://github.com/akulbansal1/TDS_Project_1")</f>
        <v>https://github.com/akulbansal1/TDS_Project_1</v>
      </c>
      <c r="D506" s="3" t="str">
        <f>IFERROR(VLOOKUP(C506,'Peer-Review'!B:J,9,0),"No R1")</f>
        <v>No R1</v>
      </c>
      <c r="E506" s="3" t="str">
        <f>IFERROR(VLOOKUP(C506,'Peer-Review'!F:J,5,0),"No R2")</f>
        <v>23f1001897@ds.study.iitm.ac.in</v>
      </c>
      <c r="F506" s="3">
        <f>COUNTIF('Peer-Review'!B:B,C506)+COUNTIF('Peer-Review'!F:F,C506)</f>
        <v>2</v>
      </c>
      <c r="G506" s="3">
        <f t="shared" si="1"/>
        <v>1</v>
      </c>
      <c r="H506" s="3" t="str">
        <f>IFERROR(__xludf.DUMMYFUNCTION("IFERROR(TRANSPOSE(FILTER('Peer-Review'!$J$2:$J$568,(TRIM('Peer-Review'!$B$2:$B$568)=C506 )+ (TRIM('Peer-Review'!$F$2:$F$568)=C506))),""No Reviews"")"),"23f1001897@ds.study.iitm.ac.in")</f>
        <v>23f1001897@ds.study.iitm.ac.in</v>
      </c>
      <c r="I506" s="3" t="str">
        <f>IFERROR(__xludf.DUMMYFUNCTION("""COMPUTED_VALUE"""),"23f1002938@ds.study.iitm.ac.in")</f>
        <v>23f1002938@ds.study.iitm.ac.in</v>
      </c>
      <c r="J506" s="3">
        <f>IF(D506="No R1",0,VLOOKUP(C506,'Peer-Review'!B:D,2,0))</f>
        <v>0</v>
      </c>
      <c r="K506" s="3">
        <f>IF(D506="No R1",0,VLOOKUP(C506,'Peer-Review'!B:D,3,0))</f>
        <v>0</v>
      </c>
      <c r="L506" s="3">
        <f>IF(E506="No R2",0,VLOOKUP(C506,'Peer-Review'!F:H,2,0))</f>
        <v>10</v>
      </c>
      <c r="M506" s="3">
        <f>IF(E506="No R2",0,VLOOKUP(C506,'Peer-Review'!F:H,3,0))</f>
        <v>5</v>
      </c>
    </row>
    <row r="507" hidden="1">
      <c r="A507" s="3" t="str">
        <f>IFERROR(__xludf.DUMMYFUNCTION("""COMPUTED_VALUE"""),"23f1001947@ds.study.iitm.ac.in")</f>
        <v>23f1001947@ds.study.iitm.ac.in</v>
      </c>
      <c r="B507" s="3">
        <f>IFERROR(__xludf.DUMMYFUNCTION("""COMPUTED_VALUE"""),17.0)</f>
        <v>17</v>
      </c>
      <c r="C507" s="5" t="str">
        <f>IFERROR(__xludf.DUMMYFUNCTION("""COMPUTED_VALUE"""),"https://github.com/amittkulkarni/tds-project-1")</f>
        <v>https://github.com/amittkulkarni/tds-project-1</v>
      </c>
      <c r="D507" s="3" t="str">
        <f>IFERROR(VLOOKUP(C507,'Peer-Review'!B:J,9,0),"No R1")</f>
        <v>No R1</v>
      </c>
      <c r="E507" s="3" t="str">
        <f>IFERROR(VLOOKUP(C507,'Peer-Review'!F:J,5,0),"No R2")</f>
        <v>23f1001901@ds.study.iitm.ac.in</v>
      </c>
      <c r="F507" s="3">
        <f>COUNTIF('Peer-Review'!B:B,C507)+COUNTIF('Peer-Review'!F:F,C507)</f>
        <v>2</v>
      </c>
      <c r="G507" s="3">
        <f t="shared" si="1"/>
        <v>1</v>
      </c>
      <c r="H507" s="3" t="str">
        <f>IFERROR(__xludf.DUMMYFUNCTION("IFERROR(TRANSPOSE(FILTER('Peer-Review'!$J$2:$J$568,(TRIM('Peer-Review'!$B$2:$B$568)=C507 )+ (TRIM('Peer-Review'!$F$2:$F$568)=C507))),""No Reviews"")"),"23f1001901@ds.study.iitm.ac.in")</f>
        <v>23f1001901@ds.study.iitm.ac.in</v>
      </c>
      <c r="I507" s="3" t="str">
        <f>IFERROR(__xludf.DUMMYFUNCTION("""COMPUTED_VALUE"""),"23f1003039@ds.study.iitm.ac.in")</f>
        <v>23f1003039@ds.study.iitm.ac.in</v>
      </c>
      <c r="J507" s="3">
        <f>IF(D507="No R1",0,VLOOKUP(C507,'Peer-Review'!B:D,2,0))</f>
        <v>0</v>
      </c>
      <c r="K507" s="3">
        <f>IF(D507="No R1",0,VLOOKUP(C507,'Peer-Review'!B:D,3,0))</f>
        <v>0</v>
      </c>
      <c r="L507" s="3">
        <f>IF(E507="No R2",0,VLOOKUP(C507,'Peer-Review'!F:H,2,0))</f>
        <v>10</v>
      </c>
      <c r="M507" s="3">
        <f>IF(E507="No R2",0,VLOOKUP(C507,'Peer-Review'!F:H,3,0))</f>
        <v>10</v>
      </c>
    </row>
    <row r="508" hidden="1">
      <c r="A508" s="3" t="str">
        <f>IFERROR(__xludf.DUMMYFUNCTION("""COMPUTED_VALUE"""),"23f1001963@ds.study.iitm.ac.in")</f>
        <v>23f1001963@ds.study.iitm.ac.in</v>
      </c>
      <c r="B508" s="3">
        <f>IFERROR(__xludf.DUMMYFUNCTION("""COMPUTED_VALUE"""),13.0)</f>
        <v>13</v>
      </c>
      <c r="C508" s="5" t="str">
        <f>IFERROR(__xludf.DUMMYFUNCTION("""COMPUTED_VALUE"""),"https://github.com/Kushagra-IITM/TDS1_23f1001963")</f>
        <v>https://github.com/Kushagra-IITM/TDS1_23f1001963</v>
      </c>
      <c r="D508" s="3" t="str">
        <f>IFERROR(VLOOKUP(C508,'Peer-Review'!B:J,9,0),"No R1")</f>
        <v>22f3000823@ds.study.iitm.ac.in</v>
      </c>
      <c r="E508" s="3" t="str">
        <f>IFERROR(VLOOKUP(C508,'Peer-Review'!F:J,5,0),"No R2")</f>
        <v>No R2</v>
      </c>
      <c r="F508" s="3">
        <f>COUNTIF('Peer-Review'!B:B,C508)+COUNTIF('Peer-Review'!F:F,C508)</f>
        <v>2</v>
      </c>
      <c r="G508" s="3">
        <f t="shared" si="1"/>
        <v>1</v>
      </c>
      <c r="H508" s="3" t="str">
        <f>IFERROR(__xludf.DUMMYFUNCTION("IFERROR(TRANSPOSE(FILTER('Peer-Review'!$J$2:$J$568,(TRIM('Peer-Review'!$B$2:$B$568)=C508 )+ (TRIM('Peer-Review'!$F$2:$F$568)=C508))),""No Reviews"")"),"22f3000823@ds.study.iitm.ac.in")</f>
        <v>22f3000823@ds.study.iitm.ac.in</v>
      </c>
      <c r="I508" s="3" t="str">
        <f>IFERROR(__xludf.DUMMYFUNCTION("""COMPUTED_VALUE"""),"23f1001991@ds.study.iitm.ac.in")</f>
        <v>23f1001991@ds.study.iitm.ac.in</v>
      </c>
      <c r="J508" s="3">
        <f>IF(D508="No R1",0,VLOOKUP(C508,'Peer-Review'!B:D,2,0))</f>
        <v>7</v>
      </c>
      <c r="K508" s="3">
        <f>IF(D508="No R1",0,VLOOKUP(C508,'Peer-Review'!B:D,3,0))</f>
        <v>9</v>
      </c>
      <c r="L508" s="3">
        <f>IF(E508="No R2",0,VLOOKUP(C508,'Peer-Review'!F:H,2,0))</f>
        <v>0</v>
      </c>
      <c r="M508" s="3">
        <f>IF(E508="No R2",0,VLOOKUP(C508,'Peer-Review'!F:H,3,0))</f>
        <v>0</v>
      </c>
    </row>
    <row r="509" hidden="1">
      <c r="A509" s="3" t="str">
        <f>IFERROR(__xludf.DUMMYFUNCTION("""COMPUTED_VALUE"""),"23f1001975@ds.study.iitm.ac.in")</f>
        <v>23f1001975@ds.study.iitm.ac.in</v>
      </c>
      <c r="B509" s="3">
        <f>IFERROR(__xludf.DUMMYFUNCTION("""COMPUTED_VALUE"""),8.0)</f>
        <v>8</v>
      </c>
      <c r="C509" s="5" t="str">
        <f>IFERROR(__xludf.DUMMYFUNCTION("""COMPUTED_VALUE"""),"https://github.com/shivyatripathi2604/TDS")</f>
        <v>https://github.com/shivyatripathi2604/TDS</v>
      </c>
      <c r="D509" s="3" t="str">
        <f>IFERROR(VLOOKUP(C509,'Peer-Review'!B:J,9,0),"No R1")</f>
        <v>22f3001210@ds.study.iitm.ac.in</v>
      </c>
      <c r="E509" s="3" t="str">
        <f>IFERROR(VLOOKUP(C509,'Peer-Review'!F:J,5,0),"No R2")</f>
        <v>No R2</v>
      </c>
      <c r="F509" s="3">
        <f>COUNTIF('Peer-Review'!B:B,C509)+COUNTIF('Peer-Review'!F:F,C509)</f>
        <v>2</v>
      </c>
      <c r="G509" s="3">
        <f t="shared" si="1"/>
        <v>1</v>
      </c>
      <c r="H509" s="3" t="str">
        <f>IFERROR(__xludf.DUMMYFUNCTION("IFERROR(TRANSPOSE(FILTER('Peer-Review'!$J$2:$J$568,(TRIM('Peer-Review'!$B$2:$B$568)=C509 )+ (TRIM('Peer-Review'!$F$2:$F$568)=C509))),""No Reviews"")"),"22f3001210@ds.study.iitm.ac.in")</f>
        <v>22f3001210@ds.study.iitm.ac.in</v>
      </c>
      <c r="I509" s="3" t="str">
        <f>IFERROR(__xludf.DUMMYFUNCTION("""COMPUTED_VALUE"""),"23f1002620@ds.study.iitm.ac.in")</f>
        <v>23f1002620@ds.study.iitm.ac.in</v>
      </c>
      <c r="J509" s="3">
        <f>IF(D509="No R1",0,VLOOKUP(C509,'Peer-Review'!B:D,2,0))</f>
        <v>0</v>
      </c>
      <c r="K509" s="3">
        <f>IF(D509="No R1",0,VLOOKUP(C509,'Peer-Review'!B:D,3,0))</f>
        <v>0</v>
      </c>
      <c r="L509" s="3">
        <f>IF(E509="No R2",0,VLOOKUP(C509,'Peer-Review'!F:H,2,0))</f>
        <v>0</v>
      </c>
      <c r="M509" s="3">
        <f>IF(E509="No R2",0,VLOOKUP(C509,'Peer-Review'!F:H,3,0))</f>
        <v>0</v>
      </c>
    </row>
    <row r="510" hidden="1">
      <c r="A510" s="3" t="str">
        <f>IFERROR(__xludf.DUMMYFUNCTION("""COMPUTED_VALUE"""),"23f1001990@ds.study.iitm.ac.in")</f>
        <v>23f1001990@ds.study.iitm.ac.in</v>
      </c>
      <c r="B510" s="3">
        <f>IFERROR(__xludf.DUMMYFUNCTION("""COMPUTED_VALUE"""),10.0)</f>
        <v>10</v>
      </c>
      <c r="C510" s="5" t="str">
        <f>IFERROR(__xludf.DUMMYFUNCTION("""COMPUTED_VALUE"""),"https://github.com/Preetham15092004/Hyderabad-GitHub-Users")</f>
        <v>https://github.com/Preetham15092004/Hyderabad-GitHub-Users</v>
      </c>
      <c r="D510" s="3" t="str">
        <f>IFERROR(VLOOKUP(C510,'Peer-Review'!B:J,9,0),"No R1")</f>
        <v>23f1001545@ds.study.iitm.ac.in</v>
      </c>
      <c r="E510" s="3" t="str">
        <f>IFERROR(VLOOKUP(C510,'Peer-Review'!F:J,5,0),"No R2")</f>
        <v>No R2</v>
      </c>
      <c r="F510" s="3">
        <f>COUNTIF('Peer-Review'!B:B,C510)+COUNTIF('Peer-Review'!F:F,C510)</f>
        <v>1</v>
      </c>
      <c r="G510" s="3">
        <f t="shared" si="1"/>
        <v>1</v>
      </c>
      <c r="H510" s="3" t="str">
        <f>IFERROR(__xludf.DUMMYFUNCTION("IFERROR(TRANSPOSE(FILTER('Peer-Review'!$J$2:$J$568,(TRIM('Peer-Review'!$B$2:$B$568)=C510 )+ (TRIM('Peer-Review'!$F$2:$F$568)=C510))),""No Reviews"")"),"23f1001545@ds.study.iitm.ac.in")</f>
        <v>23f1001545@ds.study.iitm.ac.in</v>
      </c>
      <c r="J510" s="3">
        <f>IF(D510="No R1",0,VLOOKUP(C510,'Peer-Review'!B:D,2,0))</f>
        <v>5</v>
      </c>
      <c r="K510" s="3">
        <f>IF(D510="No R1",0,VLOOKUP(C510,'Peer-Review'!B:D,3,0))</f>
        <v>0</v>
      </c>
      <c r="L510" s="3">
        <f>IF(E510="No R2",0,VLOOKUP(C510,'Peer-Review'!F:H,2,0))</f>
        <v>0</v>
      </c>
      <c r="M510" s="3">
        <f>IF(E510="No R2",0,VLOOKUP(C510,'Peer-Review'!F:H,3,0))</f>
        <v>0</v>
      </c>
    </row>
    <row r="511" hidden="1">
      <c r="A511" s="3" t="str">
        <f>IFERROR(__xludf.DUMMYFUNCTION("""COMPUTED_VALUE"""),"23f1001991@ds.study.iitm.ac.in")</f>
        <v>23f1001991@ds.study.iitm.ac.in</v>
      </c>
      <c r="B511" s="3">
        <f>IFERROR(__xludf.DUMMYFUNCTION("""COMPUTED_VALUE"""),13.0)</f>
        <v>13</v>
      </c>
      <c r="C511" s="5" t="str">
        <f>IFERROR(__xludf.DUMMYFUNCTION("""COMPUTED_VALUE"""),"https://github.com/Rajat1164/tdsproject")</f>
        <v>https://github.com/Rajat1164/tdsproject</v>
      </c>
      <c r="D511" s="3" t="str">
        <f>IFERROR(VLOOKUP(C511,'Peer-Review'!B:J,9,0),"No R1")</f>
        <v>23f1002092@ds.study.iitm.ac.in</v>
      </c>
      <c r="E511" s="3" t="str">
        <f>IFERROR(VLOOKUP(C511,'Peer-Review'!F:J,5,0),"No R2")</f>
        <v>No R2</v>
      </c>
      <c r="F511" s="3">
        <f>COUNTIF('Peer-Review'!B:B,C511)+COUNTIF('Peer-Review'!F:F,C511)</f>
        <v>2</v>
      </c>
      <c r="G511" s="3">
        <f t="shared" si="1"/>
        <v>1</v>
      </c>
      <c r="H511" s="3" t="str">
        <f>IFERROR(__xludf.DUMMYFUNCTION("IFERROR(TRANSPOSE(FILTER('Peer-Review'!$J$2:$J$568,(TRIM('Peer-Review'!$B$2:$B$568)=C511 )+ (TRIM('Peer-Review'!$F$2:$F$568)=C511))),""No Reviews"")"),"23f1002092@ds.study.iitm.ac.in")</f>
        <v>23f1002092@ds.study.iitm.ac.in</v>
      </c>
      <c r="I511" s="3" t="str">
        <f>IFERROR(__xludf.DUMMYFUNCTION("""COMPUTED_VALUE"""),"22f3000892@ds.study.iitm.ac.in")</f>
        <v>22f3000892@ds.study.iitm.ac.in</v>
      </c>
      <c r="J511" s="3">
        <f>IF(D511="No R1",0,VLOOKUP(C511,'Peer-Review'!B:D,2,0))</f>
        <v>8</v>
      </c>
      <c r="K511" s="3">
        <f>IF(D511="No R1",0,VLOOKUP(C511,'Peer-Review'!B:D,3,0))</f>
        <v>10</v>
      </c>
      <c r="L511" s="3">
        <f>IF(E511="No R2",0,VLOOKUP(C511,'Peer-Review'!F:H,2,0))</f>
        <v>0</v>
      </c>
      <c r="M511" s="3">
        <f>IF(E511="No R2",0,VLOOKUP(C511,'Peer-Review'!F:H,3,0))</f>
        <v>0</v>
      </c>
    </row>
    <row r="512" hidden="1">
      <c r="A512" s="3" t="str">
        <f>IFERROR(__xludf.DUMMYFUNCTION("""COMPUTED_VALUE"""),"23f1001992@ds.study.iitm.ac.in")</f>
        <v>23f1001992@ds.study.iitm.ac.in</v>
      </c>
      <c r="B512" s="3">
        <f>IFERROR(__xludf.DUMMYFUNCTION("""COMPUTED_VALUE"""),17.0)</f>
        <v>17</v>
      </c>
      <c r="C512" s="5" t="str">
        <f>IFERROR(__xludf.DUMMYFUNCTION("""COMPUTED_VALUE"""),"https://github.com/Karthikey2003/tdsproj1")</f>
        <v>https://github.com/Karthikey2003/tdsproj1</v>
      </c>
      <c r="D512" s="3" t="str">
        <f>IFERROR(VLOOKUP(C512,'Peer-Review'!B:J,9,0),"No R1")</f>
        <v>23f1001947@ds.study.iitm.ac.in</v>
      </c>
      <c r="E512" s="3" t="str">
        <f>IFERROR(VLOOKUP(C512,'Peer-Review'!F:J,5,0),"No R2")</f>
        <v>23f2000319@ds.study.iitm.ac.in</v>
      </c>
      <c r="F512" s="3">
        <f>COUNTIF('Peer-Review'!B:B,C512)+COUNTIF('Peer-Review'!F:F,C512)</f>
        <v>2</v>
      </c>
      <c r="G512" s="3">
        <f t="shared" si="1"/>
        <v>2</v>
      </c>
      <c r="H512" s="3" t="str">
        <f>IFERROR(__xludf.DUMMYFUNCTION("IFERROR(TRANSPOSE(FILTER('Peer-Review'!$J$2:$J$568,(TRIM('Peer-Review'!$B$2:$B$568)=C512 )+ (TRIM('Peer-Review'!$F$2:$F$568)=C512))),""No Reviews"")"),"23f1001947@ds.study.iitm.ac.in")</f>
        <v>23f1001947@ds.study.iitm.ac.in</v>
      </c>
      <c r="I512" s="3" t="str">
        <f>IFERROR(__xludf.DUMMYFUNCTION("""COMPUTED_VALUE"""),"23f2000319@ds.study.iitm.ac.in")</f>
        <v>23f2000319@ds.study.iitm.ac.in</v>
      </c>
      <c r="J512" s="3">
        <f>IF(D512="No R1",0,VLOOKUP(C512,'Peer-Review'!B:D,2,0))</f>
        <v>10</v>
      </c>
      <c r="K512" s="3">
        <f>IF(D512="No R1",0,VLOOKUP(C512,'Peer-Review'!B:D,3,0))</f>
        <v>10</v>
      </c>
      <c r="L512" s="3">
        <f>IF(E512="No R2",0,VLOOKUP(C512,'Peer-Review'!F:H,2,0))</f>
        <v>10</v>
      </c>
      <c r="M512" s="3">
        <f>IF(E512="No R2",0,VLOOKUP(C512,'Peer-Review'!F:H,3,0))</f>
        <v>10</v>
      </c>
    </row>
    <row r="513" hidden="1">
      <c r="A513" s="3" t="str">
        <f>IFERROR(__xludf.DUMMYFUNCTION("""COMPUTED_VALUE"""),"23f1002016@ds.study.iitm.ac.in")</f>
        <v>23f1002016@ds.study.iitm.ac.in</v>
      </c>
      <c r="B513" s="3">
        <f>IFERROR(__xludf.DUMMYFUNCTION("""COMPUTED_VALUE"""),17.0)</f>
        <v>17</v>
      </c>
      <c r="C513" s="5" t="str">
        <f>IFERROR(__xludf.DUMMYFUNCTION("""COMPUTED_VALUE"""),"https://github.com/IIT-JRV/IIT/tree/main")</f>
        <v>https://github.com/IIT-JRV/IIT/tree/main</v>
      </c>
      <c r="D513" s="3" t="str">
        <f>IFERROR(VLOOKUP(C513,'Peer-Review'!B:J,9,0),"No R1")</f>
        <v>23f1001992@ds.study.iitm.ac.in</v>
      </c>
      <c r="E513" s="3" t="str">
        <f>IFERROR(VLOOKUP(C513,'Peer-Review'!F:J,5,0),"No R2")</f>
        <v>23f2000902@ds.study.iitm.ac.in</v>
      </c>
      <c r="F513" s="3">
        <f>COUNTIF('Peer-Review'!B:B,C513)+COUNTIF('Peer-Review'!F:F,C513)</f>
        <v>2</v>
      </c>
      <c r="G513" s="3">
        <f t="shared" si="1"/>
        <v>2</v>
      </c>
      <c r="H513" s="3" t="str">
        <f>IFERROR(__xludf.DUMMYFUNCTION("IFERROR(TRANSPOSE(FILTER('Peer-Review'!$J$2:$J$568,(TRIM('Peer-Review'!$B$2:$B$568)=C513 )+ (TRIM('Peer-Review'!$F$2:$F$568)=C513))),""No Reviews"")"),"23f1001992@ds.study.iitm.ac.in")</f>
        <v>23f1001992@ds.study.iitm.ac.in</v>
      </c>
      <c r="I513" s="3" t="str">
        <f>IFERROR(__xludf.DUMMYFUNCTION("""COMPUTED_VALUE"""),"23f2000902@ds.study.iitm.ac.in")</f>
        <v>23f2000902@ds.study.iitm.ac.in</v>
      </c>
      <c r="J513" s="3">
        <f>IF(D513="No R1",0,VLOOKUP(C513,'Peer-Review'!B:D,2,0))</f>
        <v>10</v>
      </c>
      <c r="K513" s="3">
        <f>IF(D513="No R1",0,VLOOKUP(C513,'Peer-Review'!B:D,3,0))</f>
        <v>4</v>
      </c>
      <c r="L513" s="3">
        <f>IF(E513="No R2",0,VLOOKUP(C513,'Peer-Review'!F:H,2,0))</f>
        <v>9</v>
      </c>
      <c r="M513" s="3">
        <f>IF(E513="No R2",0,VLOOKUP(C513,'Peer-Review'!F:H,3,0))</f>
        <v>10</v>
      </c>
    </row>
    <row r="514" hidden="1">
      <c r="A514" s="3" t="str">
        <f>IFERROR(__xludf.DUMMYFUNCTION("""COMPUTED_VALUE"""),"23f1002044@ds.study.iitm.ac.in")</f>
        <v>23f1002044@ds.study.iitm.ac.in</v>
      </c>
      <c r="B514" s="3">
        <f>IFERROR(__xludf.DUMMYFUNCTION("""COMPUTED_VALUE"""),17.0)</f>
        <v>17</v>
      </c>
      <c r="C514" s="5" t="str">
        <f>IFERROR(__xludf.DUMMYFUNCTION("""COMPUTED_VALUE"""),"https://github.com/Dnyan-iitm/TDS-Project1")</f>
        <v>https://github.com/Dnyan-iitm/TDS-Project1</v>
      </c>
      <c r="D514" s="3" t="str">
        <f>IFERROR(VLOOKUP(C514,'Peer-Review'!B:J,9,0),"No R1")</f>
        <v>No R1</v>
      </c>
      <c r="E514" s="3" t="str">
        <f>IFERROR(VLOOKUP(C514,'Peer-Review'!F:J,5,0),"No R2")</f>
        <v>23f1002016@ds.study.iitm.ac.in</v>
      </c>
      <c r="F514" s="3">
        <f>COUNTIF('Peer-Review'!B:B,C514)+COUNTIF('Peer-Review'!F:F,C514)</f>
        <v>1</v>
      </c>
      <c r="G514" s="3">
        <f t="shared" si="1"/>
        <v>1</v>
      </c>
      <c r="H514" s="3" t="str">
        <f>IFERROR(__xludf.DUMMYFUNCTION("IFERROR(TRANSPOSE(FILTER('Peer-Review'!$J$2:$J$568,(TRIM('Peer-Review'!$B$2:$B$568)=C514 )+ (TRIM('Peer-Review'!$F$2:$F$568)=C514))),""No Reviews"")"),"23f1002016@ds.study.iitm.ac.in")</f>
        <v>23f1002016@ds.study.iitm.ac.in</v>
      </c>
      <c r="J514" s="3">
        <f>IF(D514="No R1",0,VLOOKUP(C514,'Peer-Review'!B:D,2,0))</f>
        <v>0</v>
      </c>
      <c r="K514" s="3">
        <f>IF(D514="No R1",0,VLOOKUP(C514,'Peer-Review'!B:D,3,0))</f>
        <v>0</v>
      </c>
      <c r="L514" s="3">
        <f>IF(E514="No R2",0,VLOOKUP(C514,'Peer-Review'!F:H,2,0))</f>
        <v>5</v>
      </c>
      <c r="M514" s="3">
        <f>IF(E514="No R2",0,VLOOKUP(C514,'Peer-Review'!F:H,3,0))</f>
        <v>5</v>
      </c>
    </row>
    <row r="515" hidden="1">
      <c r="A515" s="3" t="str">
        <f>IFERROR(__xludf.DUMMYFUNCTION("""COMPUTED_VALUE"""),"23f1002049@ds.study.iitm.ac.in")</f>
        <v>23f1002049@ds.study.iitm.ac.in</v>
      </c>
      <c r="B515" s="3">
        <f>IFERROR(__xludf.DUMMYFUNCTION("""COMPUTED_VALUE"""),17.0)</f>
        <v>17</v>
      </c>
      <c r="C515" s="5" t="str">
        <f>IFERROR(__xludf.DUMMYFUNCTION("""COMPUTED_VALUE"""),"https://github.com/Madhav-Sanjay-Patil/TDS_23f1002049")</f>
        <v>https://github.com/Madhav-Sanjay-Patil/TDS_23f1002049</v>
      </c>
      <c r="D515" s="3" t="str">
        <f>IFERROR(VLOOKUP(C515,'Peer-Review'!B:J,9,0),"No R1")</f>
        <v>No R1</v>
      </c>
      <c r="E515" s="3" t="str">
        <f>IFERROR(VLOOKUP(C515,'Peer-Review'!F:J,5,0),"No R2")</f>
        <v>23f1002044@ds.study.iitm.ac.in</v>
      </c>
      <c r="F515" s="3">
        <f>COUNTIF('Peer-Review'!B:B,C515)+COUNTIF('Peer-Review'!F:F,C515)</f>
        <v>2</v>
      </c>
      <c r="G515" s="3">
        <f t="shared" si="1"/>
        <v>1</v>
      </c>
      <c r="H515" s="3" t="str">
        <f>IFERROR(__xludf.DUMMYFUNCTION("IFERROR(TRANSPOSE(FILTER('Peer-Review'!$J$2:$J$568,(TRIM('Peer-Review'!$B$2:$B$568)=C515 )+ (TRIM('Peer-Review'!$F$2:$F$568)=C515))),""No Reviews"")"),"23f1002044@ds.study.iitm.ac.in")</f>
        <v>23f1002044@ds.study.iitm.ac.in</v>
      </c>
      <c r="I515" s="3" t="str">
        <f>IFERROR(__xludf.DUMMYFUNCTION("""COMPUTED_VALUE"""),"23f2001083@ds.study.iitm.ac.in")</f>
        <v>23f2001083@ds.study.iitm.ac.in</v>
      </c>
      <c r="J515" s="3">
        <f>IF(D515="No R1",0,VLOOKUP(C515,'Peer-Review'!B:D,2,0))</f>
        <v>0</v>
      </c>
      <c r="K515" s="3">
        <f>IF(D515="No R1",0,VLOOKUP(C515,'Peer-Review'!B:D,3,0))</f>
        <v>0</v>
      </c>
      <c r="L515" s="3">
        <f>IF(E515="No R2",0,VLOOKUP(C515,'Peer-Review'!F:H,2,0))</f>
        <v>10</v>
      </c>
      <c r="M515" s="3">
        <f>IF(E515="No R2",0,VLOOKUP(C515,'Peer-Review'!F:H,3,0))</f>
        <v>10</v>
      </c>
    </row>
    <row r="516" hidden="1">
      <c r="A516" s="3" t="str">
        <f>IFERROR(__xludf.DUMMYFUNCTION("""COMPUTED_VALUE"""),"23f1002051@ds.study.iitm.ac.in")</f>
        <v>23f1002051@ds.study.iitm.ac.in</v>
      </c>
      <c r="B516" s="3">
        <f>IFERROR(__xludf.DUMMYFUNCTION("""COMPUTED_VALUE"""),17.0)</f>
        <v>17</v>
      </c>
      <c r="C516" s="5" t="str">
        <f>IFERROR(__xludf.DUMMYFUNCTION("""COMPUTED_VALUE"""),"https://github.com/23f1002051/TDS_Project_1")</f>
        <v>https://github.com/23f1002051/TDS_Project_1</v>
      </c>
      <c r="D516" s="3" t="str">
        <f>IFERROR(VLOOKUP(C516,'Peer-Review'!B:J,9,0),"No R1")</f>
        <v>23f2001187@ds.study.iitm.ac.in</v>
      </c>
      <c r="E516" s="3" t="str">
        <f>IFERROR(VLOOKUP(C516,'Peer-Review'!F:J,5,0),"No R2")</f>
        <v>23f1002049@ds.study.iitm.ac.in</v>
      </c>
      <c r="F516" s="3">
        <f>COUNTIF('Peer-Review'!B:B,C516)+COUNTIF('Peer-Review'!F:F,C516)</f>
        <v>2</v>
      </c>
      <c r="G516" s="3">
        <f t="shared" si="1"/>
        <v>2</v>
      </c>
      <c r="H516" s="3" t="str">
        <f>IFERROR(__xludf.DUMMYFUNCTION("IFERROR(TRANSPOSE(FILTER('Peer-Review'!$J$2:$J$568,(TRIM('Peer-Review'!$B$2:$B$568)=C516 )+ (TRIM('Peer-Review'!$F$2:$F$568)=C516))),""No Reviews"")"),"23f1002049@ds.study.iitm.ac.in")</f>
        <v>23f1002049@ds.study.iitm.ac.in</v>
      </c>
      <c r="I516" s="3" t="str">
        <f>IFERROR(__xludf.DUMMYFUNCTION("""COMPUTED_VALUE"""),"23f2001187@ds.study.iitm.ac.in")</f>
        <v>23f2001187@ds.study.iitm.ac.in</v>
      </c>
      <c r="J516" s="3">
        <f>IF(D516="No R1",0,VLOOKUP(C516,'Peer-Review'!B:D,2,0))</f>
        <v>7</v>
      </c>
      <c r="K516" s="3">
        <f>IF(D516="No R1",0,VLOOKUP(C516,'Peer-Review'!B:D,3,0))</f>
        <v>7</v>
      </c>
      <c r="L516" s="3">
        <f>IF(E516="No R2",0,VLOOKUP(C516,'Peer-Review'!F:H,2,0))</f>
        <v>10</v>
      </c>
      <c r="M516" s="3">
        <f>IF(E516="No R2",0,VLOOKUP(C516,'Peer-Review'!F:H,3,0))</f>
        <v>10</v>
      </c>
    </row>
    <row r="517" hidden="1">
      <c r="A517" s="3" t="str">
        <f>IFERROR(__xludf.DUMMYFUNCTION("""COMPUTED_VALUE"""),"23f1002071@ds.study.iitm.ac.in")</f>
        <v>23f1002071@ds.study.iitm.ac.in</v>
      </c>
      <c r="B517" s="3">
        <f>IFERROR(__xludf.DUMMYFUNCTION("""COMPUTED_VALUE"""),15.0)</f>
        <v>15</v>
      </c>
      <c r="C517" s="5" t="str">
        <f>IFERROR(__xludf.DUMMYFUNCTION("""COMPUTED_VALUE"""),"https://github.com/AnvithaVarre7/Project-1")</f>
        <v>https://github.com/AnvithaVarre7/Project-1</v>
      </c>
      <c r="D517" s="3" t="str">
        <f>IFERROR(VLOOKUP(C517,'Peer-Review'!B:J,9,0),"No R1")</f>
        <v>23f3001470@ds.study.iitm.ac.in</v>
      </c>
      <c r="E517" s="3" t="str">
        <f>IFERROR(VLOOKUP(C517,'Peer-Review'!F:J,5,0),"No R2")</f>
        <v>No R2</v>
      </c>
      <c r="F517" s="3">
        <f>COUNTIF('Peer-Review'!B:B,C517)+COUNTIF('Peer-Review'!F:F,C517)</f>
        <v>2</v>
      </c>
      <c r="G517" s="3">
        <f t="shared" si="1"/>
        <v>1</v>
      </c>
      <c r="H517" s="3" t="str">
        <f>IFERROR(__xludf.DUMMYFUNCTION("IFERROR(TRANSPOSE(FILTER('Peer-Review'!$J$2:$J$568,(TRIM('Peer-Review'!$B$2:$B$568)=C517 )+ (TRIM('Peer-Review'!$F$2:$F$568)=C517))),""No Reviews"")"),"23f3001470@ds.study.iitm.ac.in")</f>
        <v>23f3001470@ds.study.iitm.ac.in</v>
      </c>
      <c r="I517" s="3" t="str">
        <f>IFERROR(__xludf.DUMMYFUNCTION("""COMPUTED_VALUE"""),"23f1002374@ds.study.iitm.ac.in")</f>
        <v>23f1002374@ds.study.iitm.ac.in</v>
      </c>
      <c r="J517" s="3">
        <f>IF(D517="No R1",0,VLOOKUP(C517,'Peer-Review'!B:D,2,0))</f>
        <v>6</v>
      </c>
      <c r="K517" s="3">
        <f>IF(D517="No R1",0,VLOOKUP(C517,'Peer-Review'!B:D,3,0))</f>
        <v>0</v>
      </c>
      <c r="L517" s="3">
        <f>IF(E517="No R2",0,VLOOKUP(C517,'Peer-Review'!F:H,2,0))</f>
        <v>0</v>
      </c>
      <c r="M517" s="3">
        <f>IF(E517="No R2",0,VLOOKUP(C517,'Peer-Review'!F:H,3,0))</f>
        <v>0</v>
      </c>
    </row>
    <row r="518" hidden="1">
      <c r="A518" s="3" t="str">
        <f>IFERROR(__xludf.DUMMYFUNCTION("""COMPUTED_VALUE"""),"23f1002078@ds.study.iitm.ac.in")</f>
        <v>23f1002078@ds.study.iitm.ac.in</v>
      </c>
      <c r="B518" s="3">
        <f>IFERROR(__xludf.DUMMYFUNCTION("""COMPUTED_VALUE"""),14.0)</f>
        <v>14</v>
      </c>
      <c r="C518" s="5" t="str">
        <f>IFERROR(__xludf.DUMMYFUNCTION("""COMPUTED_VALUE"""),"https://github.com/Sgytuy/Tools-in-Data-Science---Project-1/tree/main")</f>
        <v>https://github.com/Sgytuy/Tools-in-Data-Science---Project-1/tree/main</v>
      </c>
      <c r="D518" s="3" t="str">
        <f>IFERROR(VLOOKUP(C518,'Peer-Review'!B:J,9,0),"No R1")</f>
        <v>23f1001880@ds.study.iitm.ac.in</v>
      </c>
      <c r="E518" s="3" t="str">
        <f>IFERROR(VLOOKUP(C518,'Peer-Review'!F:J,5,0),"No R2")</f>
        <v>No R2</v>
      </c>
      <c r="F518" s="3">
        <f>COUNTIF('Peer-Review'!B:B,C518)+COUNTIF('Peer-Review'!F:F,C518)</f>
        <v>2</v>
      </c>
      <c r="G518" s="3">
        <f t="shared" si="1"/>
        <v>1</v>
      </c>
      <c r="H518" s="3" t="str">
        <f>IFERROR(__xludf.DUMMYFUNCTION("IFERROR(TRANSPOSE(FILTER('Peer-Review'!$J$2:$J$568,(TRIM('Peer-Review'!$B$2:$B$568)=C518 )+ (TRIM('Peer-Review'!$F$2:$F$568)=C518))),""No Reviews"")"),"23f1001880@ds.study.iitm.ac.in")</f>
        <v>23f1001880@ds.study.iitm.ac.in</v>
      </c>
      <c r="I518" s="3" t="str">
        <f>IFERROR(__xludf.DUMMYFUNCTION("""COMPUTED_VALUE"""),"23f1002829@ds.study.iitm.ac.in")</f>
        <v>23f1002829@ds.study.iitm.ac.in</v>
      </c>
      <c r="J518" s="3">
        <f>IF(D518="No R1",0,VLOOKUP(C518,'Peer-Review'!B:D,2,0))</f>
        <v>9</v>
      </c>
      <c r="K518" s="3">
        <f>IF(D518="No R1",0,VLOOKUP(C518,'Peer-Review'!B:D,3,0))</f>
        <v>5</v>
      </c>
      <c r="L518" s="3">
        <f>IF(E518="No R2",0,VLOOKUP(C518,'Peer-Review'!F:H,2,0))</f>
        <v>0</v>
      </c>
      <c r="M518" s="3">
        <f>IF(E518="No R2",0,VLOOKUP(C518,'Peer-Review'!F:H,3,0))</f>
        <v>0</v>
      </c>
    </row>
    <row r="519" hidden="1">
      <c r="A519" s="3" t="str">
        <f>IFERROR(__xludf.DUMMYFUNCTION("""COMPUTED_VALUE"""),"23f1002092@ds.study.iitm.ac.in")</f>
        <v>23f1002092@ds.study.iitm.ac.in</v>
      </c>
      <c r="B519" s="3">
        <f>IFERROR(__xludf.DUMMYFUNCTION("""COMPUTED_VALUE"""),13.0)</f>
        <v>13</v>
      </c>
      <c r="C519" s="5" t="str">
        <f>IFERROR(__xludf.DUMMYFUNCTION("""COMPUTED_VALUE"""),"https://github.com/dhirajp1603/IITM-TDS")</f>
        <v>https://github.com/dhirajp1603/IITM-TDS</v>
      </c>
      <c r="D519" s="3" t="str">
        <f>IFERROR(VLOOKUP(C519,'Peer-Review'!B:J,9,0),"No R1")</f>
        <v>22f3000954@ds.study.iitm.ac.in</v>
      </c>
      <c r="E519" s="3" t="str">
        <f>IFERROR(VLOOKUP(C519,'Peer-Review'!F:J,5,0),"No R2")</f>
        <v>No R2</v>
      </c>
      <c r="F519" s="3">
        <f>COUNTIF('Peer-Review'!B:B,C519)+COUNTIF('Peer-Review'!F:F,C519)</f>
        <v>2</v>
      </c>
      <c r="G519" s="3">
        <f t="shared" si="1"/>
        <v>1</v>
      </c>
      <c r="H519" s="3" t="str">
        <f>IFERROR(__xludf.DUMMYFUNCTION("IFERROR(TRANSPOSE(FILTER('Peer-Review'!$J$2:$J$568,(TRIM('Peer-Review'!$B$2:$B$568)=C519 )+ (TRIM('Peer-Review'!$F$2:$F$568)=C519))),""No Reviews"")"),"22f3000954@ds.study.iitm.ac.in")</f>
        <v>22f3000954@ds.study.iitm.ac.in</v>
      </c>
      <c r="I519" s="3" t="str">
        <f>IFERROR(__xludf.DUMMYFUNCTION("""COMPUTED_VALUE"""),"23f1002447@ds.study.iitm.ac.in")</f>
        <v>23f1002447@ds.study.iitm.ac.in</v>
      </c>
      <c r="J519" s="3">
        <f>IF(D519="No R1",0,VLOOKUP(C519,'Peer-Review'!B:D,2,0))</f>
        <v>10</v>
      </c>
      <c r="K519" s="3">
        <f>IF(D519="No R1",0,VLOOKUP(C519,'Peer-Review'!B:D,3,0))</f>
        <v>10</v>
      </c>
      <c r="L519" s="3">
        <f>IF(E519="No R2",0,VLOOKUP(C519,'Peer-Review'!F:H,2,0))</f>
        <v>0</v>
      </c>
      <c r="M519" s="3">
        <f>IF(E519="No R2",0,VLOOKUP(C519,'Peer-Review'!F:H,3,0))</f>
        <v>0</v>
      </c>
    </row>
    <row r="520" hidden="1">
      <c r="A520" s="3" t="str">
        <f>IFERROR(__xludf.DUMMYFUNCTION("""COMPUTED_VALUE"""),"23f1002099@ds.study.iitm.ac.in")</f>
        <v>23f1002099@ds.study.iitm.ac.in</v>
      </c>
      <c r="B520" s="3">
        <f>IFERROR(__xludf.DUMMYFUNCTION("""COMPUTED_VALUE"""),17.0)</f>
        <v>17</v>
      </c>
      <c r="C520" s="5" t="str">
        <f>IFERROR(__xludf.DUMMYFUNCTION("""COMPUTED_VALUE"""),"https://github.com/ARUNIMADILEEPK/TDS_Project_1")</f>
        <v>https://github.com/ARUNIMADILEEPK/TDS_Project_1</v>
      </c>
      <c r="D520" s="3" t="str">
        <f>IFERROR(VLOOKUP(C520,'Peer-Review'!B:J,9,0),"No R1")</f>
        <v>No R1</v>
      </c>
      <c r="E520" s="3" t="str">
        <f>IFERROR(VLOOKUP(C520,'Peer-Review'!F:J,5,0),"No R2")</f>
        <v>23f2001366@ds.study.iitm.ac.in</v>
      </c>
      <c r="F520" s="3">
        <f>COUNTIF('Peer-Review'!B:B,C520)+COUNTIF('Peer-Review'!F:F,C520)</f>
        <v>2</v>
      </c>
      <c r="G520" s="3">
        <f t="shared" si="1"/>
        <v>1</v>
      </c>
      <c r="H520" s="3" t="str">
        <f>IFERROR(__xludf.DUMMYFUNCTION("IFERROR(TRANSPOSE(FILTER('Peer-Review'!$J$2:$J$568,(TRIM('Peer-Review'!$B$2:$B$568)=C520 )+ (TRIM('Peer-Review'!$F$2:$F$568)=C520))),""No Reviews"")"),"23f2001366@ds.study.iitm.ac.in")</f>
        <v>23f2001366@ds.study.iitm.ac.in</v>
      </c>
      <c r="I520" s="3" t="str">
        <f>IFERROR(__xludf.DUMMYFUNCTION("""COMPUTED_VALUE"""),"23f1002051@ds.study.iitm.ac.in")</f>
        <v>23f1002051@ds.study.iitm.ac.in</v>
      </c>
      <c r="J520" s="3">
        <f>IF(D520="No R1",0,VLOOKUP(C520,'Peer-Review'!B:D,2,0))</f>
        <v>0</v>
      </c>
      <c r="K520" s="3">
        <f>IF(D520="No R1",0,VLOOKUP(C520,'Peer-Review'!B:D,3,0))</f>
        <v>0</v>
      </c>
      <c r="L520" s="3">
        <f>IF(E520="No R2",0,VLOOKUP(C520,'Peer-Review'!F:H,2,0))</f>
        <v>0</v>
      </c>
      <c r="M520" s="3">
        <f>IF(E520="No R2",0,VLOOKUP(C520,'Peer-Review'!F:H,3,0))</f>
        <v>0</v>
      </c>
    </row>
    <row r="521" hidden="1">
      <c r="A521" s="3" t="str">
        <f>IFERROR(__xludf.DUMMYFUNCTION("""COMPUTED_VALUE"""),"23f1002304@ds.study.iitm.ac.in")</f>
        <v>23f1002304@ds.study.iitm.ac.in</v>
      </c>
      <c r="B521" s="3">
        <f>IFERROR(__xludf.DUMMYFUNCTION("""COMPUTED_VALUE"""),17.0)</f>
        <v>17</v>
      </c>
      <c r="C521" s="5" t="str">
        <f>IFERROR(__xludf.DUMMYFUNCTION("""COMPUTED_VALUE"""),"https://github.com/Navreet5002/tds_proj1")</f>
        <v>https://github.com/Navreet5002/tds_proj1</v>
      </c>
      <c r="D521" s="3" t="str">
        <f>IFERROR(VLOOKUP(C521,'Peer-Review'!B:J,9,0),"No R1")</f>
        <v>No R1</v>
      </c>
      <c r="E521" s="3" t="str">
        <f>IFERROR(VLOOKUP(C521,'Peer-Review'!F:J,5,0),"No R2")</f>
        <v>23f2001475@ds.study.iitm.ac.in</v>
      </c>
      <c r="F521" s="3">
        <f>COUNTIF('Peer-Review'!B:B,C521)+COUNTIF('Peer-Review'!F:F,C521)</f>
        <v>2</v>
      </c>
      <c r="G521" s="3">
        <f t="shared" si="1"/>
        <v>1</v>
      </c>
      <c r="H521" s="3" t="str">
        <f>IFERROR(__xludf.DUMMYFUNCTION("IFERROR(TRANSPOSE(FILTER('Peer-Review'!$J$2:$J$568,(TRIM('Peer-Review'!$B$2:$B$568)=C521 )+ (TRIM('Peer-Review'!$F$2:$F$568)=C521))),""No Reviews"")"),"23f2001475@ds.study.iitm.ac.in")</f>
        <v>23f2001475@ds.study.iitm.ac.in</v>
      </c>
      <c r="I521" s="3" t="str">
        <f>IFERROR(__xludf.DUMMYFUNCTION("""COMPUTED_VALUE"""),"23f1002099@ds.study.iitm.ac.in")</f>
        <v>23f1002099@ds.study.iitm.ac.in</v>
      </c>
      <c r="J521" s="3">
        <f>IF(D521="No R1",0,VLOOKUP(C521,'Peer-Review'!B:D,2,0))</f>
        <v>0</v>
      </c>
      <c r="K521" s="3">
        <f>IF(D521="No R1",0,VLOOKUP(C521,'Peer-Review'!B:D,3,0))</f>
        <v>0</v>
      </c>
      <c r="L521" s="3">
        <f>IF(E521="No R2",0,VLOOKUP(C521,'Peer-Review'!F:H,2,0))</f>
        <v>5</v>
      </c>
      <c r="M521" s="3">
        <f>IF(E521="No R2",0,VLOOKUP(C521,'Peer-Review'!F:H,3,0))</f>
        <v>0</v>
      </c>
    </row>
    <row r="522" hidden="1">
      <c r="A522" s="3" t="str">
        <f>IFERROR(__xludf.DUMMYFUNCTION("""COMPUTED_VALUE"""),"23f1002315@ds.study.iitm.ac.in")</f>
        <v>23f1002315@ds.study.iitm.ac.in</v>
      </c>
      <c r="B522" s="3">
        <f>IFERROR(__xludf.DUMMYFUNCTION("""COMPUTED_VALUE"""),17.0)</f>
        <v>17</v>
      </c>
      <c r="C522" s="5" t="str">
        <f>IFERROR(__xludf.DUMMYFUNCTION("""COMPUTED_VALUE"""),"https://github.com/Aadi0703/TDS-project1")</f>
        <v>https://github.com/Aadi0703/TDS-project1</v>
      </c>
      <c r="D522" s="3" t="str">
        <f>IFERROR(VLOOKUP(C522,'Peer-Review'!B:J,9,0),"No R1")</f>
        <v>No R1</v>
      </c>
      <c r="E522" s="3" t="str">
        <f>IFERROR(VLOOKUP(C522,'Peer-Review'!F:J,5,0),"No R2")</f>
        <v>23f2002936@ds.study.iitm.ac.in</v>
      </c>
      <c r="F522" s="3">
        <f>COUNTIF('Peer-Review'!B:B,C522)+COUNTIF('Peer-Review'!F:F,C522)</f>
        <v>1</v>
      </c>
      <c r="G522" s="3">
        <f t="shared" si="1"/>
        <v>1</v>
      </c>
      <c r="H522" s="3" t="str">
        <f>IFERROR(__xludf.DUMMYFUNCTION("IFERROR(TRANSPOSE(FILTER('Peer-Review'!$J$2:$J$568,(TRIM('Peer-Review'!$B$2:$B$568)=C522 )+ (TRIM('Peer-Review'!$F$2:$F$568)=C522))),""No Reviews"")"),"23f2002936@ds.study.iitm.ac.in")</f>
        <v>23f2002936@ds.study.iitm.ac.in</v>
      </c>
      <c r="J522" s="3">
        <f>IF(D522="No R1",0,VLOOKUP(C522,'Peer-Review'!B:D,2,0))</f>
        <v>0</v>
      </c>
      <c r="K522" s="3">
        <f>IF(D522="No R1",0,VLOOKUP(C522,'Peer-Review'!B:D,3,0))</f>
        <v>0</v>
      </c>
      <c r="L522" s="3">
        <f>IF(E522="No R2",0,VLOOKUP(C522,'Peer-Review'!F:H,2,0))</f>
        <v>9</v>
      </c>
      <c r="M522" s="3">
        <f>IF(E522="No R2",0,VLOOKUP(C522,'Peer-Review'!F:H,3,0))</f>
        <v>9</v>
      </c>
    </row>
    <row r="523" hidden="1">
      <c r="A523" s="3" t="str">
        <f>IFERROR(__xludf.DUMMYFUNCTION("""COMPUTED_VALUE"""),"23f1002330@ds.study.iitm.ac.in")</f>
        <v>23f1002330@ds.study.iitm.ac.in</v>
      </c>
      <c r="B523" s="3">
        <f>IFERROR(__xludf.DUMMYFUNCTION("""COMPUTED_VALUE"""),16.0)</f>
        <v>16</v>
      </c>
      <c r="C523" s="5" t="str">
        <f>IFERROR(__xludf.DUMMYFUNCTION("""COMPUTED_VALUE"""),"https://github.com/HaifaAbdulSathar/TDS-Project1")</f>
        <v>https://github.com/HaifaAbdulSathar/TDS-Project1</v>
      </c>
      <c r="D523" s="3" t="str">
        <f>IFERROR(VLOOKUP(C523,'Peer-Review'!B:J,9,0),"No R1")</f>
        <v>No R1</v>
      </c>
      <c r="E523" s="3" t="str">
        <f>IFERROR(VLOOKUP(C523,'Peer-Review'!F:J,5,0),"No R2")</f>
        <v>23f1001705@ds.study.iitm.ac.in</v>
      </c>
      <c r="F523" s="3">
        <f>COUNTIF('Peer-Review'!B:B,C523)+COUNTIF('Peer-Review'!F:F,C523)</f>
        <v>2</v>
      </c>
      <c r="G523" s="3">
        <f t="shared" si="1"/>
        <v>1</v>
      </c>
      <c r="H523" s="3" t="str">
        <f>IFERROR(__xludf.DUMMYFUNCTION("IFERROR(TRANSPOSE(FILTER('Peer-Review'!$J$2:$J$568,(TRIM('Peer-Review'!$B$2:$B$568)=C523 )+ (TRIM('Peer-Review'!$F$2:$F$568)=C523))),""No Reviews"")"),"23f1001705@ds.study.iitm.ac.in")</f>
        <v>23f1001705@ds.study.iitm.ac.in</v>
      </c>
      <c r="I523" s="3" t="str">
        <f>IFERROR(__xludf.DUMMYFUNCTION("""COMPUTED_VALUE"""),"23f2001487@ds.study.iitm.ac.in")</f>
        <v>23f2001487@ds.study.iitm.ac.in</v>
      </c>
      <c r="J523" s="3">
        <f>IF(D523="No R1",0,VLOOKUP(C523,'Peer-Review'!B:D,2,0))</f>
        <v>0</v>
      </c>
      <c r="K523" s="3">
        <f>IF(D523="No R1",0,VLOOKUP(C523,'Peer-Review'!B:D,3,0))</f>
        <v>0</v>
      </c>
      <c r="L523" s="3">
        <f>IF(E523="No R2",0,VLOOKUP(C523,'Peer-Review'!F:H,2,0))</f>
        <v>10</v>
      </c>
      <c r="M523" s="3">
        <f>IF(E523="No R2",0,VLOOKUP(C523,'Peer-Review'!F:H,3,0))</f>
        <v>9</v>
      </c>
    </row>
    <row r="524" hidden="1">
      <c r="A524" s="3" t="str">
        <f>IFERROR(__xludf.DUMMYFUNCTION("""COMPUTED_VALUE"""),"23f1002374@ds.study.iitm.ac.in")</f>
        <v>23f1002374@ds.study.iitm.ac.in</v>
      </c>
      <c r="B524" s="3">
        <f>IFERROR(__xludf.DUMMYFUNCTION("""COMPUTED_VALUE"""),15.0)</f>
        <v>15</v>
      </c>
      <c r="C524" s="5" t="str">
        <f>IFERROR(__xludf.DUMMYFUNCTION("""COMPUTED_VALUE"""),"https://github.com/pkala7968/TDS-PROJECT-1-IITM")</f>
        <v>https://github.com/pkala7968/TDS-PROJECT-1-IITM</v>
      </c>
      <c r="D524" s="3" t="str">
        <f>IFERROR(VLOOKUP(C524,'Peer-Review'!B:J,9,0),"No R1")</f>
        <v>23f1002455@ds.study.iitm.ac.in</v>
      </c>
      <c r="E524" s="3" t="str">
        <f>IFERROR(VLOOKUP(C524,'Peer-Review'!F:J,5,0),"No R2")</f>
        <v>No R2</v>
      </c>
      <c r="F524" s="3">
        <f>COUNTIF('Peer-Review'!B:B,C524)+COUNTIF('Peer-Review'!F:F,C524)</f>
        <v>2</v>
      </c>
      <c r="G524" s="3">
        <f t="shared" si="1"/>
        <v>1</v>
      </c>
      <c r="H524" s="3" t="str">
        <f>IFERROR(__xludf.DUMMYFUNCTION("IFERROR(TRANSPOSE(FILTER('Peer-Review'!$J$2:$J$568,(TRIM('Peer-Review'!$B$2:$B$568)=C524 )+ (TRIM('Peer-Review'!$F$2:$F$568)=C524))),""No Reviews"")"),"23f1002455@ds.study.iitm.ac.in")</f>
        <v>23f1002455@ds.study.iitm.ac.in</v>
      </c>
      <c r="I524" s="3" t="str">
        <f>IFERROR(__xludf.DUMMYFUNCTION("""COMPUTED_VALUE"""),"23f3001726@ds.study.iitm.ac.in")</f>
        <v>23f3001726@ds.study.iitm.ac.in</v>
      </c>
      <c r="J524" s="3">
        <f>IF(D524="No R1",0,VLOOKUP(C524,'Peer-Review'!B:D,2,0))</f>
        <v>6</v>
      </c>
      <c r="K524" s="3">
        <f>IF(D524="No R1",0,VLOOKUP(C524,'Peer-Review'!B:D,3,0))</f>
        <v>7</v>
      </c>
      <c r="L524" s="3">
        <f>IF(E524="No R2",0,VLOOKUP(C524,'Peer-Review'!F:H,2,0))</f>
        <v>0</v>
      </c>
      <c r="M524" s="3">
        <f>IF(E524="No R2",0,VLOOKUP(C524,'Peer-Review'!F:H,3,0))</f>
        <v>0</v>
      </c>
    </row>
    <row r="525" hidden="1">
      <c r="A525" s="3" t="str">
        <f>IFERROR(__xludf.DUMMYFUNCTION("""COMPUTED_VALUE"""),"23f1002447@ds.study.iitm.ac.in")</f>
        <v>23f1002447@ds.study.iitm.ac.in</v>
      </c>
      <c r="B525" s="3">
        <f>IFERROR(__xludf.DUMMYFUNCTION("""COMPUTED_VALUE"""),13.0)</f>
        <v>13</v>
      </c>
      <c r="C525" s="5" t="str">
        <f>IFERROR(__xludf.DUMMYFUNCTION("""COMPUTED_VALUE"""),"https://github.com/Aryan-Mishra24/TDS_PROJECT1")</f>
        <v>https://github.com/Aryan-Mishra24/TDS_PROJECT1</v>
      </c>
      <c r="D525" s="3" t="str">
        <f>IFERROR(VLOOKUP(C525,'Peer-Review'!B:J,9,0),"No R1")</f>
        <v>22f3001023@ds.study.iitm.ac.in</v>
      </c>
      <c r="E525" s="3" t="str">
        <f>IFERROR(VLOOKUP(C525,'Peer-Review'!F:J,5,0),"No R2")</f>
        <v>No R2</v>
      </c>
      <c r="F525" s="3">
        <f>COUNTIF('Peer-Review'!B:B,C525)+COUNTIF('Peer-Review'!F:F,C525)</f>
        <v>1</v>
      </c>
      <c r="G525" s="3">
        <f t="shared" si="1"/>
        <v>1</v>
      </c>
      <c r="H525" s="3" t="str">
        <f>IFERROR(__xludf.DUMMYFUNCTION("IFERROR(TRANSPOSE(FILTER('Peer-Review'!$J$2:$J$568,(TRIM('Peer-Review'!$B$2:$B$568)=C525 )+ (TRIM('Peer-Review'!$F$2:$F$568)=C525))),""No Reviews"")"),"22f3001023@ds.study.iitm.ac.in")</f>
        <v>22f3001023@ds.study.iitm.ac.in</v>
      </c>
      <c r="J525" s="3">
        <f>IF(D525="No R1",0,VLOOKUP(C525,'Peer-Review'!B:D,2,0))</f>
        <v>7</v>
      </c>
      <c r="K525" s="3">
        <f>IF(D525="No R1",0,VLOOKUP(C525,'Peer-Review'!B:D,3,0))</f>
        <v>0</v>
      </c>
      <c r="L525" s="3">
        <f>IF(E525="No R2",0,VLOOKUP(C525,'Peer-Review'!F:H,2,0))</f>
        <v>0</v>
      </c>
      <c r="M525" s="3">
        <f>IF(E525="No R2",0,VLOOKUP(C525,'Peer-Review'!F:H,3,0))</f>
        <v>0</v>
      </c>
    </row>
    <row r="526" hidden="1">
      <c r="A526" s="3" t="str">
        <f>IFERROR(__xludf.DUMMYFUNCTION("""COMPUTED_VALUE"""),"23f1002450@ds.study.iitm.ac.in")</f>
        <v>23f1002450@ds.study.iitm.ac.in</v>
      </c>
      <c r="B526" s="3">
        <f>IFERROR(__xludf.DUMMYFUNCTION("""COMPUTED_VALUE"""),17.0)</f>
        <v>17</v>
      </c>
      <c r="C526" s="5" t="str">
        <f>IFERROR(__xludf.DUMMYFUNCTION("""COMPUTED_VALUE"""),"https://github.com/AvinashRajender/tdsproject1")</f>
        <v>https://github.com/AvinashRajender/tdsproject1</v>
      </c>
      <c r="D526" s="3" t="str">
        <f>IFERROR(VLOOKUP(C526,'Peer-Review'!B:J,9,0),"No R1")</f>
        <v>No R1</v>
      </c>
      <c r="E526" s="3" t="str">
        <f>IFERROR(VLOOKUP(C526,'Peer-Review'!F:J,5,0),"No R2")</f>
        <v>23f1002315@ds.study.iitm.ac.in</v>
      </c>
      <c r="F526" s="3">
        <f>COUNTIF('Peer-Review'!B:B,C526)+COUNTIF('Peer-Review'!F:F,C526)</f>
        <v>2</v>
      </c>
      <c r="G526" s="3">
        <f t="shared" si="1"/>
        <v>1</v>
      </c>
      <c r="H526" s="3" t="str">
        <f>IFERROR(__xludf.DUMMYFUNCTION("IFERROR(TRANSPOSE(FILTER('Peer-Review'!$J$2:$J$568,(TRIM('Peer-Review'!$B$2:$B$568)=C526 )+ (TRIM('Peer-Review'!$F$2:$F$568)=C526))),""No Reviews"")"),"23f1002315@ds.study.iitm.ac.in")</f>
        <v>23f1002315@ds.study.iitm.ac.in</v>
      </c>
      <c r="I526" s="3" t="str">
        <f>IFERROR(__xludf.DUMMYFUNCTION("""COMPUTED_VALUE"""),"23f2004032@ds.study.iitm.ac.in")</f>
        <v>23f2004032@ds.study.iitm.ac.in</v>
      </c>
      <c r="J526" s="3">
        <f>IF(D526="No R1",0,VLOOKUP(C526,'Peer-Review'!B:D,2,0))</f>
        <v>0</v>
      </c>
      <c r="K526" s="3">
        <f>IF(D526="No R1",0,VLOOKUP(C526,'Peer-Review'!B:D,3,0))</f>
        <v>0</v>
      </c>
      <c r="L526" s="3">
        <f>IF(E526="No R2",0,VLOOKUP(C526,'Peer-Review'!F:H,2,0))</f>
        <v>10</v>
      </c>
      <c r="M526" s="3">
        <f>IF(E526="No R2",0,VLOOKUP(C526,'Peer-Review'!F:H,3,0))</f>
        <v>10</v>
      </c>
    </row>
    <row r="527" hidden="1">
      <c r="A527" s="3" t="str">
        <f>IFERROR(__xludf.DUMMYFUNCTION("""COMPUTED_VALUE"""),"23f1002451@ds.study.iitm.ac.in")</f>
        <v>23f1002451@ds.study.iitm.ac.in</v>
      </c>
      <c r="B527" s="3">
        <f>IFERROR(__xludf.DUMMYFUNCTION("""COMPUTED_VALUE"""),12.0)</f>
        <v>12</v>
      </c>
      <c r="C527" s="5" t="str">
        <f>IFERROR(__xludf.DUMMYFUNCTION("""COMPUTED_VALUE"""),"https://github.com/vasanth-svb-1/iitm-syscmd-project-1")</f>
        <v>https://github.com/vasanth-svb-1/iitm-syscmd-project-1</v>
      </c>
      <c r="D527" s="3" t="str">
        <f>IFERROR(VLOOKUP(C527,'Peer-Review'!B:J,9,0),"No R1")</f>
        <v>21f3000432@ds.study.iitm.ac.in</v>
      </c>
      <c r="E527" s="3" t="str">
        <f>IFERROR(VLOOKUP(C527,'Peer-Review'!F:J,5,0),"No R2")</f>
        <v>No R2</v>
      </c>
      <c r="F527" s="3">
        <f>COUNTIF('Peer-Review'!B:B,C527)+COUNTIF('Peer-Review'!F:F,C527)</f>
        <v>2</v>
      </c>
      <c r="G527" s="3">
        <f t="shared" si="1"/>
        <v>1</v>
      </c>
      <c r="H527" s="3" t="str">
        <f>IFERROR(__xludf.DUMMYFUNCTION("IFERROR(TRANSPOSE(FILTER('Peer-Review'!$J$2:$J$568,(TRIM('Peer-Review'!$B$2:$B$568)=C527 )+ (TRIM('Peer-Review'!$F$2:$F$568)=C527))),""No Reviews"")"),"21f3000432@ds.study.iitm.ac.in")</f>
        <v>21f3000432@ds.study.iitm.ac.in</v>
      </c>
      <c r="I527" s="3" t="str">
        <f>IFERROR(__xludf.DUMMYFUNCTION("""COMPUTED_VALUE"""),"23f2001455@ds.study.iitm.ac.in")</f>
        <v>23f2001455@ds.study.iitm.ac.in</v>
      </c>
      <c r="J527" s="3">
        <f>IF(D527="No R1",0,VLOOKUP(C527,'Peer-Review'!B:D,2,0))</f>
        <v>10</v>
      </c>
      <c r="K527" s="3">
        <f>IF(D527="No R1",0,VLOOKUP(C527,'Peer-Review'!B:D,3,0))</f>
        <v>10</v>
      </c>
      <c r="L527" s="3">
        <f>IF(E527="No R2",0,VLOOKUP(C527,'Peer-Review'!F:H,2,0))</f>
        <v>0</v>
      </c>
      <c r="M527" s="3">
        <f>IF(E527="No R2",0,VLOOKUP(C527,'Peer-Review'!F:H,3,0))</f>
        <v>0</v>
      </c>
    </row>
    <row r="528" hidden="1">
      <c r="A528" s="3" t="str">
        <f>IFERROR(__xludf.DUMMYFUNCTION("""COMPUTED_VALUE"""),"23f1002455@ds.study.iitm.ac.in")</f>
        <v>23f1002455@ds.study.iitm.ac.in</v>
      </c>
      <c r="B528" s="3">
        <f>IFERROR(__xludf.DUMMYFUNCTION("""COMPUTED_VALUE"""),15.0)</f>
        <v>15</v>
      </c>
      <c r="C528" s="5" t="str">
        <f>IFERROR(__xludf.DUMMYFUNCTION("""COMPUTED_VALUE"""),"https://github.com/Hitachi006/TDS_Proj_2455_Basel10")</f>
        <v>https://github.com/Hitachi006/TDS_Proj_2455_Basel10</v>
      </c>
      <c r="D528" s="3" t="str">
        <f>IFERROR(VLOOKUP(C528,'Peer-Review'!B:J,9,0),"No R1")</f>
        <v>23f3002347@ds.study.iitm.ac.in</v>
      </c>
      <c r="E528" s="3" t="str">
        <f>IFERROR(VLOOKUP(C528,'Peer-Review'!F:J,5,0),"No R2")</f>
        <v>No R2</v>
      </c>
      <c r="F528" s="3">
        <f>COUNTIF('Peer-Review'!B:B,C528)+COUNTIF('Peer-Review'!F:F,C528)</f>
        <v>1</v>
      </c>
      <c r="G528" s="3">
        <f t="shared" si="1"/>
        <v>1</v>
      </c>
      <c r="H528" s="3" t="str">
        <f>IFERROR(__xludf.DUMMYFUNCTION("IFERROR(TRANSPOSE(FILTER('Peer-Review'!$J$2:$J$568,(TRIM('Peer-Review'!$B$2:$B$568)=C528 )+ (TRIM('Peer-Review'!$F$2:$F$568)=C528))),""No Reviews"")"),"23f3002347@ds.study.iitm.ac.in")</f>
        <v>23f3002347@ds.study.iitm.ac.in</v>
      </c>
      <c r="J528" s="3">
        <f>IF(D528="No R1",0,VLOOKUP(C528,'Peer-Review'!B:D,2,0))</f>
        <v>10</v>
      </c>
      <c r="K528" s="3">
        <f>IF(D528="No R1",0,VLOOKUP(C528,'Peer-Review'!B:D,3,0))</f>
        <v>9</v>
      </c>
      <c r="L528" s="3">
        <f>IF(E528="No R2",0,VLOOKUP(C528,'Peer-Review'!F:H,2,0))</f>
        <v>0</v>
      </c>
      <c r="M528" s="3">
        <f>IF(E528="No R2",0,VLOOKUP(C528,'Peer-Review'!F:H,3,0))</f>
        <v>0</v>
      </c>
    </row>
    <row r="529" hidden="1">
      <c r="A529" s="3" t="str">
        <f>IFERROR(__xludf.DUMMYFUNCTION("""COMPUTED_VALUE"""),"23f1002462@ds.study.iitm.ac.in")</f>
        <v>23f1002462@ds.study.iitm.ac.in</v>
      </c>
      <c r="B529" s="3">
        <f>IFERROR(__xludf.DUMMYFUNCTION("""COMPUTED_VALUE"""),16.0)</f>
        <v>16</v>
      </c>
      <c r="C529" s="5" t="str">
        <f>IFERROR(__xludf.DUMMYFUNCTION("""COMPUTED_VALUE"""),"https://github.com/Ajit5370/tds-project-1")</f>
        <v>https://github.com/Ajit5370/tds-project-1</v>
      </c>
      <c r="D529" s="3" t="str">
        <f>IFERROR(VLOOKUP(C529,'Peer-Review'!B:J,9,0),"No R1")</f>
        <v>No R1</v>
      </c>
      <c r="E529" s="3" t="str">
        <f>IFERROR(VLOOKUP(C529,'Peer-Review'!F:J,5,0),"No R2")</f>
        <v>23f1002330@ds.study.iitm.ac.in</v>
      </c>
      <c r="F529" s="3">
        <f>COUNTIF('Peer-Review'!B:B,C529)+COUNTIF('Peer-Review'!F:F,C529)</f>
        <v>2</v>
      </c>
      <c r="G529" s="3">
        <f t="shared" si="1"/>
        <v>1</v>
      </c>
      <c r="H529" s="3" t="str">
        <f>IFERROR(__xludf.DUMMYFUNCTION("IFERROR(TRANSPOSE(FILTER('Peer-Review'!$J$2:$J$568,(TRIM('Peer-Review'!$B$2:$B$568)=C529 )+ (TRIM('Peer-Review'!$F$2:$F$568)=C529))),""No Reviews"")"),"23f1002330@ds.study.iitm.ac.in")</f>
        <v>23f1002330@ds.study.iitm.ac.in</v>
      </c>
      <c r="I529" s="3" t="str">
        <f>IFERROR(__xludf.DUMMYFUNCTION("""COMPUTED_VALUE"""),"23f2004468@ds.study.iitm.ac.in")</f>
        <v>23f2004468@ds.study.iitm.ac.in</v>
      </c>
      <c r="J529" s="3">
        <f>IF(D529="No R1",0,VLOOKUP(C529,'Peer-Review'!B:D,2,0))</f>
        <v>0</v>
      </c>
      <c r="K529" s="3">
        <f>IF(D529="No R1",0,VLOOKUP(C529,'Peer-Review'!B:D,3,0))</f>
        <v>0</v>
      </c>
      <c r="L529" s="3">
        <f>IF(E529="No R2",0,VLOOKUP(C529,'Peer-Review'!F:H,2,0))</f>
        <v>10</v>
      </c>
      <c r="M529" s="3">
        <f>IF(E529="No R2",0,VLOOKUP(C529,'Peer-Review'!F:H,3,0))</f>
        <v>10</v>
      </c>
    </row>
    <row r="530" hidden="1">
      <c r="A530" s="3" t="str">
        <f>IFERROR(__xludf.DUMMYFUNCTION("""COMPUTED_VALUE"""),"23f1002480@ds.study.iitm.ac.in")</f>
        <v>23f1002480@ds.study.iitm.ac.in</v>
      </c>
      <c r="B530" s="3">
        <f>IFERROR(__xludf.DUMMYFUNCTION("""COMPUTED_VALUE"""),17.0)</f>
        <v>17</v>
      </c>
      <c r="C530" s="5" t="str">
        <f>IFERROR(__xludf.DUMMYFUNCTION("""COMPUTED_VALUE"""),"https://github.com/SINGHALSAJAL/github_scrapped_iitm")</f>
        <v>https://github.com/SINGHALSAJAL/github_scrapped_iitm</v>
      </c>
      <c r="D530" s="3" t="str">
        <f>IFERROR(VLOOKUP(C530,'Peer-Review'!B:J,9,0),"No R1")</f>
        <v>No R1</v>
      </c>
      <c r="E530" s="3" t="str">
        <f>IFERROR(VLOOKUP(C530,'Peer-Review'!F:J,5,0),"No R2")</f>
        <v>23f1002450@ds.study.iitm.ac.in</v>
      </c>
      <c r="F530" s="3">
        <f>COUNTIF('Peer-Review'!B:B,C530)+COUNTIF('Peer-Review'!F:F,C530)</f>
        <v>1</v>
      </c>
      <c r="G530" s="3">
        <f t="shared" si="1"/>
        <v>1</v>
      </c>
      <c r="H530" s="3" t="str">
        <f>IFERROR(__xludf.DUMMYFUNCTION("IFERROR(TRANSPOSE(FILTER('Peer-Review'!$J$2:$J$568,(TRIM('Peer-Review'!$B$2:$B$568)=C530 )+ (TRIM('Peer-Review'!$F$2:$F$568)=C530))),""No Reviews"")"),"23f1002450@ds.study.iitm.ac.in")</f>
        <v>23f1002450@ds.study.iitm.ac.in</v>
      </c>
      <c r="J530" s="3">
        <f>IF(D530="No R1",0,VLOOKUP(C530,'Peer-Review'!B:D,2,0))</f>
        <v>0</v>
      </c>
      <c r="K530" s="3">
        <f>IF(D530="No R1",0,VLOOKUP(C530,'Peer-Review'!B:D,3,0))</f>
        <v>0</v>
      </c>
      <c r="L530" s="3">
        <f>IF(E530="No R2",0,VLOOKUP(C530,'Peer-Review'!F:H,2,0))</f>
        <v>10</v>
      </c>
      <c r="M530" s="3">
        <f>IF(E530="No R2",0,VLOOKUP(C530,'Peer-Review'!F:H,3,0))</f>
        <v>10</v>
      </c>
    </row>
    <row r="531" hidden="1">
      <c r="A531" s="3" t="str">
        <f>IFERROR(__xludf.DUMMYFUNCTION("""COMPUTED_VALUE"""),"23f1002482@ds.study.iitm.ac.in")</f>
        <v>23f1002482@ds.study.iitm.ac.in</v>
      </c>
      <c r="B531" s="3">
        <f>IFERROR(__xludf.DUMMYFUNCTION("""COMPUTED_VALUE"""),17.0)</f>
        <v>17</v>
      </c>
      <c r="C531" s="5" t="str">
        <f>IFERROR(__xludf.DUMMYFUNCTION("""COMPUTED_VALUE"""),"https://github.com/jaideepS04/project_tds-p")</f>
        <v>https://github.com/jaideepS04/project_tds-p</v>
      </c>
      <c r="D531" s="3" t="str">
        <f>IFERROR(VLOOKUP(C531,'Peer-Review'!B:J,9,0),"No R1")</f>
        <v>No R1</v>
      </c>
      <c r="E531" s="3" t="str">
        <f>IFERROR(VLOOKUP(C531,'Peer-Review'!F:J,5,0),"No R2")</f>
        <v>23f1002480@ds.study.iitm.ac.in</v>
      </c>
      <c r="F531" s="3">
        <f>COUNTIF('Peer-Review'!B:B,C531)+COUNTIF('Peer-Review'!F:F,C531)</f>
        <v>1</v>
      </c>
      <c r="G531" s="3">
        <f t="shared" si="1"/>
        <v>1</v>
      </c>
      <c r="H531" s="3" t="str">
        <f>IFERROR(__xludf.DUMMYFUNCTION("IFERROR(TRANSPOSE(FILTER('Peer-Review'!$J$2:$J$568,(TRIM('Peer-Review'!$B$2:$B$568)=C531 )+ (TRIM('Peer-Review'!$F$2:$F$568)=C531))),""No Reviews"")"),"23f1002480@ds.study.iitm.ac.in")</f>
        <v>23f1002480@ds.study.iitm.ac.in</v>
      </c>
      <c r="J531" s="3">
        <f>IF(D531="No R1",0,VLOOKUP(C531,'Peer-Review'!B:D,2,0))</f>
        <v>0</v>
      </c>
      <c r="K531" s="3">
        <f>IF(D531="No R1",0,VLOOKUP(C531,'Peer-Review'!B:D,3,0))</f>
        <v>0</v>
      </c>
      <c r="L531" s="3">
        <f>IF(E531="No R2",0,VLOOKUP(C531,'Peer-Review'!F:H,2,0))</f>
        <v>10</v>
      </c>
      <c r="M531" s="3">
        <f>IF(E531="No R2",0,VLOOKUP(C531,'Peer-Review'!F:H,3,0))</f>
        <v>10</v>
      </c>
    </row>
    <row r="532" hidden="1">
      <c r="A532" s="3" t="str">
        <f>IFERROR(__xludf.DUMMYFUNCTION("""COMPUTED_VALUE"""),"23f1002508@ds.study.iitm.ac.in")</f>
        <v>23f1002508@ds.study.iitm.ac.in</v>
      </c>
      <c r="B532" s="3">
        <f>IFERROR(__xludf.DUMMYFUNCTION("""COMPUTED_VALUE"""),13.0)</f>
        <v>13</v>
      </c>
      <c r="C532" s="5" t="str">
        <f>IFERROR(__xludf.DUMMYFUNCTION("""COMPUTED_VALUE"""),"https://github.com/Thanhanoorudheen/proj1")</f>
        <v>https://github.com/Thanhanoorudheen/proj1</v>
      </c>
      <c r="D532" s="3" t="str">
        <f>IFERROR(VLOOKUP(C532,'Peer-Review'!B:J,9,0),"No R1")</f>
        <v>22f3001119@ds.study.iitm.ac.in</v>
      </c>
      <c r="E532" s="3" t="str">
        <f>IFERROR(VLOOKUP(C532,'Peer-Review'!F:J,5,0),"No R2")</f>
        <v>No R2</v>
      </c>
      <c r="F532" s="3">
        <f>COUNTIF('Peer-Review'!B:B,C532)+COUNTIF('Peer-Review'!F:F,C532)</f>
        <v>2</v>
      </c>
      <c r="G532" s="3">
        <f t="shared" si="1"/>
        <v>1</v>
      </c>
      <c r="H532" s="3" t="str">
        <f>IFERROR(__xludf.DUMMYFUNCTION("IFERROR(TRANSPOSE(FILTER('Peer-Review'!$J$2:$J$568,(TRIM('Peer-Review'!$B$2:$B$568)=C532 )+ (TRIM('Peer-Review'!$F$2:$F$568)=C532))),""No Reviews"")"),"22f3001119@ds.study.iitm.ac.in")</f>
        <v>22f3001119@ds.study.iitm.ac.in</v>
      </c>
      <c r="I532" s="3" t="str">
        <f>IFERROR(__xludf.DUMMYFUNCTION("""COMPUTED_VALUE"""),"23f1002570@ds.study.iitm.ac.in")</f>
        <v>23f1002570@ds.study.iitm.ac.in</v>
      </c>
      <c r="J532" s="3">
        <f>IF(D532="No R1",0,VLOOKUP(C532,'Peer-Review'!B:D,2,0))</f>
        <v>0</v>
      </c>
      <c r="K532" s="3">
        <f>IF(D532="No R1",0,VLOOKUP(C532,'Peer-Review'!B:D,3,0))</f>
        <v>0</v>
      </c>
      <c r="L532" s="3">
        <f>IF(E532="No R2",0,VLOOKUP(C532,'Peer-Review'!F:H,2,0))</f>
        <v>0</v>
      </c>
      <c r="M532" s="3">
        <f>IF(E532="No R2",0,VLOOKUP(C532,'Peer-Review'!F:H,3,0))</f>
        <v>0</v>
      </c>
    </row>
    <row r="533" hidden="1">
      <c r="A533" s="3" t="str">
        <f>IFERROR(__xludf.DUMMYFUNCTION("""COMPUTED_VALUE"""),"23f1002570@ds.study.iitm.ac.in")</f>
        <v>23f1002570@ds.study.iitm.ac.in</v>
      </c>
      <c r="B533" s="3">
        <f>IFERROR(__xludf.DUMMYFUNCTION("""COMPUTED_VALUE"""),13.0)</f>
        <v>13</v>
      </c>
      <c r="C533" s="5" t="str">
        <f>IFERROR(__xludf.DUMMYFUNCTION("""COMPUTED_VALUE"""),"https://github.com/Vanshika-tiwari98/Beijing-GitHub-Users")</f>
        <v>https://github.com/Vanshika-tiwari98/Beijing-GitHub-Users</v>
      </c>
      <c r="D533" s="3" t="str">
        <f>IFERROR(VLOOKUP(C533,'Peer-Review'!B:J,9,0),"No R1")</f>
        <v>22f3001138@ds.study.iitm.ac.in</v>
      </c>
      <c r="E533" s="3" t="str">
        <f>IFERROR(VLOOKUP(C533,'Peer-Review'!F:J,5,0),"No R2")</f>
        <v>23f1003030@ds.study.iitm.ac.in</v>
      </c>
      <c r="F533" s="3">
        <f>COUNTIF('Peer-Review'!B:B,C533)+COUNTIF('Peer-Review'!F:F,C533)</f>
        <v>2</v>
      </c>
      <c r="G533" s="3">
        <f t="shared" si="1"/>
        <v>2</v>
      </c>
      <c r="H533" s="3" t="str">
        <f>IFERROR(__xludf.DUMMYFUNCTION("IFERROR(TRANSPOSE(FILTER('Peer-Review'!$J$2:$J$568,(TRIM('Peer-Review'!$B$2:$B$568)=C533 )+ (TRIM('Peer-Review'!$F$2:$F$568)=C533))),""No Reviews"")"),"22f3001138@ds.study.iitm.ac.in")</f>
        <v>22f3001138@ds.study.iitm.ac.in</v>
      </c>
      <c r="I533" s="3" t="str">
        <f>IFERROR(__xludf.DUMMYFUNCTION("""COMPUTED_VALUE"""),"23f1003030@ds.study.iitm.ac.in")</f>
        <v>23f1003030@ds.study.iitm.ac.in</v>
      </c>
      <c r="J533" s="3">
        <f>IF(D533="No R1",0,VLOOKUP(C533,'Peer-Review'!B:D,2,0))</f>
        <v>8</v>
      </c>
      <c r="K533" s="3">
        <f>IF(D533="No R1",0,VLOOKUP(C533,'Peer-Review'!B:D,3,0))</f>
        <v>9</v>
      </c>
      <c r="L533" s="3">
        <f>IF(E533="No R2",0,VLOOKUP(C533,'Peer-Review'!F:H,2,0))</f>
        <v>5</v>
      </c>
      <c r="M533" s="3">
        <f>IF(E533="No R2",0,VLOOKUP(C533,'Peer-Review'!F:H,3,0))</f>
        <v>7</v>
      </c>
    </row>
    <row r="534" hidden="1">
      <c r="A534" s="3" t="str">
        <f>IFERROR(__xludf.DUMMYFUNCTION("""COMPUTED_VALUE"""),"23f1002574@ds.study.iitm.ac.in")</f>
        <v>23f1002574@ds.study.iitm.ac.in</v>
      </c>
      <c r="B534" s="3">
        <f>IFERROR(__xludf.DUMMYFUNCTION("""COMPUTED_VALUE"""),0.0)</f>
        <v>0</v>
      </c>
      <c r="C534" s="5" t="str">
        <f>IFERROR(__xludf.DUMMYFUNCTION("""COMPUTED_VALUE"""),"https://github.com/TITlidatta/DataAnalysis_2")</f>
        <v>https://github.com/TITlidatta/DataAnalysis_2</v>
      </c>
      <c r="D534" s="3" t="str">
        <f>IFERROR(VLOOKUP(C534,'Peer-Review'!B:J,9,0),"No R1")</f>
        <v>No R1</v>
      </c>
      <c r="E534" s="3" t="str">
        <f>IFERROR(VLOOKUP(C534,'Peer-Review'!F:J,5,0),"No R2")</f>
        <v>No R2</v>
      </c>
      <c r="F534" s="3">
        <f>COUNTIF('Peer-Review'!B:B,C534)+COUNTIF('Peer-Review'!F:F,C534)</f>
        <v>0</v>
      </c>
      <c r="G534" s="3">
        <f t="shared" si="1"/>
        <v>0</v>
      </c>
      <c r="H534" s="3" t="str">
        <f>IFERROR(__xludf.DUMMYFUNCTION("IFERROR(TRANSPOSE(FILTER('Peer-Review'!$J$2:$J$568,(TRIM('Peer-Review'!$B$2:$B$568)=C534 )+ (TRIM('Peer-Review'!$F$2:$F$568)=C534))),""No Reviews"")"),"No Reviews")</f>
        <v>No Reviews</v>
      </c>
      <c r="J534" s="3">
        <f>IF(D534="No R1",0,VLOOKUP(C534,'Peer-Review'!B:D,2,0))</f>
        <v>0</v>
      </c>
      <c r="K534" s="3">
        <f>IF(D534="No R1",0,VLOOKUP(C534,'Peer-Review'!B:D,3,0))</f>
        <v>0</v>
      </c>
      <c r="L534" s="3">
        <f>IF(E534="No R2",0,VLOOKUP(C534,'Peer-Review'!F:H,2,0))</f>
        <v>0</v>
      </c>
      <c r="M534" s="3">
        <f>IF(E534="No R2",0,VLOOKUP(C534,'Peer-Review'!F:H,3,0))</f>
        <v>0</v>
      </c>
    </row>
    <row r="535" hidden="1">
      <c r="A535" s="3" t="str">
        <f>IFERROR(__xludf.DUMMYFUNCTION("""COMPUTED_VALUE"""),"23f1002608@ds.study.iitm.ac.in")</f>
        <v>23f1002608@ds.study.iitm.ac.in</v>
      </c>
      <c r="B535" s="3">
        <f>IFERROR(__xludf.DUMMYFUNCTION("""COMPUTED_VALUE"""),7.0)</f>
        <v>7</v>
      </c>
      <c r="C535" s="5" t="str">
        <f>IFERROR(__xludf.DUMMYFUNCTION("""COMPUTED_VALUE"""),"https://github.com/titan-adi/Zurich-data-analysis")</f>
        <v>https://github.com/titan-adi/Zurich-data-analysis</v>
      </c>
      <c r="D535" s="3" t="str">
        <f>IFERROR(VLOOKUP(C535,'Peer-Review'!B:J,9,0),"No R1")</f>
        <v>23f3002560@ds.study.iitm.ac.in</v>
      </c>
      <c r="E535" s="3" t="str">
        <f>IFERROR(VLOOKUP(C535,'Peer-Review'!F:J,5,0),"No R2")</f>
        <v>No R2</v>
      </c>
      <c r="F535" s="3">
        <f>COUNTIF('Peer-Review'!B:B,C535)+COUNTIF('Peer-Review'!F:F,C535)</f>
        <v>2</v>
      </c>
      <c r="G535" s="3">
        <f t="shared" si="1"/>
        <v>1</v>
      </c>
      <c r="H535" s="3" t="str">
        <f>IFERROR(__xludf.DUMMYFUNCTION("IFERROR(TRANSPOSE(FILTER('Peer-Review'!$J$2:$J$568,(TRIM('Peer-Review'!$B$2:$B$568)=C535 )+ (TRIM('Peer-Review'!$F$2:$F$568)=C535))),""No Reviews"")"),"23f3002560@ds.study.iitm.ac.in")</f>
        <v>23f3002560@ds.study.iitm.ac.in</v>
      </c>
      <c r="J535" s="3">
        <f>IF(D535="No R1",0,VLOOKUP(C535,'Peer-Review'!B:D,2,0))</f>
        <v>7</v>
      </c>
      <c r="K535" s="3">
        <f>IF(D535="No R1",0,VLOOKUP(C535,'Peer-Review'!B:D,3,0))</f>
        <v>7</v>
      </c>
      <c r="L535" s="3">
        <f>IF(E535="No R2",0,VLOOKUP(C535,'Peer-Review'!F:H,2,0))</f>
        <v>0</v>
      </c>
      <c r="M535" s="3">
        <f>IF(E535="No R2",0,VLOOKUP(C535,'Peer-Review'!F:H,3,0))</f>
        <v>0</v>
      </c>
    </row>
    <row r="536" hidden="1">
      <c r="A536" s="3" t="str">
        <f>IFERROR(__xludf.DUMMYFUNCTION("""COMPUTED_VALUE"""),"23f1002620@ds.study.iitm.ac.in")</f>
        <v>23f1002620@ds.study.iitm.ac.in</v>
      </c>
      <c r="B536" s="3">
        <f>IFERROR(__xludf.DUMMYFUNCTION("""COMPUTED_VALUE"""),8.0)</f>
        <v>8</v>
      </c>
      <c r="C536" s="5" t="str">
        <f>IFERROR(__xludf.DUMMYFUNCTION("""COMPUTED_VALUE"""),"https://github.com/Anustup24/TDS")</f>
        <v>https://github.com/Anustup24/TDS</v>
      </c>
      <c r="D536" s="3" t="str">
        <f>IFERROR(VLOOKUP(C536,'Peer-Review'!B:J,9,0),"No R1")</f>
        <v>22f3001493@ds.study.iitm.ac.in</v>
      </c>
      <c r="E536" s="3" t="str">
        <f>IFERROR(VLOOKUP(C536,'Peer-Review'!F:J,5,0),"No R2")</f>
        <v>No R2</v>
      </c>
      <c r="F536" s="3">
        <f>COUNTIF('Peer-Review'!B:B,C536)+COUNTIF('Peer-Review'!F:F,C536)</f>
        <v>1</v>
      </c>
      <c r="G536" s="3">
        <f t="shared" si="1"/>
        <v>1</v>
      </c>
      <c r="H536" s="3" t="str">
        <f>IFERROR(__xludf.DUMMYFUNCTION("IFERROR(TRANSPOSE(FILTER('Peer-Review'!$J$2:$J$568,(TRIM('Peer-Review'!$B$2:$B$568)=C536 )+ (TRIM('Peer-Review'!$F$2:$F$568)=C536))),""No Reviews"")"),"22f3001493@ds.study.iitm.ac.in")</f>
        <v>22f3001493@ds.study.iitm.ac.in</v>
      </c>
      <c r="J536" s="3">
        <f>IF(D536="No R1",0,VLOOKUP(C536,'Peer-Review'!B:D,2,0))</f>
        <v>8</v>
      </c>
      <c r="K536" s="3">
        <f>IF(D536="No R1",0,VLOOKUP(C536,'Peer-Review'!B:D,3,0))</f>
        <v>7</v>
      </c>
      <c r="L536" s="3">
        <f>IF(E536="No R2",0,VLOOKUP(C536,'Peer-Review'!F:H,2,0))</f>
        <v>0</v>
      </c>
      <c r="M536" s="3">
        <f>IF(E536="No R2",0,VLOOKUP(C536,'Peer-Review'!F:H,3,0))</f>
        <v>0</v>
      </c>
    </row>
    <row r="537" hidden="1">
      <c r="A537" s="3" t="str">
        <f>IFERROR(__xludf.DUMMYFUNCTION("""COMPUTED_VALUE"""),"23f1002633@ds.study.iitm.ac.in")</f>
        <v>23f1002633@ds.study.iitm.ac.in</v>
      </c>
      <c r="B537" s="3">
        <f>IFERROR(__xludf.DUMMYFUNCTION("""COMPUTED_VALUE"""),0.0)</f>
        <v>0</v>
      </c>
      <c r="C537" s="5" t="str">
        <f>IFERROR(__xludf.DUMMYFUNCTION("""COMPUTED_VALUE"""),"https://github.com/LandeVV326/TDS_Project-1")</f>
        <v>https://github.com/LandeVV326/TDS_Project-1</v>
      </c>
      <c r="D537" s="3" t="str">
        <f>IFERROR(VLOOKUP(C537,'Peer-Review'!B:J,9,0),"No R1")</f>
        <v>No R1</v>
      </c>
      <c r="E537" s="3" t="str">
        <f>IFERROR(VLOOKUP(C537,'Peer-Review'!F:J,5,0),"No R2")</f>
        <v>No R2</v>
      </c>
      <c r="F537" s="3">
        <f>COUNTIF('Peer-Review'!B:B,C537)+COUNTIF('Peer-Review'!F:F,C537)</f>
        <v>0</v>
      </c>
      <c r="G537" s="3">
        <f t="shared" si="1"/>
        <v>0</v>
      </c>
      <c r="H537" s="3" t="str">
        <f>IFERROR(__xludf.DUMMYFUNCTION("IFERROR(TRANSPOSE(FILTER('Peer-Review'!$J$2:$J$568,(TRIM('Peer-Review'!$B$2:$B$568)=C537 )+ (TRIM('Peer-Review'!$F$2:$F$568)=C537))),""No Reviews"")"),"No Reviews")</f>
        <v>No Reviews</v>
      </c>
      <c r="J537" s="3">
        <f>IF(D537="No R1",0,VLOOKUP(C537,'Peer-Review'!B:D,2,0))</f>
        <v>0</v>
      </c>
      <c r="K537" s="3">
        <f>IF(D537="No R1",0,VLOOKUP(C537,'Peer-Review'!B:D,3,0))</f>
        <v>0</v>
      </c>
      <c r="L537" s="3">
        <f>IF(E537="No R2",0,VLOOKUP(C537,'Peer-Review'!F:H,2,0))</f>
        <v>0</v>
      </c>
      <c r="M537" s="3">
        <f>IF(E537="No R2",0,VLOOKUP(C537,'Peer-Review'!F:H,3,0))</f>
        <v>0</v>
      </c>
    </row>
    <row r="538" hidden="1">
      <c r="A538" s="3" t="str">
        <f>IFERROR(__xludf.DUMMYFUNCTION("""COMPUTED_VALUE"""),"23f1002687@ds.study.iitm.ac.in")</f>
        <v>23f1002687@ds.study.iitm.ac.in</v>
      </c>
      <c r="B538" s="3">
        <f>IFERROR(__xludf.DUMMYFUNCTION("""COMPUTED_VALUE"""),16.0)</f>
        <v>16</v>
      </c>
      <c r="C538" s="5" t="str">
        <f>IFERROR(__xludf.DUMMYFUNCTION("""COMPUTED_VALUE"""),"https://github.com/Nishtha65/TDS-Project1")</f>
        <v>https://github.com/Nishtha65/TDS-Project1</v>
      </c>
      <c r="D538" s="3" t="str">
        <f>IFERROR(VLOOKUP(C538,'Peer-Review'!B:J,9,0),"No R1")</f>
        <v>No R1</v>
      </c>
      <c r="E538" s="3" t="str">
        <f>IFERROR(VLOOKUP(C538,'Peer-Review'!F:J,5,0),"No R2")</f>
        <v>23f1002462@ds.study.iitm.ac.in</v>
      </c>
      <c r="F538" s="3">
        <f>COUNTIF('Peer-Review'!B:B,C538)+COUNTIF('Peer-Review'!F:F,C538)</f>
        <v>1</v>
      </c>
      <c r="G538" s="3">
        <f t="shared" si="1"/>
        <v>1</v>
      </c>
      <c r="H538" s="3" t="str">
        <f>IFERROR(__xludf.DUMMYFUNCTION("IFERROR(TRANSPOSE(FILTER('Peer-Review'!$J$2:$J$568,(TRIM('Peer-Review'!$B$2:$B$568)=C538 )+ (TRIM('Peer-Review'!$F$2:$F$568)=C538))),""No Reviews"")"),"23f1002462@ds.study.iitm.ac.in")</f>
        <v>23f1002462@ds.study.iitm.ac.in</v>
      </c>
      <c r="J538" s="3">
        <f>IF(D538="No R1",0,VLOOKUP(C538,'Peer-Review'!B:D,2,0))</f>
        <v>0</v>
      </c>
      <c r="K538" s="3">
        <f>IF(D538="No R1",0,VLOOKUP(C538,'Peer-Review'!B:D,3,0))</f>
        <v>0</v>
      </c>
      <c r="L538" s="3">
        <f>IF(E538="No R2",0,VLOOKUP(C538,'Peer-Review'!F:H,2,0))</f>
        <v>10</v>
      </c>
      <c r="M538" s="3">
        <f>IF(E538="No R2",0,VLOOKUP(C538,'Peer-Review'!F:H,3,0))</f>
        <v>10</v>
      </c>
    </row>
    <row r="539" hidden="1">
      <c r="A539" s="3" t="str">
        <f>IFERROR(__xludf.DUMMYFUNCTION("""COMPUTED_VALUE"""),"23f1002688@ds.study.iitm.ac.in")</f>
        <v>23f1002688@ds.study.iitm.ac.in</v>
      </c>
      <c r="B539" s="3">
        <f>IFERROR(__xludf.DUMMYFUNCTION("""COMPUTED_VALUE"""),17.0)</f>
        <v>17</v>
      </c>
      <c r="C539" s="5" t="str">
        <f>IFERROR(__xludf.DUMMYFUNCTION("""COMPUTED_VALUE"""),"https://github.com/AMIRTHAKATESAN-M/TDS-PROJECT-1")</f>
        <v>https://github.com/AMIRTHAKATESAN-M/TDS-PROJECT-1</v>
      </c>
      <c r="D539" s="3" t="str">
        <f>IFERROR(VLOOKUP(C539,'Peer-Review'!B:J,9,0),"No R1")</f>
        <v>No R1</v>
      </c>
      <c r="E539" s="3" t="str">
        <f>IFERROR(VLOOKUP(C539,'Peer-Review'!F:J,5,0),"No R2")</f>
        <v>23f1002482@ds.study.iitm.ac.in</v>
      </c>
      <c r="F539" s="3">
        <f>COUNTIF('Peer-Review'!B:B,C539)+COUNTIF('Peer-Review'!F:F,C539)</f>
        <v>1</v>
      </c>
      <c r="G539" s="3">
        <f t="shared" si="1"/>
        <v>1</v>
      </c>
      <c r="H539" s="3" t="str">
        <f>IFERROR(__xludf.DUMMYFUNCTION("IFERROR(TRANSPOSE(FILTER('Peer-Review'!$J$2:$J$568,(TRIM('Peer-Review'!$B$2:$B$568)=C539 )+ (TRIM('Peer-Review'!$F$2:$F$568)=C539))),""No Reviews"")"),"23f1002482@ds.study.iitm.ac.in")</f>
        <v>23f1002482@ds.study.iitm.ac.in</v>
      </c>
      <c r="J539" s="3">
        <f>IF(D539="No R1",0,VLOOKUP(C539,'Peer-Review'!B:D,2,0))</f>
        <v>0</v>
      </c>
      <c r="K539" s="3">
        <f>IF(D539="No R1",0,VLOOKUP(C539,'Peer-Review'!B:D,3,0))</f>
        <v>0</v>
      </c>
      <c r="L539" s="3">
        <f>IF(E539="No R2",0,VLOOKUP(C539,'Peer-Review'!F:H,2,0))</f>
        <v>6</v>
      </c>
      <c r="M539" s="3">
        <f>IF(E539="No R2",0,VLOOKUP(C539,'Peer-Review'!F:H,3,0))</f>
        <v>10</v>
      </c>
    </row>
    <row r="540" hidden="1">
      <c r="A540" s="3" t="str">
        <f>IFERROR(__xludf.DUMMYFUNCTION("""COMPUTED_VALUE"""),"23f1002698@ds.study.iitm.ac.in")</f>
        <v>23f1002698@ds.study.iitm.ac.in</v>
      </c>
      <c r="B540" s="3">
        <f>IFERROR(__xludf.DUMMYFUNCTION("""COMPUTED_VALUE"""),0.0)</f>
        <v>0</v>
      </c>
      <c r="C540" s="5" t="str">
        <f>IFERROR(__xludf.DUMMYFUNCTION("""COMPUTED_VALUE"""),"https://github.com/SuhaniDubey03/TDSGA1")</f>
        <v>https://github.com/SuhaniDubey03/TDSGA1</v>
      </c>
      <c r="D540" s="3" t="str">
        <f>IFERROR(VLOOKUP(C540,'Peer-Review'!B:J,9,0),"No R1")</f>
        <v>No R1</v>
      </c>
      <c r="E540" s="3" t="str">
        <f>IFERROR(VLOOKUP(C540,'Peer-Review'!F:J,5,0),"No R2")</f>
        <v>No R2</v>
      </c>
      <c r="F540" s="3">
        <f>COUNTIF('Peer-Review'!B:B,C540)+COUNTIF('Peer-Review'!F:F,C540)</f>
        <v>0</v>
      </c>
      <c r="G540" s="3">
        <f t="shared" si="1"/>
        <v>0</v>
      </c>
      <c r="H540" s="3" t="str">
        <f>IFERROR(__xludf.DUMMYFUNCTION("IFERROR(TRANSPOSE(FILTER('Peer-Review'!$J$2:$J$568,(TRIM('Peer-Review'!$B$2:$B$568)=C540 )+ (TRIM('Peer-Review'!$F$2:$F$568)=C540))),""No Reviews"")"),"No Reviews")</f>
        <v>No Reviews</v>
      </c>
      <c r="J540" s="3">
        <f>IF(D540="No R1",0,VLOOKUP(C540,'Peer-Review'!B:D,2,0))</f>
        <v>0</v>
      </c>
      <c r="K540" s="3">
        <f>IF(D540="No R1",0,VLOOKUP(C540,'Peer-Review'!B:D,3,0))</f>
        <v>0</v>
      </c>
      <c r="L540" s="3">
        <f>IF(E540="No R2",0,VLOOKUP(C540,'Peer-Review'!F:H,2,0))</f>
        <v>0</v>
      </c>
      <c r="M540" s="3">
        <f>IF(E540="No R2",0,VLOOKUP(C540,'Peer-Review'!F:H,3,0))</f>
        <v>0</v>
      </c>
    </row>
    <row r="541" hidden="1">
      <c r="A541" s="3" t="str">
        <f>IFERROR(__xludf.DUMMYFUNCTION("""COMPUTED_VALUE"""),"23f1002786@ds.study.iitm.ac.in")</f>
        <v>23f1002786@ds.study.iitm.ac.in</v>
      </c>
      <c r="B541" s="3">
        <f>IFERROR(__xludf.DUMMYFUNCTION("""COMPUTED_VALUE"""),17.0)</f>
        <v>17</v>
      </c>
      <c r="C541" s="5" t="str">
        <f>IFERROR(__xludf.DUMMYFUNCTION("""COMPUTED_VALUE"""),"https://github.com/devishijain/TDS-Project-1")</f>
        <v>https://github.com/devishijain/TDS-Project-1</v>
      </c>
      <c r="D541" s="3" t="str">
        <f>IFERROR(VLOOKUP(C541,'Peer-Review'!B:J,9,0),"No R1")</f>
        <v>No R1</v>
      </c>
      <c r="E541" s="3" t="str">
        <f>IFERROR(VLOOKUP(C541,'Peer-Review'!F:J,5,0),"No R2")</f>
        <v>23f1002688@ds.study.iitm.ac.in</v>
      </c>
      <c r="F541" s="3">
        <f>COUNTIF('Peer-Review'!B:B,C541)+COUNTIF('Peer-Review'!F:F,C541)</f>
        <v>1</v>
      </c>
      <c r="G541" s="3">
        <f t="shared" si="1"/>
        <v>1</v>
      </c>
      <c r="H541" s="3" t="str">
        <f>IFERROR(__xludf.DUMMYFUNCTION("IFERROR(TRANSPOSE(FILTER('Peer-Review'!$J$2:$J$568,(TRIM('Peer-Review'!$B$2:$B$568)=C541 )+ (TRIM('Peer-Review'!$F$2:$F$568)=C541))),""No Reviews"")"),"23f1002688@ds.study.iitm.ac.in")</f>
        <v>23f1002688@ds.study.iitm.ac.in</v>
      </c>
      <c r="J541" s="3">
        <f>IF(D541="No R1",0,VLOOKUP(C541,'Peer-Review'!B:D,2,0))</f>
        <v>0</v>
      </c>
      <c r="K541" s="3">
        <f>IF(D541="No R1",0,VLOOKUP(C541,'Peer-Review'!B:D,3,0))</f>
        <v>0</v>
      </c>
      <c r="L541" s="3">
        <f>IF(E541="No R2",0,VLOOKUP(C541,'Peer-Review'!F:H,2,0))</f>
        <v>1</v>
      </c>
      <c r="M541" s="3">
        <f>IF(E541="No R2",0,VLOOKUP(C541,'Peer-Review'!F:H,3,0))</f>
        <v>0</v>
      </c>
    </row>
    <row r="542" hidden="1">
      <c r="A542" s="3" t="str">
        <f>IFERROR(__xludf.DUMMYFUNCTION("""COMPUTED_VALUE"""),"23f1002800@ds.study.iitm.ac.in")</f>
        <v>23f1002800@ds.study.iitm.ac.in</v>
      </c>
      <c r="B542" s="3">
        <f>IFERROR(__xludf.DUMMYFUNCTION("""COMPUTED_VALUE"""),15.0)</f>
        <v>15</v>
      </c>
      <c r="C542" s="5" t="str">
        <f>IFERROR(__xludf.DUMMYFUNCTION("""COMPUTED_VALUE"""),"https://github.com/Harshachowdary2012/Berlin-200-Analysis-TDS")</f>
        <v>https://github.com/Harshachowdary2012/Berlin-200-Analysis-TDS</v>
      </c>
      <c r="D542" s="3" t="str">
        <f>IFERROR(VLOOKUP(C542,'Peer-Review'!B:J,9,0),"No R1")</f>
        <v>23f2001844@ds.study.iitm.ac.in</v>
      </c>
      <c r="E542" s="3" t="str">
        <f>IFERROR(VLOOKUP(C542,'Peer-Review'!F:J,5,0),"No R2")</f>
        <v>No R2</v>
      </c>
      <c r="F542" s="3">
        <f>COUNTIF('Peer-Review'!B:B,C542)+COUNTIF('Peer-Review'!F:F,C542)</f>
        <v>1</v>
      </c>
      <c r="G542" s="3">
        <f t="shared" si="1"/>
        <v>1</v>
      </c>
      <c r="H542" s="3" t="str">
        <f>IFERROR(__xludf.DUMMYFUNCTION("IFERROR(TRANSPOSE(FILTER('Peer-Review'!$J$2:$J$568,(TRIM('Peer-Review'!$B$2:$B$568)=C542 )+ (TRIM('Peer-Review'!$F$2:$F$568)=C542))),""No Reviews"")"),"23f2001844@ds.study.iitm.ac.in")</f>
        <v>23f2001844@ds.study.iitm.ac.in</v>
      </c>
      <c r="J542" s="3">
        <f>IF(D542="No R1",0,VLOOKUP(C542,'Peer-Review'!B:D,2,0))</f>
        <v>9</v>
      </c>
      <c r="K542" s="3">
        <f>IF(D542="No R1",0,VLOOKUP(C542,'Peer-Review'!B:D,3,0))</f>
        <v>8</v>
      </c>
      <c r="L542" s="3">
        <f>IF(E542="No R2",0,VLOOKUP(C542,'Peer-Review'!F:H,2,0))</f>
        <v>0</v>
      </c>
      <c r="M542" s="3">
        <f>IF(E542="No R2",0,VLOOKUP(C542,'Peer-Review'!F:H,3,0))</f>
        <v>0</v>
      </c>
    </row>
    <row r="543" hidden="1">
      <c r="A543" s="3" t="str">
        <f>IFERROR(__xludf.DUMMYFUNCTION("""COMPUTED_VALUE"""),"23f1002809@ds.study.iitm.ac.in")</f>
        <v>23f1002809@ds.study.iitm.ac.in</v>
      </c>
      <c r="B543" s="3">
        <f>IFERROR(__xludf.DUMMYFUNCTION("""COMPUTED_VALUE"""),17.0)</f>
        <v>17</v>
      </c>
      <c r="C543" s="5" t="str">
        <f>IFERROR(__xludf.DUMMYFUNCTION("""COMPUTED_VALUE"""),"https://github.com/ro-jc/tds-proj-1")</f>
        <v>https://github.com/ro-jc/tds-proj-1</v>
      </c>
      <c r="D543" s="3" t="str">
        <f>IFERROR(VLOOKUP(C543,'Peer-Review'!B:J,9,0),"No R1")</f>
        <v>23f3004236@ds.study.iitm.ac.in</v>
      </c>
      <c r="E543" s="3" t="str">
        <f>IFERROR(VLOOKUP(C543,'Peer-Review'!F:J,5,0),"No R2")</f>
        <v>No R2</v>
      </c>
      <c r="F543" s="3">
        <f>COUNTIF('Peer-Review'!B:B,C543)+COUNTIF('Peer-Review'!F:F,C543)</f>
        <v>1</v>
      </c>
      <c r="G543" s="3">
        <f t="shared" si="1"/>
        <v>1</v>
      </c>
      <c r="H543" s="3" t="str">
        <f>IFERROR(__xludf.DUMMYFUNCTION("IFERROR(TRANSPOSE(FILTER('Peer-Review'!$J$2:$J$568,(TRIM('Peer-Review'!$B$2:$B$568)=C543 )+ (TRIM('Peer-Review'!$F$2:$F$568)=C543))),""No Reviews"")"),"23f3004236@ds.study.iitm.ac.in")</f>
        <v>23f3004236@ds.study.iitm.ac.in</v>
      </c>
      <c r="J543" s="3">
        <f>IF(D543="No R1",0,VLOOKUP(C543,'Peer-Review'!B:D,2,0))</f>
        <v>5</v>
      </c>
      <c r="K543" s="3">
        <f>IF(D543="No R1",0,VLOOKUP(C543,'Peer-Review'!B:D,3,0))</f>
        <v>5</v>
      </c>
      <c r="L543" s="3">
        <f>IF(E543="No R2",0,VLOOKUP(C543,'Peer-Review'!F:H,2,0))</f>
        <v>0</v>
      </c>
      <c r="M543" s="3">
        <f>IF(E543="No R2",0,VLOOKUP(C543,'Peer-Review'!F:H,3,0))</f>
        <v>0</v>
      </c>
    </row>
    <row r="544" hidden="1">
      <c r="A544" s="3" t="str">
        <f>IFERROR(__xludf.DUMMYFUNCTION("""COMPUTED_VALUE"""),"23f1002829@ds.study.iitm.ac.in")</f>
        <v>23f1002829@ds.study.iitm.ac.in</v>
      </c>
      <c r="B544" s="3">
        <f>IFERROR(__xludf.DUMMYFUNCTION("""COMPUTED_VALUE"""),14.0)</f>
        <v>14</v>
      </c>
      <c r="C544" s="5" t="str">
        <f>IFERROR(__xludf.DUMMYFUNCTION("""COMPUTED_VALUE"""),"https://github.com/Saagar-22/Hyderabad_50")</f>
        <v>https://github.com/Saagar-22/Hyderabad_50</v>
      </c>
      <c r="D544" s="3" t="str">
        <f>IFERROR(VLOOKUP(C544,'Peer-Review'!B:J,9,0),"No R1")</f>
        <v>23f1001897@ds.study.iitm.ac.in</v>
      </c>
      <c r="E544" s="3" t="str">
        <f>IFERROR(VLOOKUP(C544,'Peer-Review'!F:J,5,0),"No R2")</f>
        <v>No R2</v>
      </c>
      <c r="F544" s="3">
        <f>COUNTIF('Peer-Review'!B:B,C544)+COUNTIF('Peer-Review'!F:F,C544)</f>
        <v>2</v>
      </c>
      <c r="G544" s="3">
        <f t="shared" si="1"/>
        <v>1</v>
      </c>
      <c r="H544" s="3" t="str">
        <f>IFERROR(__xludf.DUMMYFUNCTION("IFERROR(TRANSPOSE(FILTER('Peer-Review'!$J$2:$J$568,(TRIM('Peer-Review'!$B$2:$B$568)=C544 )+ (TRIM('Peer-Review'!$F$2:$F$568)=C544))),""No Reviews"")"),"23f1001897@ds.study.iitm.ac.in")</f>
        <v>23f1001897@ds.study.iitm.ac.in</v>
      </c>
      <c r="I544" s="3" t="str">
        <f>IFERROR(__xludf.DUMMYFUNCTION("""COMPUTED_VALUE"""),"23f1002938@ds.study.iitm.ac.in")</f>
        <v>23f1002938@ds.study.iitm.ac.in</v>
      </c>
      <c r="J544" s="3">
        <f>IF(D544="No R1",0,VLOOKUP(C544,'Peer-Review'!B:D,2,0))</f>
        <v>10</v>
      </c>
      <c r="K544" s="3">
        <f>IF(D544="No R1",0,VLOOKUP(C544,'Peer-Review'!B:D,3,0))</f>
        <v>8</v>
      </c>
      <c r="L544" s="3">
        <f>IF(E544="No R2",0,VLOOKUP(C544,'Peer-Review'!F:H,2,0))</f>
        <v>0</v>
      </c>
      <c r="M544" s="3">
        <f>IF(E544="No R2",0,VLOOKUP(C544,'Peer-Review'!F:H,3,0))</f>
        <v>0</v>
      </c>
    </row>
    <row r="545" hidden="1">
      <c r="A545" s="3" t="str">
        <f>IFERROR(__xludf.DUMMYFUNCTION("""COMPUTED_VALUE"""),"23f1002850@ds.study.iitm.ac.in")</f>
        <v>23f1002850@ds.study.iitm.ac.in</v>
      </c>
      <c r="B545" s="3">
        <f>IFERROR(__xludf.DUMMYFUNCTION("""COMPUTED_VALUE"""),16.0)</f>
        <v>16</v>
      </c>
      <c r="C545" s="5" t="str">
        <f>IFERROR(__xludf.DUMMYFUNCTION("""COMPUTED_VALUE"""),"https://github.com/ShivamAgrawal100/TDS-Project1")</f>
        <v>https://github.com/ShivamAgrawal100/TDS-Project1</v>
      </c>
      <c r="D545" s="3" t="str">
        <f>IFERROR(VLOOKUP(C545,'Peer-Review'!B:J,9,0),"No R1")</f>
        <v>No R1</v>
      </c>
      <c r="E545" s="3" t="str">
        <f>IFERROR(VLOOKUP(C545,'Peer-Review'!F:J,5,0),"No R2")</f>
        <v>23f1002687@ds.study.iitm.ac.in</v>
      </c>
      <c r="F545" s="3">
        <f>COUNTIF('Peer-Review'!B:B,C545)+COUNTIF('Peer-Review'!F:F,C545)</f>
        <v>2</v>
      </c>
      <c r="G545" s="3">
        <f t="shared" si="1"/>
        <v>1</v>
      </c>
      <c r="H545" s="3" t="str">
        <f>IFERROR(__xludf.DUMMYFUNCTION("IFERROR(TRANSPOSE(FILTER('Peer-Review'!$J$2:$J$568,(TRIM('Peer-Review'!$B$2:$B$568)=C545 )+ (TRIM('Peer-Review'!$F$2:$F$568)=C545))),""No Reviews"")"),"23f1002687@ds.study.iitm.ac.in")</f>
        <v>23f1002687@ds.study.iitm.ac.in</v>
      </c>
      <c r="I545" s="3" t="str">
        <f>IFERROR(__xludf.DUMMYFUNCTION("""COMPUTED_VALUE"""),"23f2005597@ds.study.iitm.ac.in")</f>
        <v>23f2005597@ds.study.iitm.ac.in</v>
      </c>
      <c r="J545" s="3">
        <f>IF(D545="No R1",0,VLOOKUP(C545,'Peer-Review'!B:D,2,0))</f>
        <v>0</v>
      </c>
      <c r="K545" s="3">
        <f>IF(D545="No R1",0,VLOOKUP(C545,'Peer-Review'!B:D,3,0))</f>
        <v>0</v>
      </c>
      <c r="L545" s="3">
        <f>IF(E545="No R2",0,VLOOKUP(C545,'Peer-Review'!F:H,2,0))</f>
        <v>10</v>
      </c>
      <c r="M545" s="3">
        <f>IF(E545="No R2",0,VLOOKUP(C545,'Peer-Review'!F:H,3,0))</f>
        <v>10</v>
      </c>
    </row>
    <row r="546" hidden="1">
      <c r="A546" s="3" t="str">
        <f>IFERROR(__xludf.DUMMYFUNCTION("""COMPUTED_VALUE"""),"23f1002938@ds.study.iitm.ac.in")</f>
        <v>23f1002938@ds.study.iitm.ac.in</v>
      </c>
      <c r="B546" s="3">
        <f>IFERROR(__xludf.DUMMYFUNCTION("""COMPUTED_VALUE"""),14.0)</f>
        <v>14</v>
      </c>
      <c r="C546" s="5" t="str">
        <f>IFERROR(__xludf.DUMMYFUNCTION("""COMPUTED_VALUE"""),"https://github.com/SakshamBindal07/github_sydney_users")</f>
        <v>https://github.com/SakshamBindal07/github_sydney_users</v>
      </c>
      <c r="D546" s="3" t="str">
        <f>IFERROR(VLOOKUP(C546,'Peer-Review'!B:J,9,0),"No R1")</f>
        <v>23f1001901@ds.study.iitm.ac.in</v>
      </c>
      <c r="E546" s="3" t="str">
        <f>IFERROR(VLOOKUP(C546,'Peer-Review'!F:J,5,0),"No R2")</f>
        <v>No R2</v>
      </c>
      <c r="F546" s="3">
        <f>COUNTIF('Peer-Review'!B:B,C546)+COUNTIF('Peer-Review'!F:F,C546)</f>
        <v>2</v>
      </c>
      <c r="G546" s="3">
        <f t="shared" si="1"/>
        <v>1</v>
      </c>
      <c r="H546" s="3" t="str">
        <f>IFERROR(__xludf.DUMMYFUNCTION("IFERROR(TRANSPOSE(FILTER('Peer-Review'!$J$2:$J$568,(TRIM('Peer-Review'!$B$2:$B$568)=C546 )+ (TRIM('Peer-Review'!$F$2:$F$568)=C546))),""No Reviews"")"),"23f1001901@ds.study.iitm.ac.in")</f>
        <v>23f1001901@ds.study.iitm.ac.in</v>
      </c>
      <c r="I546" s="3" t="str">
        <f>IFERROR(__xludf.DUMMYFUNCTION("""COMPUTED_VALUE"""),"23f1003039@ds.study.iitm.ac.in")</f>
        <v>23f1003039@ds.study.iitm.ac.in</v>
      </c>
      <c r="J546" s="3">
        <f>IF(D546="No R1",0,VLOOKUP(C546,'Peer-Review'!B:D,2,0))</f>
        <v>8</v>
      </c>
      <c r="K546" s="3">
        <f>IF(D546="No R1",0,VLOOKUP(C546,'Peer-Review'!B:D,3,0))</f>
        <v>10</v>
      </c>
      <c r="L546" s="3">
        <f>IF(E546="No R2",0,VLOOKUP(C546,'Peer-Review'!F:H,2,0))</f>
        <v>0</v>
      </c>
      <c r="M546" s="3">
        <f>IF(E546="No R2",0,VLOOKUP(C546,'Peer-Review'!F:H,3,0))</f>
        <v>0</v>
      </c>
    </row>
    <row r="547" hidden="1">
      <c r="A547" s="3" t="str">
        <f>IFERROR(__xludf.DUMMYFUNCTION("""COMPUTED_VALUE"""),"23f1002940@ds.study.iitm.ac.in")</f>
        <v>23f1002940@ds.study.iitm.ac.in</v>
      </c>
      <c r="B547" s="3">
        <f>IFERROR(__xludf.DUMMYFUNCTION("""COMPUTED_VALUE"""),17.0)</f>
        <v>17</v>
      </c>
      <c r="C547" s="5" t="str">
        <f>IFERROR(__xludf.DUMMYFUNCTION("""COMPUTED_VALUE"""),"https://github.com/Bracket12/TDS_project_1")</f>
        <v>https://github.com/Bracket12/TDS_project_1</v>
      </c>
      <c r="D547" s="3" t="str">
        <f>IFERROR(VLOOKUP(C547,'Peer-Review'!B:J,9,0),"No R1")</f>
        <v>No R1</v>
      </c>
      <c r="E547" s="3" t="str">
        <f>IFERROR(VLOOKUP(C547,'Peer-Review'!F:J,5,0),"No R2")</f>
        <v>23f1002809@ds.study.iitm.ac.in</v>
      </c>
      <c r="F547" s="3">
        <f>COUNTIF('Peer-Review'!B:B,C547)+COUNTIF('Peer-Review'!F:F,C547)</f>
        <v>1</v>
      </c>
      <c r="G547" s="3">
        <f t="shared" si="1"/>
        <v>1</v>
      </c>
      <c r="H547" s="3" t="str">
        <f>IFERROR(__xludf.DUMMYFUNCTION("IFERROR(TRANSPOSE(FILTER('Peer-Review'!$J$2:$J$568,(TRIM('Peer-Review'!$B$2:$B$568)=C547 )+ (TRIM('Peer-Review'!$F$2:$F$568)=C547))),""No Reviews"")"),"23f1002809@ds.study.iitm.ac.in")</f>
        <v>23f1002809@ds.study.iitm.ac.in</v>
      </c>
      <c r="J547" s="3">
        <f>IF(D547="No R1",0,VLOOKUP(C547,'Peer-Review'!B:D,2,0))</f>
        <v>0</v>
      </c>
      <c r="K547" s="3">
        <f>IF(D547="No R1",0,VLOOKUP(C547,'Peer-Review'!B:D,3,0))</f>
        <v>0</v>
      </c>
      <c r="L547" s="3">
        <f>IF(E547="No R2",0,VLOOKUP(C547,'Peer-Review'!F:H,2,0))</f>
        <v>8</v>
      </c>
      <c r="M547" s="3">
        <f>IF(E547="No R2",0,VLOOKUP(C547,'Peer-Review'!F:H,3,0))</f>
        <v>10</v>
      </c>
    </row>
    <row r="548" hidden="1">
      <c r="A548" s="3" t="str">
        <f>IFERROR(__xludf.DUMMYFUNCTION("""COMPUTED_VALUE"""),"23f1002967@ds.study.iitm.ac.in")</f>
        <v>23f1002967@ds.study.iitm.ac.in</v>
      </c>
      <c r="B548" s="3">
        <f>IFERROR(__xludf.DUMMYFUNCTION("""COMPUTED_VALUE"""),17.0)</f>
        <v>17</v>
      </c>
      <c r="C548" s="5" t="str">
        <f>IFERROR(__xludf.DUMMYFUNCTION("""COMPUTED_VALUE"""),"https://github.com/imposter7/seattle-github-users")</f>
        <v>https://github.com/imposter7/seattle-github-users</v>
      </c>
      <c r="D548" s="3" t="str">
        <f>IFERROR(VLOOKUP(C548,'Peer-Review'!B:J,9,0),"No R1")</f>
        <v>No R1</v>
      </c>
      <c r="E548" s="3" t="str">
        <f>IFERROR(VLOOKUP(C548,'Peer-Review'!F:J,5,0),"No R2")</f>
        <v>23f1002940@ds.study.iitm.ac.in</v>
      </c>
      <c r="F548" s="3">
        <f>COUNTIF('Peer-Review'!B:B,C548)+COUNTIF('Peer-Review'!F:F,C548)</f>
        <v>2</v>
      </c>
      <c r="G548" s="3">
        <f t="shared" si="1"/>
        <v>1</v>
      </c>
      <c r="H548" s="3" t="str">
        <f>IFERROR(__xludf.DUMMYFUNCTION("IFERROR(TRANSPOSE(FILTER('Peer-Review'!$J$2:$J$568,(TRIM('Peer-Review'!$B$2:$B$568)=C548 )+ (TRIM('Peer-Review'!$F$2:$F$568)=C548))),""No Reviews"")"),"23f1002940@ds.study.iitm.ac.in")</f>
        <v>23f1002940@ds.study.iitm.ac.in</v>
      </c>
      <c r="I548" s="3" t="str">
        <f>IFERROR(__xludf.DUMMYFUNCTION("""COMPUTED_VALUE"""),"24ds2000126@ds.study.iitm.ac.in")</f>
        <v>24ds2000126@ds.study.iitm.ac.in</v>
      </c>
      <c r="J548" s="3">
        <f>IF(D548="No R1",0,VLOOKUP(C548,'Peer-Review'!B:D,2,0))</f>
        <v>0</v>
      </c>
      <c r="K548" s="3">
        <f>IF(D548="No R1",0,VLOOKUP(C548,'Peer-Review'!B:D,3,0))</f>
        <v>0</v>
      </c>
      <c r="L548" s="3">
        <f>IF(E548="No R2",0,VLOOKUP(C548,'Peer-Review'!F:H,2,0))</f>
        <v>8</v>
      </c>
      <c r="M548" s="3">
        <f>IF(E548="No R2",0,VLOOKUP(C548,'Peer-Review'!F:H,3,0))</f>
        <v>4</v>
      </c>
    </row>
    <row r="549" hidden="1">
      <c r="A549" s="3" t="str">
        <f>IFERROR(__xludf.DUMMYFUNCTION("""COMPUTED_VALUE"""),"23f1002973@ds.study.iitm.ac.in")</f>
        <v>23f1002973@ds.study.iitm.ac.in</v>
      </c>
      <c r="B549" s="3">
        <f>IFERROR(__xludf.DUMMYFUNCTION("""COMPUTED_VALUE"""),17.0)</f>
        <v>17</v>
      </c>
      <c r="C549" s="5" t="str">
        <f>IFERROR(__xludf.DUMMYFUNCTION("""COMPUTED_VALUE"""),"https://github.com/indalbind/tds_project_first")</f>
        <v>https://github.com/indalbind/tds_project_first</v>
      </c>
      <c r="D549" s="3" t="str">
        <f>IFERROR(VLOOKUP(C549,'Peer-Review'!B:J,9,0),"No R1")</f>
        <v>No R1</v>
      </c>
      <c r="E549" s="3" t="str">
        <f>IFERROR(VLOOKUP(C549,'Peer-Review'!F:J,5,0),"No R2")</f>
        <v>24ds2000141@ds.study.iitm.ac.in</v>
      </c>
      <c r="F549" s="3">
        <f>COUNTIF('Peer-Review'!B:B,C549)+COUNTIF('Peer-Review'!F:F,C549)</f>
        <v>2</v>
      </c>
      <c r="G549" s="3">
        <f t="shared" si="1"/>
        <v>1</v>
      </c>
      <c r="H549" s="3" t="str">
        <f>IFERROR(__xludf.DUMMYFUNCTION("IFERROR(TRANSPOSE(FILTER('Peer-Review'!$J$2:$J$568,(TRIM('Peer-Review'!$B$2:$B$568)=C549 )+ (TRIM('Peer-Review'!$F$2:$F$568)=C549))),""No Reviews"")"),"24ds2000141@ds.study.iitm.ac.in")</f>
        <v>24ds2000141@ds.study.iitm.ac.in</v>
      </c>
      <c r="I549" s="3" t="str">
        <f>IFERROR(__xludf.DUMMYFUNCTION("""COMPUTED_VALUE"""),"23f1002967@ds.study.iitm.ac.in")</f>
        <v>23f1002967@ds.study.iitm.ac.in</v>
      </c>
      <c r="J549" s="3">
        <f>IF(D549="No R1",0,VLOOKUP(C549,'Peer-Review'!B:D,2,0))</f>
        <v>0</v>
      </c>
      <c r="K549" s="3">
        <f>IF(D549="No R1",0,VLOOKUP(C549,'Peer-Review'!B:D,3,0))</f>
        <v>0</v>
      </c>
      <c r="L549" s="3">
        <f>IF(E549="No R2",0,VLOOKUP(C549,'Peer-Review'!F:H,2,0))</f>
        <v>10</v>
      </c>
      <c r="M549" s="3">
        <f>IF(E549="No R2",0,VLOOKUP(C549,'Peer-Review'!F:H,3,0))</f>
        <v>10</v>
      </c>
    </row>
    <row r="550" hidden="1">
      <c r="A550" s="3" t="str">
        <f>IFERROR(__xludf.DUMMYFUNCTION("""COMPUTED_VALUE"""),"23f1002989@ds.study.iitm.ac.in")</f>
        <v>23f1002989@ds.study.iitm.ac.in</v>
      </c>
      <c r="B550" s="3">
        <f>IFERROR(__xludf.DUMMYFUNCTION("""COMPUTED_VALUE"""),0.0)</f>
        <v>0</v>
      </c>
      <c r="C550" s="5" t="str">
        <f>IFERROR(__xludf.DUMMYFUNCTION("""COMPUTED_VALUE"""),"https://github.com/Gowshikraj6/tdsp1")</f>
        <v>https://github.com/Gowshikraj6/tdsp1</v>
      </c>
      <c r="D550" s="3" t="str">
        <f>IFERROR(VLOOKUP(C550,'Peer-Review'!B:J,9,0),"No R1")</f>
        <v>No R1</v>
      </c>
      <c r="E550" s="3" t="str">
        <f>IFERROR(VLOOKUP(C550,'Peer-Review'!F:J,5,0),"No R2")</f>
        <v>No R2</v>
      </c>
      <c r="F550" s="3">
        <f>COUNTIF('Peer-Review'!B:B,C550)+COUNTIF('Peer-Review'!F:F,C550)</f>
        <v>0</v>
      </c>
      <c r="G550" s="3">
        <f t="shared" si="1"/>
        <v>0</v>
      </c>
      <c r="H550" s="3" t="str">
        <f>IFERROR(__xludf.DUMMYFUNCTION("IFERROR(TRANSPOSE(FILTER('Peer-Review'!$J$2:$J$568,(TRIM('Peer-Review'!$B$2:$B$568)=C550 )+ (TRIM('Peer-Review'!$F$2:$F$568)=C550))),""No Reviews"")"),"No Reviews")</f>
        <v>No Reviews</v>
      </c>
      <c r="J550" s="3">
        <f>IF(D550="No R1",0,VLOOKUP(C550,'Peer-Review'!B:D,2,0))</f>
        <v>0</v>
      </c>
      <c r="K550" s="3">
        <f>IF(D550="No R1",0,VLOOKUP(C550,'Peer-Review'!B:D,3,0))</f>
        <v>0</v>
      </c>
      <c r="L550" s="3">
        <f>IF(E550="No R2",0,VLOOKUP(C550,'Peer-Review'!F:H,2,0))</f>
        <v>0</v>
      </c>
      <c r="M550" s="3">
        <f>IF(E550="No R2",0,VLOOKUP(C550,'Peer-Review'!F:H,3,0))</f>
        <v>0</v>
      </c>
    </row>
    <row r="551" hidden="1">
      <c r="A551" s="3" t="str">
        <f>IFERROR(__xludf.DUMMYFUNCTION("""COMPUTED_VALUE"""),"23f1003016@ds.study.iitm.ac.in")</f>
        <v>23f1003016@ds.study.iitm.ac.in</v>
      </c>
      <c r="B551" s="3">
        <f>IFERROR(__xludf.DUMMYFUNCTION("""COMPUTED_VALUE"""),10.0)</f>
        <v>10</v>
      </c>
      <c r="C551" s="5" t="str">
        <f>IFERROR(__xludf.DUMMYFUNCTION("""COMPUTED_VALUE"""),"https://github.com/23f1003016/TDS-Project1")</f>
        <v>https://github.com/23f1003016/TDS-Project1</v>
      </c>
      <c r="D551" s="3" t="str">
        <f>IFERROR(VLOOKUP(C551,'Peer-Review'!B:J,9,0),"No R1")</f>
        <v>23f1001705@ds.study.iitm.ac.in</v>
      </c>
      <c r="E551" s="3" t="str">
        <f>IFERROR(VLOOKUP(C551,'Peer-Review'!F:J,5,0),"No R2")</f>
        <v>No R2</v>
      </c>
      <c r="F551" s="3">
        <f>COUNTIF('Peer-Review'!B:B,C551)+COUNTIF('Peer-Review'!F:F,C551)</f>
        <v>2</v>
      </c>
      <c r="G551" s="3">
        <f t="shared" si="1"/>
        <v>1</v>
      </c>
      <c r="H551" s="3" t="str">
        <f>IFERROR(__xludf.DUMMYFUNCTION("IFERROR(TRANSPOSE(FILTER('Peer-Review'!$J$2:$J$568,(TRIM('Peer-Review'!$B$2:$B$568)=C551 )+ (TRIM('Peer-Review'!$F$2:$F$568)=C551))),""No Reviews"")"),"23f1001705@ds.study.iitm.ac.in")</f>
        <v>23f1001705@ds.study.iitm.ac.in</v>
      </c>
      <c r="I551" s="3" t="str">
        <f>IFERROR(__xludf.DUMMYFUNCTION("""COMPUTED_VALUE"""),"23f2001487@ds.study.iitm.ac.in")</f>
        <v>23f2001487@ds.study.iitm.ac.in</v>
      </c>
      <c r="J551" s="3">
        <f>IF(D551="No R1",0,VLOOKUP(C551,'Peer-Review'!B:D,2,0))</f>
        <v>10</v>
      </c>
      <c r="K551" s="3">
        <f>IF(D551="No R1",0,VLOOKUP(C551,'Peer-Review'!B:D,3,0))</f>
        <v>10</v>
      </c>
      <c r="L551" s="3">
        <f>IF(E551="No R2",0,VLOOKUP(C551,'Peer-Review'!F:H,2,0))</f>
        <v>0</v>
      </c>
      <c r="M551" s="3">
        <f>IF(E551="No R2",0,VLOOKUP(C551,'Peer-Review'!F:H,3,0))</f>
        <v>0</v>
      </c>
    </row>
    <row r="552" hidden="1">
      <c r="A552" s="3" t="str">
        <f>IFERROR(__xludf.DUMMYFUNCTION("""COMPUTED_VALUE"""),"23f1003030@ds.study.iitm.ac.in")</f>
        <v>23f1003030@ds.study.iitm.ac.in</v>
      </c>
      <c r="B552" s="3">
        <f>IFERROR(__xludf.DUMMYFUNCTION("""COMPUTED_VALUE"""),13.0)</f>
        <v>13</v>
      </c>
      <c r="C552" s="5" t="str">
        <f>IFERROR(__xludf.DUMMYFUNCTION("""COMPUTED_VALUE"""),"https://github.com/keertidamani/TorontoAnalysisProject")</f>
        <v>https://github.com/keertidamani/TorontoAnalysisProject</v>
      </c>
      <c r="D552" s="3" t="str">
        <f>IFERROR(VLOOKUP(C552,'Peer-Review'!B:J,9,0),"No R1")</f>
        <v>23f2000668@ds.study.iitm.ac.in</v>
      </c>
      <c r="E552" s="3" t="str">
        <f>IFERROR(VLOOKUP(C552,'Peer-Review'!F:J,5,0),"No R2")</f>
        <v>No R2</v>
      </c>
      <c r="F552" s="3">
        <f>COUNTIF('Peer-Review'!B:B,C552)+COUNTIF('Peer-Review'!F:F,C552)</f>
        <v>2</v>
      </c>
      <c r="G552" s="3">
        <f t="shared" si="1"/>
        <v>1</v>
      </c>
      <c r="H552" s="3" t="str">
        <f>IFERROR(__xludf.DUMMYFUNCTION("IFERROR(TRANSPOSE(FILTER('Peer-Review'!$J$2:$J$568,(TRIM('Peer-Review'!$B$2:$B$568)=C552 )+ (TRIM('Peer-Review'!$F$2:$F$568)=C552))),""No Reviews"")"),"23f2000668@ds.study.iitm.ac.in")</f>
        <v>23f2000668@ds.study.iitm.ac.in</v>
      </c>
      <c r="I552" s="3" t="str">
        <f>IFERROR(__xludf.DUMMYFUNCTION("""COMPUTED_VALUE"""),"22f3001180@ds.study.iitm.ac.in")</f>
        <v>22f3001180@ds.study.iitm.ac.in</v>
      </c>
      <c r="J552" s="3">
        <f>IF(D552="No R1",0,VLOOKUP(C552,'Peer-Review'!B:D,2,0))</f>
        <v>9</v>
      </c>
      <c r="K552" s="3">
        <f>IF(D552="No R1",0,VLOOKUP(C552,'Peer-Review'!B:D,3,0))</f>
        <v>10</v>
      </c>
      <c r="L552" s="3">
        <f>IF(E552="No R2",0,VLOOKUP(C552,'Peer-Review'!F:H,2,0))</f>
        <v>0</v>
      </c>
      <c r="M552" s="3">
        <f>IF(E552="No R2",0,VLOOKUP(C552,'Peer-Review'!F:H,3,0))</f>
        <v>0</v>
      </c>
    </row>
    <row r="553" hidden="1">
      <c r="A553" s="3" t="str">
        <f>IFERROR(__xludf.DUMMYFUNCTION("""COMPUTED_VALUE"""),"23f1003039@ds.study.iitm.ac.in")</f>
        <v>23f1003039@ds.study.iitm.ac.in</v>
      </c>
      <c r="B553" s="3">
        <f>IFERROR(__xludf.DUMMYFUNCTION("""COMPUTED_VALUE"""),14.0)</f>
        <v>14</v>
      </c>
      <c r="C553" s="5" t="str">
        <f>IFERROR(__xludf.DUMMYFUNCTION("""COMPUTED_VALUE"""),"https://github.com/Viswa-iitm/TDS-project-1")</f>
        <v>https://github.com/Viswa-iitm/TDS-project-1</v>
      </c>
      <c r="D553" s="3" t="str">
        <f>IFERROR(VLOOKUP(C553,'Peer-Review'!B:J,9,0),"No R1")</f>
        <v>23f2000319@ds.study.iitm.ac.in</v>
      </c>
      <c r="E553" s="3" t="str">
        <f>IFERROR(VLOOKUP(C553,'Peer-Review'!F:J,5,0),"No R2")</f>
        <v>No R2</v>
      </c>
      <c r="F553" s="3">
        <f>COUNTIF('Peer-Review'!B:B,C553)+COUNTIF('Peer-Review'!F:F,C553)</f>
        <v>1</v>
      </c>
      <c r="G553" s="3">
        <f t="shared" si="1"/>
        <v>1</v>
      </c>
      <c r="H553" s="3" t="str">
        <f>IFERROR(__xludf.DUMMYFUNCTION("IFERROR(TRANSPOSE(FILTER('Peer-Review'!$J$2:$J$568,(TRIM('Peer-Review'!$B$2:$B$568)=C553 )+ (TRIM('Peer-Review'!$F$2:$F$568)=C553))),""No Reviews"")"),"23f2000319@ds.study.iitm.ac.in")</f>
        <v>23f2000319@ds.study.iitm.ac.in</v>
      </c>
      <c r="J553" s="3">
        <f>IF(D553="No R1",0,VLOOKUP(C553,'Peer-Review'!B:D,2,0))</f>
        <v>10</v>
      </c>
      <c r="K553" s="3">
        <f>IF(D553="No R1",0,VLOOKUP(C553,'Peer-Review'!B:D,3,0))</f>
        <v>10</v>
      </c>
      <c r="L553" s="3">
        <f>IF(E553="No R2",0,VLOOKUP(C553,'Peer-Review'!F:H,2,0))</f>
        <v>0</v>
      </c>
      <c r="M553" s="3">
        <f>IF(E553="No R2",0,VLOOKUP(C553,'Peer-Review'!F:H,3,0))</f>
        <v>0</v>
      </c>
    </row>
    <row r="554" hidden="1">
      <c r="A554" s="3" t="str">
        <f>IFERROR(__xludf.DUMMYFUNCTION("""COMPUTED_VALUE"""),"23f1003040@ds.study.iitm.ac.in")</f>
        <v>23f1003040@ds.study.iitm.ac.in</v>
      </c>
      <c r="B554" s="3">
        <f>IFERROR(__xludf.DUMMYFUNCTION("""COMPUTED_VALUE"""),0.0)</f>
        <v>0</v>
      </c>
      <c r="C554" s="5" t="str">
        <f>IFERROR(__xludf.DUMMYFUNCTION("""COMPUTED_VALUE"""),"https://github.com/nirmalpillai17/tds-project-1")</f>
        <v>https://github.com/nirmalpillai17/tds-project-1</v>
      </c>
      <c r="D554" s="3" t="str">
        <f>IFERROR(VLOOKUP(C554,'Peer-Review'!B:J,9,0),"No R1")</f>
        <v>No R1</v>
      </c>
      <c r="E554" s="3" t="str">
        <f>IFERROR(VLOOKUP(C554,'Peer-Review'!F:J,5,0),"No R2")</f>
        <v>No R2</v>
      </c>
      <c r="F554" s="3">
        <f>COUNTIF('Peer-Review'!B:B,C554)+COUNTIF('Peer-Review'!F:F,C554)</f>
        <v>0</v>
      </c>
      <c r="G554" s="3">
        <f t="shared" si="1"/>
        <v>0</v>
      </c>
      <c r="H554" s="3" t="str">
        <f>IFERROR(__xludf.DUMMYFUNCTION("IFERROR(TRANSPOSE(FILTER('Peer-Review'!$J$2:$J$568,(TRIM('Peer-Review'!$B$2:$B$568)=C554 )+ (TRIM('Peer-Review'!$F$2:$F$568)=C554))),""No Reviews"")"),"No Reviews")</f>
        <v>No Reviews</v>
      </c>
      <c r="J554" s="3">
        <f>IF(D554="No R1",0,VLOOKUP(C554,'Peer-Review'!B:D,2,0))</f>
        <v>0</v>
      </c>
      <c r="K554" s="3">
        <f>IF(D554="No R1",0,VLOOKUP(C554,'Peer-Review'!B:D,3,0))</f>
        <v>0</v>
      </c>
      <c r="L554" s="3">
        <f>IF(E554="No R2",0,VLOOKUP(C554,'Peer-Review'!F:H,2,0))</f>
        <v>0</v>
      </c>
      <c r="M554" s="3">
        <f>IF(E554="No R2",0,VLOOKUP(C554,'Peer-Review'!F:H,3,0))</f>
        <v>0</v>
      </c>
    </row>
    <row r="555">
      <c r="A555" s="3" t="str">
        <f>IFERROR(__xludf.DUMMYFUNCTION("""COMPUTED_VALUE"""),"23f1003100@ds.study.iitm.ac.in")</f>
        <v>23f1003100@ds.study.iitm.ac.in</v>
      </c>
      <c r="B555" s="3">
        <f>IFERROR(__xludf.DUMMYFUNCTION("""COMPUTED_VALUE"""),0.0)</f>
        <v>0</v>
      </c>
      <c r="C555" s="3"/>
      <c r="D555" s="3" t="str">
        <f>IFERROR(VLOOKUP(C555,'Peer-Review'!B:J,9,0),"No R1")</f>
        <v>No R1</v>
      </c>
      <c r="E555" s="3" t="str">
        <f>IFERROR(VLOOKUP(C555,'Peer-Review'!F:J,5,0),"No R2")</f>
        <v>No R2</v>
      </c>
      <c r="F555" s="3">
        <f>COUNTIF('Peer-Review'!B:B,C555)+COUNTIF('Peer-Review'!F:F,C555)</f>
        <v>0</v>
      </c>
      <c r="G555" s="3">
        <f t="shared" si="1"/>
        <v>0</v>
      </c>
      <c r="H555" s="3" t="str">
        <f>IFERROR(__xludf.DUMMYFUNCTION("IFERROR(TRANSPOSE(FILTER('Peer-Review'!$J$2:$J$568,(TRIM('Peer-Review'!$B$2:$B$568)=C555 )+ (TRIM('Peer-Review'!$F$2:$F$568)=C555))),""No Reviews"")"),"No Reviews")</f>
        <v>No Reviews</v>
      </c>
      <c r="J555" s="3">
        <f>IF(D555="No R1",0,VLOOKUP(C555,'Peer-Review'!B:D,2,0))</f>
        <v>0</v>
      </c>
      <c r="K555" s="3">
        <f>IF(D555="No R1",0,VLOOKUP(C555,'Peer-Review'!B:D,3,0))</f>
        <v>0</v>
      </c>
      <c r="L555" s="3">
        <f>IF(E555="No R2",0,VLOOKUP(C555,'Peer-Review'!F:H,2,0))</f>
        <v>0</v>
      </c>
      <c r="M555" s="3">
        <f>IF(E555="No R2",0,VLOOKUP(C555,'Peer-Review'!F:H,3,0))</f>
        <v>0</v>
      </c>
    </row>
    <row r="556" hidden="1">
      <c r="A556" s="3" t="str">
        <f>IFERROR(__xludf.DUMMYFUNCTION("""COMPUTED_VALUE"""),"23f1003126@ds.study.iitm.ac.in")</f>
        <v>23f1003126@ds.study.iitm.ac.in</v>
      </c>
      <c r="B556" s="3">
        <f>IFERROR(__xludf.DUMMYFUNCTION("""COMPUTED_VALUE"""),9.0)</f>
        <v>9</v>
      </c>
      <c r="C556" s="5" t="str">
        <f>IFERROR(__xludf.DUMMYFUNCTION("""COMPUTED_VALUE"""),"https://github.com/Avisiingh/tdsproject1/tree/main")</f>
        <v>https://github.com/Avisiingh/tdsproject1/tree/main</v>
      </c>
      <c r="D556" s="3" t="str">
        <f>IFERROR(VLOOKUP(C556,'Peer-Review'!B:J,9,0),"No R1")</f>
        <v>23f2000573@ds.study.iitm.ac.in</v>
      </c>
      <c r="E556" s="3" t="str">
        <f>IFERROR(VLOOKUP(C556,'Peer-Review'!F:J,5,0),"No R2")</f>
        <v>No R2</v>
      </c>
      <c r="F556" s="3">
        <f>COUNTIF('Peer-Review'!B:B,C556)+COUNTIF('Peer-Review'!F:F,C556)</f>
        <v>2</v>
      </c>
      <c r="G556" s="3">
        <f t="shared" si="1"/>
        <v>1</v>
      </c>
      <c r="H556" s="3" t="str">
        <f>IFERROR(__xludf.DUMMYFUNCTION("IFERROR(TRANSPOSE(FILTER('Peer-Review'!$J$2:$J$568,(TRIM('Peer-Review'!$B$2:$B$568)=C556 )+ (TRIM('Peer-Review'!$F$2:$F$568)=C556))),""No Reviews"")"),"23f2000573@ds.study.iitm.ac.in")</f>
        <v>23f2000573@ds.study.iitm.ac.in</v>
      </c>
      <c r="I556" s="3" t="str">
        <f>IFERROR(__xludf.DUMMYFUNCTION("""COMPUTED_VALUE"""),"22f3003086@ds.study.iitm.ac.in")</f>
        <v>22f3003086@ds.study.iitm.ac.in</v>
      </c>
      <c r="J556" s="3">
        <f>IF(D556="No R1",0,VLOOKUP(C556,'Peer-Review'!B:D,2,0))</f>
        <v>10</v>
      </c>
      <c r="K556" s="3">
        <f>IF(D556="No R1",0,VLOOKUP(C556,'Peer-Review'!B:D,3,0))</f>
        <v>0</v>
      </c>
      <c r="L556" s="3">
        <f>IF(E556="No R2",0,VLOOKUP(C556,'Peer-Review'!F:H,2,0))</f>
        <v>0</v>
      </c>
      <c r="M556" s="3">
        <f>IF(E556="No R2",0,VLOOKUP(C556,'Peer-Review'!F:H,3,0))</f>
        <v>0</v>
      </c>
    </row>
    <row r="557" hidden="1">
      <c r="A557" s="3" t="str">
        <f>IFERROR(__xludf.DUMMYFUNCTION("""COMPUTED_VALUE"""),"23f1003128@ds.study.iitm.ac.in")</f>
        <v>23f1003128@ds.study.iitm.ac.in</v>
      </c>
      <c r="B557" s="3">
        <f>IFERROR(__xludf.DUMMYFUNCTION("""COMPUTED_VALUE"""),11.0)</f>
        <v>11</v>
      </c>
      <c r="C557" s="5" t="str">
        <f>IFERROR(__xludf.DUMMYFUNCTION("""COMPUTED_VALUE"""),"https://github.com/aryankeserwani/github-stockholm-scrape")</f>
        <v>https://github.com/aryankeserwani/github-stockholm-scrape</v>
      </c>
      <c r="D557" s="3" t="str">
        <f>IFERROR(VLOOKUP(C557,'Peer-Review'!B:J,9,0),"No R1")</f>
        <v>No R1</v>
      </c>
      <c r="E557" s="3" t="str">
        <f>IFERROR(VLOOKUP(C557,'Peer-Review'!F:J,5,0),"No R2")</f>
        <v>No R2</v>
      </c>
      <c r="F557" s="3">
        <f>COUNTIF('Peer-Review'!B:B,C557)+COUNTIF('Peer-Review'!F:F,C557)</f>
        <v>0</v>
      </c>
      <c r="G557" s="3">
        <f t="shared" si="1"/>
        <v>0</v>
      </c>
      <c r="H557" s="3" t="str">
        <f>IFERROR(__xludf.DUMMYFUNCTION("IFERROR(TRANSPOSE(FILTER('Peer-Review'!$J$2:$J$568,(TRIM('Peer-Review'!$B$2:$B$568)=C557 )+ (TRIM('Peer-Review'!$F$2:$F$568)=C557))),""No Reviews"")"),"No Reviews")</f>
        <v>No Reviews</v>
      </c>
      <c r="J557" s="3">
        <f>IF(D557="No R1",0,VLOOKUP(C557,'Peer-Review'!B:D,2,0))</f>
        <v>0</v>
      </c>
      <c r="K557" s="3">
        <f>IF(D557="No R1",0,VLOOKUP(C557,'Peer-Review'!B:D,3,0))</f>
        <v>0</v>
      </c>
      <c r="L557" s="3">
        <f>IF(E557="No R2",0,VLOOKUP(C557,'Peer-Review'!F:H,2,0))</f>
        <v>0</v>
      </c>
      <c r="M557" s="3">
        <f>IF(E557="No R2",0,VLOOKUP(C557,'Peer-Review'!F:H,3,0))</f>
        <v>0</v>
      </c>
    </row>
    <row r="558" hidden="1">
      <c r="A558" s="3" t="str">
        <f>IFERROR(__xludf.DUMMYFUNCTION("""COMPUTED_VALUE"""),"23f1003155@ds.study.iitm.ac.in")</f>
        <v>23f1003155@ds.study.iitm.ac.in</v>
      </c>
      <c r="B558" s="3">
        <f>IFERROR(__xludf.DUMMYFUNCTION("""COMPUTED_VALUE"""),17.0)</f>
        <v>17</v>
      </c>
      <c r="C558" s="5" t="str">
        <f>IFERROR(__xludf.DUMMYFUNCTION("""COMPUTED_VALUE"""),"https://github.com/kdiitm99/tds-project1")</f>
        <v>https://github.com/kdiitm99/tds-project1</v>
      </c>
      <c r="D558" s="3" t="str">
        <f>IFERROR(VLOOKUP(C558,'Peer-Review'!B:J,9,0),"No R1")</f>
        <v>No R1</v>
      </c>
      <c r="E558" s="3" t="str">
        <f>IFERROR(VLOOKUP(C558,'Peer-Review'!F:J,5,0),"No R2")</f>
        <v>23f1002973@ds.study.iitm.ac.in</v>
      </c>
      <c r="F558" s="3">
        <f>COUNTIF('Peer-Review'!B:B,C558)+COUNTIF('Peer-Review'!F:F,C558)</f>
        <v>2</v>
      </c>
      <c r="G558" s="3">
        <f t="shared" si="1"/>
        <v>1</v>
      </c>
      <c r="H558" s="3" t="str">
        <f>IFERROR(__xludf.DUMMYFUNCTION("IFERROR(TRANSPOSE(FILTER('Peer-Review'!$J$2:$J$568,(TRIM('Peer-Review'!$B$2:$B$568)=C558 )+ (TRIM('Peer-Review'!$F$2:$F$568)=C558))),""No Reviews"")"),"23f1002973@ds.study.iitm.ac.in")</f>
        <v>23f1002973@ds.study.iitm.ac.in</v>
      </c>
      <c r="I558" s="3" t="str">
        <f>IFERROR(__xludf.DUMMYFUNCTION("""COMPUTED_VALUE"""),"24f1000781@ds.study.iitm.ac.in")</f>
        <v>24f1000781@ds.study.iitm.ac.in</v>
      </c>
      <c r="J558" s="3">
        <f>IF(D558="No R1",0,VLOOKUP(C558,'Peer-Review'!B:D,2,0))</f>
        <v>0</v>
      </c>
      <c r="K558" s="3">
        <f>IF(D558="No R1",0,VLOOKUP(C558,'Peer-Review'!B:D,3,0))</f>
        <v>0</v>
      </c>
      <c r="L558" s="3">
        <f>IF(E558="No R2",0,VLOOKUP(C558,'Peer-Review'!F:H,2,0))</f>
        <v>9</v>
      </c>
      <c r="M558" s="3">
        <f>IF(E558="No R2",0,VLOOKUP(C558,'Peer-Review'!F:H,3,0))</f>
        <v>10</v>
      </c>
    </row>
    <row r="559" hidden="1">
      <c r="A559" s="3" t="str">
        <f>IFERROR(__xludf.DUMMYFUNCTION("""COMPUTED_VALUE"""),"23f1003171@ds.study.iitm.ac.in")</f>
        <v>23f1003171@ds.study.iitm.ac.in</v>
      </c>
      <c r="B559" s="3">
        <f>IFERROR(__xludf.DUMMYFUNCTION("""COMPUTED_VALUE"""),17.0)</f>
        <v>17</v>
      </c>
      <c r="C559" s="5" t="str">
        <f>IFERROR(__xludf.DUMMYFUNCTION("""COMPUTED_VALUE"""),"https://github.com/Samcoderg78/IIT_M_DEMO_REPO")</f>
        <v>https://github.com/Samcoderg78/IIT_M_DEMO_REPO</v>
      </c>
      <c r="D559" s="3" t="str">
        <f>IFERROR(VLOOKUP(C559,'Peer-Review'!B:J,9,0),"No R1")</f>
        <v>No R1</v>
      </c>
      <c r="E559" s="3" t="str">
        <f>IFERROR(VLOOKUP(C559,'Peer-Review'!F:J,5,0),"No R2")</f>
        <v>23f1003155@ds.study.iitm.ac.in</v>
      </c>
      <c r="F559" s="3">
        <f>COUNTIF('Peer-Review'!B:B,C559)+COUNTIF('Peer-Review'!F:F,C559)</f>
        <v>1</v>
      </c>
      <c r="G559" s="3">
        <f t="shared" si="1"/>
        <v>1</v>
      </c>
      <c r="H559" s="3" t="str">
        <f>IFERROR(__xludf.DUMMYFUNCTION("IFERROR(TRANSPOSE(FILTER('Peer-Review'!$J$2:$J$568,(TRIM('Peer-Review'!$B$2:$B$568)=C559 )+ (TRIM('Peer-Review'!$F$2:$F$568)=C559))),""No Reviews"")"),"23f1003155@ds.study.iitm.ac.in")</f>
        <v>23f1003155@ds.study.iitm.ac.in</v>
      </c>
      <c r="J559" s="3">
        <f>IF(D559="No R1",0,VLOOKUP(C559,'Peer-Review'!B:D,2,0))</f>
        <v>0</v>
      </c>
      <c r="K559" s="3">
        <f>IF(D559="No R1",0,VLOOKUP(C559,'Peer-Review'!B:D,3,0))</f>
        <v>0</v>
      </c>
      <c r="L559" s="3">
        <f>IF(E559="No R2",0,VLOOKUP(C559,'Peer-Review'!F:H,2,0))</f>
        <v>10</v>
      </c>
      <c r="M559" s="3">
        <f>IF(E559="No R2",0,VLOOKUP(C559,'Peer-Review'!F:H,3,0))</f>
        <v>10</v>
      </c>
    </row>
    <row r="560" hidden="1">
      <c r="A560" s="3" t="str">
        <f>IFERROR(__xludf.DUMMYFUNCTION("""COMPUTED_VALUE"""),"23f2000119@ds.study.iitm.ac.in")</f>
        <v>23f2000119@ds.study.iitm.ac.in</v>
      </c>
      <c r="B560" s="3">
        <f>IFERROR(__xludf.DUMMYFUNCTION("""COMPUTED_VALUE"""),0.0)</f>
        <v>0</v>
      </c>
      <c r="C560" s="5" t="str">
        <f>IFERROR(__xludf.DUMMYFUNCTION("""COMPUTED_VALUE"""),"https://github.com/Varuna08/Barcelona_users")</f>
        <v>https://github.com/Varuna08/Barcelona_users</v>
      </c>
      <c r="D560" s="3" t="str">
        <f>IFERROR(VLOOKUP(C560,'Peer-Review'!B:J,9,0),"No R1")</f>
        <v>No R1</v>
      </c>
      <c r="E560" s="3" t="str">
        <f>IFERROR(VLOOKUP(C560,'Peer-Review'!F:J,5,0),"No R2")</f>
        <v>No R2</v>
      </c>
      <c r="F560" s="3">
        <f>COUNTIF('Peer-Review'!B:B,C560)+COUNTIF('Peer-Review'!F:F,C560)</f>
        <v>0</v>
      </c>
      <c r="G560" s="3">
        <f t="shared" si="1"/>
        <v>0</v>
      </c>
      <c r="H560" s="3" t="str">
        <f>IFERROR(__xludf.DUMMYFUNCTION("IFERROR(TRANSPOSE(FILTER('Peer-Review'!$J$2:$J$568,(TRIM('Peer-Review'!$B$2:$B$568)=C560 )+ (TRIM('Peer-Review'!$F$2:$F$568)=C560))),""No Reviews"")"),"No Reviews")</f>
        <v>No Reviews</v>
      </c>
      <c r="J560" s="3">
        <f>IF(D560="No R1",0,VLOOKUP(C560,'Peer-Review'!B:D,2,0))</f>
        <v>0</v>
      </c>
      <c r="K560" s="3">
        <f>IF(D560="No R1",0,VLOOKUP(C560,'Peer-Review'!B:D,3,0))</f>
        <v>0</v>
      </c>
      <c r="L560" s="3">
        <f>IF(E560="No R2",0,VLOOKUP(C560,'Peer-Review'!F:H,2,0))</f>
        <v>0</v>
      </c>
      <c r="M560" s="3">
        <f>IF(E560="No R2",0,VLOOKUP(C560,'Peer-Review'!F:H,3,0))</f>
        <v>0</v>
      </c>
    </row>
    <row r="561" hidden="1">
      <c r="A561" s="3" t="str">
        <f>IFERROR(__xludf.DUMMYFUNCTION("""COMPUTED_VALUE"""),"23f2000274@ds.study.iitm.ac.in")</f>
        <v>23f2000274@ds.study.iitm.ac.in</v>
      </c>
      <c r="B561" s="3">
        <f>IFERROR(__xludf.DUMMYFUNCTION("""COMPUTED_VALUE"""),0.0)</f>
        <v>0</v>
      </c>
      <c r="C561" s="5" t="str">
        <f>IFERROR(__xludf.DUMMYFUNCTION("""COMPUTED_VALUE"""),"https://github.com/sparsh0106/TDS-P1")</f>
        <v>https://github.com/sparsh0106/TDS-P1</v>
      </c>
      <c r="D561" s="3" t="str">
        <f>IFERROR(VLOOKUP(C561,'Peer-Review'!B:J,9,0),"No R1")</f>
        <v>No R1</v>
      </c>
      <c r="E561" s="3" t="str">
        <f>IFERROR(VLOOKUP(C561,'Peer-Review'!F:J,5,0),"No R2")</f>
        <v>No R2</v>
      </c>
      <c r="F561" s="3">
        <f>COUNTIF('Peer-Review'!B:B,C561)+COUNTIF('Peer-Review'!F:F,C561)</f>
        <v>0</v>
      </c>
      <c r="G561" s="3">
        <f t="shared" si="1"/>
        <v>0</v>
      </c>
      <c r="H561" s="3" t="str">
        <f>IFERROR(__xludf.DUMMYFUNCTION("IFERROR(TRANSPOSE(FILTER('Peer-Review'!$J$2:$J$568,(TRIM('Peer-Review'!$B$2:$B$568)=C561 )+ (TRIM('Peer-Review'!$F$2:$F$568)=C561))),""No Reviews"")"),"No Reviews")</f>
        <v>No Reviews</v>
      </c>
      <c r="J561" s="3">
        <f>IF(D561="No R1",0,VLOOKUP(C561,'Peer-Review'!B:D,2,0))</f>
        <v>0</v>
      </c>
      <c r="K561" s="3">
        <f>IF(D561="No R1",0,VLOOKUP(C561,'Peer-Review'!B:D,3,0))</f>
        <v>0</v>
      </c>
      <c r="L561" s="3">
        <f>IF(E561="No R2",0,VLOOKUP(C561,'Peer-Review'!F:H,2,0))</f>
        <v>0</v>
      </c>
      <c r="M561" s="3">
        <f>IF(E561="No R2",0,VLOOKUP(C561,'Peer-Review'!F:H,3,0))</f>
        <v>0</v>
      </c>
    </row>
    <row r="562" hidden="1">
      <c r="A562" s="3" t="str">
        <f>IFERROR(__xludf.DUMMYFUNCTION("""COMPUTED_VALUE"""),"23f2000319@ds.study.iitm.ac.in")</f>
        <v>23f2000319@ds.study.iitm.ac.in</v>
      </c>
      <c r="B562" s="3">
        <f>IFERROR(__xludf.DUMMYFUNCTION("""COMPUTED_VALUE"""),14.0)</f>
        <v>14</v>
      </c>
      <c r="C562" s="5" t="str">
        <f>IFERROR(__xludf.DUMMYFUNCTION("""COMPUTED_VALUE"""),"https://github.com/Ashly-06/project-1")</f>
        <v>https://github.com/Ashly-06/project-1</v>
      </c>
      <c r="D562" s="3" t="str">
        <f>IFERROR(VLOOKUP(C562,'Peer-Review'!B:J,9,0),"No R1")</f>
        <v>23f2000902@ds.study.iitm.ac.in</v>
      </c>
      <c r="E562" s="3" t="str">
        <f>IFERROR(VLOOKUP(C562,'Peer-Review'!F:J,5,0),"No R2")</f>
        <v>23f1001992@ds.study.iitm.ac.in</v>
      </c>
      <c r="F562" s="3">
        <f>COUNTIF('Peer-Review'!B:B,C562)+COUNTIF('Peer-Review'!F:F,C562)</f>
        <v>2</v>
      </c>
      <c r="G562" s="3">
        <f t="shared" si="1"/>
        <v>2</v>
      </c>
      <c r="H562" s="3" t="str">
        <f>IFERROR(__xludf.DUMMYFUNCTION("IFERROR(TRANSPOSE(FILTER('Peer-Review'!$J$2:$J$568,(TRIM('Peer-Review'!$B$2:$B$568)=C562 )+ (TRIM('Peer-Review'!$F$2:$F$568)=C562))),""No Reviews"")"),"23f1001992@ds.study.iitm.ac.in")</f>
        <v>23f1001992@ds.study.iitm.ac.in</v>
      </c>
      <c r="I562" s="3" t="str">
        <f>IFERROR(__xludf.DUMMYFUNCTION("""COMPUTED_VALUE"""),"23f2000902@ds.study.iitm.ac.in")</f>
        <v>23f2000902@ds.study.iitm.ac.in</v>
      </c>
      <c r="J562" s="3">
        <f>IF(D562="No R1",0,VLOOKUP(C562,'Peer-Review'!B:D,2,0))</f>
        <v>8</v>
      </c>
      <c r="K562" s="3">
        <f>IF(D562="No R1",0,VLOOKUP(C562,'Peer-Review'!B:D,3,0))</f>
        <v>0</v>
      </c>
      <c r="L562" s="3">
        <f>IF(E562="No R2",0,VLOOKUP(C562,'Peer-Review'!F:H,2,0))</f>
        <v>8</v>
      </c>
      <c r="M562" s="3">
        <f>IF(E562="No R2",0,VLOOKUP(C562,'Peer-Review'!F:H,3,0))</f>
        <v>4</v>
      </c>
    </row>
    <row r="563" hidden="1">
      <c r="A563" s="3" t="str">
        <f>IFERROR(__xludf.DUMMYFUNCTION("""COMPUTED_VALUE"""),"23f2000328@ds.study.iitm.ac.in")</f>
        <v>23f2000328@ds.study.iitm.ac.in</v>
      </c>
      <c r="B563" s="3">
        <f>IFERROR(__xludf.DUMMYFUNCTION("""COMPUTED_VALUE"""),17.0)</f>
        <v>17</v>
      </c>
      <c r="C563" s="5" t="str">
        <f>IFERROR(__xludf.DUMMYFUNCTION("""COMPUTED_VALUE"""),"https://github.com/MANAV-py/tds_project1")</f>
        <v>https://github.com/MANAV-py/tds_project1</v>
      </c>
      <c r="D563" s="3" t="str">
        <f>IFERROR(VLOOKUP(C563,'Peer-Review'!B:J,9,0),"No R1")</f>
        <v>No R1</v>
      </c>
      <c r="E563" s="3" t="str">
        <f>IFERROR(VLOOKUP(C563,'Peer-Review'!F:J,5,0),"No R2")</f>
        <v>23f1003171@ds.study.iitm.ac.in</v>
      </c>
      <c r="F563" s="3">
        <f>COUNTIF('Peer-Review'!B:B,C563)+COUNTIF('Peer-Review'!F:F,C563)</f>
        <v>2</v>
      </c>
      <c r="G563" s="3">
        <f t="shared" si="1"/>
        <v>1</v>
      </c>
      <c r="H563" s="3" t="str">
        <f>IFERROR(__xludf.DUMMYFUNCTION("IFERROR(TRANSPOSE(FILTER('Peer-Review'!$J$2:$J$568,(TRIM('Peer-Review'!$B$2:$B$568)=C563 )+ (TRIM('Peer-Review'!$F$2:$F$568)=C563))),""No Reviews"")"),"23f1003171@ds.study.iitm.ac.in")</f>
        <v>23f1003171@ds.study.iitm.ac.in</v>
      </c>
      <c r="I563" s="3" t="str">
        <f>IFERROR(__xludf.DUMMYFUNCTION("""COMPUTED_VALUE"""),"24f1002176@ds.study.iitm.ac.in")</f>
        <v>24f1002176@ds.study.iitm.ac.in</v>
      </c>
      <c r="J563" s="3">
        <f>IF(D563="No R1",0,VLOOKUP(C563,'Peer-Review'!B:D,2,0))</f>
        <v>0</v>
      </c>
      <c r="K563" s="3">
        <f>IF(D563="No R1",0,VLOOKUP(C563,'Peer-Review'!B:D,3,0))</f>
        <v>0</v>
      </c>
      <c r="L563" s="3">
        <f>IF(E563="No R2",0,VLOOKUP(C563,'Peer-Review'!F:H,2,0))</f>
        <v>8</v>
      </c>
      <c r="M563" s="3">
        <f>IF(E563="No R2",0,VLOOKUP(C563,'Peer-Review'!F:H,3,0))</f>
        <v>10</v>
      </c>
    </row>
    <row r="564" hidden="1">
      <c r="A564" s="3" t="str">
        <f>IFERROR(__xludf.DUMMYFUNCTION("""COMPUTED_VALUE"""),"23f2000332@ds.study.iitm.ac.in")</f>
        <v>23f2000332@ds.study.iitm.ac.in</v>
      </c>
      <c r="B564" s="3">
        <f>IFERROR(__xludf.DUMMYFUNCTION("""COMPUTED_VALUE"""),4.0)</f>
        <v>4</v>
      </c>
      <c r="C564" s="5" t="str">
        <f>IFERROR(__xludf.DUMMYFUNCTION("""COMPUTED_VALUE"""),"https://github.com/Rxhit1/TDSproj1/tree/main")</f>
        <v>https://github.com/Rxhit1/TDSproj1/tree/main</v>
      </c>
      <c r="D564" s="3" t="str">
        <f>IFERROR(VLOOKUP(C564,'Peer-Review'!B:J,9,0),"No R1")</f>
        <v>21f1005443@ds.study.iitm.ac.in</v>
      </c>
      <c r="E564" s="3" t="str">
        <f>IFERROR(VLOOKUP(C564,'Peer-Review'!F:J,5,0),"No R2")</f>
        <v>No R2</v>
      </c>
      <c r="F564" s="3">
        <f>COUNTIF('Peer-Review'!B:B,C564)+COUNTIF('Peer-Review'!F:F,C564)</f>
        <v>2</v>
      </c>
      <c r="G564" s="3">
        <f t="shared" si="1"/>
        <v>1</v>
      </c>
      <c r="H564" s="3" t="str">
        <f>IFERROR(__xludf.DUMMYFUNCTION("IFERROR(TRANSPOSE(FILTER('Peer-Review'!$J$2:$J$568,(TRIM('Peer-Review'!$B$2:$B$568)=C564 )+ (TRIM('Peer-Review'!$F$2:$F$568)=C564))),""No Reviews"")"),"21f1005443@ds.study.iitm.ac.in")</f>
        <v>21f1005443@ds.study.iitm.ac.in</v>
      </c>
      <c r="I564" s="3" t="str">
        <f>IFERROR(__xludf.DUMMYFUNCTION("""COMPUTED_VALUE"""),"22f2000240@ds.study.iitm.ac.in")</f>
        <v>22f2000240@ds.study.iitm.ac.in</v>
      </c>
      <c r="J564" s="3">
        <f>IF(D564="No R1",0,VLOOKUP(C564,'Peer-Review'!B:D,2,0))</f>
        <v>8</v>
      </c>
      <c r="K564" s="3">
        <f>IF(D564="No R1",0,VLOOKUP(C564,'Peer-Review'!B:D,3,0))</f>
        <v>0</v>
      </c>
      <c r="L564" s="3">
        <f>IF(E564="No R2",0,VLOOKUP(C564,'Peer-Review'!F:H,2,0))</f>
        <v>0</v>
      </c>
      <c r="M564" s="3">
        <f>IF(E564="No R2",0,VLOOKUP(C564,'Peer-Review'!F:H,3,0))</f>
        <v>0</v>
      </c>
    </row>
    <row r="565" hidden="1">
      <c r="A565" s="3" t="str">
        <f>IFERROR(__xludf.DUMMYFUNCTION("""COMPUTED_VALUE"""),"23f2000362@ds.study.iitm.ac.in")</f>
        <v>23f2000362@ds.study.iitm.ac.in</v>
      </c>
      <c r="B565" s="3">
        <f>IFERROR(__xludf.DUMMYFUNCTION("""COMPUTED_VALUE"""),5.0)</f>
        <v>5</v>
      </c>
      <c r="C565" s="5" t="str">
        <f>IFERROR(__xludf.DUMMYFUNCTION("""COMPUTED_VALUE"""),"https://github.com/Devanshshukla090705/PRJ1_TDS")</f>
        <v>https://github.com/Devanshshukla090705/PRJ1_TDS</v>
      </c>
      <c r="D565" s="3" t="str">
        <f>IFERROR(VLOOKUP(C565,'Peer-Review'!B:J,9,0),"No R1")</f>
        <v>21f1003107@ds.study.iitm.ac.in</v>
      </c>
      <c r="E565" s="3" t="str">
        <f>IFERROR(VLOOKUP(C565,'Peer-Review'!F:J,5,0),"No R2")</f>
        <v>No R2</v>
      </c>
      <c r="F565" s="3">
        <f>COUNTIF('Peer-Review'!B:B,C565)+COUNTIF('Peer-Review'!F:F,C565)</f>
        <v>2</v>
      </c>
      <c r="G565" s="3">
        <f t="shared" si="1"/>
        <v>1</v>
      </c>
      <c r="H565" s="3" t="str">
        <f>IFERROR(__xludf.DUMMYFUNCTION("IFERROR(TRANSPOSE(FILTER('Peer-Review'!$J$2:$J$568,(TRIM('Peer-Review'!$B$2:$B$568)=C565 )+ (TRIM('Peer-Review'!$F$2:$F$568)=C565))),""No Reviews"")"),"21f1003107@ds.study.iitm.ac.in")</f>
        <v>21f1003107@ds.study.iitm.ac.in</v>
      </c>
      <c r="I565" s="3" t="str">
        <f>IFERROR(__xludf.DUMMYFUNCTION("""COMPUTED_VALUE"""),"22f2001226@ds.study.iitm.ac.in")</f>
        <v>22f2001226@ds.study.iitm.ac.in</v>
      </c>
      <c r="J565" s="3">
        <f>IF(D565="No R1",0,VLOOKUP(C565,'Peer-Review'!B:D,2,0))</f>
        <v>10</v>
      </c>
      <c r="K565" s="3">
        <f>IF(D565="No R1",0,VLOOKUP(C565,'Peer-Review'!B:D,3,0))</f>
        <v>7</v>
      </c>
      <c r="L565" s="3">
        <f>IF(E565="No R2",0,VLOOKUP(C565,'Peer-Review'!F:H,2,0))</f>
        <v>0</v>
      </c>
      <c r="M565" s="3">
        <f>IF(E565="No R2",0,VLOOKUP(C565,'Peer-Review'!F:H,3,0))</f>
        <v>0</v>
      </c>
    </row>
    <row r="566" hidden="1">
      <c r="A566" s="3" t="str">
        <f>IFERROR(__xludf.DUMMYFUNCTION("""COMPUTED_VALUE"""),"23f2000391@ds.study.iitm.ac.in")</f>
        <v>23f2000391@ds.study.iitm.ac.in</v>
      </c>
      <c r="B566" s="3">
        <f>IFERROR(__xludf.DUMMYFUNCTION("""COMPUTED_VALUE"""),17.0)</f>
        <v>17</v>
      </c>
      <c r="C566" s="5" t="str">
        <f>IFERROR(__xludf.DUMMYFUNCTION("""COMPUTED_VALUE"""),"https://github.com/UnfairFinish/TDS-Project-1")</f>
        <v>https://github.com/UnfairFinish/TDS-Project-1</v>
      </c>
      <c r="D566" s="3" t="str">
        <f>IFERROR(VLOOKUP(C566,'Peer-Review'!B:J,9,0),"No R1")</f>
        <v>No R1</v>
      </c>
      <c r="E566" s="3" t="str">
        <f>IFERROR(VLOOKUP(C566,'Peer-Review'!F:J,5,0),"No R2")</f>
        <v>21f1001182@ds.study.iitm.ac.in</v>
      </c>
      <c r="F566" s="3">
        <f>COUNTIF('Peer-Review'!B:B,C566)+COUNTIF('Peer-Review'!F:F,C566)</f>
        <v>1</v>
      </c>
      <c r="G566" s="3">
        <f t="shared" si="1"/>
        <v>1</v>
      </c>
      <c r="H566" s="3" t="str">
        <f>IFERROR(__xludf.DUMMYFUNCTION("IFERROR(TRANSPOSE(FILTER('Peer-Review'!$J$2:$J$568,(TRIM('Peer-Review'!$B$2:$B$568)=C566 )+ (TRIM('Peer-Review'!$F$2:$F$568)=C566))),""No Reviews"")"),"21f1001182@ds.study.iitm.ac.in")</f>
        <v>21f1001182@ds.study.iitm.ac.in</v>
      </c>
      <c r="J566" s="3">
        <f>IF(D566="No R1",0,VLOOKUP(C566,'Peer-Review'!B:D,2,0))</f>
        <v>0</v>
      </c>
      <c r="K566" s="3">
        <f>IF(D566="No R1",0,VLOOKUP(C566,'Peer-Review'!B:D,3,0))</f>
        <v>0</v>
      </c>
      <c r="L566" s="3">
        <f>IF(E566="No R2",0,VLOOKUP(C566,'Peer-Review'!F:H,2,0))</f>
        <v>8</v>
      </c>
      <c r="M566" s="3">
        <f>IF(E566="No R2",0,VLOOKUP(C566,'Peer-Review'!F:H,3,0))</f>
        <v>10</v>
      </c>
    </row>
    <row r="567" hidden="1">
      <c r="A567" s="3" t="str">
        <f>IFERROR(__xludf.DUMMYFUNCTION("""COMPUTED_VALUE"""),"23f2000473@ds.study.iitm.ac.in")</f>
        <v>23f2000473@ds.study.iitm.ac.in</v>
      </c>
      <c r="B567" s="3">
        <f>IFERROR(__xludf.DUMMYFUNCTION("""COMPUTED_VALUE"""),17.0)</f>
        <v>17</v>
      </c>
      <c r="C567" s="5" t="str">
        <f>IFERROR(__xludf.DUMMYFUNCTION("""COMPUTED_VALUE"""),"https://github.com/PRAVINKUMAR99/mywebsite")</f>
        <v>https://github.com/PRAVINKUMAR99/mywebsite</v>
      </c>
      <c r="D567" s="3" t="str">
        <f>IFERROR(VLOOKUP(C567,'Peer-Review'!B:J,9,0),"No R1")</f>
        <v>No R1</v>
      </c>
      <c r="E567" s="3" t="str">
        <f>IFERROR(VLOOKUP(C567,'Peer-Review'!F:J,5,0),"No R2")</f>
        <v>23f2000391@ds.study.iitm.ac.in</v>
      </c>
      <c r="F567" s="3">
        <f>COUNTIF('Peer-Review'!B:B,C567)+COUNTIF('Peer-Review'!F:F,C567)</f>
        <v>2</v>
      </c>
      <c r="G567" s="3">
        <f t="shared" si="1"/>
        <v>1</v>
      </c>
      <c r="H567" s="3" t="str">
        <f>IFERROR(__xludf.DUMMYFUNCTION("IFERROR(TRANSPOSE(FILTER('Peer-Review'!$J$2:$J$568,(TRIM('Peer-Review'!$B$2:$B$568)=C567 )+ (TRIM('Peer-Review'!$F$2:$F$568)=C567))),""No Reviews"")"),"23f2000391@ds.study.iitm.ac.in")</f>
        <v>23f2000391@ds.study.iitm.ac.in</v>
      </c>
      <c r="I567" s="3" t="str">
        <f>IFERROR(__xludf.DUMMYFUNCTION("""COMPUTED_VALUE"""),"21f1001805@ds.study.iitm.ac.in")</f>
        <v>21f1001805@ds.study.iitm.ac.in</v>
      </c>
      <c r="J567" s="3">
        <f>IF(D567="No R1",0,VLOOKUP(C567,'Peer-Review'!B:D,2,0))</f>
        <v>0</v>
      </c>
      <c r="K567" s="3">
        <f>IF(D567="No R1",0,VLOOKUP(C567,'Peer-Review'!B:D,3,0))</f>
        <v>0</v>
      </c>
      <c r="L567" s="3">
        <f>IF(E567="No R2",0,VLOOKUP(C567,'Peer-Review'!F:H,2,0))</f>
        <v>10</v>
      </c>
      <c r="M567" s="3">
        <f>IF(E567="No R2",0,VLOOKUP(C567,'Peer-Review'!F:H,3,0))</f>
        <v>10</v>
      </c>
    </row>
    <row r="568" hidden="1">
      <c r="A568" s="3" t="str">
        <f>IFERROR(__xludf.DUMMYFUNCTION("""COMPUTED_VALUE"""),"23f2000573@ds.study.iitm.ac.in")</f>
        <v>23f2000573@ds.study.iitm.ac.in</v>
      </c>
      <c r="B568" s="3">
        <f>IFERROR(__xludf.DUMMYFUNCTION("""COMPUTED_VALUE"""),9.0)</f>
        <v>9</v>
      </c>
      <c r="C568" s="5" t="str">
        <f>IFERROR(__xludf.DUMMYFUNCTION("""COMPUTED_VALUE"""),"https://github.com/Giri-Subrahmanya/23f2000573-TDS-P1")</f>
        <v>https://github.com/Giri-Subrahmanya/23f2000573-TDS-P1</v>
      </c>
      <c r="D568" s="3" t="str">
        <f>IFERROR(VLOOKUP(C568,'Peer-Review'!B:J,9,0),"No R1")</f>
        <v>22f3003124@ds.study.iitm.ac.in</v>
      </c>
      <c r="E568" s="3" t="str">
        <f>IFERROR(VLOOKUP(C568,'Peer-Review'!F:J,5,0),"No R2")</f>
        <v>No R2</v>
      </c>
      <c r="F568" s="3">
        <f>COUNTIF('Peer-Review'!B:B,C568)+COUNTIF('Peer-Review'!F:F,C568)</f>
        <v>1</v>
      </c>
      <c r="G568" s="3">
        <f t="shared" si="1"/>
        <v>1</v>
      </c>
      <c r="H568" s="3" t="str">
        <f>IFERROR(__xludf.DUMMYFUNCTION("IFERROR(TRANSPOSE(FILTER('Peer-Review'!$J$2:$J$568,(TRIM('Peer-Review'!$B$2:$B$568)=C568 )+ (TRIM('Peer-Review'!$F$2:$F$568)=C568))),""No Reviews"")"),"22f3003124@ds.study.iitm.ac.in")</f>
        <v>22f3003124@ds.study.iitm.ac.in</v>
      </c>
      <c r="J568" s="3">
        <f>IF(D568="No R1",0,VLOOKUP(C568,'Peer-Review'!B:D,2,0))</f>
        <v>8</v>
      </c>
      <c r="K568" s="3">
        <f>IF(D568="No R1",0,VLOOKUP(C568,'Peer-Review'!B:D,3,0))</f>
        <v>10</v>
      </c>
      <c r="L568" s="3">
        <f>IF(E568="No R2",0,VLOOKUP(C568,'Peer-Review'!F:H,2,0))</f>
        <v>0</v>
      </c>
      <c r="M568" s="3">
        <f>IF(E568="No R2",0,VLOOKUP(C568,'Peer-Review'!F:H,3,0))</f>
        <v>0</v>
      </c>
    </row>
    <row r="569" hidden="1">
      <c r="A569" s="3" t="str">
        <f>IFERROR(__xludf.DUMMYFUNCTION("""COMPUTED_VALUE"""),"23f2000586@ds.study.iitm.ac.in")</f>
        <v>23f2000586@ds.study.iitm.ac.in</v>
      </c>
      <c r="B569" s="3">
        <f>IFERROR(__xludf.DUMMYFUNCTION("""COMPUTED_VALUE"""),17.0)</f>
        <v>17</v>
      </c>
      <c r="C569" s="5" t="str">
        <f>IFERROR(__xludf.DUMMYFUNCTION("""COMPUTED_VALUE"""),"https://github.com/ramyaarorra/tdsprojectuno")</f>
        <v>https://github.com/ramyaarorra/tdsprojectuno</v>
      </c>
      <c r="D569" s="3" t="str">
        <f>IFERROR(VLOOKUP(C569,'Peer-Review'!B:J,9,0),"No R1")</f>
        <v>No R1</v>
      </c>
      <c r="E569" s="3" t="str">
        <f>IFERROR(VLOOKUP(C569,'Peer-Review'!F:J,5,0),"No R2")</f>
        <v>23f2000473@ds.study.iitm.ac.in</v>
      </c>
      <c r="F569" s="3">
        <f>COUNTIF('Peer-Review'!B:B,C569)+COUNTIF('Peer-Review'!F:F,C569)</f>
        <v>1</v>
      </c>
      <c r="G569" s="3">
        <f t="shared" si="1"/>
        <v>1</v>
      </c>
      <c r="H569" s="3" t="str">
        <f>IFERROR(__xludf.DUMMYFUNCTION("IFERROR(TRANSPOSE(FILTER('Peer-Review'!$J$2:$J$568,(TRIM('Peer-Review'!$B$2:$B$568)=C569 )+ (TRIM('Peer-Review'!$F$2:$F$568)=C569))),""No Reviews"")"),"23f2000473@ds.study.iitm.ac.in")</f>
        <v>23f2000473@ds.study.iitm.ac.in</v>
      </c>
      <c r="J569" s="3">
        <f>IF(D569="No R1",0,VLOOKUP(C569,'Peer-Review'!B:D,2,0))</f>
        <v>0</v>
      </c>
      <c r="K569" s="3">
        <f>IF(D569="No R1",0,VLOOKUP(C569,'Peer-Review'!B:D,3,0))</f>
        <v>0</v>
      </c>
      <c r="L569" s="3">
        <f>IF(E569="No R2",0,VLOOKUP(C569,'Peer-Review'!F:H,2,0))</f>
        <v>10</v>
      </c>
      <c r="M569" s="3">
        <f>IF(E569="No R2",0,VLOOKUP(C569,'Peer-Review'!F:H,3,0))</f>
        <v>10</v>
      </c>
    </row>
    <row r="570" hidden="1">
      <c r="A570" s="3" t="str">
        <f>IFERROR(__xludf.DUMMYFUNCTION("""COMPUTED_VALUE"""),"23f2000590@ds.study.iitm.ac.in")</f>
        <v>23f2000590@ds.study.iitm.ac.in</v>
      </c>
      <c r="B570" s="3">
        <f>IFERROR(__xludf.DUMMYFUNCTION("""COMPUTED_VALUE"""),17.0)</f>
        <v>17</v>
      </c>
      <c r="C570" s="5" t="str">
        <f>IFERROR(__xludf.DUMMYFUNCTION("""COMPUTED_VALUE"""),"https://github.com/Chandra37918/IITM-TDS-Project1")</f>
        <v>https://github.com/Chandra37918/IITM-TDS-Project1</v>
      </c>
      <c r="D570" s="3" t="str">
        <f>IFERROR(VLOOKUP(C570,'Peer-Review'!B:J,9,0),"No R1")</f>
        <v>No R1</v>
      </c>
      <c r="E570" s="3" t="str">
        <f>IFERROR(VLOOKUP(C570,'Peer-Review'!F:J,5,0),"No R2")</f>
        <v>21f1003816@ds.study.iitm.ac.in</v>
      </c>
      <c r="F570" s="3">
        <f>COUNTIF('Peer-Review'!B:B,C570)+COUNTIF('Peer-Review'!F:F,C570)</f>
        <v>2</v>
      </c>
      <c r="G570" s="3">
        <f t="shared" si="1"/>
        <v>1</v>
      </c>
      <c r="H570" s="3" t="str">
        <f>IFERROR(__xludf.DUMMYFUNCTION("IFERROR(TRANSPOSE(FILTER('Peer-Review'!$J$2:$J$568,(TRIM('Peer-Review'!$B$2:$B$568)=C570 )+ (TRIM('Peer-Review'!$F$2:$F$568)=C570))),""No Reviews"")"),"21f1003816@ds.study.iitm.ac.in")</f>
        <v>21f1003816@ds.study.iitm.ac.in</v>
      </c>
      <c r="I570" s="3" t="str">
        <f>IFERROR(__xludf.DUMMYFUNCTION("""COMPUTED_VALUE"""),"23f2000586@ds.study.iitm.ac.in")</f>
        <v>23f2000586@ds.study.iitm.ac.in</v>
      </c>
      <c r="J570" s="3">
        <f>IF(D570="No R1",0,VLOOKUP(C570,'Peer-Review'!B:D,2,0))</f>
        <v>0</v>
      </c>
      <c r="K570" s="3">
        <f>IF(D570="No R1",0,VLOOKUP(C570,'Peer-Review'!B:D,3,0))</f>
        <v>0</v>
      </c>
      <c r="L570" s="3">
        <f>IF(E570="No R2",0,VLOOKUP(C570,'Peer-Review'!F:H,2,0))</f>
        <v>10</v>
      </c>
      <c r="M570" s="3">
        <f>IF(E570="No R2",0,VLOOKUP(C570,'Peer-Review'!F:H,3,0))</f>
        <v>10</v>
      </c>
    </row>
    <row r="571" hidden="1">
      <c r="A571" s="3" t="str">
        <f>IFERROR(__xludf.DUMMYFUNCTION("""COMPUTED_VALUE"""),"23f2000605@ds.study.iitm.ac.in")</f>
        <v>23f2000605@ds.study.iitm.ac.in</v>
      </c>
      <c r="B571" s="3">
        <f>IFERROR(__xludf.DUMMYFUNCTION("""COMPUTED_VALUE"""),0.0)</f>
        <v>0</v>
      </c>
      <c r="C571" s="5" t="str">
        <f>IFERROR(__xludf.DUMMYFUNCTION("""COMPUTED_VALUE"""),"https://github.com/Swayamatiitm/github-user-scraper")</f>
        <v>https://github.com/Swayamatiitm/github-user-scraper</v>
      </c>
      <c r="D571" s="3" t="str">
        <f>IFERROR(VLOOKUP(C571,'Peer-Review'!B:J,9,0),"No R1")</f>
        <v>No R1</v>
      </c>
      <c r="E571" s="3" t="str">
        <f>IFERROR(VLOOKUP(C571,'Peer-Review'!F:J,5,0),"No R2")</f>
        <v>No R2</v>
      </c>
      <c r="F571" s="3">
        <f>COUNTIF('Peer-Review'!B:B,C571)+COUNTIF('Peer-Review'!F:F,C571)</f>
        <v>0</v>
      </c>
      <c r="G571" s="3">
        <f t="shared" si="1"/>
        <v>0</v>
      </c>
      <c r="H571" s="3" t="str">
        <f>IFERROR(__xludf.DUMMYFUNCTION("IFERROR(TRANSPOSE(FILTER('Peer-Review'!$J$2:$J$568,(TRIM('Peer-Review'!$B$2:$B$568)=C571 )+ (TRIM('Peer-Review'!$F$2:$F$568)=C571))),""No Reviews"")"),"No Reviews")</f>
        <v>No Reviews</v>
      </c>
      <c r="J571" s="3">
        <f>IF(D571="No R1",0,VLOOKUP(C571,'Peer-Review'!B:D,2,0))</f>
        <v>0</v>
      </c>
      <c r="K571" s="3">
        <f>IF(D571="No R1",0,VLOOKUP(C571,'Peer-Review'!B:D,3,0))</f>
        <v>0</v>
      </c>
      <c r="L571" s="3">
        <f>IF(E571="No R2",0,VLOOKUP(C571,'Peer-Review'!F:H,2,0))</f>
        <v>0</v>
      </c>
      <c r="M571" s="3">
        <f>IF(E571="No R2",0,VLOOKUP(C571,'Peer-Review'!F:H,3,0))</f>
        <v>0</v>
      </c>
    </row>
    <row r="572" hidden="1">
      <c r="A572" s="3" t="str">
        <f>IFERROR(__xludf.DUMMYFUNCTION("""COMPUTED_VALUE"""),"23f2000668@ds.study.iitm.ac.in")</f>
        <v>23f2000668@ds.study.iitm.ac.in</v>
      </c>
      <c r="B572" s="3">
        <f>IFERROR(__xludf.DUMMYFUNCTION("""COMPUTED_VALUE"""),13.0)</f>
        <v>13</v>
      </c>
      <c r="C572" s="5" t="str">
        <f>IFERROR(__xludf.DUMMYFUNCTION("""COMPUTED_VALUE"""),"https://github.com/AbayNandhiga-iitm/tokyo-github-users")</f>
        <v>https://github.com/AbayNandhiga-iitm/tokyo-github-users</v>
      </c>
      <c r="D572" s="3" t="str">
        <f>IFERROR(VLOOKUP(C572,'Peer-Review'!B:J,9,0),"No R1")</f>
        <v>22f3001318@ds.study.iitm.ac.in</v>
      </c>
      <c r="E572" s="3" t="str">
        <f>IFERROR(VLOOKUP(C572,'Peer-Review'!F:J,5,0),"No R2")</f>
        <v>No R2</v>
      </c>
      <c r="F572" s="3">
        <f>COUNTIF('Peer-Review'!B:B,C572)+COUNTIF('Peer-Review'!F:F,C572)</f>
        <v>2</v>
      </c>
      <c r="G572" s="3">
        <f t="shared" si="1"/>
        <v>1</v>
      </c>
      <c r="H572" s="3" t="str">
        <f>IFERROR(__xludf.DUMMYFUNCTION("IFERROR(TRANSPOSE(FILTER('Peer-Review'!$J$2:$J$568,(TRIM('Peer-Review'!$B$2:$B$568)=C572 )+ (TRIM('Peer-Review'!$F$2:$F$568)=C572))),""No Reviews"")"),"22f3001318@ds.study.iitm.ac.in")</f>
        <v>22f3001318@ds.study.iitm.ac.in</v>
      </c>
      <c r="I572" s="3" t="str">
        <f>IFERROR(__xludf.DUMMYFUNCTION("""COMPUTED_VALUE"""),"23f2001127@ds.study.iitm.ac.in")</f>
        <v>23f2001127@ds.study.iitm.ac.in</v>
      </c>
      <c r="J572" s="3">
        <f>IF(D572="No R1",0,VLOOKUP(C572,'Peer-Review'!B:D,2,0))</f>
        <v>10</v>
      </c>
      <c r="K572" s="3">
        <f>IF(D572="No R1",0,VLOOKUP(C572,'Peer-Review'!B:D,3,0))</f>
        <v>8</v>
      </c>
      <c r="L572" s="3">
        <f>IF(E572="No R2",0,VLOOKUP(C572,'Peer-Review'!F:H,2,0))</f>
        <v>0</v>
      </c>
      <c r="M572" s="3">
        <f>IF(E572="No R2",0,VLOOKUP(C572,'Peer-Review'!F:H,3,0))</f>
        <v>0</v>
      </c>
    </row>
    <row r="573" hidden="1">
      <c r="A573" s="3" t="str">
        <f>IFERROR(__xludf.DUMMYFUNCTION("""COMPUTED_VALUE"""),"23f2000819@ds.study.iitm.ac.in")</f>
        <v>23f2000819@ds.study.iitm.ac.in</v>
      </c>
      <c r="B573" s="3">
        <f>IFERROR(__xludf.DUMMYFUNCTION("""COMPUTED_VALUE"""),16.0)</f>
        <v>16</v>
      </c>
      <c r="C573" s="5" t="str">
        <f>IFERROR(__xludf.DUMMYFUNCTION("""COMPUTED_VALUE"""),"https://github.com/iitmgito/project1")</f>
        <v>https://github.com/iitmgito/project1</v>
      </c>
      <c r="D573" s="3" t="str">
        <f>IFERROR(VLOOKUP(C573,'Peer-Review'!B:J,9,0),"No R1")</f>
        <v>No R1</v>
      </c>
      <c r="E573" s="3" t="str">
        <f>IFERROR(VLOOKUP(C573,'Peer-Review'!F:J,5,0),"No R2")</f>
        <v>23f1002850@ds.study.iitm.ac.in</v>
      </c>
      <c r="F573" s="3">
        <f>COUNTIF('Peer-Review'!B:B,C573)+COUNTIF('Peer-Review'!F:F,C573)</f>
        <v>1</v>
      </c>
      <c r="G573" s="3">
        <f t="shared" si="1"/>
        <v>1</v>
      </c>
      <c r="H573" s="3" t="str">
        <f>IFERROR(__xludf.DUMMYFUNCTION("IFERROR(TRANSPOSE(FILTER('Peer-Review'!$J$2:$J$568,(TRIM('Peer-Review'!$B$2:$B$568)=C573 )+ (TRIM('Peer-Review'!$F$2:$F$568)=C573))),""No Reviews"")"),"23f1002850@ds.study.iitm.ac.in")</f>
        <v>23f1002850@ds.study.iitm.ac.in</v>
      </c>
      <c r="J573" s="3">
        <f>IF(D573="No R1",0,VLOOKUP(C573,'Peer-Review'!B:D,2,0))</f>
        <v>0</v>
      </c>
      <c r="K573" s="3">
        <f>IF(D573="No R1",0,VLOOKUP(C573,'Peer-Review'!B:D,3,0))</f>
        <v>0</v>
      </c>
      <c r="L573" s="3">
        <f>IF(E573="No R2",0,VLOOKUP(C573,'Peer-Review'!F:H,2,0))</f>
        <v>10</v>
      </c>
      <c r="M573" s="3">
        <f>IF(E573="No R2",0,VLOOKUP(C573,'Peer-Review'!F:H,3,0))</f>
        <v>10</v>
      </c>
    </row>
    <row r="574" hidden="1">
      <c r="A574" s="3" t="str">
        <f>IFERROR(__xludf.DUMMYFUNCTION("""COMPUTED_VALUE"""),"23f2000859@ds.study.iitm.ac.in")</f>
        <v>23f2000859@ds.study.iitm.ac.in</v>
      </c>
      <c r="B574" s="3">
        <f>IFERROR(__xludf.DUMMYFUNCTION("""COMPUTED_VALUE"""),0.0)</f>
        <v>0</v>
      </c>
      <c r="C574" s="5" t="str">
        <f>IFERROR(__xludf.DUMMYFUNCTION("""COMPUTED_VALUE"""),"https://github.com/aashay-d12/TDS-Project1")</f>
        <v>https://github.com/aashay-d12/TDS-Project1</v>
      </c>
      <c r="D574" s="3" t="str">
        <f>IFERROR(VLOOKUP(C574,'Peer-Review'!B:J,9,0),"No R1")</f>
        <v>No R1</v>
      </c>
      <c r="E574" s="3" t="str">
        <f>IFERROR(VLOOKUP(C574,'Peer-Review'!F:J,5,0),"No R2")</f>
        <v>No R2</v>
      </c>
      <c r="F574" s="3">
        <f>COUNTIF('Peer-Review'!B:B,C574)+COUNTIF('Peer-Review'!F:F,C574)</f>
        <v>0</v>
      </c>
      <c r="G574" s="3">
        <f t="shared" si="1"/>
        <v>0</v>
      </c>
      <c r="H574" s="3" t="str">
        <f>IFERROR(__xludf.DUMMYFUNCTION("IFERROR(TRANSPOSE(FILTER('Peer-Review'!$J$2:$J$568,(TRIM('Peer-Review'!$B$2:$B$568)=C574 )+ (TRIM('Peer-Review'!$F$2:$F$568)=C574))),""No Reviews"")"),"No Reviews")</f>
        <v>No Reviews</v>
      </c>
      <c r="J574" s="3">
        <f>IF(D574="No R1",0,VLOOKUP(C574,'Peer-Review'!B:D,2,0))</f>
        <v>0</v>
      </c>
      <c r="K574" s="3">
        <f>IF(D574="No R1",0,VLOOKUP(C574,'Peer-Review'!B:D,3,0))</f>
        <v>0</v>
      </c>
      <c r="L574" s="3">
        <f>IF(E574="No R2",0,VLOOKUP(C574,'Peer-Review'!F:H,2,0))</f>
        <v>0</v>
      </c>
      <c r="M574" s="3">
        <f>IF(E574="No R2",0,VLOOKUP(C574,'Peer-Review'!F:H,3,0))</f>
        <v>0</v>
      </c>
    </row>
    <row r="575" hidden="1">
      <c r="A575" s="3" t="str">
        <f>IFERROR(__xludf.DUMMYFUNCTION("""COMPUTED_VALUE"""),"23f2000887@ds.study.iitm.ac.in")</f>
        <v>23f2000887@ds.study.iitm.ac.in</v>
      </c>
      <c r="B575" s="3">
        <f>IFERROR(__xludf.DUMMYFUNCTION("""COMPUTED_VALUE"""),17.0)</f>
        <v>17</v>
      </c>
      <c r="C575" s="5" t="str">
        <f>IFERROR(__xludf.DUMMYFUNCTION("""COMPUTED_VALUE"""),"https://github.com/AbhimanyuDwivedi282/TDS-Project_1")</f>
        <v>https://github.com/AbhimanyuDwivedi282/TDS-Project_1</v>
      </c>
      <c r="D575" s="3" t="str">
        <f>IFERROR(VLOOKUP(C575,'Peer-Review'!B:J,9,0),"No R1")</f>
        <v>No R1</v>
      </c>
      <c r="E575" s="3" t="str">
        <f>IFERROR(VLOOKUP(C575,'Peer-Review'!F:J,5,0),"No R2")</f>
        <v>23f2000590@ds.study.iitm.ac.in</v>
      </c>
      <c r="F575" s="3">
        <f>COUNTIF('Peer-Review'!B:B,C575)+COUNTIF('Peer-Review'!F:F,C575)</f>
        <v>2</v>
      </c>
      <c r="G575" s="3">
        <f t="shared" si="1"/>
        <v>1</v>
      </c>
      <c r="H575" s="3" t="str">
        <f>IFERROR(__xludf.DUMMYFUNCTION("IFERROR(TRANSPOSE(FILTER('Peer-Review'!$J$2:$J$568,(TRIM('Peer-Review'!$B$2:$B$568)=C575 )+ (TRIM('Peer-Review'!$F$2:$F$568)=C575))),""No Reviews"")"),"23f2000590@ds.study.iitm.ac.in")</f>
        <v>23f2000590@ds.study.iitm.ac.in</v>
      </c>
      <c r="I575" s="3" t="str">
        <f>IFERROR(__xludf.DUMMYFUNCTION("""COMPUTED_VALUE"""),"21f1006103@ds.study.iitm.ac.in")</f>
        <v>21f1006103@ds.study.iitm.ac.in</v>
      </c>
      <c r="J575" s="3">
        <f>IF(D575="No R1",0,VLOOKUP(C575,'Peer-Review'!B:D,2,0))</f>
        <v>0</v>
      </c>
      <c r="K575" s="3">
        <f>IF(D575="No R1",0,VLOOKUP(C575,'Peer-Review'!B:D,3,0))</f>
        <v>0</v>
      </c>
      <c r="L575" s="3">
        <f>IF(E575="No R2",0,VLOOKUP(C575,'Peer-Review'!F:H,2,0))</f>
        <v>10</v>
      </c>
      <c r="M575" s="3">
        <f>IF(E575="No R2",0,VLOOKUP(C575,'Peer-Review'!F:H,3,0))</f>
        <v>10</v>
      </c>
    </row>
    <row r="576" hidden="1">
      <c r="A576" s="3" t="str">
        <f>IFERROR(__xludf.DUMMYFUNCTION("""COMPUTED_VALUE"""),"23f2000902@ds.study.iitm.ac.in")</f>
        <v>23f2000902@ds.study.iitm.ac.in</v>
      </c>
      <c r="B576" s="3">
        <f>IFERROR(__xludf.DUMMYFUNCTION("""COMPUTED_VALUE"""),14.0)</f>
        <v>14</v>
      </c>
      <c r="C576" s="5" t="str">
        <f>IFERROR(__xludf.DUMMYFUNCTION("""COMPUTED_VALUE"""),"https://github.com/zerx1307/TDS_project_1")</f>
        <v>https://github.com/zerx1307/TDS_project_1</v>
      </c>
      <c r="D576" s="3" t="str">
        <f>IFERROR(VLOOKUP(C576,'Peer-Review'!B:J,9,0),"No R1")</f>
        <v>23f1002016@ds.study.iitm.ac.in</v>
      </c>
      <c r="E576" s="3" t="str">
        <f>IFERROR(VLOOKUP(C576,'Peer-Review'!F:J,5,0),"No R2")</f>
        <v>No R2</v>
      </c>
      <c r="F576" s="3">
        <f>COUNTIF('Peer-Review'!B:B,C576)+COUNTIF('Peer-Review'!F:F,C576)</f>
        <v>1</v>
      </c>
      <c r="G576" s="3">
        <f t="shared" si="1"/>
        <v>1</v>
      </c>
      <c r="H576" s="3" t="str">
        <f>IFERROR(__xludf.DUMMYFUNCTION("IFERROR(TRANSPOSE(FILTER('Peer-Review'!$J$2:$J$568,(TRIM('Peer-Review'!$B$2:$B$568)=C576 )+ (TRIM('Peer-Review'!$F$2:$F$568)=C576))),""No Reviews"")"),"23f1002016@ds.study.iitm.ac.in")</f>
        <v>23f1002016@ds.study.iitm.ac.in</v>
      </c>
      <c r="J576" s="3">
        <f>IF(D576="No R1",0,VLOOKUP(C576,'Peer-Review'!B:D,2,0))</f>
        <v>7</v>
      </c>
      <c r="K576" s="3">
        <f>IF(D576="No R1",0,VLOOKUP(C576,'Peer-Review'!B:D,3,0))</f>
        <v>8</v>
      </c>
      <c r="L576" s="3">
        <f>IF(E576="No R2",0,VLOOKUP(C576,'Peer-Review'!F:H,2,0))</f>
        <v>0</v>
      </c>
      <c r="M576" s="3">
        <f>IF(E576="No R2",0,VLOOKUP(C576,'Peer-Review'!F:H,3,0))</f>
        <v>0</v>
      </c>
    </row>
    <row r="577" hidden="1">
      <c r="A577" s="3" t="str">
        <f>IFERROR(__xludf.DUMMYFUNCTION("""COMPUTED_VALUE"""),"23f2000919@ds.study.iitm.ac.in")</f>
        <v>23f2000919@ds.study.iitm.ac.in</v>
      </c>
      <c r="B577" s="3">
        <f>IFERROR(__xludf.DUMMYFUNCTION("""COMPUTED_VALUE"""),9.0)</f>
        <v>9</v>
      </c>
      <c r="C577" s="5" t="str">
        <f>IFERROR(__xludf.DUMMYFUNCTION("""COMPUTED_VALUE"""),"https://github.com/Abimanyu-A-J/TDSProj1/tree/main")</f>
        <v>https://github.com/Abimanyu-A-J/TDSProj1/tree/main</v>
      </c>
      <c r="D577" s="3" t="str">
        <f>IFERROR(VLOOKUP(C577,'Peer-Review'!B:J,9,0),"No R1")</f>
        <v>23f2003190@ds.study.iitm.ac.in</v>
      </c>
      <c r="E577" s="3" t="str">
        <f>IFERROR(VLOOKUP(C577,'Peer-Review'!F:J,5,0),"No R2")</f>
        <v>No R2</v>
      </c>
      <c r="F577" s="3">
        <f>COUNTIF('Peer-Review'!B:B,C577)+COUNTIF('Peer-Review'!F:F,C577)</f>
        <v>2</v>
      </c>
      <c r="G577" s="3">
        <f t="shared" si="1"/>
        <v>1</v>
      </c>
      <c r="H577" s="3" t="str">
        <f>IFERROR(__xludf.DUMMYFUNCTION("IFERROR(TRANSPOSE(FILTER('Peer-Review'!$J$2:$J$568,(TRIM('Peer-Review'!$B$2:$B$568)=C577 )+ (TRIM('Peer-Review'!$F$2:$F$568)=C577))),""No Reviews"")"),"23f2003190@ds.study.iitm.ac.in")</f>
        <v>23f2003190@ds.study.iitm.ac.in</v>
      </c>
      <c r="I577" s="3" t="str">
        <f>IFERROR(__xludf.DUMMYFUNCTION("""COMPUTED_VALUE"""),"22f3003253@ds.study.iitm.ac.in")</f>
        <v>22f3003253@ds.study.iitm.ac.in</v>
      </c>
      <c r="J577" s="3">
        <f>IF(D577="No R1",0,VLOOKUP(C577,'Peer-Review'!B:D,2,0))</f>
        <v>4</v>
      </c>
      <c r="K577" s="3">
        <f>IF(D577="No R1",0,VLOOKUP(C577,'Peer-Review'!B:D,3,0))</f>
        <v>9</v>
      </c>
      <c r="L577" s="3">
        <f>IF(E577="No R2",0,VLOOKUP(C577,'Peer-Review'!F:H,2,0))</f>
        <v>0</v>
      </c>
      <c r="M577" s="3">
        <f>IF(E577="No R2",0,VLOOKUP(C577,'Peer-Review'!F:H,3,0))</f>
        <v>0</v>
      </c>
    </row>
    <row r="578" hidden="1">
      <c r="A578" s="3" t="str">
        <f>IFERROR(__xludf.DUMMYFUNCTION("""COMPUTED_VALUE"""),"23f2000934@ds.study.iitm.ac.in")</f>
        <v>23f2000934@ds.study.iitm.ac.in</v>
      </c>
      <c r="B578" s="3">
        <f>IFERROR(__xludf.DUMMYFUNCTION("""COMPUTED_VALUE"""),16.0)</f>
        <v>16</v>
      </c>
      <c r="C578" s="5" t="str">
        <f>IFERROR(__xludf.DUMMYFUNCTION("""COMPUTED_VALUE"""),"https://github.com/adith-ds/project1")</f>
        <v>https://github.com/adith-ds/project1</v>
      </c>
      <c r="D578" s="3" t="str">
        <f>IFERROR(VLOOKUP(C578,'Peer-Review'!B:J,9,0),"No R1")</f>
        <v>No R1</v>
      </c>
      <c r="E578" s="3" t="str">
        <f>IFERROR(VLOOKUP(C578,'Peer-Review'!F:J,5,0),"No R2")</f>
        <v>24f1002112@ds.study.iitm.ac.in</v>
      </c>
      <c r="F578" s="3">
        <f>COUNTIF('Peer-Review'!B:B,C578)+COUNTIF('Peer-Review'!F:F,C578)</f>
        <v>1</v>
      </c>
      <c r="G578" s="3">
        <f t="shared" si="1"/>
        <v>1</v>
      </c>
      <c r="H578" s="3" t="str">
        <f>IFERROR(__xludf.DUMMYFUNCTION("IFERROR(TRANSPOSE(FILTER('Peer-Review'!$J$2:$J$568,(TRIM('Peer-Review'!$B$2:$B$568)=C578 )+ (TRIM('Peer-Review'!$F$2:$F$568)=C578))),""No Reviews"")"),"24f1002112@ds.study.iitm.ac.in")</f>
        <v>24f1002112@ds.study.iitm.ac.in</v>
      </c>
      <c r="J578" s="3">
        <f>IF(D578="No R1",0,VLOOKUP(C578,'Peer-Review'!B:D,2,0))</f>
        <v>0</v>
      </c>
      <c r="K578" s="3">
        <f>IF(D578="No R1",0,VLOOKUP(C578,'Peer-Review'!B:D,3,0))</f>
        <v>0</v>
      </c>
      <c r="L578" s="3">
        <f>IF(E578="No R2",0,VLOOKUP(C578,'Peer-Review'!F:H,2,0))</f>
        <v>5</v>
      </c>
      <c r="M578" s="3">
        <f>IF(E578="No R2",0,VLOOKUP(C578,'Peer-Review'!F:H,3,0))</f>
        <v>4</v>
      </c>
    </row>
    <row r="579" hidden="1">
      <c r="A579" s="3" t="str">
        <f>IFERROR(__xludf.DUMMYFUNCTION("""COMPUTED_VALUE"""),"23f2000961@ds.study.iitm.ac.in")</f>
        <v>23f2000961@ds.study.iitm.ac.in</v>
      </c>
      <c r="B579" s="3">
        <f>IFERROR(__xludf.DUMMYFUNCTION("""COMPUTED_VALUE"""),16.0)</f>
        <v>16</v>
      </c>
      <c r="C579" s="5" t="str">
        <f>IFERROR(__xludf.DUMMYFUNCTION("""COMPUTED_VALUE"""),"https://github.com/adityaraj2308/projeft1/blob/main/repositories.csv")</f>
        <v>https://github.com/adityaraj2308/projeft1/blob/main/repositories.csv</v>
      </c>
      <c r="D579" s="3" t="str">
        <f>IFERROR(VLOOKUP(C579,'Peer-Review'!B:J,9,0),"No R1")</f>
        <v>No R1</v>
      </c>
      <c r="E579" s="3" t="str">
        <f>IFERROR(VLOOKUP(C579,'Peer-Review'!F:J,5,0),"No R2")</f>
        <v>No R2</v>
      </c>
      <c r="F579" s="3">
        <f>COUNTIF('Peer-Review'!B:B,C579)+COUNTIF('Peer-Review'!F:F,C579)</f>
        <v>0</v>
      </c>
      <c r="G579" s="3">
        <f t="shared" si="1"/>
        <v>0</v>
      </c>
      <c r="H579" s="3" t="str">
        <f>IFERROR(__xludf.DUMMYFUNCTION("IFERROR(TRANSPOSE(FILTER('Peer-Review'!$J$2:$J$568,(TRIM('Peer-Review'!$B$2:$B$568)=C579 )+ (TRIM('Peer-Review'!$F$2:$F$568)=C579))),""No Reviews"")"),"No Reviews")</f>
        <v>No Reviews</v>
      </c>
      <c r="J579" s="3">
        <f>IF(D579="No R1",0,VLOOKUP(C579,'Peer-Review'!B:D,2,0))</f>
        <v>0</v>
      </c>
      <c r="K579" s="3">
        <f>IF(D579="No R1",0,VLOOKUP(C579,'Peer-Review'!B:D,3,0))</f>
        <v>0</v>
      </c>
      <c r="L579" s="3">
        <f>IF(E579="No R2",0,VLOOKUP(C579,'Peer-Review'!F:H,2,0))</f>
        <v>0</v>
      </c>
      <c r="M579" s="3">
        <f>IF(E579="No R2",0,VLOOKUP(C579,'Peer-Review'!F:H,3,0))</f>
        <v>0</v>
      </c>
    </row>
    <row r="580" hidden="1">
      <c r="A580" s="3" t="str">
        <f>IFERROR(__xludf.DUMMYFUNCTION("""COMPUTED_VALUE"""),"23f2001005@ds.study.iitm.ac.in")</f>
        <v>23f2001005@ds.study.iitm.ac.in</v>
      </c>
      <c r="B580" s="3">
        <f>IFERROR(__xludf.DUMMYFUNCTION("""COMPUTED_VALUE"""),17.0)</f>
        <v>17</v>
      </c>
      <c r="C580" s="5" t="str">
        <f>IFERROR(__xludf.DUMMYFUNCTION("""COMPUTED_VALUE"""),"https://github.com/akshat-shethia/TDS-Project-1-Akshat-Shethia")</f>
        <v>https://github.com/akshat-shethia/TDS-Project-1-Akshat-Shethia</v>
      </c>
      <c r="D580" s="3" t="str">
        <f>IFERROR(VLOOKUP(C580,'Peer-Review'!B:J,9,0),"No R1")</f>
        <v>No R1</v>
      </c>
      <c r="E580" s="3" t="str">
        <f>IFERROR(VLOOKUP(C580,'Peer-Review'!F:J,5,0),"No R2")</f>
        <v>21f1006961@ds.study.iitm.ac.in</v>
      </c>
      <c r="F580" s="3">
        <f>COUNTIF('Peer-Review'!B:B,C580)+COUNTIF('Peer-Review'!F:F,C580)</f>
        <v>2</v>
      </c>
      <c r="G580" s="3">
        <f t="shared" si="1"/>
        <v>1</v>
      </c>
      <c r="H580" s="3" t="str">
        <f>IFERROR(__xludf.DUMMYFUNCTION("IFERROR(TRANSPOSE(FILTER('Peer-Review'!$J$2:$J$568,(TRIM('Peer-Review'!$B$2:$B$568)=C580 )+ (TRIM('Peer-Review'!$F$2:$F$568)=C580))),""No Reviews"")"),"21f1006961@ds.study.iitm.ac.in")</f>
        <v>21f1006961@ds.study.iitm.ac.in</v>
      </c>
      <c r="I580" s="3" t="str">
        <f>IFERROR(__xludf.DUMMYFUNCTION("""COMPUTED_VALUE"""),"23f2000887@ds.study.iitm.ac.in")</f>
        <v>23f2000887@ds.study.iitm.ac.in</v>
      </c>
      <c r="J580" s="3">
        <f>IF(D580="No R1",0,VLOOKUP(C580,'Peer-Review'!B:D,2,0))</f>
        <v>0</v>
      </c>
      <c r="K580" s="3">
        <f>IF(D580="No R1",0,VLOOKUP(C580,'Peer-Review'!B:D,3,0))</f>
        <v>0</v>
      </c>
      <c r="L580" s="3">
        <f>IF(E580="No R2",0,VLOOKUP(C580,'Peer-Review'!F:H,2,0))</f>
        <v>10</v>
      </c>
      <c r="M580" s="3">
        <f>IF(E580="No R2",0,VLOOKUP(C580,'Peer-Review'!F:H,3,0))</f>
        <v>10</v>
      </c>
    </row>
    <row r="581" hidden="1">
      <c r="A581" s="3" t="str">
        <f>IFERROR(__xludf.DUMMYFUNCTION("""COMPUTED_VALUE"""),"23f2001033@ds.study.iitm.ac.in")</f>
        <v>23f2001033@ds.study.iitm.ac.in</v>
      </c>
      <c r="B581" s="3">
        <f>IFERROR(__xludf.DUMMYFUNCTION("""COMPUTED_VALUE"""),14.0)</f>
        <v>14</v>
      </c>
      <c r="C581" s="5" t="str">
        <f>IFERROR(__xludf.DUMMYFUNCTION("""COMPUTED_VALUE"""),"https://github.com/perceptron-01/project-1")</f>
        <v>https://github.com/perceptron-01/project-1</v>
      </c>
      <c r="D581" s="3" t="str">
        <f>IFERROR(VLOOKUP(C581,'Peer-Review'!B:J,9,0),"No R1")</f>
        <v>23f1002044@ds.study.iitm.ac.in</v>
      </c>
      <c r="E581" s="3" t="str">
        <f>IFERROR(VLOOKUP(C581,'Peer-Review'!F:J,5,0),"No R2")</f>
        <v>No R2</v>
      </c>
      <c r="F581" s="3">
        <f>COUNTIF('Peer-Review'!B:B,C581)+COUNTIF('Peer-Review'!F:F,C581)</f>
        <v>2</v>
      </c>
      <c r="G581" s="3">
        <f t="shared" si="1"/>
        <v>1</v>
      </c>
      <c r="H581" s="3" t="str">
        <f>IFERROR(__xludf.DUMMYFUNCTION("IFERROR(TRANSPOSE(FILTER('Peer-Review'!$J$2:$J$568,(TRIM('Peer-Review'!$B$2:$B$568)=C581 )+ (TRIM('Peer-Review'!$F$2:$F$568)=C581))),""No Reviews"")"),"23f1002044@ds.study.iitm.ac.in")</f>
        <v>23f1002044@ds.study.iitm.ac.in</v>
      </c>
      <c r="I581" s="3" t="str">
        <f>IFERROR(__xludf.DUMMYFUNCTION("""COMPUTED_VALUE"""),"23f2001083@ds.study.iitm.ac.in")</f>
        <v>23f2001083@ds.study.iitm.ac.in</v>
      </c>
      <c r="J581" s="3">
        <f>IF(D581="No R1",0,VLOOKUP(C581,'Peer-Review'!B:D,2,0))</f>
        <v>10</v>
      </c>
      <c r="K581" s="3">
        <f>IF(D581="No R1",0,VLOOKUP(C581,'Peer-Review'!B:D,3,0))</f>
        <v>10</v>
      </c>
      <c r="L581" s="3">
        <f>IF(E581="No R2",0,VLOOKUP(C581,'Peer-Review'!F:H,2,0))</f>
        <v>0</v>
      </c>
      <c r="M581" s="3">
        <f>IF(E581="No R2",0,VLOOKUP(C581,'Peer-Review'!F:H,3,0))</f>
        <v>0</v>
      </c>
    </row>
    <row r="582" hidden="1">
      <c r="A582" s="3" t="str">
        <f>IFERROR(__xludf.DUMMYFUNCTION("""COMPUTED_VALUE"""),"23f2001083@ds.study.iitm.ac.in")</f>
        <v>23f2001083@ds.study.iitm.ac.in</v>
      </c>
      <c r="B582" s="3">
        <f>IFERROR(__xludf.DUMMYFUNCTION("""COMPUTED_VALUE"""),14.0)</f>
        <v>14</v>
      </c>
      <c r="C582" s="5" t="str">
        <f>IFERROR(__xludf.DUMMYFUNCTION("""COMPUTED_VALUE"""),"https://github.com/Aniruddha017/TDSproject1")</f>
        <v>https://github.com/Aniruddha017/TDSproject1</v>
      </c>
      <c r="D582" s="3" t="str">
        <f>IFERROR(VLOOKUP(C582,'Peer-Review'!B:J,9,0),"No R1")</f>
        <v>23f1002049@ds.study.iitm.ac.in</v>
      </c>
      <c r="E582" s="3" t="str">
        <f>IFERROR(VLOOKUP(C582,'Peer-Review'!F:J,5,0),"No R2")</f>
        <v>23f2001187@ds.study.iitm.ac.in</v>
      </c>
      <c r="F582" s="3">
        <f>COUNTIF('Peer-Review'!B:B,C582)+COUNTIF('Peer-Review'!F:F,C582)</f>
        <v>2</v>
      </c>
      <c r="G582" s="3">
        <f t="shared" si="1"/>
        <v>2</v>
      </c>
      <c r="H582" s="3" t="str">
        <f>IFERROR(__xludf.DUMMYFUNCTION("IFERROR(TRANSPOSE(FILTER('Peer-Review'!$J$2:$J$568,(TRIM('Peer-Review'!$B$2:$B$568)=C582 )+ (TRIM('Peer-Review'!$F$2:$F$568)=C582))),""No Reviews"")"),"23f1002049@ds.study.iitm.ac.in")</f>
        <v>23f1002049@ds.study.iitm.ac.in</v>
      </c>
      <c r="I582" s="3" t="str">
        <f>IFERROR(__xludf.DUMMYFUNCTION("""COMPUTED_VALUE"""),"23f2001187@ds.study.iitm.ac.in")</f>
        <v>23f2001187@ds.study.iitm.ac.in</v>
      </c>
      <c r="J582" s="3">
        <f>IF(D582="No R1",0,VLOOKUP(C582,'Peer-Review'!B:D,2,0))</f>
        <v>10</v>
      </c>
      <c r="K582" s="3">
        <f>IF(D582="No R1",0,VLOOKUP(C582,'Peer-Review'!B:D,3,0))</f>
        <v>0</v>
      </c>
      <c r="L582" s="3">
        <f>IF(E582="No R2",0,VLOOKUP(C582,'Peer-Review'!F:H,2,0))</f>
        <v>9</v>
      </c>
      <c r="M582" s="3">
        <f>IF(E582="No R2",0,VLOOKUP(C582,'Peer-Review'!F:H,3,0))</f>
        <v>6</v>
      </c>
    </row>
    <row r="583" hidden="1">
      <c r="A583" s="3" t="str">
        <f>IFERROR(__xludf.DUMMYFUNCTION("""COMPUTED_VALUE"""),"23f2001106@ds.study.iitm.ac.in")</f>
        <v>23f2001106@ds.study.iitm.ac.in</v>
      </c>
      <c r="B583" s="3">
        <f>IFERROR(__xludf.DUMMYFUNCTION("""COMPUTED_VALUE"""),17.0)</f>
        <v>17</v>
      </c>
      <c r="C583" s="5" t="str">
        <f>IFERROR(__xludf.DUMMYFUNCTION("""COMPUTED_VALUE"""),"https://github.com/AnkitaDev05/TDS-Project1")</f>
        <v>https://github.com/AnkitaDev05/TDS-Project1</v>
      </c>
      <c r="D583" s="3" t="str">
        <f>IFERROR(VLOOKUP(C583,'Peer-Review'!B:J,9,0),"No R1")</f>
        <v>No R1</v>
      </c>
      <c r="E583" s="3" t="str">
        <f>IFERROR(VLOOKUP(C583,'Peer-Review'!F:J,5,0),"No R2")</f>
        <v>23f2001005@ds.study.iitm.ac.in</v>
      </c>
      <c r="F583" s="3">
        <f>COUNTIF('Peer-Review'!B:B,C583)+COUNTIF('Peer-Review'!F:F,C583)</f>
        <v>2</v>
      </c>
      <c r="G583" s="3">
        <f t="shared" si="1"/>
        <v>1</v>
      </c>
      <c r="H583" s="3" t="str">
        <f>IFERROR(__xludf.DUMMYFUNCTION("IFERROR(TRANSPOSE(FILTER('Peer-Review'!$J$2:$J$568,(TRIM('Peer-Review'!$B$2:$B$568)=C583 )+ (TRIM('Peer-Review'!$F$2:$F$568)=C583))),""No Reviews"")"),"23f2001005@ds.study.iitm.ac.in")</f>
        <v>23f2001005@ds.study.iitm.ac.in</v>
      </c>
      <c r="I583" s="3" t="str">
        <f>IFERROR(__xludf.DUMMYFUNCTION("""COMPUTED_VALUE"""),"21f3000045@ds.study.iitm.ac.in")</f>
        <v>21f3000045@ds.study.iitm.ac.in</v>
      </c>
      <c r="J583" s="3">
        <f>IF(D583="No R1",0,VLOOKUP(C583,'Peer-Review'!B:D,2,0))</f>
        <v>0</v>
      </c>
      <c r="K583" s="3">
        <f>IF(D583="No R1",0,VLOOKUP(C583,'Peer-Review'!B:D,3,0))</f>
        <v>0</v>
      </c>
      <c r="L583" s="3">
        <f>IF(E583="No R2",0,VLOOKUP(C583,'Peer-Review'!F:H,2,0))</f>
        <v>10</v>
      </c>
      <c r="M583" s="3">
        <f>IF(E583="No R2",0,VLOOKUP(C583,'Peer-Review'!F:H,3,0))</f>
        <v>10</v>
      </c>
    </row>
    <row r="584" hidden="1">
      <c r="A584" s="3" t="str">
        <f>IFERROR(__xludf.DUMMYFUNCTION("""COMPUTED_VALUE"""),"23f2001120@ds.study.iitm.ac.in")</f>
        <v>23f2001120@ds.study.iitm.ac.in</v>
      </c>
      <c r="B584" s="3">
        <f>IFERROR(__xludf.DUMMYFUNCTION("""COMPUTED_VALUE"""),16.0)</f>
        <v>16</v>
      </c>
      <c r="C584" s="5" t="str">
        <f>IFERROR(__xludf.DUMMYFUNCTION("""COMPUTED_VALUE"""),"https://github.com/AnshikaSinha2005/Anshika-project")</f>
        <v>https://github.com/AnshikaSinha2005/Anshika-project</v>
      </c>
      <c r="D584" s="3" t="str">
        <f>IFERROR(VLOOKUP(C584,'Peer-Review'!B:J,9,0),"No R1")</f>
        <v>No R1</v>
      </c>
      <c r="E584" s="3" t="str">
        <f>IFERROR(VLOOKUP(C584,'Peer-Review'!F:J,5,0),"No R2")</f>
        <v>23f2000961@ds.study.iitm.ac.in</v>
      </c>
      <c r="F584" s="3">
        <f>COUNTIF('Peer-Review'!B:B,C584)+COUNTIF('Peer-Review'!F:F,C584)</f>
        <v>1</v>
      </c>
      <c r="G584" s="3">
        <f t="shared" si="1"/>
        <v>1</v>
      </c>
      <c r="H584" s="3" t="str">
        <f>IFERROR(__xludf.DUMMYFUNCTION("IFERROR(TRANSPOSE(FILTER('Peer-Review'!$J$2:$J$568,(TRIM('Peer-Review'!$B$2:$B$568)=C584 )+ (TRIM('Peer-Review'!$F$2:$F$568)=C584))),""No Reviews"")"),"23f2000961@ds.study.iitm.ac.in")</f>
        <v>23f2000961@ds.study.iitm.ac.in</v>
      </c>
      <c r="J584" s="3">
        <f>IF(D584="No R1",0,VLOOKUP(C584,'Peer-Review'!B:D,2,0))</f>
        <v>0</v>
      </c>
      <c r="K584" s="3">
        <f>IF(D584="No R1",0,VLOOKUP(C584,'Peer-Review'!B:D,3,0))</f>
        <v>0</v>
      </c>
      <c r="L584" s="3">
        <f>IF(E584="No R2",0,VLOOKUP(C584,'Peer-Review'!F:H,2,0))</f>
        <v>8</v>
      </c>
      <c r="M584" s="3">
        <f>IF(E584="No R2",0,VLOOKUP(C584,'Peer-Review'!F:H,3,0))</f>
        <v>9</v>
      </c>
    </row>
    <row r="585" hidden="1">
      <c r="A585" s="3" t="str">
        <f>IFERROR(__xludf.DUMMYFUNCTION("""COMPUTED_VALUE"""),"23f2001127@ds.study.iitm.ac.in")</f>
        <v>23f2001127@ds.study.iitm.ac.in</v>
      </c>
      <c r="B585" s="3">
        <f>IFERROR(__xludf.DUMMYFUNCTION("""COMPUTED_VALUE"""),13.0)</f>
        <v>13</v>
      </c>
      <c r="C585" s="5" t="str">
        <f>IFERROR(__xludf.DUMMYFUNCTION("""COMPUTED_VALUE"""),"https://github.com/antareep18-geek/TDS-project1")</f>
        <v>https://github.com/antareep18-geek/TDS-project1</v>
      </c>
      <c r="D585" s="3" t="str">
        <f>IFERROR(VLOOKUP(C585,'Peer-Review'!B:J,9,0),"No R1")</f>
        <v>22f3001338@ds.study.iitm.ac.in</v>
      </c>
      <c r="E585" s="3" t="str">
        <f>IFERROR(VLOOKUP(C585,'Peer-Review'!F:J,5,0),"No R2")</f>
        <v>No R2</v>
      </c>
      <c r="F585" s="3">
        <f>COUNTIF('Peer-Review'!B:B,C585)+COUNTIF('Peer-Review'!F:F,C585)</f>
        <v>1</v>
      </c>
      <c r="G585" s="3">
        <f t="shared" si="1"/>
        <v>1</v>
      </c>
      <c r="H585" s="3" t="str">
        <f>IFERROR(__xludf.DUMMYFUNCTION("IFERROR(TRANSPOSE(FILTER('Peer-Review'!$J$2:$J$568,(TRIM('Peer-Review'!$B$2:$B$568)=C585 )+ (TRIM('Peer-Review'!$F$2:$F$568)=C585))),""No Reviews"")"),"22f3001338@ds.study.iitm.ac.in")</f>
        <v>22f3001338@ds.study.iitm.ac.in</v>
      </c>
      <c r="J585" s="3">
        <f>IF(D585="No R1",0,VLOOKUP(C585,'Peer-Review'!B:D,2,0))</f>
        <v>10</v>
      </c>
      <c r="K585" s="3">
        <f>IF(D585="No R1",0,VLOOKUP(C585,'Peer-Review'!B:D,3,0))</f>
        <v>10</v>
      </c>
      <c r="L585" s="3">
        <f>IF(E585="No R2",0,VLOOKUP(C585,'Peer-Review'!F:H,2,0))</f>
        <v>0</v>
      </c>
      <c r="M585" s="3">
        <f>IF(E585="No R2",0,VLOOKUP(C585,'Peer-Review'!F:H,3,0))</f>
        <v>0</v>
      </c>
    </row>
    <row r="586" hidden="1">
      <c r="A586" s="3" t="str">
        <f>IFERROR(__xludf.DUMMYFUNCTION("""COMPUTED_VALUE"""),"23f2001154@ds.study.iitm.ac.in")</f>
        <v>23f2001154@ds.study.iitm.ac.in</v>
      </c>
      <c r="B586" s="3">
        <f>IFERROR(__xludf.DUMMYFUNCTION("""COMPUTED_VALUE"""),16.0)</f>
        <v>16</v>
      </c>
      <c r="C586" s="5" t="str">
        <f>IFERROR(__xludf.DUMMYFUNCTION("""COMPUTED_VALUE"""),"https://github.com/SANDESH9098/TDS-Project1")</f>
        <v>https://github.com/SANDESH9098/TDS-Project1</v>
      </c>
      <c r="D586" s="3" t="str">
        <f>IFERROR(VLOOKUP(C586,'Peer-Review'!B:J,9,0),"No R1")</f>
        <v>No R1</v>
      </c>
      <c r="E586" s="3" t="str">
        <f>IFERROR(VLOOKUP(C586,'Peer-Review'!F:J,5,0),"No R2")</f>
        <v>23f2001120@ds.study.iitm.ac.in</v>
      </c>
      <c r="F586" s="3">
        <f>COUNTIF('Peer-Review'!B:B,C586)+COUNTIF('Peer-Review'!F:F,C586)</f>
        <v>1</v>
      </c>
      <c r="G586" s="3">
        <f t="shared" si="1"/>
        <v>1</v>
      </c>
      <c r="H586" s="3" t="str">
        <f>IFERROR(__xludf.DUMMYFUNCTION("IFERROR(TRANSPOSE(FILTER('Peer-Review'!$J$2:$J$568,(TRIM('Peer-Review'!$B$2:$B$568)=C586 )+ (TRIM('Peer-Review'!$F$2:$F$568)=C586))),""No Reviews"")"),"23f2001120@ds.study.iitm.ac.in")</f>
        <v>23f2001120@ds.study.iitm.ac.in</v>
      </c>
      <c r="J586" s="3">
        <f>IF(D586="No R1",0,VLOOKUP(C586,'Peer-Review'!B:D,2,0))</f>
        <v>0</v>
      </c>
      <c r="K586" s="3">
        <f>IF(D586="No R1",0,VLOOKUP(C586,'Peer-Review'!B:D,3,0))</f>
        <v>0</v>
      </c>
      <c r="L586" s="3">
        <f>IF(E586="No R2",0,VLOOKUP(C586,'Peer-Review'!F:H,2,0))</f>
        <v>10</v>
      </c>
      <c r="M586" s="3">
        <f>IF(E586="No R2",0,VLOOKUP(C586,'Peer-Review'!F:H,3,0))</f>
        <v>0</v>
      </c>
    </row>
    <row r="587" hidden="1">
      <c r="A587" s="3" t="str">
        <f>IFERROR(__xludf.DUMMYFUNCTION("""COMPUTED_VALUE"""),"23f2001187@ds.study.iitm.ac.in")</f>
        <v>23f2001187@ds.study.iitm.ac.in</v>
      </c>
      <c r="B587" s="3">
        <f>IFERROR(__xludf.DUMMYFUNCTION("""COMPUTED_VALUE"""),14.0)</f>
        <v>14</v>
      </c>
      <c r="C587" s="5" t="str">
        <f>IFERROR(__xludf.DUMMYFUNCTION("""COMPUTED_VALUE"""),"https://github.com/arshadnit/TDSP1")</f>
        <v>https://github.com/arshadnit/TDSP1</v>
      </c>
      <c r="D587" s="3" t="str">
        <f>IFERROR(VLOOKUP(C587,'Peer-Review'!B:J,9,0),"No R1")</f>
        <v>23f2001366@ds.study.iitm.ac.in</v>
      </c>
      <c r="E587" s="3" t="str">
        <f>IFERROR(VLOOKUP(C587,'Peer-Review'!F:J,5,0),"No R2")</f>
        <v>No R2</v>
      </c>
      <c r="F587" s="3">
        <f>COUNTIF('Peer-Review'!B:B,C587)+COUNTIF('Peer-Review'!F:F,C587)</f>
        <v>2</v>
      </c>
      <c r="G587" s="3">
        <f t="shared" si="1"/>
        <v>1</v>
      </c>
      <c r="H587" s="3" t="str">
        <f>IFERROR(__xludf.DUMMYFUNCTION("IFERROR(TRANSPOSE(FILTER('Peer-Review'!$J$2:$J$568,(TRIM('Peer-Review'!$B$2:$B$568)=C587 )+ (TRIM('Peer-Review'!$F$2:$F$568)=C587))),""No Reviews"")"),"23f2001366@ds.study.iitm.ac.in")</f>
        <v>23f2001366@ds.study.iitm.ac.in</v>
      </c>
      <c r="I587" s="3" t="str">
        <f>IFERROR(__xludf.DUMMYFUNCTION("""COMPUTED_VALUE"""),"23f1002051@ds.study.iitm.ac.in")</f>
        <v>23f1002051@ds.study.iitm.ac.in</v>
      </c>
      <c r="J587" s="3">
        <f>IF(D587="No R1",0,VLOOKUP(C587,'Peer-Review'!B:D,2,0))</f>
        <v>8</v>
      </c>
      <c r="K587" s="3">
        <f>IF(D587="No R1",0,VLOOKUP(C587,'Peer-Review'!B:D,3,0))</f>
        <v>0</v>
      </c>
      <c r="L587" s="3">
        <f>IF(E587="No R2",0,VLOOKUP(C587,'Peer-Review'!F:H,2,0))</f>
        <v>0</v>
      </c>
      <c r="M587" s="3">
        <f>IF(E587="No R2",0,VLOOKUP(C587,'Peer-Review'!F:H,3,0))</f>
        <v>0</v>
      </c>
    </row>
    <row r="588" hidden="1">
      <c r="A588" s="3" t="str">
        <f>IFERROR(__xludf.DUMMYFUNCTION("""COMPUTED_VALUE"""),"23f2001366@ds.study.iitm.ac.in")</f>
        <v>23f2001366@ds.study.iitm.ac.in</v>
      </c>
      <c r="B588" s="3">
        <f>IFERROR(__xludf.DUMMYFUNCTION("""COMPUTED_VALUE"""),14.0)</f>
        <v>14</v>
      </c>
      <c r="C588" s="5" t="str">
        <f>IFERROR(__xludf.DUMMYFUNCTION("""COMPUTED_VALUE"""),"https://github.com/AjithSaiCh/tds_project1")</f>
        <v>https://github.com/AjithSaiCh/tds_project1</v>
      </c>
      <c r="D588" s="3" t="str">
        <f>IFERROR(VLOOKUP(C588,'Peer-Review'!B:J,9,0),"No R1")</f>
        <v>23f1002099@ds.study.iitm.ac.in</v>
      </c>
      <c r="E588" s="3" t="str">
        <f>IFERROR(VLOOKUP(C588,'Peer-Review'!F:J,5,0),"No R2")</f>
        <v>No R2</v>
      </c>
      <c r="F588" s="3">
        <f>COUNTIF('Peer-Review'!B:B,C588)+COUNTIF('Peer-Review'!F:F,C588)</f>
        <v>1</v>
      </c>
      <c r="G588" s="3">
        <f t="shared" si="1"/>
        <v>1</v>
      </c>
      <c r="H588" s="3" t="str">
        <f>IFERROR(__xludf.DUMMYFUNCTION("IFERROR(TRANSPOSE(FILTER('Peer-Review'!$J$2:$J$568,(TRIM('Peer-Review'!$B$2:$B$568)=C588 )+ (TRIM('Peer-Review'!$F$2:$F$568)=C588))),""No Reviews"")"),"23f1002099@ds.study.iitm.ac.in")</f>
        <v>23f1002099@ds.study.iitm.ac.in</v>
      </c>
      <c r="J588" s="3">
        <f>IF(D588="No R1",0,VLOOKUP(C588,'Peer-Review'!B:D,2,0))</f>
        <v>10</v>
      </c>
      <c r="K588" s="3">
        <f>IF(D588="No R1",0,VLOOKUP(C588,'Peer-Review'!B:D,3,0))</f>
        <v>10</v>
      </c>
      <c r="L588" s="3">
        <f>IF(E588="No R2",0,VLOOKUP(C588,'Peer-Review'!F:H,2,0))</f>
        <v>0</v>
      </c>
      <c r="M588" s="3">
        <f>IF(E588="No R2",0,VLOOKUP(C588,'Peer-Review'!F:H,3,0))</f>
        <v>0</v>
      </c>
    </row>
    <row r="589" hidden="1">
      <c r="A589" s="3" t="str">
        <f>IFERROR(__xludf.DUMMYFUNCTION("""COMPUTED_VALUE"""),"23f2001421@ds.study.iitm.ac.in")</f>
        <v>23f2001421@ds.study.iitm.ac.in</v>
      </c>
      <c r="B589" s="3">
        <f>IFERROR(__xludf.DUMMYFUNCTION("""COMPUTED_VALUE"""),17.0)</f>
        <v>17</v>
      </c>
      <c r="C589" s="5" t="str">
        <f>IFERROR(__xludf.DUMMYFUNCTION("""COMPUTED_VALUE"""),"https://github.com/deep2003tds/project1/blob/main/repositories.csv")</f>
        <v>https://github.com/deep2003tds/project1/blob/main/repositories.csv</v>
      </c>
      <c r="D589" s="3" t="str">
        <f>IFERROR(VLOOKUP(C589,'Peer-Review'!B:J,9,0),"No R1")</f>
        <v>No R1</v>
      </c>
      <c r="E589" s="3" t="str">
        <f>IFERROR(VLOOKUP(C589,'Peer-Review'!F:J,5,0),"No R2")</f>
        <v>23f2001106@ds.study.iitm.ac.in</v>
      </c>
      <c r="F589" s="3">
        <f>COUNTIF('Peer-Review'!B:B,C589)+COUNTIF('Peer-Review'!F:F,C589)</f>
        <v>1</v>
      </c>
      <c r="G589" s="3">
        <f t="shared" si="1"/>
        <v>1</v>
      </c>
      <c r="H589" s="3" t="str">
        <f>IFERROR(__xludf.DUMMYFUNCTION("IFERROR(TRANSPOSE(FILTER('Peer-Review'!$J$2:$J$568,(TRIM('Peer-Review'!$B$2:$B$568)=C589 )+ (TRIM('Peer-Review'!$F$2:$F$568)=C589))),""No Reviews"")"),"23f2001106@ds.study.iitm.ac.in")</f>
        <v>23f2001106@ds.study.iitm.ac.in</v>
      </c>
      <c r="J589" s="3">
        <f>IF(D589="No R1",0,VLOOKUP(C589,'Peer-Review'!B:D,2,0))</f>
        <v>0</v>
      </c>
      <c r="K589" s="3">
        <f>IF(D589="No R1",0,VLOOKUP(C589,'Peer-Review'!B:D,3,0))</f>
        <v>0</v>
      </c>
      <c r="L589" s="3">
        <f>IF(E589="No R2",0,VLOOKUP(C589,'Peer-Review'!F:H,2,0))</f>
        <v>7</v>
      </c>
      <c r="M589" s="3">
        <f>IF(E589="No R2",0,VLOOKUP(C589,'Peer-Review'!F:H,3,0))</f>
        <v>6</v>
      </c>
    </row>
    <row r="590" hidden="1">
      <c r="A590" s="3" t="str">
        <f>IFERROR(__xludf.DUMMYFUNCTION("""COMPUTED_VALUE"""),"23f2001431@ds.study.iitm.ac.in")</f>
        <v>23f2001431@ds.study.iitm.ac.in</v>
      </c>
      <c r="B590" s="3">
        <f>IFERROR(__xludf.DUMMYFUNCTION("""COMPUTED_VALUE"""),13.0)</f>
        <v>13</v>
      </c>
      <c r="C590" s="5" t="str">
        <f>IFERROR(__xludf.DUMMYFUNCTION("""COMPUTED_VALUE"""),"https://github.com/DevanshA1105/Project_1_TDS")</f>
        <v>https://github.com/DevanshA1105/Project_1_TDS</v>
      </c>
      <c r="D590" s="3" t="str">
        <f>IFERROR(VLOOKUP(C590,'Peer-Review'!B:J,9,0),"No R1")</f>
        <v>22f3001404@ds.study.iitm.ac.in</v>
      </c>
      <c r="E590" s="3" t="str">
        <f>IFERROR(VLOOKUP(C590,'Peer-Review'!F:J,5,0),"No R2")</f>
        <v>No R2</v>
      </c>
      <c r="F590" s="3">
        <f>COUNTIF('Peer-Review'!B:B,C590)+COUNTIF('Peer-Review'!F:F,C590)</f>
        <v>2</v>
      </c>
      <c r="G590" s="3">
        <f t="shared" si="1"/>
        <v>1</v>
      </c>
      <c r="H590" s="3" t="str">
        <f>IFERROR(__xludf.DUMMYFUNCTION("IFERROR(TRANSPOSE(FILTER('Peer-Review'!$J$2:$J$568,(TRIM('Peer-Review'!$B$2:$B$568)=C590 )+ (TRIM('Peer-Review'!$F$2:$F$568)=C590))),""No Reviews"")"),"22f3001404@ds.study.iitm.ac.in")</f>
        <v>22f3001404@ds.study.iitm.ac.in</v>
      </c>
      <c r="I590" s="3" t="str">
        <f>IFERROR(__xludf.DUMMYFUNCTION("""COMPUTED_VALUE"""),"23f2001566@ds.study.iitm.ac.in")</f>
        <v>23f2001566@ds.study.iitm.ac.in</v>
      </c>
      <c r="J590" s="3">
        <f>IF(D590="No R1",0,VLOOKUP(C590,'Peer-Review'!B:D,2,0))</f>
        <v>10</v>
      </c>
      <c r="K590" s="3">
        <f>IF(D590="No R1",0,VLOOKUP(C590,'Peer-Review'!B:D,3,0))</f>
        <v>0</v>
      </c>
      <c r="L590" s="3">
        <f>IF(E590="No R2",0,VLOOKUP(C590,'Peer-Review'!F:H,2,0))</f>
        <v>0</v>
      </c>
      <c r="M590" s="3">
        <f>IF(E590="No R2",0,VLOOKUP(C590,'Peer-Review'!F:H,3,0))</f>
        <v>0</v>
      </c>
    </row>
    <row r="591" hidden="1">
      <c r="A591" s="3" t="str">
        <f>IFERROR(__xludf.DUMMYFUNCTION("""COMPUTED_VALUE"""),"23f2001455@ds.study.iitm.ac.in")</f>
        <v>23f2001455@ds.study.iitm.ac.in</v>
      </c>
      <c r="B591" s="3">
        <f>IFERROR(__xludf.DUMMYFUNCTION("""COMPUTED_VALUE"""),12.0)</f>
        <v>12</v>
      </c>
      <c r="C591" s="5" t="str">
        <f>IFERROR(__xludf.DUMMYFUNCTION("""COMPUTED_VALUE"""),"https://github.com/dhimantks/tdsproject1")</f>
        <v>https://github.com/dhimantks/tdsproject1</v>
      </c>
      <c r="D591" s="3" t="str">
        <f>IFERROR(VLOOKUP(C591,'Peer-Review'!B:J,9,0),"No R1")</f>
        <v>21f3000773@ds.study.iitm.ac.in</v>
      </c>
      <c r="E591" s="3" t="str">
        <f>IFERROR(VLOOKUP(C591,'Peer-Review'!F:J,5,0),"No R2")</f>
        <v>No R2</v>
      </c>
      <c r="F591" s="3">
        <f>COUNTIF('Peer-Review'!B:B,C591)+COUNTIF('Peer-Review'!F:F,C591)</f>
        <v>1</v>
      </c>
      <c r="G591" s="3">
        <f t="shared" si="1"/>
        <v>1</v>
      </c>
      <c r="H591" s="3" t="str">
        <f>IFERROR(__xludf.DUMMYFUNCTION("IFERROR(TRANSPOSE(FILTER('Peer-Review'!$J$2:$J$568,(TRIM('Peer-Review'!$B$2:$B$568)=C591 )+ (TRIM('Peer-Review'!$F$2:$F$568)=C591))),""No Reviews"")"),"21f3000773@ds.study.iitm.ac.in")</f>
        <v>21f3000773@ds.study.iitm.ac.in</v>
      </c>
      <c r="J591" s="3">
        <f>IF(D591="No R1",0,VLOOKUP(C591,'Peer-Review'!B:D,2,0))</f>
        <v>10</v>
      </c>
      <c r="K591" s="3">
        <f>IF(D591="No R1",0,VLOOKUP(C591,'Peer-Review'!B:D,3,0))</f>
        <v>10</v>
      </c>
      <c r="L591" s="3">
        <f>IF(E591="No R2",0,VLOOKUP(C591,'Peer-Review'!F:H,2,0))</f>
        <v>0</v>
      </c>
      <c r="M591" s="3">
        <f>IF(E591="No R2",0,VLOOKUP(C591,'Peer-Review'!F:H,3,0))</f>
        <v>0</v>
      </c>
    </row>
    <row r="592" hidden="1">
      <c r="A592" s="3" t="str">
        <f>IFERROR(__xludf.DUMMYFUNCTION("""COMPUTED_VALUE"""),"23f2001475@ds.study.iitm.ac.in")</f>
        <v>23f2001475@ds.study.iitm.ac.in</v>
      </c>
      <c r="B592" s="3">
        <f>IFERROR(__xludf.DUMMYFUNCTION("""COMPUTED_VALUE"""),14.0)</f>
        <v>14</v>
      </c>
      <c r="C592" s="5" t="str">
        <f>IFERROR(__xludf.DUMMYFUNCTION("""COMPUTED_VALUE"""),"https://github.com/shinadeveloper/TDS-Project-1")</f>
        <v>https://github.com/shinadeveloper/TDS-Project-1</v>
      </c>
      <c r="D592" s="3" t="str">
        <f>IFERROR(VLOOKUP(C592,'Peer-Review'!B:J,9,0),"No R1")</f>
        <v>23f2002936@ds.study.iitm.ac.in</v>
      </c>
      <c r="E592" s="3" t="str">
        <f>IFERROR(VLOOKUP(C592,'Peer-Review'!F:J,5,0),"No R2")</f>
        <v>No R2</v>
      </c>
      <c r="F592" s="3">
        <f>COUNTIF('Peer-Review'!B:B,C592)+COUNTIF('Peer-Review'!F:F,C592)</f>
        <v>2</v>
      </c>
      <c r="G592" s="3">
        <f t="shared" si="1"/>
        <v>1</v>
      </c>
      <c r="H592" s="3" t="str">
        <f>IFERROR(__xludf.DUMMYFUNCTION("IFERROR(TRANSPOSE(FILTER('Peer-Review'!$J$2:$J$568,(TRIM('Peer-Review'!$B$2:$B$568)=C592 )+ (TRIM('Peer-Review'!$F$2:$F$568)=C592))),""No Reviews"")"),"23f2002936@ds.study.iitm.ac.in")</f>
        <v>23f2002936@ds.study.iitm.ac.in</v>
      </c>
      <c r="I592" s="3" t="str">
        <f>IFERROR(__xludf.DUMMYFUNCTION("""COMPUTED_VALUE"""),"23f1002304@ds.study.iitm.ac.in")</f>
        <v>23f1002304@ds.study.iitm.ac.in</v>
      </c>
      <c r="J592" s="3">
        <f>IF(D592="No R1",0,VLOOKUP(C592,'Peer-Review'!B:D,2,0))</f>
        <v>8</v>
      </c>
      <c r="K592" s="3">
        <f>IF(D592="No R1",0,VLOOKUP(C592,'Peer-Review'!B:D,3,0))</f>
        <v>8</v>
      </c>
      <c r="L592" s="3">
        <f>IF(E592="No R2",0,VLOOKUP(C592,'Peer-Review'!F:H,2,0))</f>
        <v>0</v>
      </c>
      <c r="M592" s="3">
        <f>IF(E592="No R2",0,VLOOKUP(C592,'Peer-Review'!F:H,3,0))</f>
        <v>0</v>
      </c>
    </row>
    <row r="593" hidden="1">
      <c r="A593" s="3" t="str">
        <f>IFERROR(__xludf.DUMMYFUNCTION("""COMPUTED_VALUE"""),"23f2001487@ds.study.iitm.ac.in")</f>
        <v>23f2001487@ds.study.iitm.ac.in</v>
      </c>
      <c r="B593" s="3">
        <f>IFERROR(__xludf.DUMMYFUNCTION("""COMPUTED_VALUE"""),10.0)</f>
        <v>10</v>
      </c>
      <c r="C593" s="5" t="str">
        <f>IFERROR(__xludf.DUMMYFUNCTION("""COMPUTED_VALUE"""),"https://github.com/raj-jaiswal/TDS_Github_API")</f>
        <v>https://github.com/raj-jaiswal/TDS_Github_API</v>
      </c>
      <c r="D593" s="3" t="str">
        <f>IFERROR(VLOOKUP(C593,'Peer-Review'!B:J,9,0),"No R1")</f>
        <v>23f1002330@ds.study.iitm.ac.in</v>
      </c>
      <c r="E593" s="3" t="str">
        <f>IFERROR(VLOOKUP(C593,'Peer-Review'!F:J,5,0),"No R2")</f>
        <v>No R2</v>
      </c>
      <c r="F593" s="3">
        <f>COUNTIF('Peer-Review'!B:B,C593)+COUNTIF('Peer-Review'!F:F,C593)</f>
        <v>2</v>
      </c>
      <c r="G593" s="3">
        <f t="shared" si="1"/>
        <v>1</v>
      </c>
      <c r="H593" s="3" t="str">
        <f>IFERROR(__xludf.DUMMYFUNCTION("IFERROR(TRANSPOSE(FILTER('Peer-Review'!$J$2:$J$568,(TRIM('Peer-Review'!$B$2:$B$568)=C593 )+ (TRIM('Peer-Review'!$F$2:$F$568)=C593))),""No Reviews"")"),"23f1002330@ds.study.iitm.ac.in")</f>
        <v>23f1002330@ds.study.iitm.ac.in</v>
      </c>
      <c r="I593" s="3" t="str">
        <f>IFERROR(__xludf.DUMMYFUNCTION("""COMPUTED_VALUE"""),"23f2004468@ds.study.iitm.ac.in")</f>
        <v>23f2004468@ds.study.iitm.ac.in</v>
      </c>
      <c r="J593" s="3">
        <f>IF(D593="No R1",0,VLOOKUP(C593,'Peer-Review'!B:D,2,0))</f>
        <v>10</v>
      </c>
      <c r="K593" s="3">
        <f>IF(D593="No R1",0,VLOOKUP(C593,'Peer-Review'!B:D,3,0))</f>
        <v>10</v>
      </c>
      <c r="L593" s="3">
        <f>IF(E593="No R2",0,VLOOKUP(C593,'Peer-Review'!F:H,2,0))</f>
        <v>0</v>
      </c>
      <c r="M593" s="3">
        <f>IF(E593="No R2",0,VLOOKUP(C593,'Peer-Review'!F:H,3,0))</f>
        <v>0</v>
      </c>
    </row>
    <row r="594" hidden="1">
      <c r="A594" s="3" t="str">
        <f>IFERROR(__xludf.DUMMYFUNCTION("""COMPUTED_VALUE"""),"23f2001563@ds.study.iitm.ac.in")</f>
        <v>23f2001563@ds.study.iitm.ac.in</v>
      </c>
      <c r="B594" s="3">
        <f>IFERROR(__xludf.DUMMYFUNCTION("""COMPUTED_VALUE"""),0.0)</f>
        <v>0</v>
      </c>
      <c r="C594" s="5" t="str">
        <f>IFERROR(__xludf.DUMMYFUNCTION("""COMPUTED_VALUE"""),"https://github.com/gitanjalisharma19/Github-Shanghai-Users")</f>
        <v>https://github.com/gitanjalisharma19/Github-Shanghai-Users</v>
      </c>
      <c r="D594" s="3" t="str">
        <f>IFERROR(VLOOKUP(C594,'Peer-Review'!B:J,9,0),"No R1")</f>
        <v>No R1</v>
      </c>
      <c r="E594" s="3" t="str">
        <f>IFERROR(VLOOKUP(C594,'Peer-Review'!F:J,5,0),"No R2")</f>
        <v>No R2</v>
      </c>
      <c r="F594" s="3">
        <f>COUNTIF('Peer-Review'!B:B,C594)+COUNTIF('Peer-Review'!F:F,C594)</f>
        <v>0</v>
      </c>
      <c r="G594" s="3">
        <f t="shared" si="1"/>
        <v>0</v>
      </c>
      <c r="H594" s="3" t="str">
        <f>IFERROR(__xludf.DUMMYFUNCTION("IFERROR(TRANSPOSE(FILTER('Peer-Review'!$J$2:$J$568,(TRIM('Peer-Review'!$B$2:$B$568)=C594 )+ (TRIM('Peer-Review'!$F$2:$F$568)=C594))),""No Reviews"")"),"No Reviews")</f>
        <v>No Reviews</v>
      </c>
      <c r="J594" s="3">
        <f>IF(D594="No R1",0,VLOOKUP(C594,'Peer-Review'!B:D,2,0))</f>
        <v>0</v>
      </c>
      <c r="K594" s="3">
        <f>IF(D594="No R1",0,VLOOKUP(C594,'Peer-Review'!B:D,3,0))</f>
        <v>0</v>
      </c>
      <c r="L594" s="3">
        <f>IF(E594="No R2",0,VLOOKUP(C594,'Peer-Review'!F:H,2,0))</f>
        <v>0</v>
      </c>
      <c r="M594" s="3">
        <f>IF(E594="No R2",0,VLOOKUP(C594,'Peer-Review'!F:H,3,0))</f>
        <v>0</v>
      </c>
    </row>
    <row r="595" hidden="1">
      <c r="A595" s="3" t="str">
        <f>IFERROR(__xludf.DUMMYFUNCTION("""COMPUTED_VALUE"""),"23f2001566@ds.study.iitm.ac.in")</f>
        <v>23f2001566@ds.study.iitm.ac.in</v>
      </c>
      <c r="B595" s="3">
        <f>IFERROR(__xludf.DUMMYFUNCTION("""COMPUTED_VALUE"""),13.0)</f>
        <v>13</v>
      </c>
      <c r="C595" s="5" t="str">
        <f>IFERROR(__xludf.DUMMYFUNCTION("""COMPUTED_VALUE"""),"https://github.com/gokuls23f2001566/TDSpj1")</f>
        <v>https://github.com/gokuls23f2001566/TDSpj1</v>
      </c>
      <c r="D595" s="3" t="str">
        <f>IFERROR(VLOOKUP(C595,'Peer-Review'!B:J,9,0),"No R1")</f>
        <v>22f3001412@ds.study.iitm.ac.in</v>
      </c>
      <c r="E595" s="3" t="str">
        <f>IFERROR(VLOOKUP(C595,'Peer-Review'!F:J,5,0),"No R2")</f>
        <v>No R2</v>
      </c>
      <c r="F595" s="3">
        <f>COUNTIF('Peer-Review'!B:B,C595)+COUNTIF('Peer-Review'!F:F,C595)</f>
        <v>1</v>
      </c>
      <c r="G595" s="3">
        <f t="shared" si="1"/>
        <v>1</v>
      </c>
      <c r="H595" s="3" t="str">
        <f>IFERROR(__xludf.DUMMYFUNCTION("IFERROR(TRANSPOSE(FILTER('Peer-Review'!$J$2:$J$568,(TRIM('Peer-Review'!$B$2:$B$568)=C595 )+ (TRIM('Peer-Review'!$F$2:$F$568)=C595))),""No Reviews"")"),"22f3001412@ds.study.iitm.ac.in")</f>
        <v>22f3001412@ds.study.iitm.ac.in</v>
      </c>
      <c r="J595" s="3">
        <f>IF(D595="No R1",0,VLOOKUP(C595,'Peer-Review'!B:D,2,0))</f>
        <v>10</v>
      </c>
      <c r="K595" s="3">
        <f>IF(D595="No R1",0,VLOOKUP(C595,'Peer-Review'!B:D,3,0))</f>
        <v>8</v>
      </c>
      <c r="L595" s="3">
        <f>IF(E595="No R2",0,VLOOKUP(C595,'Peer-Review'!F:H,2,0))</f>
        <v>0</v>
      </c>
      <c r="M595" s="3">
        <f>IF(E595="No R2",0,VLOOKUP(C595,'Peer-Review'!F:H,3,0))</f>
        <v>0</v>
      </c>
    </row>
    <row r="596" hidden="1">
      <c r="A596" s="3" t="str">
        <f>IFERROR(__xludf.DUMMYFUNCTION("""COMPUTED_VALUE"""),"23f2001696@ds.study.iitm.ac.in")</f>
        <v>23f2001696@ds.study.iitm.ac.in</v>
      </c>
      <c r="B596" s="3">
        <f>IFERROR(__xludf.DUMMYFUNCTION("""COMPUTED_VALUE"""),17.0)</f>
        <v>17</v>
      </c>
      <c r="C596" s="5" t="str">
        <f>IFERROR(__xludf.DUMMYFUNCTION("""COMPUTED_VALUE"""),"https://github.com/JAISUBIKSHA/TDS_PROJECT1")</f>
        <v>https://github.com/JAISUBIKSHA/TDS_PROJECT1</v>
      </c>
      <c r="D596" s="3" t="str">
        <f>IFERROR(VLOOKUP(C596,'Peer-Review'!B:J,9,0),"No R1")</f>
        <v>21f3000279@ds.study.iitm.ac.in</v>
      </c>
      <c r="E596" s="3" t="str">
        <f>IFERROR(VLOOKUP(C596,'Peer-Review'!F:J,5,0),"No R2")</f>
        <v>23f2001421@ds.study.iitm.ac.in</v>
      </c>
      <c r="F596" s="3">
        <f>COUNTIF('Peer-Review'!B:B,C596)+COUNTIF('Peer-Review'!F:F,C596)</f>
        <v>2</v>
      </c>
      <c r="G596" s="3">
        <f t="shared" si="1"/>
        <v>2</v>
      </c>
      <c r="H596" s="3" t="str">
        <f>IFERROR(__xludf.DUMMYFUNCTION("IFERROR(TRANSPOSE(FILTER('Peer-Review'!$J$2:$J$568,(TRIM('Peer-Review'!$B$2:$B$568)=C596 )+ (TRIM('Peer-Review'!$F$2:$F$568)=C596))),""No Reviews"")"),"23f2001421@ds.study.iitm.ac.in")</f>
        <v>23f2001421@ds.study.iitm.ac.in</v>
      </c>
      <c r="I596" s="3" t="str">
        <f>IFERROR(__xludf.DUMMYFUNCTION("""COMPUTED_VALUE"""),"21f3000279@ds.study.iitm.ac.in")</f>
        <v>21f3000279@ds.study.iitm.ac.in</v>
      </c>
      <c r="J596" s="3">
        <f>IF(D596="No R1",0,VLOOKUP(C596,'Peer-Review'!B:D,2,0))</f>
        <v>7</v>
      </c>
      <c r="K596" s="3">
        <f>IF(D596="No R1",0,VLOOKUP(C596,'Peer-Review'!B:D,3,0))</f>
        <v>6</v>
      </c>
      <c r="L596" s="3">
        <f>IF(E596="No R2",0,VLOOKUP(C596,'Peer-Review'!F:H,2,0))</f>
        <v>9</v>
      </c>
      <c r="M596" s="3">
        <f>IF(E596="No R2",0,VLOOKUP(C596,'Peer-Review'!F:H,3,0))</f>
        <v>10</v>
      </c>
    </row>
    <row r="597" hidden="1">
      <c r="A597" s="3" t="str">
        <f>IFERROR(__xludf.DUMMYFUNCTION("""COMPUTED_VALUE"""),"23f2001844@ds.study.iitm.ac.in")</f>
        <v>23f2001844@ds.study.iitm.ac.in</v>
      </c>
      <c r="B597" s="3">
        <f>IFERROR(__xludf.DUMMYFUNCTION("""COMPUTED_VALUE"""),15.0)</f>
        <v>15</v>
      </c>
      <c r="C597" s="5" t="str">
        <f>IFERROR(__xludf.DUMMYFUNCTION("""COMPUTED_VALUE"""),"https://github.com/Kratikavarshney-16/Mumbai50")</f>
        <v>https://github.com/Kratikavarshney-16/Mumbai50</v>
      </c>
      <c r="D597" s="3" t="str">
        <f>IFERROR(VLOOKUP(C597,'Peer-Review'!B:J,9,0),"No R1")</f>
        <v>23f3002592@ds.study.iitm.ac.in</v>
      </c>
      <c r="E597" s="3" t="str">
        <f>IFERROR(VLOOKUP(C597,'Peer-Review'!F:J,5,0),"No R2")</f>
        <v>No R2</v>
      </c>
      <c r="F597" s="3">
        <f>COUNTIF('Peer-Review'!B:B,C597)+COUNTIF('Peer-Review'!F:F,C597)</f>
        <v>1</v>
      </c>
      <c r="G597" s="3">
        <f t="shared" si="1"/>
        <v>1</v>
      </c>
      <c r="H597" s="3" t="str">
        <f>IFERROR(__xludf.DUMMYFUNCTION("IFERROR(TRANSPOSE(FILTER('Peer-Review'!$J$2:$J$568,(TRIM('Peer-Review'!$B$2:$B$568)=C597 )+ (TRIM('Peer-Review'!$F$2:$F$568)=C597))),""No Reviews"")"),"23f3002592@ds.study.iitm.ac.in")</f>
        <v>23f3002592@ds.study.iitm.ac.in</v>
      </c>
      <c r="J597" s="3">
        <f>IF(D597="No R1",0,VLOOKUP(C597,'Peer-Review'!B:D,2,0))</f>
        <v>8</v>
      </c>
      <c r="K597" s="3">
        <f>IF(D597="No R1",0,VLOOKUP(C597,'Peer-Review'!B:D,3,0))</f>
        <v>0</v>
      </c>
      <c r="L597" s="3">
        <f>IF(E597="No R2",0,VLOOKUP(C597,'Peer-Review'!F:H,2,0))</f>
        <v>0</v>
      </c>
      <c r="M597" s="3">
        <f>IF(E597="No R2",0,VLOOKUP(C597,'Peer-Review'!F:H,3,0))</f>
        <v>0</v>
      </c>
    </row>
    <row r="598" hidden="1">
      <c r="A598" s="3" t="str">
        <f>IFERROR(__xludf.DUMMYFUNCTION("""COMPUTED_VALUE"""),"23f2001876@ds.study.iitm.ac.in")</f>
        <v>23f2001876@ds.study.iitm.ac.in</v>
      </c>
      <c r="B598" s="3">
        <f>IFERROR(__xludf.DUMMYFUNCTION("""COMPUTED_VALUE"""),17.0)</f>
        <v>17</v>
      </c>
      <c r="C598" s="5" t="str">
        <f>IFERROR(__xludf.DUMMYFUNCTION("""COMPUTED_VALUE"""),"https://github.com/kunj-10/TDS-IITM-Project1")</f>
        <v>https://github.com/kunj-10/TDS-IITM-Project1</v>
      </c>
      <c r="D598" s="3" t="str">
        <f>IFERROR(VLOOKUP(C598,'Peer-Review'!B:J,9,0),"No R1")</f>
        <v>No R1</v>
      </c>
      <c r="E598" s="3" t="str">
        <f>IFERROR(VLOOKUP(C598,'Peer-Review'!F:J,5,0),"No R2")</f>
        <v>23f2001696@ds.study.iitm.ac.in</v>
      </c>
      <c r="F598" s="3">
        <f>COUNTIF('Peer-Review'!B:B,C598)+COUNTIF('Peer-Review'!F:F,C598)</f>
        <v>1</v>
      </c>
      <c r="G598" s="3">
        <f t="shared" si="1"/>
        <v>1</v>
      </c>
      <c r="H598" s="3" t="str">
        <f>IFERROR(__xludf.DUMMYFUNCTION("IFERROR(TRANSPOSE(FILTER('Peer-Review'!$J$2:$J$568,(TRIM('Peer-Review'!$B$2:$B$568)=C598 )+ (TRIM('Peer-Review'!$F$2:$F$568)=C598))),""No Reviews"")"),"23f2001696@ds.study.iitm.ac.in")</f>
        <v>23f2001696@ds.study.iitm.ac.in</v>
      </c>
      <c r="J598" s="3">
        <f>IF(D598="No R1",0,VLOOKUP(C598,'Peer-Review'!B:D,2,0))</f>
        <v>0</v>
      </c>
      <c r="K598" s="3">
        <f>IF(D598="No R1",0,VLOOKUP(C598,'Peer-Review'!B:D,3,0))</f>
        <v>0</v>
      </c>
      <c r="L598" s="3">
        <f>IF(E598="No R2",0,VLOOKUP(C598,'Peer-Review'!F:H,2,0))</f>
        <v>7</v>
      </c>
      <c r="M598" s="3">
        <f>IF(E598="No R2",0,VLOOKUP(C598,'Peer-Review'!F:H,3,0))</f>
        <v>10</v>
      </c>
    </row>
    <row r="599" hidden="1">
      <c r="A599" s="3" t="str">
        <f>IFERROR(__xludf.DUMMYFUNCTION("""COMPUTED_VALUE"""),"23f2001908@ds.study.iitm.ac.in")</f>
        <v>23f2001908@ds.study.iitm.ac.in</v>
      </c>
      <c r="B599" s="3">
        <f>IFERROR(__xludf.DUMMYFUNCTION("""COMPUTED_VALUE"""),17.0)</f>
        <v>17</v>
      </c>
      <c r="C599" s="5" t="str">
        <f>IFERROR(__xludf.DUMMYFUNCTION("""COMPUTED_VALUE"""),"https://github.com/Lokith-sharan/GitHub-Scraper-Singapore")</f>
        <v>https://github.com/Lokith-sharan/GitHub-Scraper-Singapore</v>
      </c>
      <c r="D599" s="3" t="str">
        <f>IFERROR(VLOOKUP(C599,'Peer-Review'!B:J,9,0),"No R1")</f>
        <v>No R1</v>
      </c>
      <c r="E599" s="3" t="str">
        <f>IFERROR(VLOOKUP(C599,'Peer-Review'!F:J,5,0),"No R2")</f>
        <v>23f2001876@ds.study.iitm.ac.in</v>
      </c>
      <c r="F599" s="3">
        <f>COUNTIF('Peer-Review'!B:B,C599)+COUNTIF('Peer-Review'!F:F,C599)</f>
        <v>1</v>
      </c>
      <c r="G599" s="3">
        <f t="shared" si="1"/>
        <v>1</v>
      </c>
      <c r="H599" s="3" t="str">
        <f>IFERROR(__xludf.DUMMYFUNCTION("IFERROR(TRANSPOSE(FILTER('Peer-Review'!$J$2:$J$568,(TRIM('Peer-Review'!$B$2:$B$568)=C599 )+ (TRIM('Peer-Review'!$F$2:$F$568)=C599))),""No Reviews"")"),"23f2001876@ds.study.iitm.ac.in")</f>
        <v>23f2001876@ds.study.iitm.ac.in</v>
      </c>
      <c r="J599" s="3">
        <f>IF(D599="No R1",0,VLOOKUP(C599,'Peer-Review'!B:D,2,0))</f>
        <v>0</v>
      </c>
      <c r="K599" s="3">
        <f>IF(D599="No R1",0,VLOOKUP(C599,'Peer-Review'!B:D,3,0))</f>
        <v>0</v>
      </c>
      <c r="L599" s="3">
        <f>IF(E599="No R2",0,VLOOKUP(C599,'Peer-Review'!F:H,2,0))</f>
        <v>10</v>
      </c>
      <c r="M599" s="3">
        <f>IF(E599="No R2",0,VLOOKUP(C599,'Peer-Review'!F:H,3,0))</f>
        <v>9</v>
      </c>
    </row>
    <row r="600" hidden="1">
      <c r="A600" s="3" t="str">
        <f>IFERROR(__xludf.DUMMYFUNCTION("""COMPUTED_VALUE"""),"23f2001942@ds.study.iitm.ac.in")</f>
        <v>23f2001942@ds.study.iitm.ac.in</v>
      </c>
      <c r="B600" s="3">
        <f>IFERROR(__xludf.DUMMYFUNCTION("""COMPUTED_VALUE"""),16.0)</f>
        <v>16</v>
      </c>
      <c r="C600" s="5" t="str">
        <f>IFERROR(__xludf.DUMMYFUNCTION("""COMPUTED_VALUE"""),"https://github.com/shamanthakiitm/TDS-Project-1")</f>
        <v>https://github.com/shamanthakiitm/TDS-Project-1</v>
      </c>
      <c r="D600" s="3" t="str">
        <f>IFERROR(VLOOKUP(C600,'Peer-Review'!B:J,9,0),"No R1")</f>
        <v>No R1</v>
      </c>
      <c r="E600" s="3" t="str">
        <f>IFERROR(VLOOKUP(C600,'Peer-Review'!F:J,5,0),"No R2")</f>
        <v>23f2001154@ds.study.iitm.ac.in</v>
      </c>
      <c r="F600" s="3">
        <f>COUNTIF('Peer-Review'!B:B,C600)+COUNTIF('Peer-Review'!F:F,C600)</f>
        <v>2</v>
      </c>
      <c r="G600" s="3">
        <f t="shared" si="1"/>
        <v>1</v>
      </c>
      <c r="H600" s="3" t="str">
        <f>IFERROR(__xludf.DUMMYFUNCTION("IFERROR(TRANSPOSE(FILTER('Peer-Review'!$J$2:$J$568,(TRIM('Peer-Review'!$B$2:$B$568)=C600 )+ (TRIM('Peer-Review'!$F$2:$F$568)=C600))),""No Reviews"")"),"23f2001154@ds.study.iitm.ac.in")</f>
        <v>23f2001154@ds.study.iitm.ac.in</v>
      </c>
      <c r="I600" s="3" t="str">
        <f>IFERROR(__xludf.DUMMYFUNCTION("""COMPUTED_VALUE"""),"21f2001529@ds.study.iitm.ac.in")</f>
        <v>21f2001529@ds.study.iitm.ac.in</v>
      </c>
      <c r="J600" s="3">
        <f>IF(D600="No R1",0,VLOOKUP(C600,'Peer-Review'!B:D,2,0))</f>
        <v>0</v>
      </c>
      <c r="K600" s="3">
        <f>IF(D600="No R1",0,VLOOKUP(C600,'Peer-Review'!B:D,3,0))</f>
        <v>0</v>
      </c>
      <c r="L600" s="3">
        <f>IF(E600="No R2",0,VLOOKUP(C600,'Peer-Review'!F:H,2,0))</f>
        <v>7</v>
      </c>
      <c r="M600" s="3">
        <f>IF(E600="No R2",0,VLOOKUP(C600,'Peer-Review'!F:H,3,0))</f>
        <v>8</v>
      </c>
    </row>
    <row r="601" hidden="1">
      <c r="A601" s="3" t="str">
        <f>IFERROR(__xludf.DUMMYFUNCTION("""COMPUTED_VALUE"""),"23f2002105@ds.study.iitm.ac.in")</f>
        <v>23f2002105@ds.study.iitm.ac.in</v>
      </c>
      <c r="B601" s="3">
        <f>IFERROR(__xludf.DUMMYFUNCTION("""COMPUTED_VALUE"""),17.0)</f>
        <v>17</v>
      </c>
      <c r="C601" s="5" t="str">
        <f>IFERROR(__xludf.DUMMYFUNCTION("""COMPUTED_VALUE"""),"https://github.com/kneedheeee/proj1")</f>
        <v>https://github.com/kneedheeee/proj1</v>
      </c>
      <c r="D601" s="3" t="str">
        <f>IFERROR(VLOOKUP(C601,'Peer-Review'!B:J,9,0),"No R1")</f>
        <v>No R1</v>
      </c>
      <c r="E601" s="3" t="str">
        <f>IFERROR(VLOOKUP(C601,'Peer-Review'!F:J,5,0),"No R2")</f>
        <v>22f1000753@ds.study.iitm.ac.in</v>
      </c>
      <c r="F601" s="3">
        <f>COUNTIF('Peer-Review'!B:B,C601)+COUNTIF('Peer-Review'!F:F,C601)</f>
        <v>1</v>
      </c>
      <c r="G601" s="3">
        <f t="shared" si="1"/>
        <v>1</v>
      </c>
      <c r="H601" s="3" t="str">
        <f>IFERROR(__xludf.DUMMYFUNCTION("IFERROR(TRANSPOSE(FILTER('Peer-Review'!$J$2:$J$568,(TRIM('Peer-Review'!$B$2:$B$568)=C601 )+ (TRIM('Peer-Review'!$F$2:$F$568)=C601))),""No Reviews"")"),"22f1000753@ds.study.iitm.ac.in")</f>
        <v>22f1000753@ds.study.iitm.ac.in</v>
      </c>
      <c r="J601" s="3">
        <f>IF(D601="No R1",0,VLOOKUP(C601,'Peer-Review'!B:D,2,0))</f>
        <v>0</v>
      </c>
      <c r="K601" s="3">
        <f>IF(D601="No R1",0,VLOOKUP(C601,'Peer-Review'!B:D,3,0))</f>
        <v>0</v>
      </c>
      <c r="L601" s="3">
        <f>IF(E601="No R2",0,VLOOKUP(C601,'Peer-Review'!F:H,2,0))</f>
        <v>10</v>
      </c>
      <c r="M601" s="3">
        <f>IF(E601="No R2",0,VLOOKUP(C601,'Peer-Review'!F:H,3,0))</f>
        <v>10</v>
      </c>
    </row>
    <row r="602" hidden="1">
      <c r="A602" s="3" t="str">
        <f>IFERROR(__xludf.DUMMYFUNCTION("""COMPUTED_VALUE"""),"23f2002166@ds.study.iitm.ac.in")</f>
        <v>23f2002166@ds.study.iitm.ac.in</v>
      </c>
      <c r="B602" s="3">
        <f>IFERROR(__xludf.DUMMYFUNCTION("""COMPUTED_VALUE"""),17.0)</f>
        <v>17</v>
      </c>
      <c r="C602" s="5" t="str">
        <f>IFERROR(__xludf.DUMMYFUNCTION("""COMPUTED_VALUE"""),"https://github.com/Anirudh-starhash/TDS-Project-1")</f>
        <v>https://github.com/Anirudh-starhash/TDS-Project-1</v>
      </c>
      <c r="D602" s="3" t="str">
        <f>IFERROR(VLOOKUP(C602,'Peer-Review'!B:J,9,0),"No R1")</f>
        <v>No R1</v>
      </c>
      <c r="E602" s="3" t="str">
        <f>IFERROR(VLOOKUP(C602,'Peer-Review'!F:J,5,0),"No R2")</f>
        <v>22f1001626@ds.study.iitm.ac.in</v>
      </c>
      <c r="F602" s="3">
        <f>COUNTIF('Peer-Review'!B:B,C602)+COUNTIF('Peer-Review'!F:F,C602)</f>
        <v>2</v>
      </c>
      <c r="G602" s="3">
        <f t="shared" si="1"/>
        <v>1</v>
      </c>
      <c r="H602" s="3" t="str">
        <f>IFERROR(__xludf.DUMMYFUNCTION("IFERROR(TRANSPOSE(FILTER('Peer-Review'!$J$2:$J$568,(TRIM('Peer-Review'!$B$2:$B$568)=C602 )+ (TRIM('Peer-Review'!$F$2:$F$568)=C602))),""No Reviews"")"),"22f1001626@ds.study.iitm.ac.in")</f>
        <v>22f1001626@ds.study.iitm.ac.in</v>
      </c>
      <c r="I602" s="3" t="str">
        <f>IFERROR(__xludf.DUMMYFUNCTION("""COMPUTED_VALUE"""),"23f2002105@ds.study.iitm.ac.in")</f>
        <v>23f2002105@ds.study.iitm.ac.in</v>
      </c>
      <c r="J602" s="3">
        <f>IF(D602="No R1",0,VLOOKUP(C602,'Peer-Review'!B:D,2,0))</f>
        <v>0</v>
      </c>
      <c r="K602" s="3">
        <f>IF(D602="No R1",0,VLOOKUP(C602,'Peer-Review'!B:D,3,0))</f>
        <v>0</v>
      </c>
      <c r="L602" s="3">
        <f>IF(E602="No R2",0,VLOOKUP(C602,'Peer-Review'!F:H,2,0))</f>
        <v>10</v>
      </c>
      <c r="M602" s="3">
        <f>IF(E602="No R2",0,VLOOKUP(C602,'Peer-Review'!F:H,3,0))</f>
        <v>10</v>
      </c>
    </row>
    <row r="603" hidden="1">
      <c r="A603" s="3" t="str">
        <f>IFERROR(__xludf.DUMMYFUNCTION("""COMPUTED_VALUE"""),"23f2002351@ds.study.iitm.ac.in")</f>
        <v>23f2002351@ds.study.iitm.ac.in</v>
      </c>
      <c r="B603" s="3">
        <f>IFERROR(__xludf.DUMMYFUNCTION("""COMPUTED_VALUE"""),16.0)</f>
        <v>16</v>
      </c>
      <c r="C603" s="5" t="str">
        <f>IFERROR(__xludf.DUMMYFUNCTION("""COMPUTED_VALUE"""),"https://github.com/Rosh-10/tds-project-1")</f>
        <v>https://github.com/Rosh-10/tds-project-1</v>
      </c>
      <c r="D603" s="3" t="str">
        <f>IFERROR(VLOOKUP(C603,'Peer-Review'!B:J,9,0),"No R1")</f>
        <v>No R1</v>
      </c>
      <c r="E603" s="3" t="str">
        <f>IFERROR(VLOOKUP(C603,'Peer-Review'!F:J,5,0),"No R2")</f>
        <v>23f2001942@ds.study.iitm.ac.in</v>
      </c>
      <c r="F603" s="3">
        <f>COUNTIF('Peer-Review'!B:B,C603)+COUNTIF('Peer-Review'!F:F,C603)</f>
        <v>1</v>
      </c>
      <c r="G603" s="3">
        <f t="shared" si="1"/>
        <v>1</v>
      </c>
      <c r="H603" s="3" t="str">
        <f>IFERROR(__xludf.DUMMYFUNCTION("IFERROR(TRANSPOSE(FILTER('Peer-Review'!$J$2:$J$568,(TRIM('Peer-Review'!$B$2:$B$568)=C603 )+ (TRIM('Peer-Review'!$F$2:$F$568)=C603))),""No Reviews"")"),"23f2001942@ds.study.iitm.ac.in")</f>
        <v>23f2001942@ds.study.iitm.ac.in</v>
      </c>
      <c r="J603" s="3">
        <f>IF(D603="No R1",0,VLOOKUP(C603,'Peer-Review'!B:D,2,0))</f>
        <v>0</v>
      </c>
      <c r="K603" s="3">
        <f>IF(D603="No R1",0,VLOOKUP(C603,'Peer-Review'!B:D,3,0))</f>
        <v>0</v>
      </c>
      <c r="L603" s="3">
        <f>IF(E603="No R2",0,VLOOKUP(C603,'Peer-Review'!F:H,2,0))</f>
        <v>10</v>
      </c>
      <c r="M603" s="3">
        <f>IF(E603="No R2",0,VLOOKUP(C603,'Peer-Review'!F:H,3,0))</f>
        <v>8</v>
      </c>
    </row>
    <row r="604" hidden="1">
      <c r="A604" s="3" t="str">
        <f>IFERROR(__xludf.DUMMYFUNCTION("""COMPUTED_VALUE"""),"23f2002362@ds.study.iitm.ac.in")</f>
        <v>23f2002362@ds.study.iitm.ac.in</v>
      </c>
      <c r="B604" s="3">
        <f>IFERROR(__xludf.DUMMYFUNCTION("""COMPUTED_VALUE"""),0.0)</f>
        <v>0</v>
      </c>
      <c r="C604" s="5" t="str">
        <f>IFERROR(__xludf.DUMMYFUNCTION("""COMPUTED_VALUE"""),"https://github.com/RaghavDharwal/iitm")</f>
        <v>https://github.com/RaghavDharwal/iitm</v>
      </c>
      <c r="D604" s="3" t="str">
        <f>IFERROR(VLOOKUP(C604,'Peer-Review'!B:J,9,0),"No R1")</f>
        <v>No R1</v>
      </c>
      <c r="E604" s="3" t="str">
        <f>IFERROR(VLOOKUP(C604,'Peer-Review'!F:J,5,0),"No R2")</f>
        <v>No R2</v>
      </c>
      <c r="F604" s="3">
        <f>COUNTIF('Peer-Review'!B:B,C604)+COUNTIF('Peer-Review'!F:F,C604)</f>
        <v>0</v>
      </c>
      <c r="G604" s="3">
        <f t="shared" si="1"/>
        <v>0</v>
      </c>
      <c r="H604" s="3" t="str">
        <f>IFERROR(__xludf.DUMMYFUNCTION("IFERROR(TRANSPOSE(FILTER('Peer-Review'!$J$2:$J$568,(TRIM('Peer-Review'!$B$2:$B$568)=C604 )+ (TRIM('Peer-Review'!$F$2:$F$568)=C604))),""No Reviews"")"),"No Reviews")</f>
        <v>No Reviews</v>
      </c>
      <c r="J604" s="3">
        <f>IF(D604="No R1",0,VLOOKUP(C604,'Peer-Review'!B:D,2,0))</f>
        <v>0</v>
      </c>
      <c r="K604" s="3">
        <f>IF(D604="No R1",0,VLOOKUP(C604,'Peer-Review'!B:D,3,0))</f>
        <v>0</v>
      </c>
      <c r="L604" s="3">
        <f>IF(E604="No R2",0,VLOOKUP(C604,'Peer-Review'!F:H,2,0))</f>
        <v>0</v>
      </c>
      <c r="M604" s="3">
        <f>IF(E604="No R2",0,VLOOKUP(C604,'Peer-Review'!F:H,3,0))</f>
        <v>0</v>
      </c>
    </row>
    <row r="605" hidden="1">
      <c r="A605" s="3" t="str">
        <f>IFERROR(__xludf.DUMMYFUNCTION("""COMPUTED_VALUE"""),"23f2002364@ds.study.iitm.ac.in")</f>
        <v>23f2002364@ds.study.iitm.ac.in</v>
      </c>
      <c r="B605" s="3">
        <f>IFERROR(__xludf.DUMMYFUNCTION("""COMPUTED_VALUE"""),11.0)</f>
        <v>11</v>
      </c>
      <c r="C605" s="5" t="str">
        <f>IFERROR(__xludf.DUMMYFUNCTION("""COMPUTED_VALUE"""),"https://github.com/RAGHAV-0202/TDS-IITM")</f>
        <v>https://github.com/RAGHAV-0202/TDS-IITM</v>
      </c>
      <c r="D605" s="3" t="str">
        <f>IFERROR(VLOOKUP(C605,'Peer-Review'!B:J,9,0),"No R1")</f>
        <v>24ds2000130@ds.study.iitm.ac.in</v>
      </c>
      <c r="E605" s="3" t="str">
        <f>IFERROR(VLOOKUP(C605,'Peer-Review'!F:J,5,0),"No R2")</f>
        <v>No R2</v>
      </c>
      <c r="F605" s="3">
        <f>COUNTIF('Peer-Review'!B:B,C605)+COUNTIF('Peer-Review'!F:F,C605)</f>
        <v>1</v>
      </c>
      <c r="G605" s="3">
        <f t="shared" si="1"/>
        <v>1</v>
      </c>
      <c r="H605" s="3" t="str">
        <f>IFERROR(__xludf.DUMMYFUNCTION("IFERROR(TRANSPOSE(FILTER('Peer-Review'!$J$2:$J$568,(TRIM('Peer-Review'!$B$2:$B$568)=C605 )+ (TRIM('Peer-Review'!$F$2:$F$568)=C605))),""No Reviews"")"),"24ds2000130@ds.study.iitm.ac.in")</f>
        <v>24ds2000130@ds.study.iitm.ac.in</v>
      </c>
      <c r="J605" s="3">
        <f>IF(D605="No R1",0,VLOOKUP(C605,'Peer-Review'!B:D,2,0))</f>
        <v>0</v>
      </c>
      <c r="K605" s="3">
        <f>IF(D605="No R1",0,VLOOKUP(C605,'Peer-Review'!B:D,3,0))</f>
        <v>0</v>
      </c>
      <c r="L605" s="3">
        <f>IF(E605="No R2",0,VLOOKUP(C605,'Peer-Review'!F:H,2,0))</f>
        <v>0</v>
      </c>
      <c r="M605" s="3">
        <f>IF(E605="No R2",0,VLOOKUP(C605,'Peer-Review'!F:H,3,0))</f>
        <v>0</v>
      </c>
    </row>
    <row r="606" hidden="1">
      <c r="A606" s="3" t="str">
        <f>IFERROR(__xludf.DUMMYFUNCTION("""COMPUTED_VALUE"""),"23f2002562@ds.study.iitm.ac.in")</f>
        <v>23f2002562@ds.study.iitm.ac.in</v>
      </c>
      <c r="B606" s="3">
        <f>IFERROR(__xludf.DUMMYFUNCTION("""COMPUTED_VALUE"""),0.0)</f>
        <v>0</v>
      </c>
      <c r="C606" s="5" t="str">
        <f>IFERROR(__xludf.DUMMYFUNCTION("""COMPUTED_VALUE"""),"https://github.com/SamarupBhattacharya/IITM")</f>
        <v>https://github.com/SamarupBhattacharya/IITM</v>
      </c>
      <c r="D606" s="3" t="str">
        <f>IFERROR(VLOOKUP(C606,'Peer-Review'!B:J,9,0),"No R1")</f>
        <v>No R1</v>
      </c>
      <c r="E606" s="3" t="str">
        <f>IFERROR(VLOOKUP(C606,'Peer-Review'!F:J,5,0),"No R2")</f>
        <v>No R2</v>
      </c>
      <c r="F606" s="3">
        <f>COUNTIF('Peer-Review'!B:B,C606)+COUNTIF('Peer-Review'!F:F,C606)</f>
        <v>0</v>
      </c>
      <c r="G606" s="3">
        <f t="shared" si="1"/>
        <v>0</v>
      </c>
      <c r="H606" s="3" t="str">
        <f>IFERROR(__xludf.DUMMYFUNCTION("IFERROR(TRANSPOSE(FILTER('Peer-Review'!$J$2:$J$568,(TRIM('Peer-Review'!$B$2:$B$568)=C606 )+ (TRIM('Peer-Review'!$F$2:$F$568)=C606))),""No Reviews"")"),"No Reviews")</f>
        <v>No Reviews</v>
      </c>
      <c r="J606" s="3">
        <f>IF(D606="No R1",0,VLOOKUP(C606,'Peer-Review'!B:D,2,0))</f>
        <v>0</v>
      </c>
      <c r="K606" s="3">
        <f>IF(D606="No R1",0,VLOOKUP(C606,'Peer-Review'!B:D,3,0))</f>
        <v>0</v>
      </c>
      <c r="L606" s="3">
        <f>IF(E606="No R2",0,VLOOKUP(C606,'Peer-Review'!F:H,2,0))</f>
        <v>0</v>
      </c>
      <c r="M606" s="3">
        <f>IF(E606="No R2",0,VLOOKUP(C606,'Peer-Review'!F:H,3,0))</f>
        <v>0</v>
      </c>
    </row>
    <row r="607" hidden="1">
      <c r="A607" s="3" t="str">
        <f>IFERROR(__xludf.DUMMYFUNCTION("""COMPUTED_VALUE"""),"23f2002702@ds.study.iitm.ac.in")</f>
        <v>23f2002702@ds.study.iitm.ac.in</v>
      </c>
      <c r="B607" s="3">
        <f>IFERROR(__xludf.DUMMYFUNCTION("""COMPUTED_VALUE"""),17.0)</f>
        <v>17</v>
      </c>
      <c r="C607" s="5" t="str">
        <f>IFERROR(__xludf.DUMMYFUNCTION("""COMPUTED_VALUE"""),"https://github.com/Shilajit04/TDS-Project-1")</f>
        <v>https://github.com/Shilajit04/TDS-Project-1</v>
      </c>
      <c r="D607" s="3" t="str">
        <f>IFERROR(VLOOKUP(C607,'Peer-Review'!B:J,9,0),"No R1")</f>
        <v>No R1</v>
      </c>
      <c r="E607" s="3" t="str">
        <f>IFERROR(VLOOKUP(C607,'Peer-Review'!F:J,5,0),"No R2")</f>
        <v>23f2002166@ds.study.iitm.ac.in</v>
      </c>
      <c r="F607" s="3">
        <f>COUNTIF('Peer-Review'!B:B,C607)+COUNTIF('Peer-Review'!F:F,C607)</f>
        <v>2</v>
      </c>
      <c r="G607" s="3">
        <f t="shared" si="1"/>
        <v>1</v>
      </c>
      <c r="H607" s="3" t="str">
        <f>IFERROR(__xludf.DUMMYFUNCTION("IFERROR(TRANSPOSE(FILTER('Peer-Review'!$J$2:$J$568,(TRIM('Peer-Review'!$B$2:$B$568)=C607 )+ (TRIM('Peer-Review'!$F$2:$F$568)=C607))),""No Reviews"")"),"23f2002166@ds.study.iitm.ac.in")</f>
        <v>23f2002166@ds.study.iitm.ac.in</v>
      </c>
      <c r="I607" s="3" t="str">
        <f>IFERROR(__xludf.DUMMYFUNCTION("""COMPUTED_VALUE"""),"22f2000354@ds.study.iitm.ac.in")</f>
        <v>22f2000354@ds.study.iitm.ac.in</v>
      </c>
      <c r="J607" s="3">
        <f>IF(D607="No R1",0,VLOOKUP(C607,'Peer-Review'!B:D,2,0))</f>
        <v>0</v>
      </c>
      <c r="K607" s="3">
        <f>IF(D607="No R1",0,VLOOKUP(C607,'Peer-Review'!B:D,3,0))</f>
        <v>0</v>
      </c>
      <c r="L607" s="3">
        <f>IF(E607="No R2",0,VLOOKUP(C607,'Peer-Review'!F:H,2,0))</f>
        <v>8</v>
      </c>
      <c r="M607" s="3">
        <f>IF(E607="No R2",0,VLOOKUP(C607,'Peer-Review'!F:H,3,0))</f>
        <v>9</v>
      </c>
    </row>
    <row r="608" hidden="1">
      <c r="A608" s="3" t="str">
        <f>IFERROR(__xludf.DUMMYFUNCTION("""COMPUTED_VALUE"""),"23f2002742@ds.study.iitm.ac.in")</f>
        <v>23f2002742@ds.study.iitm.ac.in</v>
      </c>
      <c r="B608" s="3">
        <f>IFERROR(__xludf.DUMMYFUNCTION("""COMPUTED_VALUE"""),17.0)</f>
        <v>17</v>
      </c>
      <c r="C608" s="5" t="str">
        <f>IFERROR(__xludf.DUMMYFUNCTION("""COMPUTED_VALUE"""),"https://github.com/Shreya5619/TDS-Project1")</f>
        <v>https://github.com/Shreya5619/TDS-Project1</v>
      </c>
      <c r="D608" s="3" t="str">
        <f>IFERROR(VLOOKUP(C608,'Peer-Review'!B:J,9,0),"No R1")</f>
        <v>No R1</v>
      </c>
      <c r="E608" s="3" t="str">
        <f>IFERROR(VLOOKUP(C608,'Peer-Review'!F:J,5,0),"No R2")</f>
        <v>23f2002702@ds.study.iitm.ac.in</v>
      </c>
      <c r="F608" s="3">
        <f>COUNTIF('Peer-Review'!B:B,C608)+COUNTIF('Peer-Review'!F:F,C608)</f>
        <v>1</v>
      </c>
      <c r="G608" s="3">
        <f t="shared" si="1"/>
        <v>1</v>
      </c>
      <c r="H608" s="3" t="str">
        <f>IFERROR(__xludf.DUMMYFUNCTION("IFERROR(TRANSPOSE(FILTER('Peer-Review'!$J$2:$J$568,(TRIM('Peer-Review'!$B$2:$B$568)=C608 )+ (TRIM('Peer-Review'!$F$2:$F$568)=C608))),""No Reviews"")"),"23f2002702@ds.study.iitm.ac.in")</f>
        <v>23f2002702@ds.study.iitm.ac.in</v>
      </c>
      <c r="J608" s="3">
        <f>IF(D608="No R1",0,VLOOKUP(C608,'Peer-Review'!B:D,2,0))</f>
        <v>0</v>
      </c>
      <c r="K608" s="3">
        <f>IF(D608="No R1",0,VLOOKUP(C608,'Peer-Review'!B:D,3,0))</f>
        <v>0</v>
      </c>
      <c r="L608" s="3">
        <f>IF(E608="No R2",0,VLOOKUP(C608,'Peer-Review'!F:H,2,0))</f>
        <v>10</v>
      </c>
      <c r="M608" s="3">
        <f>IF(E608="No R2",0,VLOOKUP(C608,'Peer-Review'!F:H,3,0))</f>
        <v>10</v>
      </c>
    </row>
    <row r="609" hidden="1">
      <c r="A609" s="3" t="str">
        <f>IFERROR(__xludf.DUMMYFUNCTION("""COMPUTED_VALUE"""),"23f2002777@ds.study.iitm.ac.in")</f>
        <v>23f2002777@ds.study.iitm.ac.in</v>
      </c>
      <c r="B609" s="3">
        <f>IFERROR(__xludf.DUMMYFUNCTION("""COMPUTED_VALUE"""),12.0)</f>
        <v>12</v>
      </c>
      <c r="C609" s="5" t="str">
        <f>IFERROR(__xludf.DUMMYFUNCTION("""COMPUTED_VALUE"""),"https://github.com/sh-yamm/TDS-1")</f>
        <v>https://github.com/sh-yamm/TDS-1</v>
      </c>
      <c r="D609" s="3" t="str">
        <f>IFERROR(VLOOKUP(C609,'Peer-Review'!B:J,9,0),"No R1")</f>
        <v>21f3000834@ds.study.iitm.ac.in</v>
      </c>
      <c r="E609" s="3" t="str">
        <f>IFERROR(VLOOKUP(C609,'Peer-Review'!F:J,5,0),"No R2")</f>
        <v>No R2</v>
      </c>
      <c r="F609" s="3">
        <f>COUNTIF('Peer-Review'!B:B,C609)+COUNTIF('Peer-Review'!F:F,C609)</f>
        <v>1</v>
      </c>
      <c r="G609" s="3">
        <f t="shared" si="1"/>
        <v>1</v>
      </c>
      <c r="H609" s="3" t="str">
        <f>IFERROR(__xludf.DUMMYFUNCTION("IFERROR(TRANSPOSE(FILTER('Peer-Review'!$J$2:$J$568,(TRIM('Peer-Review'!$B$2:$B$568)=C609 )+ (TRIM('Peer-Review'!$F$2:$F$568)=C609))),""No Reviews"")"),"21f3000834@ds.study.iitm.ac.in")</f>
        <v>21f3000834@ds.study.iitm.ac.in</v>
      </c>
      <c r="J609" s="3">
        <f>IF(D609="No R1",0,VLOOKUP(C609,'Peer-Review'!B:D,2,0))</f>
        <v>10</v>
      </c>
      <c r="K609" s="3">
        <f>IF(D609="No R1",0,VLOOKUP(C609,'Peer-Review'!B:D,3,0))</f>
        <v>10</v>
      </c>
      <c r="L609" s="3">
        <f>IF(E609="No R2",0,VLOOKUP(C609,'Peer-Review'!F:H,2,0))</f>
        <v>0</v>
      </c>
      <c r="M609" s="3">
        <f>IF(E609="No R2",0,VLOOKUP(C609,'Peer-Review'!F:H,3,0))</f>
        <v>0</v>
      </c>
    </row>
    <row r="610" hidden="1">
      <c r="A610" s="3" t="str">
        <f>IFERROR(__xludf.DUMMYFUNCTION("""COMPUTED_VALUE"""),"23f2002798@ds.study.iitm.ac.in")</f>
        <v>23f2002798@ds.study.iitm.ac.in</v>
      </c>
      <c r="B610" s="3">
        <f>IFERROR(__xludf.DUMMYFUNCTION("""COMPUTED_VALUE"""),13.0)</f>
        <v>13</v>
      </c>
      <c r="C610" s="5" t="str">
        <f>IFERROR(__xludf.DUMMYFUNCTION("""COMPUTED_VALUE"""),"https://github.com/SohamMandal-tech/boston")</f>
        <v>https://github.com/SohamMandal-tech/boston</v>
      </c>
      <c r="D610" s="3" t="str">
        <f>IFERROR(VLOOKUP(C610,'Peer-Review'!B:J,9,0),"No R1")</f>
        <v>No R1</v>
      </c>
      <c r="E610" s="3" t="str">
        <f>IFERROR(VLOOKUP(C610,'Peer-Review'!F:J,5,0),"No R2")</f>
        <v>No R2</v>
      </c>
      <c r="F610" s="3">
        <f>COUNTIF('Peer-Review'!B:B,C610)+COUNTIF('Peer-Review'!F:F,C610)</f>
        <v>0</v>
      </c>
      <c r="G610" s="3">
        <f t="shared" si="1"/>
        <v>0</v>
      </c>
      <c r="H610" s="3" t="str">
        <f>IFERROR(__xludf.DUMMYFUNCTION("IFERROR(TRANSPOSE(FILTER('Peer-Review'!$J$2:$J$568,(TRIM('Peer-Review'!$B$2:$B$568)=C610 )+ (TRIM('Peer-Review'!$F$2:$F$568)=C610))),""No Reviews"")"),"No Reviews")</f>
        <v>No Reviews</v>
      </c>
      <c r="J610" s="3">
        <f>IF(D610="No R1",0,VLOOKUP(C610,'Peer-Review'!B:D,2,0))</f>
        <v>0</v>
      </c>
      <c r="K610" s="3">
        <f>IF(D610="No R1",0,VLOOKUP(C610,'Peer-Review'!B:D,3,0))</f>
        <v>0</v>
      </c>
      <c r="L610" s="3">
        <f>IF(E610="No R2",0,VLOOKUP(C610,'Peer-Review'!F:H,2,0))</f>
        <v>0</v>
      </c>
      <c r="M610" s="3">
        <f>IF(E610="No R2",0,VLOOKUP(C610,'Peer-Review'!F:H,3,0))</f>
        <v>0</v>
      </c>
    </row>
    <row r="611" hidden="1">
      <c r="A611" s="3" t="str">
        <f>IFERROR(__xludf.DUMMYFUNCTION("""COMPUTED_VALUE"""),"23f2002871@ds.study.iitm.ac.in")</f>
        <v>23f2002871@ds.study.iitm.ac.in</v>
      </c>
      <c r="B611" s="3">
        <f>IFERROR(__xludf.DUMMYFUNCTION("""COMPUTED_VALUE"""),16.0)</f>
        <v>16</v>
      </c>
      <c r="C611" s="5" t="str">
        <f>IFERROR(__xludf.DUMMYFUNCTION("""COMPUTED_VALUE"""),"https://github.com/sumitt2408/github-users-london")</f>
        <v>https://github.com/sumitt2408/github-users-london</v>
      </c>
      <c r="D611" s="3" t="str">
        <f>IFERROR(VLOOKUP(C611,'Peer-Review'!B:J,9,0),"No R1")</f>
        <v>No R1</v>
      </c>
      <c r="E611" s="3" t="str">
        <f>IFERROR(VLOOKUP(C611,'Peer-Review'!F:J,5,0),"No R2")</f>
        <v>23f2002351@ds.study.iitm.ac.in</v>
      </c>
      <c r="F611" s="3">
        <f>COUNTIF('Peer-Review'!B:B,C611)+COUNTIF('Peer-Review'!F:F,C611)</f>
        <v>2</v>
      </c>
      <c r="G611" s="3">
        <f t="shared" si="1"/>
        <v>1</v>
      </c>
      <c r="H611" s="3" t="str">
        <f>IFERROR(__xludf.DUMMYFUNCTION("IFERROR(TRANSPOSE(FILTER('Peer-Review'!$J$2:$J$568,(TRIM('Peer-Review'!$B$2:$B$568)=C611 )+ (TRIM('Peer-Review'!$F$2:$F$568)=C611))),""No Reviews"")"),"23f2002351@ds.study.iitm.ac.in")</f>
        <v>23f2002351@ds.study.iitm.ac.in</v>
      </c>
      <c r="I611" s="3" t="str">
        <f>IFERROR(__xludf.DUMMYFUNCTION("""COMPUTED_VALUE"""),"21f3000177@ds.study.iitm.ac.in")</f>
        <v>21f3000177@ds.study.iitm.ac.in</v>
      </c>
      <c r="J611" s="3">
        <f>IF(D611="No R1",0,VLOOKUP(C611,'Peer-Review'!B:D,2,0))</f>
        <v>0</v>
      </c>
      <c r="K611" s="3">
        <f>IF(D611="No R1",0,VLOOKUP(C611,'Peer-Review'!B:D,3,0))</f>
        <v>0</v>
      </c>
      <c r="L611" s="3">
        <f>IF(E611="No R2",0,VLOOKUP(C611,'Peer-Review'!F:H,2,0))</f>
        <v>7</v>
      </c>
      <c r="M611" s="3">
        <f>IF(E611="No R2",0,VLOOKUP(C611,'Peer-Review'!F:H,3,0))</f>
        <v>7</v>
      </c>
    </row>
    <row r="612" hidden="1">
      <c r="A612" s="3" t="str">
        <f>IFERROR(__xludf.DUMMYFUNCTION("""COMPUTED_VALUE"""),"23f2002904@ds.study.iitm.ac.in")</f>
        <v>23f2002904@ds.study.iitm.ac.in</v>
      </c>
      <c r="B612" s="3">
        <f>IFERROR(__xludf.DUMMYFUNCTION("""COMPUTED_VALUE"""),16.0)</f>
        <v>16</v>
      </c>
      <c r="C612" s="5" t="str">
        <f>IFERROR(__xludf.DUMMYFUNCTION("""COMPUTED_VALUE"""),"https://github.com/swalihaattar/IITM_TDS_P1")</f>
        <v>https://github.com/swalihaattar/IITM_TDS_P1</v>
      </c>
      <c r="D612" s="3" t="str">
        <f>IFERROR(VLOOKUP(C612,'Peer-Review'!B:J,9,0),"No R1")</f>
        <v>No R1</v>
      </c>
      <c r="E612" s="3" t="str">
        <f>IFERROR(VLOOKUP(C612,'Peer-Review'!F:J,5,0),"No R2")</f>
        <v>23f2002871@ds.study.iitm.ac.in</v>
      </c>
      <c r="F612" s="3">
        <f>COUNTIF('Peer-Review'!B:B,C612)+COUNTIF('Peer-Review'!F:F,C612)</f>
        <v>1</v>
      </c>
      <c r="G612" s="3">
        <f t="shared" si="1"/>
        <v>1</v>
      </c>
      <c r="H612" s="3" t="str">
        <f>IFERROR(__xludf.DUMMYFUNCTION("IFERROR(TRANSPOSE(FILTER('Peer-Review'!$J$2:$J$568,(TRIM('Peer-Review'!$B$2:$B$568)=C612 )+ (TRIM('Peer-Review'!$F$2:$F$568)=C612))),""No Reviews"")"),"23f2002871@ds.study.iitm.ac.in")</f>
        <v>23f2002871@ds.study.iitm.ac.in</v>
      </c>
      <c r="J612" s="3">
        <f>IF(D612="No R1",0,VLOOKUP(C612,'Peer-Review'!B:D,2,0))</f>
        <v>0</v>
      </c>
      <c r="K612" s="3">
        <f>IF(D612="No R1",0,VLOOKUP(C612,'Peer-Review'!B:D,3,0))</f>
        <v>0</v>
      </c>
      <c r="L612" s="3">
        <f>IF(E612="No R2",0,VLOOKUP(C612,'Peer-Review'!F:H,2,0))</f>
        <v>10</v>
      </c>
      <c r="M612" s="3">
        <f>IF(E612="No R2",0,VLOOKUP(C612,'Peer-Review'!F:H,3,0))</f>
        <v>10</v>
      </c>
    </row>
    <row r="613" hidden="1">
      <c r="A613" s="3" t="str">
        <f>IFERROR(__xludf.DUMMYFUNCTION("""COMPUTED_VALUE"""),"23f2002936@ds.study.iitm.ac.in")</f>
        <v>23f2002936@ds.study.iitm.ac.in</v>
      </c>
      <c r="B613" s="3">
        <f>IFERROR(__xludf.DUMMYFUNCTION("""COMPUTED_VALUE"""),14.0)</f>
        <v>14</v>
      </c>
      <c r="C613" s="5" t="str">
        <f>IFERROR(__xludf.DUMMYFUNCTION("""COMPUTED_VALUE"""),"https://github.com/Tarun-Kandarpa/Beijing-Github-Users")</f>
        <v>https://github.com/Tarun-Kandarpa/Beijing-Github-Users</v>
      </c>
      <c r="D613" s="3" t="str">
        <f>IFERROR(VLOOKUP(C613,'Peer-Review'!B:J,9,0),"No R1")</f>
        <v>23f1002315@ds.study.iitm.ac.in</v>
      </c>
      <c r="E613" s="3" t="str">
        <f>IFERROR(VLOOKUP(C613,'Peer-Review'!F:J,5,0),"No R2")</f>
        <v>No R2</v>
      </c>
      <c r="F613" s="3">
        <f>COUNTIF('Peer-Review'!B:B,C613)+COUNTIF('Peer-Review'!F:F,C613)</f>
        <v>2</v>
      </c>
      <c r="G613" s="3">
        <f t="shared" si="1"/>
        <v>1</v>
      </c>
      <c r="H613" s="3" t="str">
        <f>IFERROR(__xludf.DUMMYFUNCTION("IFERROR(TRANSPOSE(FILTER('Peer-Review'!$J$2:$J$568,(TRIM('Peer-Review'!$B$2:$B$568)=C613 )+ (TRIM('Peer-Review'!$F$2:$F$568)=C613))),""No Reviews"")"),"23f1002315@ds.study.iitm.ac.in")</f>
        <v>23f1002315@ds.study.iitm.ac.in</v>
      </c>
      <c r="I613" s="3" t="str">
        <f>IFERROR(__xludf.DUMMYFUNCTION("""COMPUTED_VALUE"""),"23f2004032@ds.study.iitm.ac.in")</f>
        <v>23f2004032@ds.study.iitm.ac.in</v>
      </c>
      <c r="J613" s="3">
        <f>IF(D613="No R1",0,VLOOKUP(C613,'Peer-Review'!B:D,2,0))</f>
        <v>9</v>
      </c>
      <c r="K613" s="3">
        <f>IF(D613="No R1",0,VLOOKUP(C613,'Peer-Review'!B:D,3,0))</f>
        <v>9</v>
      </c>
      <c r="L613" s="3">
        <f>IF(E613="No R2",0,VLOOKUP(C613,'Peer-Review'!F:H,2,0))</f>
        <v>0</v>
      </c>
      <c r="M613" s="3">
        <f>IF(E613="No R2",0,VLOOKUP(C613,'Peer-Review'!F:H,3,0))</f>
        <v>0</v>
      </c>
    </row>
    <row r="614" hidden="1">
      <c r="A614" s="3" t="str">
        <f>IFERROR(__xludf.DUMMYFUNCTION("""COMPUTED_VALUE"""),"23f2003080@ds.study.iitm.ac.in")</f>
        <v>23f2003080@ds.study.iitm.ac.in</v>
      </c>
      <c r="B614" s="3">
        <f>IFERROR(__xludf.DUMMYFUNCTION("""COMPUTED_VALUE"""),17.0)</f>
        <v>17</v>
      </c>
      <c r="C614" s="5" t="str">
        <f>IFERROR(__xludf.DUMMYFUNCTION("""COMPUTED_VALUE"""),"https://github.com/vinaysurya1505/TDS-project-1")</f>
        <v>https://github.com/vinaysurya1505/TDS-project-1</v>
      </c>
      <c r="D614" s="3" t="str">
        <f>IFERROR(VLOOKUP(C614,'Peer-Review'!B:J,9,0),"No R1")</f>
        <v>No R1</v>
      </c>
      <c r="E614" s="3" t="str">
        <f>IFERROR(VLOOKUP(C614,'Peer-Review'!F:J,5,0),"No R2")</f>
        <v>23f2002742@ds.study.iitm.ac.in</v>
      </c>
      <c r="F614" s="3">
        <f>COUNTIF('Peer-Review'!B:B,C614)+COUNTIF('Peer-Review'!F:F,C614)</f>
        <v>2</v>
      </c>
      <c r="G614" s="3">
        <f t="shared" si="1"/>
        <v>1</v>
      </c>
      <c r="H614" s="3" t="str">
        <f>IFERROR(__xludf.DUMMYFUNCTION("IFERROR(TRANSPOSE(FILTER('Peer-Review'!$J$2:$J$568,(TRIM('Peer-Review'!$B$2:$B$568)=C614 )+ (TRIM('Peer-Review'!$F$2:$F$568)=C614))),""No Reviews"")"),"23f2002742@ds.study.iitm.ac.in")</f>
        <v>23f2002742@ds.study.iitm.ac.in</v>
      </c>
      <c r="I614" s="3" t="str">
        <f>IFERROR(__xludf.DUMMYFUNCTION("""COMPUTED_VALUE"""),"22f2000625@ds.study.iitm.ac.in")</f>
        <v>22f2000625@ds.study.iitm.ac.in</v>
      </c>
      <c r="J614" s="3">
        <f>IF(D614="No R1",0,VLOOKUP(C614,'Peer-Review'!B:D,2,0))</f>
        <v>0</v>
      </c>
      <c r="K614" s="3">
        <f>IF(D614="No R1",0,VLOOKUP(C614,'Peer-Review'!B:D,3,0))</f>
        <v>0</v>
      </c>
      <c r="L614" s="3">
        <f>IF(E614="No R2",0,VLOOKUP(C614,'Peer-Review'!F:H,2,0))</f>
        <v>10</v>
      </c>
      <c r="M614" s="3">
        <f>IF(E614="No R2",0,VLOOKUP(C614,'Peer-Review'!F:H,3,0))</f>
        <v>10</v>
      </c>
    </row>
    <row r="615" hidden="1">
      <c r="A615" s="3" t="str">
        <f>IFERROR(__xludf.DUMMYFUNCTION("""COMPUTED_VALUE"""),"23f2003100@ds.study.iitm.ac.in")</f>
        <v>23f2003100@ds.study.iitm.ac.in</v>
      </c>
      <c r="B615" s="3">
        <f>IFERROR(__xludf.DUMMYFUNCTION("""COMPUTED_VALUE"""),12.0)</f>
        <v>12</v>
      </c>
      <c r="C615" s="5" t="str">
        <f>IFERROR(__xludf.DUMMYFUNCTION("""COMPUTED_VALUE"""),"https://github.com/VishwasSaini2006/pro")</f>
        <v>https://github.com/VishwasSaini2006/pro</v>
      </c>
      <c r="D615" s="3" t="str">
        <f>IFERROR(VLOOKUP(C615,'Peer-Review'!B:J,9,0),"No R1")</f>
        <v>23f2003235@ds.study.iitm.ac.in</v>
      </c>
      <c r="E615" s="3" t="str">
        <f>IFERROR(VLOOKUP(C615,'Peer-Review'!F:J,5,0),"No R2")</f>
        <v>No R2</v>
      </c>
      <c r="F615" s="3">
        <f>COUNTIF('Peer-Review'!B:B,C615)+COUNTIF('Peer-Review'!F:F,C615)</f>
        <v>2</v>
      </c>
      <c r="G615" s="3">
        <f t="shared" si="1"/>
        <v>1</v>
      </c>
      <c r="H615" s="3" t="str">
        <f>IFERROR(__xludf.DUMMYFUNCTION("IFERROR(TRANSPOSE(FILTER('Peer-Review'!$J$2:$J$568,(TRIM('Peer-Review'!$B$2:$B$568)=C615 )+ (TRIM('Peer-Review'!$F$2:$F$568)=C615))),""No Reviews"")"),"23f2003235@ds.study.iitm.ac.in")</f>
        <v>23f2003235@ds.study.iitm.ac.in</v>
      </c>
      <c r="I615" s="3" t="str">
        <f>IFERROR(__xludf.DUMMYFUNCTION("""COMPUTED_VALUE"""),"21f3000850@ds.study.iitm.ac.in")</f>
        <v>21f3000850@ds.study.iitm.ac.in</v>
      </c>
      <c r="J615" s="3">
        <f>IF(D615="No R1",0,VLOOKUP(C615,'Peer-Review'!B:D,2,0))</f>
        <v>5</v>
      </c>
      <c r="K615" s="3">
        <f>IF(D615="No R1",0,VLOOKUP(C615,'Peer-Review'!B:D,3,0))</f>
        <v>10</v>
      </c>
      <c r="L615" s="3">
        <f>IF(E615="No R2",0,VLOOKUP(C615,'Peer-Review'!F:H,2,0))</f>
        <v>0</v>
      </c>
      <c r="M615" s="3">
        <f>IF(E615="No R2",0,VLOOKUP(C615,'Peer-Review'!F:H,3,0))</f>
        <v>0</v>
      </c>
    </row>
    <row r="616" hidden="1">
      <c r="A616" s="3" t="str">
        <f>IFERROR(__xludf.DUMMYFUNCTION("""COMPUTED_VALUE"""),"23f2003124@ds.study.iitm.ac.in")</f>
        <v>23f2003124@ds.study.iitm.ac.in</v>
      </c>
      <c r="B616" s="3">
        <f>IFERROR(__xludf.DUMMYFUNCTION("""COMPUTED_VALUE"""),16.0)</f>
        <v>16</v>
      </c>
      <c r="C616" s="5" t="str">
        <f>IFERROR(__xludf.DUMMYFUNCTION("""COMPUTED_VALUE"""),"https://github.com/YASH-MAHESHWAR1/TDS_Project1")</f>
        <v>https://github.com/YASH-MAHESHWAR1/TDS_Project1</v>
      </c>
      <c r="D616" s="3" t="str">
        <f>IFERROR(VLOOKUP(C616,'Peer-Review'!B:J,9,0),"No R1")</f>
        <v>No R1</v>
      </c>
      <c r="E616" s="3" t="str">
        <f>IFERROR(VLOOKUP(C616,'Peer-Review'!F:J,5,0),"No R2")</f>
        <v>23f2002904@ds.study.iitm.ac.in</v>
      </c>
      <c r="F616" s="3">
        <f>COUNTIF('Peer-Review'!B:B,C616)+COUNTIF('Peer-Review'!F:F,C616)</f>
        <v>1</v>
      </c>
      <c r="G616" s="3">
        <f t="shared" si="1"/>
        <v>1</v>
      </c>
      <c r="H616" s="3" t="str">
        <f>IFERROR(__xludf.DUMMYFUNCTION("IFERROR(TRANSPOSE(FILTER('Peer-Review'!$J$2:$J$568,(TRIM('Peer-Review'!$B$2:$B$568)=C616 )+ (TRIM('Peer-Review'!$F$2:$F$568)=C616))),""No Reviews"")"),"23f2002904@ds.study.iitm.ac.in")</f>
        <v>23f2002904@ds.study.iitm.ac.in</v>
      </c>
      <c r="J616" s="3">
        <f>IF(D616="No R1",0,VLOOKUP(C616,'Peer-Review'!B:D,2,0))</f>
        <v>0</v>
      </c>
      <c r="K616" s="3">
        <f>IF(D616="No R1",0,VLOOKUP(C616,'Peer-Review'!B:D,3,0))</f>
        <v>0</v>
      </c>
      <c r="L616" s="3">
        <f>IF(E616="No R2",0,VLOOKUP(C616,'Peer-Review'!F:H,2,0))</f>
        <v>8</v>
      </c>
      <c r="M616" s="3">
        <f>IF(E616="No R2",0,VLOOKUP(C616,'Peer-Review'!F:H,3,0))</f>
        <v>0</v>
      </c>
    </row>
    <row r="617" hidden="1">
      <c r="A617" s="3" t="str">
        <f>IFERROR(__xludf.DUMMYFUNCTION("""COMPUTED_VALUE"""),"23f2003190@ds.study.iitm.ac.in")</f>
        <v>23f2003190@ds.study.iitm.ac.in</v>
      </c>
      <c r="B617" s="3">
        <f>IFERROR(__xludf.DUMMYFUNCTION("""COMPUTED_VALUE"""),9.0)</f>
        <v>9</v>
      </c>
      <c r="C617" s="5" t="str">
        <f>IFERROR(__xludf.DUMMYFUNCTION("""COMPUTED_VALUE"""),"https://github.com/Rushiiljindal/TDS-project1")</f>
        <v>https://github.com/Rushiiljindal/TDS-project1</v>
      </c>
      <c r="D617" s="3" t="str">
        <f>IFERROR(VLOOKUP(C617,'Peer-Review'!B:J,9,0),"No R1")</f>
        <v>23f2005504@ds.study.iitm.ac.in</v>
      </c>
      <c r="E617" s="3" t="str">
        <f>IFERROR(VLOOKUP(C617,'Peer-Review'!F:J,5,0),"No R2")</f>
        <v>No R2</v>
      </c>
      <c r="F617" s="3">
        <f>COUNTIF('Peer-Review'!B:B,C617)+COUNTIF('Peer-Review'!F:F,C617)</f>
        <v>1</v>
      </c>
      <c r="G617" s="3">
        <f t="shared" si="1"/>
        <v>1</v>
      </c>
      <c r="H617" s="3" t="str">
        <f>IFERROR(__xludf.DUMMYFUNCTION("IFERROR(TRANSPOSE(FILTER('Peer-Review'!$J$2:$J$568,(TRIM('Peer-Review'!$B$2:$B$568)=C617 )+ (TRIM('Peer-Review'!$F$2:$F$568)=C617))),""No Reviews"")"),"23f2005504@ds.study.iitm.ac.in")</f>
        <v>23f2005504@ds.study.iitm.ac.in</v>
      </c>
      <c r="J617" s="3">
        <f>IF(D617="No R1",0,VLOOKUP(C617,'Peer-Review'!B:D,2,0))</f>
        <v>4</v>
      </c>
      <c r="K617" s="3">
        <f>IF(D617="No R1",0,VLOOKUP(C617,'Peer-Review'!B:D,3,0))</f>
        <v>6</v>
      </c>
      <c r="L617" s="3">
        <f>IF(E617="No R2",0,VLOOKUP(C617,'Peer-Review'!F:H,2,0))</f>
        <v>0</v>
      </c>
      <c r="M617" s="3">
        <f>IF(E617="No R2",0,VLOOKUP(C617,'Peer-Review'!F:H,3,0))</f>
        <v>0</v>
      </c>
    </row>
    <row r="618" hidden="1">
      <c r="A618" s="3" t="str">
        <f>IFERROR(__xludf.DUMMYFUNCTION("""COMPUTED_VALUE"""),"23f2003198@ds.study.iitm.ac.in")</f>
        <v>23f2003198@ds.study.iitm.ac.in</v>
      </c>
      <c r="B618" s="3">
        <f>IFERROR(__xludf.DUMMYFUNCTION("""COMPUTED_VALUE"""),6.0)</f>
        <v>6</v>
      </c>
      <c r="C618" s="5" t="str">
        <f>IFERROR(__xludf.DUMMYFUNCTION("""COMPUTED_VALUE"""),"https://github.com/SonaliDuvesh/project1")</f>
        <v>https://github.com/SonaliDuvesh/project1</v>
      </c>
      <c r="D618" s="3" t="str">
        <f>IFERROR(VLOOKUP(C618,'Peer-Review'!B:J,9,0),"No R1")</f>
        <v>22f3000232@ds.study.iitm.ac.in</v>
      </c>
      <c r="E618" s="3" t="str">
        <f>IFERROR(VLOOKUP(C618,'Peer-Review'!F:J,5,0),"No R2")</f>
        <v>No R2</v>
      </c>
      <c r="F618" s="3">
        <f>COUNTIF('Peer-Review'!B:B,C618)+COUNTIF('Peer-Review'!F:F,C618)</f>
        <v>2</v>
      </c>
      <c r="G618" s="3">
        <f t="shared" si="1"/>
        <v>1</v>
      </c>
      <c r="H618" s="3" t="str">
        <f>IFERROR(__xludf.DUMMYFUNCTION("IFERROR(TRANSPOSE(FILTER('Peer-Review'!$J$2:$J$568,(TRIM('Peer-Review'!$B$2:$B$568)=C618 )+ (TRIM('Peer-Review'!$F$2:$F$568)=C618))),""No Reviews"")"),"22f3000232@ds.study.iitm.ac.in")</f>
        <v>22f3000232@ds.study.iitm.ac.in</v>
      </c>
      <c r="I618" s="3" t="str">
        <f>IFERROR(__xludf.DUMMYFUNCTION("""COMPUTED_VALUE"""),"24ds3000064@ds.study.iitm.ac.in")</f>
        <v>24ds3000064@ds.study.iitm.ac.in</v>
      </c>
      <c r="J618" s="3">
        <f>IF(D618="No R1",0,VLOOKUP(C618,'Peer-Review'!B:D,2,0))</f>
        <v>10</v>
      </c>
      <c r="K618" s="3">
        <f>IF(D618="No R1",0,VLOOKUP(C618,'Peer-Review'!B:D,3,0))</f>
        <v>10</v>
      </c>
      <c r="L618" s="3">
        <f>IF(E618="No R2",0,VLOOKUP(C618,'Peer-Review'!F:H,2,0))</f>
        <v>0</v>
      </c>
      <c r="M618" s="3">
        <f>IF(E618="No R2",0,VLOOKUP(C618,'Peer-Review'!F:H,3,0))</f>
        <v>0</v>
      </c>
    </row>
    <row r="619" hidden="1">
      <c r="A619" s="3" t="str">
        <f>IFERROR(__xludf.DUMMYFUNCTION("""COMPUTED_VALUE"""),"23f2003235@ds.study.iitm.ac.in")</f>
        <v>23f2003235@ds.study.iitm.ac.in</v>
      </c>
      <c r="B619" s="3">
        <f>IFERROR(__xludf.DUMMYFUNCTION("""COMPUTED_VALUE"""),12.0)</f>
        <v>12</v>
      </c>
      <c r="C619" s="5" t="str">
        <f>IFERROR(__xludf.DUMMYFUNCTION("""COMPUTED_VALUE"""),"https://github.com/S23fVK/tdsProj1")</f>
        <v>https://github.com/S23fVK/tdsProj1</v>
      </c>
      <c r="D619" s="3" t="str">
        <f>IFERROR(VLOOKUP(C619,'Peer-Review'!B:J,9,0),"No R1")</f>
        <v>21f3000896@ds.study.iitm.ac.in</v>
      </c>
      <c r="E619" s="3" t="str">
        <f>IFERROR(VLOOKUP(C619,'Peer-Review'!F:J,5,0),"No R2")</f>
        <v>No R2</v>
      </c>
      <c r="F619" s="3">
        <f>COUNTIF('Peer-Review'!B:B,C619)+COUNTIF('Peer-Review'!F:F,C619)</f>
        <v>1</v>
      </c>
      <c r="G619" s="3">
        <f t="shared" si="1"/>
        <v>1</v>
      </c>
      <c r="H619" s="3" t="str">
        <f>IFERROR(__xludf.DUMMYFUNCTION("IFERROR(TRANSPOSE(FILTER('Peer-Review'!$J$2:$J$568,(TRIM('Peer-Review'!$B$2:$B$568)=C619 )+ (TRIM('Peer-Review'!$F$2:$F$568)=C619))),""No Reviews"")"),"21f3000896@ds.study.iitm.ac.in")</f>
        <v>21f3000896@ds.study.iitm.ac.in</v>
      </c>
      <c r="J619" s="3">
        <f>IF(D619="No R1",0,VLOOKUP(C619,'Peer-Review'!B:D,2,0))</f>
        <v>10</v>
      </c>
      <c r="K619" s="3">
        <f>IF(D619="No R1",0,VLOOKUP(C619,'Peer-Review'!B:D,3,0))</f>
        <v>10</v>
      </c>
      <c r="L619" s="3">
        <f>IF(E619="No R2",0,VLOOKUP(C619,'Peer-Review'!F:H,2,0))</f>
        <v>0</v>
      </c>
      <c r="M619" s="3">
        <f>IF(E619="No R2",0,VLOOKUP(C619,'Peer-Review'!F:H,3,0))</f>
        <v>0</v>
      </c>
    </row>
    <row r="620" hidden="1">
      <c r="A620" s="3" t="str">
        <f>IFERROR(__xludf.DUMMYFUNCTION("""COMPUTED_VALUE"""),"23f2003412@ds.study.iitm.ac.in")</f>
        <v>23f2003412@ds.study.iitm.ac.in</v>
      </c>
      <c r="B620" s="3">
        <f>IFERROR(__xludf.DUMMYFUNCTION("""COMPUTED_VALUE"""),17.0)</f>
        <v>17</v>
      </c>
      <c r="C620" s="5" t="str">
        <f>IFERROR(__xludf.DUMMYFUNCTION("""COMPUTED_VALUE"""),"https://github.com/Priyam4437/barcelona-github-scrape")</f>
        <v>https://github.com/Priyam4437/barcelona-github-scrape</v>
      </c>
      <c r="D620" s="3" t="str">
        <f>IFERROR(VLOOKUP(C620,'Peer-Review'!B:J,9,0),"No R1")</f>
        <v>No R1</v>
      </c>
      <c r="E620" s="3" t="str">
        <f>IFERROR(VLOOKUP(C620,'Peer-Review'!F:J,5,0),"No R2")</f>
        <v>22f2000784@ds.study.iitm.ac.in</v>
      </c>
      <c r="F620" s="3">
        <f>COUNTIF('Peer-Review'!B:B,C620)+COUNTIF('Peer-Review'!F:F,C620)</f>
        <v>2</v>
      </c>
      <c r="G620" s="3">
        <f t="shared" si="1"/>
        <v>1</v>
      </c>
      <c r="H620" s="3" t="str">
        <f>IFERROR(__xludf.DUMMYFUNCTION("IFERROR(TRANSPOSE(FILTER('Peer-Review'!$J$2:$J$568,(TRIM('Peer-Review'!$B$2:$B$568)=C620 )+ (TRIM('Peer-Review'!$F$2:$F$568)=C620))),""No Reviews"")"),"22f2000784@ds.study.iitm.ac.in")</f>
        <v>22f2000784@ds.study.iitm.ac.in</v>
      </c>
      <c r="I620" s="3" t="str">
        <f>IFERROR(__xludf.DUMMYFUNCTION("""COMPUTED_VALUE"""),"23f2003080@ds.study.iitm.ac.in")</f>
        <v>23f2003080@ds.study.iitm.ac.in</v>
      </c>
      <c r="J620" s="3">
        <f>IF(D620="No R1",0,VLOOKUP(C620,'Peer-Review'!B:D,2,0))</f>
        <v>0</v>
      </c>
      <c r="K620" s="3">
        <f>IF(D620="No R1",0,VLOOKUP(C620,'Peer-Review'!B:D,3,0))</f>
        <v>0</v>
      </c>
      <c r="L620" s="3">
        <f>IF(E620="No R2",0,VLOOKUP(C620,'Peer-Review'!F:H,2,0))</f>
        <v>0</v>
      </c>
      <c r="M620" s="3">
        <f>IF(E620="No R2",0,VLOOKUP(C620,'Peer-Review'!F:H,3,0))</f>
        <v>0</v>
      </c>
    </row>
    <row r="621" hidden="1">
      <c r="A621" s="3" t="str">
        <f>IFERROR(__xludf.DUMMYFUNCTION("""COMPUTED_VALUE"""),"23f2003415@ds.study.iitm.ac.in")</f>
        <v>23f2003415@ds.study.iitm.ac.in</v>
      </c>
      <c r="B621" s="3">
        <f>IFERROR(__xludf.DUMMYFUNCTION("""COMPUTED_VALUE"""),17.0)</f>
        <v>17</v>
      </c>
      <c r="C621" s="5" t="str">
        <f>IFERROR(__xludf.DUMMYFUNCTION("""COMPUTED_VALUE"""),"https://github.com/Sreekar-1804/Tds_Project_1")</f>
        <v>https://github.com/Sreekar-1804/Tds_Project_1</v>
      </c>
      <c r="D621" s="3" t="str">
        <f>IFERROR(VLOOKUP(C621,'Peer-Review'!B:J,9,0),"No R1")</f>
        <v>No R1</v>
      </c>
      <c r="E621" s="3" t="str">
        <f>IFERROR(VLOOKUP(C621,'Peer-Review'!F:J,5,0),"No R2")</f>
        <v>22f2001074@ds.study.iitm.ac.in</v>
      </c>
      <c r="F621" s="3">
        <f>COUNTIF('Peer-Review'!B:B,C621)+COUNTIF('Peer-Review'!F:F,C621)</f>
        <v>2</v>
      </c>
      <c r="G621" s="3">
        <f t="shared" si="1"/>
        <v>1</v>
      </c>
      <c r="H621" s="3" t="str">
        <f>IFERROR(__xludf.DUMMYFUNCTION("IFERROR(TRANSPOSE(FILTER('Peer-Review'!$J$2:$J$568,(TRIM('Peer-Review'!$B$2:$B$568)=C621 )+ (TRIM('Peer-Review'!$F$2:$F$568)=C621))),""No Reviews"")"),"22f2001074@ds.study.iitm.ac.in")</f>
        <v>22f2001074@ds.study.iitm.ac.in</v>
      </c>
      <c r="I621" s="3" t="str">
        <f>IFERROR(__xludf.DUMMYFUNCTION("""COMPUTED_VALUE"""),"23f2003412@ds.study.iitm.ac.in")</f>
        <v>23f2003412@ds.study.iitm.ac.in</v>
      </c>
      <c r="J621" s="3">
        <f>IF(D621="No R1",0,VLOOKUP(C621,'Peer-Review'!B:D,2,0))</f>
        <v>0</v>
      </c>
      <c r="K621" s="3">
        <f>IF(D621="No R1",0,VLOOKUP(C621,'Peer-Review'!B:D,3,0))</f>
        <v>0</v>
      </c>
      <c r="L621" s="3">
        <f>IF(E621="No R2",0,VLOOKUP(C621,'Peer-Review'!F:H,2,0))</f>
        <v>8</v>
      </c>
      <c r="M621" s="3">
        <f>IF(E621="No R2",0,VLOOKUP(C621,'Peer-Review'!F:H,3,0))</f>
        <v>8</v>
      </c>
    </row>
    <row r="622" hidden="1">
      <c r="A622" s="3" t="str">
        <f>IFERROR(__xludf.DUMMYFUNCTION("""COMPUTED_VALUE"""),"23f2003488@ds.study.iitm.ac.in")</f>
        <v>23f2003488@ds.study.iitm.ac.in</v>
      </c>
      <c r="B622" s="3">
        <f>IFERROR(__xludf.DUMMYFUNCTION("""COMPUTED_VALUE"""),16.0)</f>
        <v>16</v>
      </c>
      <c r="C622" s="5" t="str">
        <f>IFERROR(__xludf.DUMMYFUNCTION("""COMPUTED_VALUE"""),"https://github.com/23f2003488/dublin_users")</f>
        <v>https://github.com/23f2003488/dublin_users</v>
      </c>
      <c r="D622" s="3" t="str">
        <f>IFERROR(VLOOKUP(C622,'Peer-Review'!B:J,9,0),"No R1")</f>
        <v>No R1</v>
      </c>
      <c r="E622" s="3" t="str">
        <f>IFERROR(VLOOKUP(C622,'Peer-Review'!F:J,5,0),"No R2")</f>
        <v>23f2003124@ds.study.iitm.ac.in</v>
      </c>
      <c r="F622" s="3">
        <f>COUNTIF('Peer-Review'!B:B,C622)+COUNTIF('Peer-Review'!F:F,C622)</f>
        <v>2</v>
      </c>
      <c r="G622" s="3">
        <f t="shared" si="1"/>
        <v>1</v>
      </c>
      <c r="H622" s="3" t="str">
        <f>IFERROR(__xludf.DUMMYFUNCTION("IFERROR(TRANSPOSE(FILTER('Peer-Review'!$J$2:$J$568,(TRIM('Peer-Review'!$B$2:$B$568)=C622 )+ (TRIM('Peer-Review'!$F$2:$F$568)=C622))),""No Reviews"")"),"23f2003124@ds.study.iitm.ac.in")</f>
        <v>23f2003124@ds.study.iitm.ac.in</v>
      </c>
      <c r="I622" s="3" t="str">
        <f>IFERROR(__xludf.DUMMYFUNCTION("""COMPUTED_VALUE"""),"21f3001666@ds.study.iitm.ac.in")</f>
        <v>21f3001666@ds.study.iitm.ac.in</v>
      </c>
      <c r="J622" s="3">
        <f>IF(D622="No R1",0,VLOOKUP(C622,'Peer-Review'!B:D,2,0))</f>
        <v>0</v>
      </c>
      <c r="K622" s="3">
        <f>IF(D622="No R1",0,VLOOKUP(C622,'Peer-Review'!B:D,3,0))</f>
        <v>0</v>
      </c>
      <c r="L622" s="3">
        <f>IF(E622="No R2",0,VLOOKUP(C622,'Peer-Review'!F:H,2,0))</f>
        <v>8</v>
      </c>
      <c r="M622" s="3">
        <f>IF(E622="No R2",0,VLOOKUP(C622,'Peer-Review'!F:H,3,0))</f>
        <v>10</v>
      </c>
    </row>
    <row r="623" hidden="1">
      <c r="A623" s="3" t="str">
        <f>IFERROR(__xludf.DUMMYFUNCTION("""COMPUTED_VALUE"""),"23f2003652@ds.study.iitm.ac.in")</f>
        <v>23f2003652@ds.study.iitm.ac.in</v>
      </c>
      <c r="B623" s="3">
        <f>IFERROR(__xludf.DUMMYFUNCTION("""COMPUTED_VALUE"""),13.0)</f>
        <v>13</v>
      </c>
      <c r="C623" s="5" t="str">
        <f>IFERROR(__xludf.DUMMYFUNCTION("""COMPUTED_VALUE"""),"https://github.com/SrujanKVK/23f2003652-ds.study.iitm.ac.in__London-500")</f>
        <v>https://github.com/SrujanKVK/23f2003652-ds.study.iitm.ac.in__London-500</v>
      </c>
      <c r="D623" s="3" t="str">
        <f>IFERROR(VLOOKUP(C623,'Peer-Review'!B:J,9,0),"No R1")</f>
        <v>22f3001421@ds.study.iitm.ac.in</v>
      </c>
      <c r="E623" s="3" t="str">
        <f>IFERROR(VLOOKUP(C623,'Peer-Review'!F:J,5,0),"No R2")</f>
        <v>No R2</v>
      </c>
      <c r="F623" s="3">
        <f>COUNTIF('Peer-Review'!B:B,C623)+COUNTIF('Peer-Review'!F:F,C623)</f>
        <v>2</v>
      </c>
      <c r="G623" s="3">
        <f t="shared" si="1"/>
        <v>1</v>
      </c>
      <c r="H623" s="3" t="str">
        <f>IFERROR(__xludf.DUMMYFUNCTION("IFERROR(TRANSPOSE(FILTER('Peer-Review'!$J$2:$J$568,(TRIM('Peer-Review'!$B$2:$B$568)=C623 )+ (TRIM('Peer-Review'!$F$2:$F$568)=C623))),""No Reviews"")"),"22f3001421@ds.study.iitm.ac.in")</f>
        <v>22f3001421@ds.study.iitm.ac.in</v>
      </c>
      <c r="I623" s="3" t="str">
        <f>IFERROR(__xludf.DUMMYFUNCTION("""COMPUTED_VALUE"""),"23f2003845@ds.study.iitm.ac.in")</f>
        <v>23f2003845@ds.study.iitm.ac.in</v>
      </c>
      <c r="J623" s="3">
        <f>IF(D623="No R1",0,VLOOKUP(C623,'Peer-Review'!B:D,2,0))</f>
        <v>5</v>
      </c>
      <c r="K623" s="3">
        <f>IF(D623="No R1",0,VLOOKUP(C623,'Peer-Review'!B:D,3,0))</f>
        <v>0</v>
      </c>
      <c r="L623" s="3">
        <f>IF(E623="No R2",0,VLOOKUP(C623,'Peer-Review'!F:H,2,0))</f>
        <v>0</v>
      </c>
      <c r="M623" s="3">
        <f>IF(E623="No R2",0,VLOOKUP(C623,'Peer-Review'!F:H,3,0))</f>
        <v>0</v>
      </c>
    </row>
    <row r="624" hidden="1">
      <c r="A624" s="3" t="str">
        <f>IFERROR(__xludf.DUMMYFUNCTION("""COMPUTED_VALUE"""),"23f2003660@ds.study.iitm.ac.in")</f>
        <v>23f2003660@ds.study.iitm.ac.in</v>
      </c>
      <c r="B624" s="3">
        <f>IFERROR(__xludf.DUMMYFUNCTION("""COMPUTED_VALUE"""),0.0)</f>
        <v>0</v>
      </c>
      <c r="C624" s="5" t="str">
        <f>IFERROR(__xludf.DUMMYFUNCTION("""COMPUTED_VALUE"""),"https://github.com/Annusshya/annusshya")</f>
        <v>https://github.com/Annusshya/annusshya</v>
      </c>
      <c r="D624" s="3" t="str">
        <f>IFERROR(VLOOKUP(C624,'Peer-Review'!B:J,9,0),"No R1")</f>
        <v>No R1</v>
      </c>
      <c r="E624" s="3" t="str">
        <f>IFERROR(VLOOKUP(C624,'Peer-Review'!F:J,5,0),"No R2")</f>
        <v>No R2</v>
      </c>
      <c r="F624" s="3">
        <f>COUNTIF('Peer-Review'!B:B,C624)+COUNTIF('Peer-Review'!F:F,C624)</f>
        <v>0</v>
      </c>
      <c r="G624" s="3">
        <f t="shared" si="1"/>
        <v>0</v>
      </c>
      <c r="H624" s="3" t="str">
        <f>IFERROR(__xludf.DUMMYFUNCTION("IFERROR(TRANSPOSE(FILTER('Peer-Review'!$J$2:$J$568,(TRIM('Peer-Review'!$B$2:$B$568)=C624 )+ (TRIM('Peer-Review'!$F$2:$F$568)=C624))),""No Reviews"")"),"No Reviews")</f>
        <v>No Reviews</v>
      </c>
      <c r="J624" s="3">
        <f>IF(D624="No R1",0,VLOOKUP(C624,'Peer-Review'!B:D,2,0))</f>
        <v>0</v>
      </c>
      <c r="K624" s="3">
        <f>IF(D624="No R1",0,VLOOKUP(C624,'Peer-Review'!B:D,3,0))</f>
        <v>0</v>
      </c>
      <c r="L624" s="3">
        <f>IF(E624="No R2",0,VLOOKUP(C624,'Peer-Review'!F:H,2,0))</f>
        <v>0</v>
      </c>
      <c r="M624" s="3">
        <f>IF(E624="No R2",0,VLOOKUP(C624,'Peer-Review'!F:H,3,0))</f>
        <v>0</v>
      </c>
    </row>
    <row r="625" hidden="1">
      <c r="A625" s="3" t="str">
        <f>IFERROR(__xludf.DUMMYFUNCTION("""COMPUTED_VALUE"""),"23f2003662@ds.study.iitm.ac.in")</f>
        <v>23f2003662@ds.study.iitm.ac.in</v>
      </c>
      <c r="B625" s="3">
        <f>IFERROR(__xludf.DUMMYFUNCTION("""COMPUTED_VALUE"""),17.0)</f>
        <v>17</v>
      </c>
      <c r="C625" s="5" t="str">
        <f>IFERROR(__xludf.DUMMYFUNCTION("""COMPUTED_VALUE"""),"https://github.com/leyther5813/b100")</f>
        <v>https://github.com/leyther5813/b100</v>
      </c>
      <c r="D625" s="3" t="str">
        <f>IFERROR(VLOOKUP(C625,'Peer-Review'!B:J,9,0),"No R1")</f>
        <v>No R1</v>
      </c>
      <c r="E625" s="3" t="str">
        <f>IFERROR(VLOOKUP(C625,'Peer-Review'!F:J,5,0),"No R2")</f>
        <v>23f2003415@ds.study.iitm.ac.in</v>
      </c>
      <c r="F625" s="3">
        <f>COUNTIF('Peer-Review'!B:B,C625)+COUNTIF('Peer-Review'!F:F,C625)</f>
        <v>2</v>
      </c>
      <c r="G625" s="3">
        <f t="shared" si="1"/>
        <v>1</v>
      </c>
      <c r="H625" s="3" t="str">
        <f>IFERROR(__xludf.DUMMYFUNCTION("IFERROR(TRANSPOSE(FILTER('Peer-Review'!$J$2:$J$568,(TRIM('Peer-Review'!$B$2:$B$568)=C625 )+ (TRIM('Peer-Review'!$F$2:$F$568)=C625))),""No Reviews"")"),"23f2003415@ds.study.iitm.ac.in")</f>
        <v>23f2003415@ds.study.iitm.ac.in</v>
      </c>
      <c r="I625" s="3" t="str">
        <f>IFERROR(__xludf.DUMMYFUNCTION("""COMPUTED_VALUE"""),"22f2001196@ds.study.iitm.ac.in")</f>
        <v>22f2001196@ds.study.iitm.ac.in</v>
      </c>
      <c r="J625" s="3">
        <f>IF(D625="No R1",0,VLOOKUP(C625,'Peer-Review'!B:D,2,0))</f>
        <v>0</v>
      </c>
      <c r="K625" s="3">
        <f>IF(D625="No R1",0,VLOOKUP(C625,'Peer-Review'!B:D,3,0))</f>
        <v>0</v>
      </c>
      <c r="L625" s="3">
        <f>IF(E625="No R2",0,VLOOKUP(C625,'Peer-Review'!F:H,2,0))</f>
        <v>10</v>
      </c>
      <c r="M625" s="3">
        <f>IF(E625="No R2",0,VLOOKUP(C625,'Peer-Review'!F:H,3,0))</f>
        <v>10</v>
      </c>
    </row>
    <row r="626" hidden="1">
      <c r="A626" s="3" t="str">
        <f>IFERROR(__xludf.DUMMYFUNCTION("""COMPUTED_VALUE"""),"23f2003665@ds.study.iitm.ac.in")</f>
        <v>23f2003665@ds.study.iitm.ac.in</v>
      </c>
      <c r="B626" s="3">
        <f>IFERROR(__xludf.DUMMYFUNCTION("""COMPUTED_VALUE"""),17.0)</f>
        <v>17</v>
      </c>
      <c r="C626" s="5" t="str">
        <f>IFERROR(__xludf.DUMMYFUNCTION("""COMPUTED_VALUE"""),"https://github.com/nitesh-Sharma-IITM/IITM_TDS")</f>
        <v>https://github.com/nitesh-Sharma-IITM/IITM_TDS</v>
      </c>
      <c r="D626" s="3" t="str">
        <f>IFERROR(VLOOKUP(C626,'Peer-Review'!B:J,9,0),"No R1")</f>
        <v>No R1</v>
      </c>
      <c r="E626" s="3" t="str">
        <f>IFERROR(VLOOKUP(C626,'Peer-Review'!F:J,5,0),"No R2")</f>
        <v>23f2003662@ds.study.iitm.ac.in</v>
      </c>
      <c r="F626" s="3">
        <f>COUNTIF('Peer-Review'!B:B,C626)+COUNTIF('Peer-Review'!F:F,C626)</f>
        <v>2</v>
      </c>
      <c r="G626" s="3">
        <f t="shared" si="1"/>
        <v>1</v>
      </c>
      <c r="H626" s="3" t="str">
        <f>IFERROR(__xludf.DUMMYFUNCTION("IFERROR(TRANSPOSE(FILTER('Peer-Review'!$J$2:$J$568,(TRIM('Peer-Review'!$B$2:$B$568)=C626 )+ (TRIM('Peer-Review'!$F$2:$F$568)=C626))),""No Reviews"")"),"23f2003662@ds.study.iitm.ac.in")</f>
        <v>23f2003662@ds.study.iitm.ac.in</v>
      </c>
      <c r="I626" s="3" t="str">
        <f>IFERROR(__xludf.DUMMYFUNCTION("""COMPUTED_VALUE"""),"22f2001264@ds.study.iitm.ac.in")</f>
        <v>22f2001264@ds.study.iitm.ac.in</v>
      </c>
      <c r="J626" s="3">
        <f>IF(D626="No R1",0,VLOOKUP(C626,'Peer-Review'!B:D,2,0))</f>
        <v>0</v>
      </c>
      <c r="K626" s="3">
        <f>IF(D626="No R1",0,VLOOKUP(C626,'Peer-Review'!B:D,3,0))</f>
        <v>0</v>
      </c>
      <c r="L626" s="3">
        <f>IF(E626="No R2",0,VLOOKUP(C626,'Peer-Review'!F:H,2,0))</f>
        <v>6</v>
      </c>
      <c r="M626" s="3">
        <f>IF(E626="No R2",0,VLOOKUP(C626,'Peer-Review'!F:H,3,0))</f>
        <v>6</v>
      </c>
    </row>
    <row r="627" hidden="1">
      <c r="A627" s="3" t="str">
        <f>IFERROR(__xludf.DUMMYFUNCTION("""COMPUTED_VALUE"""),"23f2003700@ds.study.iitm.ac.in")</f>
        <v>23f2003700@ds.study.iitm.ac.in</v>
      </c>
      <c r="B627" s="3">
        <f>IFERROR(__xludf.DUMMYFUNCTION("""COMPUTED_VALUE"""),12.0)</f>
        <v>12</v>
      </c>
      <c r="C627" s="5" t="str">
        <f>IFERROR(__xludf.DUMMYFUNCTION("""COMPUTED_VALUE"""),"https://github.com/IRONalways17/TDS-Project1")</f>
        <v>https://github.com/IRONalways17/TDS-Project1</v>
      </c>
      <c r="D627" s="3" t="str">
        <f>IFERROR(VLOOKUP(C627,'Peer-Review'!B:J,9,0),"No R1")</f>
        <v>23f3000846@ds.study.iitm.ac.in</v>
      </c>
      <c r="E627" s="3" t="str">
        <f>IFERROR(VLOOKUP(C627,'Peer-Review'!F:J,5,0),"No R2")</f>
        <v>No R2</v>
      </c>
      <c r="F627" s="3">
        <f>COUNTIF('Peer-Review'!B:B,C627)+COUNTIF('Peer-Review'!F:F,C627)</f>
        <v>1</v>
      </c>
      <c r="G627" s="3">
        <f t="shared" si="1"/>
        <v>1</v>
      </c>
      <c r="H627" s="3" t="str">
        <f>IFERROR(__xludf.DUMMYFUNCTION("IFERROR(TRANSPOSE(FILTER('Peer-Review'!$J$2:$J$568,(TRIM('Peer-Review'!$B$2:$B$568)=C627 )+ (TRIM('Peer-Review'!$F$2:$F$568)=C627))),""No Reviews"")"),"23f3000846@ds.study.iitm.ac.in")</f>
        <v>23f3000846@ds.study.iitm.ac.in</v>
      </c>
      <c r="J627" s="3">
        <f>IF(D627="No R1",0,VLOOKUP(C627,'Peer-Review'!B:D,2,0))</f>
        <v>4</v>
      </c>
      <c r="K627" s="3">
        <f>IF(D627="No R1",0,VLOOKUP(C627,'Peer-Review'!B:D,3,0))</f>
        <v>2</v>
      </c>
      <c r="L627" s="3">
        <f>IF(E627="No R2",0,VLOOKUP(C627,'Peer-Review'!F:H,2,0))</f>
        <v>0</v>
      </c>
      <c r="M627" s="3">
        <f>IF(E627="No R2",0,VLOOKUP(C627,'Peer-Review'!F:H,3,0))</f>
        <v>0</v>
      </c>
    </row>
    <row r="628" hidden="1">
      <c r="A628" s="3" t="str">
        <f>IFERROR(__xludf.DUMMYFUNCTION("""COMPUTED_VALUE"""),"23f2003729@ds.study.iitm.ac.in")</f>
        <v>23f2003729@ds.study.iitm.ac.in</v>
      </c>
      <c r="B628" s="3">
        <f>IFERROR(__xludf.DUMMYFUNCTION("""COMPUTED_VALUE"""),0.0)</f>
        <v>0</v>
      </c>
      <c r="C628" s="5" t="str">
        <f>IFERROR(__xludf.DUMMYFUNCTION("""COMPUTED_VALUE"""),"https://github.com/Ansidrake/tds_project1")</f>
        <v>https://github.com/Ansidrake/tds_project1</v>
      </c>
      <c r="D628" s="3" t="str">
        <f>IFERROR(VLOOKUP(C628,'Peer-Review'!B:J,9,0),"No R1")</f>
        <v>No R1</v>
      </c>
      <c r="E628" s="3" t="str">
        <f>IFERROR(VLOOKUP(C628,'Peer-Review'!F:J,5,0),"No R2")</f>
        <v>No R2</v>
      </c>
      <c r="F628" s="3">
        <f>COUNTIF('Peer-Review'!B:B,C628)+COUNTIF('Peer-Review'!F:F,C628)</f>
        <v>0</v>
      </c>
      <c r="G628" s="3">
        <f t="shared" si="1"/>
        <v>0</v>
      </c>
      <c r="H628" s="3" t="str">
        <f>IFERROR(__xludf.DUMMYFUNCTION("IFERROR(TRANSPOSE(FILTER('Peer-Review'!$J$2:$J$568,(TRIM('Peer-Review'!$B$2:$B$568)=C628 )+ (TRIM('Peer-Review'!$F$2:$F$568)=C628))),""No Reviews"")"),"No Reviews")</f>
        <v>No Reviews</v>
      </c>
      <c r="J628" s="3">
        <f>IF(D628="No R1",0,VLOOKUP(C628,'Peer-Review'!B:D,2,0))</f>
        <v>0</v>
      </c>
      <c r="K628" s="3">
        <f>IF(D628="No R1",0,VLOOKUP(C628,'Peer-Review'!B:D,3,0))</f>
        <v>0</v>
      </c>
      <c r="L628" s="3">
        <f>IF(E628="No R2",0,VLOOKUP(C628,'Peer-Review'!F:H,2,0))</f>
        <v>0</v>
      </c>
      <c r="M628" s="3">
        <f>IF(E628="No R2",0,VLOOKUP(C628,'Peer-Review'!F:H,3,0))</f>
        <v>0</v>
      </c>
    </row>
    <row r="629" hidden="1">
      <c r="A629" s="3" t="str">
        <f>IFERROR(__xludf.DUMMYFUNCTION("""COMPUTED_VALUE"""),"23f2003747@ds.study.iitm.ac.in")</f>
        <v>23f2003747@ds.study.iitm.ac.in</v>
      </c>
      <c r="B629" s="3">
        <f>IFERROR(__xludf.DUMMYFUNCTION("""COMPUTED_VALUE"""),17.0)</f>
        <v>17</v>
      </c>
      <c r="C629" s="5" t="str">
        <f>IFERROR(__xludf.DUMMYFUNCTION("""COMPUTED_VALUE"""),"https://github.com/Neha-Galande-14/scrapper-project")</f>
        <v>https://github.com/Neha-Galande-14/scrapper-project</v>
      </c>
      <c r="D629" s="3" t="str">
        <f>IFERROR(VLOOKUP(C629,'Peer-Review'!B:J,9,0),"No R1")</f>
        <v>No R1</v>
      </c>
      <c r="E629" s="3" t="str">
        <f>IFERROR(VLOOKUP(C629,'Peer-Review'!F:J,5,0),"No R2")</f>
        <v>23f2003665@ds.study.iitm.ac.in</v>
      </c>
      <c r="F629" s="3">
        <f>COUNTIF('Peer-Review'!B:B,C629)+COUNTIF('Peer-Review'!F:F,C629)</f>
        <v>1</v>
      </c>
      <c r="G629" s="3">
        <f t="shared" si="1"/>
        <v>1</v>
      </c>
      <c r="H629" s="3" t="str">
        <f>IFERROR(__xludf.DUMMYFUNCTION("IFERROR(TRANSPOSE(FILTER('Peer-Review'!$J$2:$J$568,(TRIM('Peer-Review'!$B$2:$B$568)=C629 )+ (TRIM('Peer-Review'!$F$2:$F$568)=C629))),""No Reviews"")"),"23f2003665@ds.study.iitm.ac.in")</f>
        <v>23f2003665@ds.study.iitm.ac.in</v>
      </c>
      <c r="J629" s="3">
        <f>IF(D629="No R1",0,VLOOKUP(C629,'Peer-Review'!B:D,2,0))</f>
        <v>0</v>
      </c>
      <c r="K629" s="3">
        <f>IF(D629="No R1",0,VLOOKUP(C629,'Peer-Review'!B:D,3,0))</f>
        <v>0</v>
      </c>
      <c r="L629" s="3">
        <f>IF(E629="No R2",0,VLOOKUP(C629,'Peer-Review'!F:H,2,0))</f>
        <v>6</v>
      </c>
      <c r="M629" s="3">
        <f>IF(E629="No R2",0,VLOOKUP(C629,'Peer-Review'!F:H,3,0))</f>
        <v>5</v>
      </c>
    </row>
    <row r="630" hidden="1">
      <c r="A630" s="3" t="str">
        <f>IFERROR(__xludf.DUMMYFUNCTION("""COMPUTED_VALUE"""),"23f2003785@ds.study.iitm.ac.in")</f>
        <v>23f2003785@ds.study.iitm.ac.in</v>
      </c>
      <c r="B630" s="3">
        <f>IFERROR(__xludf.DUMMYFUNCTION("""COMPUTED_VALUE"""),17.0)</f>
        <v>17</v>
      </c>
      <c r="C630" s="5" t="str">
        <f>IFERROR(__xludf.DUMMYFUNCTION("""COMPUTED_VALUE"""),"https://github.com/SiriusOrion0301/TDS-PROJECT-1")</f>
        <v>https://github.com/SiriusOrion0301/TDS-PROJECT-1</v>
      </c>
      <c r="D630" s="3" t="str">
        <f>IFERROR(VLOOKUP(C630,'Peer-Review'!B:J,9,0),"No R1")</f>
        <v>No R1</v>
      </c>
      <c r="E630" s="3" t="str">
        <f>IFERROR(VLOOKUP(C630,'Peer-Review'!F:J,5,0),"No R2")</f>
        <v>23f2003747@ds.study.iitm.ac.in</v>
      </c>
      <c r="F630" s="3">
        <f>COUNTIF('Peer-Review'!B:B,C630)+COUNTIF('Peer-Review'!F:F,C630)</f>
        <v>2</v>
      </c>
      <c r="G630" s="3">
        <f t="shared" si="1"/>
        <v>1</v>
      </c>
      <c r="H630" s="3" t="str">
        <f>IFERROR(__xludf.DUMMYFUNCTION("IFERROR(TRANSPOSE(FILTER('Peer-Review'!$J$2:$J$568,(TRIM('Peer-Review'!$B$2:$B$568)=C630 )+ (TRIM('Peer-Review'!$F$2:$F$568)=C630))),""No Reviews"")"),"23f2003747@ds.study.iitm.ac.in")</f>
        <v>23f2003747@ds.study.iitm.ac.in</v>
      </c>
      <c r="I630" s="3" t="str">
        <f>IFERROR(__xludf.DUMMYFUNCTION("""COMPUTED_VALUE"""),"22f3000190@ds.study.iitm.ac.in")</f>
        <v>22f3000190@ds.study.iitm.ac.in</v>
      </c>
      <c r="J630" s="3">
        <f>IF(D630="No R1",0,VLOOKUP(C630,'Peer-Review'!B:D,2,0))</f>
        <v>0</v>
      </c>
      <c r="K630" s="3">
        <f>IF(D630="No R1",0,VLOOKUP(C630,'Peer-Review'!B:D,3,0))</f>
        <v>0</v>
      </c>
      <c r="L630" s="3">
        <f>IF(E630="No R2",0,VLOOKUP(C630,'Peer-Review'!F:H,2,0))</f>
        <v>7</v>
      </c>
      <c r="M630" s="3">
        <f>IF(E630="No R2",0,VLOOKUP(C630,'Peer-Review'!F:H,3,0))</f>
        <v>7</v>
      </c>
    </row>
    <row r="631" hidden="1">
      <c r="A631" s="3" t="str">
        <f>IFERROR(__xludf.DUMMYFUNCTION("""COMPUTED_VALUE"""),"23f2003803@ds.study.iitm.ac.in")</f>
        <v>23f2003803@ds.study.iitm.ac.in</v>
      </c>
      <c r="B631" s="3">
        <f>IFERROR(__xludf.DUMMYFUNCTION("""COMPUTED_VALUE"""),16.0)</f>
        <v>16</v>
      </c>
      <c r="C631" s="5" t="str">
        <f>IFERROR(__xludf.DUMMYFUNCTION("""COMPUTED_VALUE"""),"https://github.com/SohamGhosh2510/Project")</f>
        <v>https://github.com/SohamGhosh2510/Project</v>
      </c>
      <c r="D631" s="3" t="str">
        <f>IFERROR(VLOOKUP(C631,'Peer-Review'!B:J,9,0),"No R1")</f>
        <v>No R1</v>
      </c>
      <c r="E631" s="3" t="str">
        <f>IFERROR(VLOOKUP(C631,'Peer-Review'!F:J,5,0),"No R2")</f>
        <v>23f2003488@ds.study.iitm.ac.in</v>
      </c>
      <c r="F631" s="3">
        <f>COUNTIF('Peer-Review'!B:B,C631)+COUNTIF('Peer-Review'!F:F,C631)</f>
        <v>1</v>
      </c>
      <c r="G631" s="3">
        <f t="shared" si="1"/>
        <v>1</v>
      </c>
      <c r="H631" s="3" t="str">
        <f>IFERROR(__xludf.DUMMYFUNCTION("IFERROR(TRANSPOSE(FILTER('Peer-Review'!$J$2:$J$568,(TRIM('Peer-Review'!$B$2:$B$568)=C631 )+ (TRIM('Peer-Review'!$F$2:$F$568)=C631))),""No Reviews"")"),"23f2003488@ds.study.iitm.ac.in")</f>
        <v>23f2003488@ds.study.iitm.ac.in</v>
      </c>
      <c r="J631" s="3">
        <f>IF(D631="No R1",0,VLOOKUP(C631,'Peer-Review'!B:D,2,0))</f>
        <v>0</v>
      </c>
      <c r="K631" s="3">
        <f>IF(D631="No R1",0,VLOOKUP(C631,'Peer-Review'!B:D,3,0))</f>
        <v>0</v>
      </c>
      <c r="L631" s="3">
        <f>IF(E631="No R2",0,VLOOKUP(C631,'Peer-Review'!F:H,2,0))</f>
        <v>10</v>
      </c>
      <c r="M631" s="3">
        <f>IF(E631="No R2",0,VLOOKUP(C631,'Peer-Review'!F:H,3,0))</f>
        <v>10</v>
      </c>
    </row>
    <row r="632" hidden="1">
      <c r="A632" s="3" t="str">
        <f>IFERROR(__xludf.DUMMYFUNCTION("""COMPUTED_VALUE"""),"23f2003845@ds.study.iitm.ac.in")</f>
        <v>23f2003845@ds.study.iitm.ac.in</v>
      </c>
      <c r="B632" s="3">
        <f>IFERROR(__xludf.DUMMYFUNCTION("""COMPUTED_VALUE"""),13.0)</f>
        <v>13</v>
      </c>
      <c r="C632" s="5" t="str">
        <f>IFERROR(__xludf.DUMMYFUNCTION("""COMPUTED_VALUE"""),"https://github.com/harshshah-codes/TDS-project-1")</f>
        <v>https://github.com/harshshah-codes/TDS-project-1</v>
      </c>
      <c r="D632" s="3" t="str">
        <f>IFERROR(VLOOKUP(C632,'Peer-Review'!B:J,9,0),"No R1")</f>
        <v>22f3001578@ds.study.iitm.ac.in</v>
      </c>
      <c r="E632" s="3" t="str">
        <f>IFERROR(VLOOKUP(C632,'Peer-Review'!F:J,5,0),"No R2")</f>
        <v>No R2</v>
      </c>
      <c r="F632" s="3">
        <f>COUNTIF('Peer-Review'!B:B,C632)+COUNTIF('Peer-Review'!F:F,C632)</f>
        <v>2</v>
      </c>
      <c r="G632" s="3">
        <f t="shared" si="1"/>
        <v>1</v>
      </c>
      <c r="H632" s="3" t="str">
        <f>IFERROR(__xludf.DUMMYFUNCTION("IFERROR(TRANSPOSE(FILTER('Peer-Review'!$J$2:$J$568,(TRIM('Peer-Review'!$B$2:$B$568)=C632 )+ (TRIM('Peer-Review'!$F$2:$F$568)=C632))),""No Reviews"")"),"22f3001578@ds.study.iitm.ac.in")</f>
        <v>22f3001578@ds.study.iitm.ac.in</v>
      </c>
      <c r="I632" s="3" t="str">
        <f>IFERROR(__xludf.DUMMYFUNCTION("""COMPUTED_VALUE"""),"23f2004527@ds.study.iitm.ac.in")</f>
        <v>23f2004527@ds.study.iitm.ac.in</v>
      </c>
      <c r="J632" s="3">
        <f>IF(D632="No R1",0,VLOOKUP(C632,'Peer-Review'!B:D,2,0))</f>
        <v>10</v>
      </c>
      <c r="K632" s="3">
        <f>IF(D632="No R1",0,VLOOKUP(C632,'Peer-Review'!B:D,3,0))</f>
        <v>10</v>
      </c>
      <c r="L632" s="3">
        <f>IF(E632="No R2",0,VLOOKUP(C632,'Peer-Review'!F:H,2,0))</f>
        <v>0</v>
      </c>
      <c r="M632" s="3">
        <f>IF(E632="No R2",0,VLOOKUP(C632,'Peer-Review'!F:H,3,0))</f>
        <v>0</v>
      </c>
    </row>
    <row r="633" hidden="1">
      <c r="A633" s="3" t="str">
        <f>IFERROR(__xludf.DUMMYFUNCTION("""COMPUTED_VALUE"""),"23f2003916@ds.study.iitm.ac.in")</f>
        <v>23f2003916@ds.study.iitm.ac.in</v>
      </c>
      <c r="B633" s="3">
        <f>IFERROR(__xludf.DUMMYFUNCTION("""COMPUTED_VALUE"""),11.0)</f>
        <v>11</v>
      </c>
      <c r="C633" s="5" t="str">
        <f>IFERROR(__xludf.DUMMYFUNCTION("""COMPUTED_VALUE"""),"https://github.com/venkatsaivikram-iitm/tds-project1/")</f>
        <v>https://github.com/venkatsaivikram-iitm/tds-project1/</v>
      </c>
      <c r="D633" s="3" t="str">
        <f>IFERROR(VLOOKUP(C633,'Peer-Review'!B:J,9,0),"No R1")</f>
        <v>24f1001850@ds.study.iitm.ac.in</v>
      </c>
      <c r="E633" s="3" t="str">
        <f>IFERROR(VLOOKUP(C633,'Peer-Review'!F:J,5,0),"No R2")</f>
        <v>No R2</v>
      </c>
      <c r="F633" s="3">
        <f>COUNTIF('Peer-Review'!B:B,C633)+COUNTIF('Peer-Review'!F:F,C633)</f>
        <v>1</v>
      </c>
      <c r="G633" s="3">
        <f t="shared" si="1"/>
        <v>1</v>
      </c>
      <c r="H633" s="3" t="str">
        <f>IFERROR(__xludf.DUMMYFUNCTION("IFERROR(TRANSPOSE(FILTER('Peer-Review'!$J$2:$J$568,(TRIM('Peer-Review'!$B$2:$B$568)=C633 )+ (TRIM('Peer-Review'!$F$2:$F$568)=C633))),""No Reviews"")"),"24f1001850@ds.study.iitm.ac.in")</f>
        <v>24f1001850@ds.study.iitm.ac.in</v>
      </c>
      <c r="J633" s="3">
        <f>IF(D633="No R1",0,VLOOKUP(C633,'Peer-Review'!B:D,2,0))</f>
        <v>10</v>
      </c>
      <c r="K633" s="3">
        <f>IF(D633="No R1",0,VLOOKUP(C633,'Peer-Review'!B:D,3,0))</f>
        <v>10</v>
      </c>
      <c r="L633" s="3">
        <f>IF(E633="No R2",0,VLOOKUP(C633,'Peer-Review'!F:H,2,0))</f>
        <v>0</v>
      </c>
      <c r="M633" s="3">
        <f>IF(E633="No R2",0,VLOOKUP(C633,'Peer-Review'!F:H,3,0))</f>
        <v>0</v>
      </c>
    </row>
    <row r="634" hidden="1">
      <c r="A634" s="3" t="str">
        <f>IFERROR(__xludf.DUMMYFUNCTION("""COMPUTED_VALUE"""),"23f2003986@ds.study.iitm.ac.in")</f>
        <v>23f2003986@ds.study.iitm.ac.in</v>
      </c>
      <c r="B634" s="3">
        <f>IFERROR(__xludf.DUMMYFUNCTION("""COMPUTED_VALUE"""),16.0)</f>
        <v>16</v>
      </c>
      <c r="C634" s="5" t="str">
        <f>IFERROR(__xludf.DUMMYFUNCTION("""COMPUTED_VALUE"""),"https://github.com/23f2003986/Boston100_Users")</f>
        <v>https://github.com/23f2003986/Boston100_Users</v>
      </c>
      <c r="D634" s="3" t="str">
        <f>IFERROR(VLOOKUP(C634,'Peer-Review'!B:J,9,0),"No R1")</f>
        <v>No R1</v>
      </c>
      <c r="E634" s="3" t="str">
        <f>IFERROR(VLOOKUP(C634,'Peer-Review'!F:J,5,0),"No R2")</f>
        <v>23f2003803@ds.study.iitm.ac.in</v>
      </c>
      <c r="F634" s="3">
        <f>COUNTIF('Peer-Review'!B:B,C634)+COUNTIF('Peer-Review'!F:F,C634)</f>
        <v>1</v>
      </c>
      <c r="G634" s="3">
        <f t="shared" si="1"/>
        <v>1</v>
      </c>
      <c r="H634" s="3" t="str">
        <f>IFERROR(__xludf.DUMMYFUNCTION("IFERROR(TRANSPOSE(FILTER('Peer-Review'!$J$2:$J$568,(TRIM('Peer-Review'!$B$2:$B$568)=C634 )+ (TRIM('Peer-Review'!$F$2:$F$568)=C634))),""No Reviews"")"),"23f2003803@ds.study.iitm.ac.in")</f>
        <v>23f2003803@ds.study.iitm.ac.in</v>
      </c>
      <c r="J634" s="3">
        <f>IF(D634="No R1",0,VLOOKUP(C634,'Peer-Review'!B:D,2,0))</f>
        <v>0</v>
      </c>
      <c r="K634" s="3">
        <f>IF(D634="No R1",0,VLOOKUP(C634,'Peer-Review'!B:D,3,0))</f>
        <v>0</v>
      </c>
      <c r="L634" s="3">
        <f>IF(E634="No R2",0,VLOOKUP(C634,'Peer-Review'!F:H,2,0))</f>
        <v>7</v>
      </c>
      <c r="M634" s="3">
        <f>IF(E634="No R2",0,VLOOKUP(C634,'Peer-Review'!F:H,3,0))</f>
        <v>9</v>
      </c>
    </row>
    <row r="635" hidden="1">
      <c r="A635" s="3" t="str">
        <f>IFERROR(__xludf.DUMMYFUNCTION("""COMPUTED_VALUE"""),"23f2004005@ds.study.iitm.ac.in")</f>
        <v>23f2004005@ds.study.iitm.ac.in</v>
      </c>
      <c r="B635" s="3">
        <f>IFERROR(__xludf.DUMMYFUNCTION("""COMPUTED_VALUE"""),0.0)</f>
        <v>0</v>
      </c>
      <c r="C635" s="5" t="str">
        <f>IFERROR(__xludf.DUMMYFUNCTION("""COMPUTED_VALUE"""),"https://github.com/shakingbasket/tds_project_1")</f>
        <v>https://github.com/shakingbasket/tds_project_1</v>
      </c>
      <c r="D635" s="3" t="str">
        <f>IFERROR(VLOOKUP(C635,'Peer-Review'!B:J,9,0),"No R1")</f>
        <v>No R1</v>
      </c>
      <c r="E635" s="3" t="str">
        <f>IFERROR(VLOOKUP(C635,'Peer-Review'!F:J,5,0),"No R2")</f>
        <v>No R2</v>
      </c>
      <c r="F635" s="3">
        <f>COUNTIF('Peer-Review'!B:B,C635)+COUNTIF('Peer-Review'!F:F,C635)</f>
        <v>0</v>
      </c>
      <c r="G635" s="3">
        <f t="shared" si="1"/>
        <v>0</v>
      </c>
      <c r="H635" s="3" t="str">
        <f>IFERROR(__xludf.DUMMYFUNCTION("IFERROR(TRANSPOSE(FILTER('Peer-Review'!$J$2:$J$568,(TRIM('Peer-Review'!$B$2:$B$568)=C635 )+ (TRIM('Peer-Review'!$F$2:$F$568)=C635))),""No Reviews"")"),"No Reviews")</f>
        <v>No Reviews</v>
      </c>
      <c r="J635" s="3">
        <f>IF(D635="No R1",0,VLOOKUP(C635,'Peer-Review'!B:D,2,0))</f>
        <v>0</v>
      </c>
      <c r="K635" s="3">
        <f>IF(D635="No R1",0,VLOOKUP(C635,'Peer-Review'!B:D,3,0))</f>
        <v>0</v>
      </c>
      <c r="L635" s="3">
        <f>IF(E635="No R2",0,VLOOKUP(C635,'Peer-Review'!F:H,2,0))</f>
        <v>0</v>
      </c>
      <c r="M635" s="3">
        <f>IF(E635="No R2",0,VLOOKUP(C635,'Peer-Review'!F:H,3,0))</f>
        <v>0</v>
      </c>
    </row>
    <row r="636" hidden="1">
      <c r="A636" s="3" t="str">
        <f>IFERROR(__xludf.DUMMYFUNCTION("""COMPUTED_VALUE"""),"23f2004032@ds.study.iitm.ac.in")</f>
        <v>23f2004032@ds.study.iitm.ac.in</v>
      </c>
      <c r="B636" s="3">
        <f>IFERROR(__xludf.DUMMYFUNCTION("""COMPUTED_VALUE"""),14.0)</f>
        <v>14</v>
      </c>
      <c r="C636" s="5" t="str">
        <f>IFERROR(__xludf.DUMMYFUNCTION("""COMPUTED_VALUE"""),"https://github.com/Aishwarya-V-K/Sydney_Github_User")</f>
        <v>https://github.com/Aishwarya-V-K/Sydney_Github_User</v>
      </c>
      <c r="D636" s="3" t="str">
        <f>IFERROR(VLOOKUP(C636,'Peer-Review'!B:J,9,0),"No R1")</f>
        <v>23f1002450@ds.study.iitm.ac.in</v>
      </c>
      <c r="E636" s="3" t="str">
        <f>IFERROR(VLOOKUP(C636,'Peer-Review'!F:J,5,0),"No R2")</f>
        <v>No R2</v>
      </c>
      <c r="F636" s="3">
        <f>COUNTIF('Peer-Review'!B:B,C636)+COUNTIF('Peer-Review'!F:F,C636)</f>
        <v>1</v>
      </c>
      <c r="G636" s="3">
        <f t="shared" si="1"/>
        <v>1</v>
      </c>
      <c r="H636" s="3" t="str">
        <f>IFERROR(__xludf.DUMMYFUNCTION("IFERROR(TRANSPOSE(FILTER('Peer-Review'!$J$2:$J$568,(TRIM('Peer-Review'!$B$2:$B$568)=C636 )+ (TRIM('Peer-Review'!$F$2:$F$568)=C636))),""No Reviews"")"),"23f1002450@ds.study.iitm.ac.in")</f>
        <v>23f1002450@ds.study.iitm.ac.in</v>
      </c>
      <c r="J636" s="3">
        <f>IF(D636="No R1",0,VLOOKUP(C636,'Peer-Review'!B:D,2,0))</f>
        <v>10</v>
      </c>
      <c r="K636" s="3">
        <f>IF(D636="No R1",0,VLOOKUP(C636,'Peer-Review'!B:D,3,0))</f>
        <v>10</v>
      </c>
      <c r="L636" s="3">
        <f>IF(E636="No R2",0,VLOOKUP(C636,'Peer-Review'!F:H,2,0))</f>
        <v>0</v>
      </c>
      <c r="M636" s="3">
        <f>IF(E636="No R2",0,VLOOKUP(C636,'Peer-Review'!F:H,3,0))</f>
        <v>0</v>
      </c>
    </row>
    <row r="637" hidden="1">
      <c r="A637" s="3" t="str">
        <f>IFERROR(__xludf.DUMMYFUNCTION("""COMPUTED_VALUE"""),"23f2004112@ds.study.iitm.ac.in")</f>
        <v>23f2004112@ds.study.iitm.ac.in</v>
      </c>
      <c r="B637" s="3">
        <f>IFERROR(__xludf.DUMMYFUNCTION("""COMPUTED_VALUE"""),17.0)</f>
        <v>17</v>
      </c>
      <c r="C637" s="5" t="str">
        <f>IFERROR(__xludf.DUMMYFUNCTION("""COMPUTED_VALUE"""),"https://github.com/RishabhBarthwal28/TDS-PROJECT-1")</f>
        <v>https://github.com/RishabhBarthwal28/TDS-PROJECT-1</v>
      </c>
      <c r="D637" s="3" t="str">
        <f>IFERROR(VLOOKUP(C637,'Peer-Review'!B:J,9,0),"No R1")</f>
        <v>No R1</v>
      </c>
      <c r="E637" s="3" t="str">
        <f>IFERROR(VLOOKUP(C637,'Peer-Review'!F:J,5,0),"No R2")</f>
        <v>23f2003785@ds.study.iitm.ac.in</v>
      </c>
      <c r="F637" s="3">
        <f>COUNTIF('Peer-Review'!B:B,C637)+COUNTIF('Peer-Review'!F:F,C637)</f>
        <v>2</v>
      </c>
      <c r="G637" s="3">
        <f t="shared" si="1"/>
        <v>1</v>
      </c>
      <c r="H637" s="3" t="str">
        <f>IFERROR(__xludf.DUMMYFUNCTION("IFERROR(TRANSPOSE(FILTER('Peer-Review'!$J$2:$J$568,(TRIM('Peer-Review'!$B$2:$B$568)=C637 )+ (TRIM('Peer-Review'!$F$2:$F$568)=C637))),""No Reviews"")"),"23f2003785@ds.study.iitm.ac.in")</f>
        <v>23f2003785@ds.study.iitm.ac.in</v>
      </c>
      <c r="I637" s="3" t="str">
        <f>IFERROR(__xludf.DUMMYFUNCTION("""COMPUTED_VALUE"""),"22f3000721@ds.study.iitm.ac.in")</f>
        <v>22f3000721@ds.study.iitm.ac.in</v>
      </c>
      <c r="J637" s="3">
        <f>IF(D637="No R1",0,VLOOKUP(C637,'Peer-Review'!B:D,2,0))</f>
        <v>0</v>
      </c>
      <c r="K637" s="3">
        <f>IF(D637="No R1",0,VLOOKUP(C637,'Peer-Review'!B:D,3,0))</f>
        <v>0</v>
      </c>
      <c r="L637" s="3">
        <f>IF(E637="No R2",0,VLOOKUP(C637,'Peer-Review'!F:H,2,0))</f>
        <v>10</v>
      </c>
      <c r="M637" s="3">
        <f>IF(E637="No R2",0,VLOOKUP(C637,'Peer-Review'!F:H,3,0))</f>
        <v>10</v>
      </c>
    </row>
    <row r="638" hidden="1">
      <c r="A638" s="3" t="str">
        <f>IFERROR(__xludf.DUMMYFUNCTION("""COMPUTED_VALUE"""),"23f2004119@ds.study.iitm.ac.in")</f>
        <v>23f2004119@ds.study.iitm.ac.in</v>
      </c>
      <c r="B638" s="3">
        <f>IFERROR(__xludf.DUMMYFUNCTION("""COMPUTED_VALUE"""),8.0)</f>
        <v>8</v>
      </c>
      <c r="C638" s="5" t="str">
        <f>IFERROR(__xludf.DUMMYFUNCTION("""COMPUTED_VALUE"""),"https://github.com/ManjulaVK/TDS_P1")</f>
        <v>https://github.com/ManjulaVK/TDS_P1</v>
      </c>
      <c r="D638" s="3" t="str">
        <f>IFERROR(VLOOKUP(C638,'Peer-Review'!B:J,9,0),"No R1")</f>
        <v>22f3001519@ds.study.iitm.ac.in</v>
      </c>
      <c r="E638" s="3" t="str">
        <f>IFERROR(VLOOKUP(C638,'Peer-Review'!F:J,5,0),"No R2")</f>
        <v>No R2</v>
      </c>
      <c r="F638" s="3">
        <f>COUNTIF('Peer-Review'!B:B,C638)+COUNTIF('Peer-Review'!F:F,C638)</f>
        <v>1</v>
      </c>
      <c r="G638" s="3">
        <f t="shared" si="1"/>
        <v>1</v>
      </c>
      <c r="H638" s="3" t="str">
        <f>IFERROR(__xludf.DUMMYFUNCTION("IFERROR(TRANSPOSE(FILTER('Peer-Review'!$J$2:$J$568,(TRIM('Peer-Review'!$B$2:$B$568)=C638 )+ (TRIM('Peer-Review'!$F$2:$F$568)=C638))),""No Reviews"")"),"22f3001519@ds.study.iitm.ac.in")</f>
        <v>22f3001519@ds.study.iitm.ac.in</v>
      </c>
      <c r="J638" s="3">
        <f>IF(D638="No R1",0,VLOOKUP(C638,'Peer-Review'!B:D,2,0))</f>
        <v>10</v>
      </c>
      <c r="K638" s="3">
        <f>IF(D638="No R1",0,VLOOKUP(C638,'Peer-Review'!B:D,3,0))</f>
        <v>10</v>
      </c>
      <c r="L638" s="3">
        <f>IF(E638="No R2",0,VLOOKUP(C638,'Peer-Review'!F:H,2,0))</f>
        <v>0</v>
      </c>
      <c r="M638" s="3">
        <f>IF(E638="No R2",0,VLOOKUP(C638,'Peer-Review'!F:H,3,0))</f>
        <v>0</v>
      </c>
    </row>
    <row r="639" hidden="1">
      <c r="A639" s="3" t="str">
        <f>IFERROR(__xludf.DUMMYFUNCTION("""COMPUTED_VALUE"""),"23f2004152@ds.study.iitm.ac.in")</f>
        <v>23f2004152@ds.study.iitm.ac.in</v>
      </c>
      <c r="B639" s="3">
        <f>IFERROR(__xludf.DUMMYFUNCTION("""COMPUTED_VALUE"""),14.0)</f>
        <v>14</v>
      </c>
      <c r="C639" s="5" t="str">
        <f>IFERROR(__xludf.DUMMYFUNCTION("""COMPUTED_VALUE"""),"https://github.com/Ayushsinha106/TDSProject1")</f>
        <v>https://github.com/Ayushsinha106/TDSProject1</v>
      </c>
      <c r="D639" s="3" t="str">
        <f>IFERROR(VLOOKUP(C639,'Peer-Review'!B:J,9,0),"No R1")</f>
        <v>23f1002480@ds.study.iitm.ac.in</v>
      </c>
      <c r="E639" s="3" t="str">
        <f>IFERROR(VLOOKUP(C639,'Peer-Review'!F:J,5,0),"No R2")</f>
        <v>No R2</v>
      </c>
      <c r="F639" s="3">
        <f>COUNTIF('Peer-Review'!B:B,C639)+COUNTIF('Peer-Review'!F:F,C639)</f>
        <v>1</v>
      </c>
      <c r="G639" s="3">
        <f t="shared" si="1"/>
        <v>1</v>
      </c>
      <c r="H639" s="3" t="str">
        <f>IFERROR(__xludf.DUMMYFUNCTION("IFERROR(TRANSPOSE(FILTER('Peer-Review'!$J$2:$J$568,(TRIM('Peer-Review'!$B$2:$B$568)=C639 )+ (TRIM('Peer-Review'!$F$2:$F$568)=C639))),""No Reviews"")"),"23f1002480@ds.study.iitm.ac.in")</f>
        <v>23f1002480@ds.study.iitm.ac.in</v>
      </c>
      <c r="J639" s="3">
        <f>IF(D639="No R1",0,VLOOKUP(C639,'Peer-Review'!B:D,2,0))</f>
        <v>8</v>
      </c>
      <c r="K639" s="3">
        <f>IF(D639="No R1",0,VLOOKUP(C639,'Peer-Review'!B:D,3,0))</f>
        <v>10</v>
      </c>
      <c r="L639" s="3">
        <f>IF(E639="No R2",0,VLOOKUP(C639,'Peer-Review'!F:H,2,0))</f>
        <v>0</v>
      </c>
      <c r="M639" s="3">
        <f>IF(E639="No R2",0,VLOOKUP(C639,'Peer-Review'!F:H,3,0))</f>
        <v>0</v>
      </c>
    </row>
    <row r="640" hidden="1">
      <c r="A640" s="3" t="str">
        <f>IFERROR(__xludf.DUMMYFUNCTION("""COMPUTED_VALUE"""),"23f2004159@ds.study.iitm.ac.in")</f>
        <v>23f2004159@ds.study.iitm.ac.in</v>
      </c>
      <c r="B640" s="3">
        <f>IFERROR(__xludf.DUMMYFUNCTION("""COMPUTED_VALUE"""),17.0)</f>
        <v>17</v>
      </c>
      <c r="C640" s="5" t="str">
        <f>IFERROR(__xludf.DUMMYFUNCTION("""COMPUTED_VALUE"""),"https://github.com/AnantLuthra/tds-project1")</f>
        <v>https://github.com/AnantLuthra/tds-project1</v>
      </c>
      <c r="D640" s="3" t="str">
        <f>IFERROR(VLOOKUP(C640,'Peer-Review'!B:J,9,0),"No R1")</f>
        <v>No R1</v>
      </c>
      <c r="E640" s="3" t="str">
        <f>IFERROR(VLOOKUP(C640,'Peer-Review'!F:J,5,0),"No R2")</f>
        <v>22f3000742@ds.study.iitm.ac.in</v>
      </c>
      <c r="F640" s="3">
        <f>COUNTIF('Peer-Review'!B:B,C640)+COUNTIF('Peer-Review'!F:F,C640)</f>
        <v>2</v>
      </c>
      <c r="G640" s="3">
        <f t="shared" si="1"/>
        <v>1</v>
      </c>
      <c r="H640" s="3" t="str">
        <f>IFERROR(__xludf.DUMMYFUNCTION("IFERROR(TRANSPOSE(FILTER('Peer-Review'!$J$2:$J$568,(TRIM('Peer-Review'!$B$2:$B$568)=C640 )+ (TRIM('Peer-Review'!$F$2:$F$568)=C640))),""No Reviews"")"),"22f3000742@ds.study.iitm.ac.in")</f>
        <v>22f3000742@ds.study.iitm.ac.in</v>
      </c>
      <c r="I640" s="3" t="str">
        <f>IFERROR(__xludf.DUMMYFUNCTION("""COMPUTED_VALUE"""),"23f2004112@ds.study.iitm.ac.in")</f>
        <v>23f2004112@ds.study.iitm.ac.in</v>
      </c>
      <c r="J640" s="3">
        <f>IF(D640="No R1",0,VLOOKUP(C640,'Peer-Review'!B:D,2,0))</f>
        <v>0</v>
      </c>
      <c r="K640" s="3">
        <f>IF(D640="No R1",0,VLOOKUP(C640,'Peer-Review'!B:D,3,0))</f>
        <v>0</v>
      </c>
      <c r="L640" s="3">
        <f>IF(E640="No R2",0,VLOOKUP(C640,'Peer-Review'!F:H,2,0))</f>
        <v>8</v>
      </c>
      <c r="M640" s="3">
        <f>IF(E640="No R2",0,VLOOKUP(C640,'Peer-Review'!F:H,3,0))</f>
        <v>10</v>
      </c>
    </row>
    <row r="641" hidden="1">
      <c r="A641" s="3" t="str">
        <f>IFERROR(__xludf.DUMMYFUNCTION("""COMPUTED_VALUE"""),"23f2004160@ds.study.iitm.ac.in")</f>
        <v>23f2004160@ds.study.iitm.ac.in</v>
      </c>
      <c r="B641" s="3">
        <f>IFERROR(__xludf.DUMMYFUNCTION("""COMPUTED_VALUE"""),17.0)</f>
        <v>17</v>
      </c>
      <c r="C641" s="5" t="str">
        <f>IFERROR(__xludf.DUMMYFUNCTION("""COMPUTED_VALUE"""),"https://github.com/samikb07/tds-project-1")</f>
        <v>https://github.com/samikb07/tds-project-1</v>
      </c>
      <c r="D641" s="3" t="str">
        <f>IFERROR(VLOOKUP(C641,'Peer-Review'!B:J,9,0),"No R1")</f>
        <v>No R1</v>
      </c>
      <c r="E641" s="3" t="str">
        <f>IFERROR(VLOOKUP(C641,'Peer-Review'!F:J,5,0),"No R2")</f>
        <v>23f2004159@ds.study.iitm.ac.in</v>
      </c>
      <c r="F641" s="3">
        <f>COUNTIF('Peer-Review'!B:B,C641)+COUNTIF('Peer-Review'!F:F,C641)</f>
        <v>2</v>
      </c>
      <c r="G641" s="3">
        <f t="shared" si="1"/>
        <v>1</v>
      </c>
      <c r="H641" s="3" t="str">
        <f>IFERROR(__xludf.DUMMYFUNCTION("IFERROR(TRANSPOSE(FILTER('Peer-Review'!$J$2:$J$568,(TRIM('Peer-Review'!$B$2:$B$568)=C641 )+ (TRIM('Peer-Review'!$F$2:$F$568)=C641))),""No Reviews"")"),"23f2004159@ds.study.iitm.ac.in")</f>
        <v>23f2004159@ds.study.iitm.ac.in</v>
      </c>
      <c r="I641" s="3" t="str">
        <f>IFERROR(__xludf.DUMMYFUNCTION("""COMPUTED_VALUE"""),"22f3000797@ds.study.iitm.ac.in")</f>
        <v>22f3000797@ds.study.iitm.ac.in</v>
      </c>
      <c r="J641" s="3">
        <f>IF(D641="No R1",0,VLOOKUP(C641,'Peer-Review'!B:D,2,0))</f>
        <v>0</v>
      </c>
      <c r="K641" s="3">
        <f>IF(D641="No R1",0,VLOOKUP(C641,'Peer-Review'!B:D,3,0))</f>
        <v>0</v>
      </c>
      <c r="L641" s="3">
        <f>IF(E641="No R2",0,VLOOKUP(C641,'Peer-Review'!F:H,2,0))</f>
        <v>10</v>
      </c>
      <c r="M641" s="3">
        <f>IF(E641="No R2",0,VLOOKUP(C641,'Peer-Review'!F:H,3,0))</f>
        <v>10</v>
      </c>
    </row>
    <row r="642" hidden="1">
      <c r="A642" s="3" t="str">
        <f>IFERROR(__xludf.DUMMYFUNCTION("""COMPUTED_VALUE"""),"23f2004165@ds.study.iitm.ac.in")</f>
        <v>23f2004165@ds.study.iitm.ac.in</v>
      </c>
      <c r="B642" s="3">
        <f>IFERROR(__xludf.DUMMYFUNCTION("""COMPUTED_VALUE"""),17.0)</f>
        <v>17</v>
      </c>
      <c r="C642" s="5" t="str">
        <f>IFERROR(__xludf.DUMMYFUNCTION("""COMPUTED_VALUE"""),"https://github.com/23f2004165/Scraping-GitHub-Users-And-Their-Repos-TDS-Project1-")</f>
        <v>https://github.com/23f2004165/Scraping-GitHub-Users-And-Their-Repos-TDS-Project1-</v>
      </c>
      <c r="D642" s="3" t="str">
        <f>IFERROR(VLOOKUP(C642,'Peer-Review'!B:J,9,0),"No R1")</f>
        <v>No R1</v>
      </c>
      <c r="E642" s="3" t="str">
        <f>IFERROR(VLOOKUP(C642,'Peer-Review'!F:J,5,0),"No R2")</f>
        <v>22f3001268@ds.study.iitm.ac.in</v>
      </c>
      <c r="F642" s="3">
        <f>COUNTIF('Peer-Review'!B:B,C642)+COUNTIF('Peer-Review'!F:F,C642)</f>
        <v>2</v>
      </c>
      <c r="G642" s="3">
        <f t="shared" si="1"/>
        <v>1</v>
      </c>
      <c r="H642" s="3" t="str">
        <f>IFERROR(__xludf.DUMMYFUNCTION("IFERROR(TRANSPOSE(FILTER('Peer-Review'!$J$2:$J$568,(TRIM('Peer-Review'!$B$2:$B$568)=C642 )+ (TRIM('Peer-Review'!$F$2:$F$568)=C642))),""No Reviews"")"),"22f3001268@ds.study.iitm.ac.in")</f>
        <v>22f3001268@ds.study.iitm.ac.in</v>
      </c>
      <c r="I642" s="3" t="str">
        <f>IFERROR(__xludf.DUMMYFUNCTION("""COMPUTED_VALUE"""),"23f2004160@ds.study.iitm.ac.in")</f>
        <v>23f2004160@ds.study.iitm.ac.in</v>
      </c>
      <c r="J642" s="3">
        <f>IF(D642="No R1",0,VLOOKUP(C642,'Peer-Review'!B:D,2,0))</f>
        <v>0</v>
      </c>
      <c r="K642" s="3">
        <f>IF(D642="No R1",0,VLOOKUP(C642,'Peer-Review'!B:D,3,0))</f>
        <v>0</v>
      </c>
      <c r="L642" s="3">
        <f>IF(E642="No R2",0,VLOOKUP(C642,'Peer-Review'!F:H,2,0))</f>
        <v>5</v>
      </c>
      <c r="M642" s="3">
        <f>IF(E642="No R2",0,VLOOKUP(C642,'Peer-Review'!F:H,3,0))</f>
        <v>8</v>
      </c>
    </row>
    <row r="643" hidden="1">
      <c r="A643" s="3" t="str">
        <f>IFERROR(__xludf.DUMMYFUNCTION("""COMPUTED_VALUE"""),"23f2004225@ds.study.iitm.ac.in")</f>
        <v>23f2004225@ds.study.iitm.ac.in</v>
      </c>
      <c r="B643" s="3">
        <f>IFERROR(__xludf.DUMMYFUNCTION("""COMPUTED_VALUE"""),17.0)</f>
        <v>17</v>
      </c>
      <c r="C643" s="5" t="str">
        <f>IFERROR(__xludf.DUMMYFUNCTION("""COMPUTED_VALUE"""),"https://github.com/Hariomkr147/TDS_project1")</f>
        <v>https://github.com/Hariomkr147/TDS_project1</v>
      </c>
      <c r="D643" s="3" t="str">
        <f>IFERROR(VLOOKUP(C643,'Peer-Review'!B:J,9,0),"No R1")</f>
        <v>No R1</v>
      </c>
      <c r="E643" s="3" t="str">
        <f>IFERROR(VLOOKUP(C643,'Peer-Review'!F:J,5,0),"No R2")</f>
        <v>22f3001549@ds.study.iitm.ac.in</v>
      </c>
      <c r="F643" s="3">
        <f>COUNTIF('Peer-Review'!B:B,C643)+COUNTIF('Peer-Review'!F:F,C643)</f>
        <v>2</v>
      </c>
      <c r="G643" s="3">
        <f t="shared" si="1"/>
        <v>1</v>
      </c>
      <c r="H643" s="3" t="str">
        <f>IFERROR(__xludf.DUMMYFUNCTION("IFERROR(TRANSPOSE(FILTER('Peer-Review'!$J$2:$J$568,(TRIM('Peer-Review'!$B$2:$B$568)=C643 )+ (TRIM('Peer-Review'!$F$2:$F$568)=C643))),""No Reviews"")"),"22f3001549@ds.study.iitm.ac.in")</f>
        <v>22f3001549@ds.study.iitm.ac.in</v>
      </c>
      <c r="I643" s="3" t="str">
        <f>IFERROR(__xludf.DUMMYFUNCTION("""COMPUTED_VALUE"""),"23f2004165@ds.study.iitm.ac.in")</f>
        <v>23f2004165@ds.study.iitm.ac.in</v>
      </c>
      <c r="J643" s="3">
        <f>IF(D643="No R1",0,VLOOKUP(C643,'Peer-Review'!B:D,2,0))</f>
        <v>0</v>
      </c>
      <c r="K643" s="3">
        <f>IF(D643="No R1",0,VLOOKUP(C643,'Peer-Review'!B:D,3,0))</f>
        <v>0</v>
      </c>
      <c r="L643" s="3">
        <f>IF(E643="No R2",0,VLOOKUP(C643,'Peer-Review'!F:H,2,0))</f>
        <v>9</v>
      </c>
      <c r="M643" s="3">
        <f>IF(E643="No R2",0,VLOOKUP(C643,'Peer-Review'!F:H,3,0))</f>
        <v>8</v>
      </c>
    </row>
    <row r="644" hidden="1">
      <c r="A644" s="3" t="str">
        <f>IFERROR(__xludf.DUMMYFUNCTION("""COMPUTED_VALUE"""),"23f2004328@ds.study.iitm.ac.in")</f>
        <v>23f2004328@ds.study.iitm.ac.in</v>
      </c>
      <c r="B644" s="3">
        <f>IFERROR(__xludf.DUMMYFUNCTION("""COMPUTED_VALUE"""),14.0)</f>
        <v>14</v>
      </c>
      <c r="C644" s="5" t="str">
        <f>IFERROR(__xludf.DUMMYFUNCTION("""COMPUTED_VALUE"""),"https://github.com/Thanvish07/TDS_Project-1")</f>
        <v>https://github.com/Thanvish07/TDS_Project-1</v>
      </c>
      <c r="D644" s="3" t="str">
        <f>IFERROR(VLOOKUP(C644,'Peer-Review'!B:J,9,0),"No R1")</f>
        <v>23f1002482@ds.study.iitm.ac.in</v>
      </c>
      <c r="E644" s="3" t="str">
        <f>IFERROR(VLOOKUP(C644,'Peer-Review'!F:J,5,0),"No R2")</f>
        <v>No R2</v>
      </c>
      <c r="F644" s="3">
        <f>COUNTIF('Peer-Review'!B:B,C644)+COUNTIF('Peer-Review'!F:F,C644)</f>
        <v>1</v>
      </c>
      <c r="G644" s="3">
        <f t="shared" si="1"/>
        <v>1</v>
      </c>
      <c r="H644" s="3" t="str">
        <f>IFERROR(__xludf.DUMMYFUNCTION("IFERROR(TRANSPOSE(FILTER('Peer-Review'!$J$2:$J$568,(TRIM('Peer-Review'!$B$2:$B$568)=C644 )+ (TRIM('Peer-Review'!$F$2:$F$568)=C644))),""No Reviews"")"),"23f1002482@ds.study.iitm.ac.in")</f>
        <v>23f1002482@ds.study.iitm.ac.in</v>
      </c>
      <c r="J644" s="3">
        <f>IF(D644="No R1",0,VLOOKUP(C644,'Peer-Review'!B:D,2,0))</f>
        <v>10</v>
      </c>
      <c r="K644" s="3">
        <f>IF(D644="No R1",0,VLOOKUP(C644,'Peer-Review'!B:D,3,0))</f>
        <v>8</v>
      </c>
      <c r="L644" s="3">
        <f>IF(E644="No R2",0,VLOOKUP(C644,'Peer-Review'!F:H,2,0))</f>
        <v>0</v>
      </c>
      <c r="M644" s="3">
        <f>IF(E644="No R2",0,VLOOKUP(C644,'Peer-Review'!F:H,3,0))</f>
        <v>0</v>
      </c>
    </row>
    <row r="645" hidden="1">
      <c r="A645" s="3" t="str">
        <f>IFERROR(__xludf.DUMMYFUNCTION("""COMPUTED_VALUE"""),"23f2004408@ds.study.iitm.ac.in")</f>
        <v>23f2004408@ds.study.iitm.ac.in</v>
      </c>
      <c r="B645" s="3">
        <f>IFERROR(__xludf.DUMMYFUNCTION("""COMPUTED_VALUE"""),3.0)</f>
        <v>3</v>
      </c>
      <c r="C645" s="5" t="str">
        <f>IFERROR(__xludf.DUMMYFUNCTION("""COMPUTED_VALUE"""),"https://github.com/23f2004408/tds-p1")</f>
        <v>https://github.com/23f2004408/tds-p1</v>
      </c>
      <c r="D645" s="3" t="str">
        <f>IFERROR(VLOOKUP(C645,'Peer-Review'!B:J,9,0),"No R1")</f>
        <v>22f1001432@ds.study.iitm.ac.in</v>
      </c>
      <c r="E645" s="3" t="str">
        <f>IFERROR(VLOOKUP(C645,'Peer-Review'!F:J,5,0),"No R2")</f>
        <v>No R2</v>
      </c>
      <c r="F645" s="3">
        <f>COUNTIF('Peer-Review'!B:B,C645)+COUNTIF('Peer-Review'!F:F,C645)</f>
        <v>1</v>
      </c>
      <c r="G645" s="3">
        <f t="shared" si="1"/>
        <v>1</v>
      </c>
      <c r="H645" s="3" t="str">
        <f>IFERROR(__xludf.DUMMYFUNCTION("IFERROR(TRANSPOSE(FILTER('Peer-Review'!$J$2:$J$568,(TRIM('Peer-Review'!$B$2:$B$568)=C645 )+ (TRIM('Peer-Review'!$F$2:$F$568)=C645))),""No Reviews"")"),"22f1001432@ds.study.iitm.ac.in")</f>
        <v>22f1001432@ds.study.iitm.ac.in</v>
      </c>
      <c r="J645" s="3">
        <f>IF(D645="No R1",0,VLOOKUP(C645,'Peer-Review'!B:D,2,0))</f>
        <v>9</v>
      </c>
      <c r="K645" s="3">
        <f>IF(D645="No R1",0,VLOOKUP(C645,'Peer-Review'!B:D,3,0))</f>
        <v>10</v>
      </c>
      <c r="L645" s="3">
        <f>IF(E645="No R2",0,VLOOKUP(C645,'Peer-Review'!F:H,2,0))</f>
        <v>0</v>
      </c>
      <c r="M645" s="3">
        <f>IF(E645="No R2",0,VLOOKUP(C645,'Peer-Review'!F:H,3,0))</f>
        <v>0</v>
      </c>
    </row>
    <row r="646" hidden="1">
      <c r="A646" s="3" t="str">
        <f>IFERROR(__xludf.DUMMYFUNCTION("""COMPUTED_VALUE"""),"23f2004417@ds.study.iitm.ac.in")</f>
        <v>23f2004417@ds.study.iitm.ac.in</v>
      </c>
      <c r="B646" s="3">
        <f>IFERROR(__xludf.DUMMYFUNCTION("""COMPUTED_VALUE"""),17.0)</f>
        <v>17</v>
      </c>
      <c r="C646" s="5" t="str">
        <f>IFERROR(__xludf.DUMMYFUNCTION("""COMPUTED_VALUE"""),"https://github.com/23f2004417/23f2004417_TDS_Project1")</f>
        <v>https://github.com/23f2004417/23f2004417_TDS_Project1</v>
      </c>
      <c r="D646" s="3" t="str">
        <f>IFERROR(VLOOKUP(C646,'Peer-Review'!B:J,9,0),"No R1")</f>
        <v>No R1</v>
      </c>
      <c r="E646" s="3" t="str">
        <f>IFERROR(VLOOKUP(C646,'Peer-Review'!F:J,5,0),"No R2")</f>
        <v>22f3001732@ds.study.iitm.ac.in</v>
      </c>
      <c r="F646" s="3">
        <f>COUNTIF('Peer-Review'!B:B,C646)+COUNTIF('Peer-Review'!F:F,C646)</f>
        <v>2</v>
      </c>
      <c r="G646" s="3">
        <f t="shared" si="1"/>
        <v>1</v>
      </c>
      <c r="H646" s="3" t="str">
        <f>IFERROR(__xludf.DUMMYFUNCTION("IFERROR(TRANSPOSE(FILTER('Peer-Review'!$J$2:$J$568,(TRIM('Peer-Review'!$B$2:$B$568)=C646 )+ (TRIM('Peer-Review'!$F$2:$F$568)=C646))),""No Reviews"")"),"22f3001732@ds.study.iitm.ac.in")</f>
        <v>22f3001732@ds.study.iitm.ac.in</v>
      </c>
      <c r="I646" s="3" t="str">
        <f>IFERROR(__xludf.DUMMYFUNCTION("""COMPUTED_VALUE"""),"23f2004225@ds.study.iitm.ac.in")</f>
        <v>23f2004225@ds.study.iitm.ac.in</v>
      </c>
      <c r="J646" s="3">
        <f>IF(D646="No R1",0,VLOOKUP(C646,'Peer-Review'!B:D,2,0))</f>
        <v>0</v>
      </c>
      <c r="K646" s="3">
        <f>IF(D646="No R1",0,VLOOKUP(C646,'Peer-Review'!B:D,3,0))</f>
        <v>0</v>
      </c>
      <c r="L646" s="3">
        <f>IF(E646="No R2",0,VLOOKUP(C646,'Peer-Review'!F:H,2,0))</f>
        <v>10</v>
      </c>
      <c r="M646" s="3">
        <f>IF(E646="No R2",0,VLOOKUP(C646,'Peer-Review'!F:H,3,0))</f>
        <v>10</v>
      </c>
    </row>
    <row r="647" hidden="1">
      <c r="A647" s="3" t="str">
        <f>IFERROR(__xludf.DUMMYFUNCTION("""COMPUTED_VALUE"""),"23f2004468@ds.study.iitm.ac.in")</f>
        <v>23f2004468@ds.study.iitm.ac.in</v>
      </c>
      <c r="B647" s="3">
        <f>IFERROR(__xludf.DUMMYFUNCTION("""COMPUTED_VALUE"""),10.0)</f>
        <v>10</v>
      </c>
      <c r="C647" s="5" t="str">
        <f>IFERROR(__xludf.DUMMYFUNCTION("""COMPUTED_VALUE"""),"https://github.com/sujatrobhadra/TDS_Project_1")</f>
        <v>https://github.com/sujatrobhadra/TDS_Project_1</v>
      </c>
      <c r="D647" s="3" t="str">
        <f>IFERROR(VLOOKUP(C647,'Peer-Review'!B:J,9,0),"No R1")</f>
        <v>23f1002462@ds.study.iitm.ac.in</v>
      </c>
      <c r="E647" s="3" t="str">
        <f>IFERROR(VLOOKUP(C647,'Peer-Review'!F:J,5,0),"No R2")</f>
        <v>No R2</v>
      </c>
      <c r="F647" s="3">
        <f>COUNTIF('Peer-Review'!B:B,C647)+COUNTIF('Peer-Review'!F:F,C647)</f>
        <v>1</v>
      </c>
      <c r="G647" s="3">
        <f t="shared" si="1"/>
        <v>1</v>
      </c>
      <c r="H647" s="3" t="str">
        <f>IFERROR(__xludf.DUMMYFUNCTION("IFERROR(TRANSPOSE(FILTER('Peer-Review'!$J$2:$J$568,(TRIM('Peer-Review'!$B$2:$B$568)=C647 )+ (TRIM('Peer-Review'!$F$2:$F$568)=C647))),""No Reviews"")"),"23f1002462@ds.study.iitm.ac.in")</f>
        <v>23f1002462@ds.study.iitm.ac.in</v>
      </c>
      <c r="J647" s="3">
        <f>IF(D647="No R1",0,VLOOKUP(C647,'Peer-Review'!B:D,2,0))</f>
        <v>10</v>
      </c>
      <c r="K647" s="3">
        <f>IF(D647="No R1",0,VLOOKUP(C647,'Peer-Review'!B:D,3,0))</f>
        <v>0</v>
      </c>
      <c r="L647" s="3">
        <f>IF(E647="No R2",0,VLOOKUP(C647,'Peer-Review'!F:H,2,0))</f>
        <v>0</v>
      </c>
      <c r="M647" s="3">
        <f>IF(E647="No R2",0,VLOOKUP(C647,'Peer-Review'!F:H,3,0))</f>
        <v>0</v>
      </c>
    </row>
    <row r="648" hidden="1">
      <c r="A648" s="3" t="str">
        <f>IFERROR(__xludf.DUMMYFUNCTION("""COMPUTED_VALUE"""),"23f2004494@ds.study.iitm.ac.in")</f>
        <v>23f2004494@ds.study.iitm.ac.in</v>
      </c>
      <c r="B648" s="3">
        <f>IFERROR(__xludf.DUMMYFUNCTION("""COMPUTED_VALUE"""),17.0)</f>
        <v>17</v>
      </c>
      <c r="C648" s="5" t="str">
        <f>IFERROR(__xludf.DUMMYFUNCTION("""COMPUTED_VALUE"""),"https://github.com/siddhant-bapna/TDSP1")</f>
        <v>https://github.com/siddhant-bapna/TDSP1</v>
      </c>
      <c r="D648" s="3" t="str">
        <f>IFERROR(VLOOKUP(C648,'Peer-Review'!B:J,9,0),"No R1")</f>
        <v>22f3001768@ds.study.iitm.ac.in</v>
      </c>
      <c r="E648" s="3" t="str">
        <f>IFERROR(VLOOKUP(C648,'Peer-Review'!F:J,5,0),"No R2")</f>
        <v>23f2004417@ds.study.iitm.ac.in</v>
      </c>
      <c r="F648" s="3">
        <f>COUNTIF('Peer-Review'!B:B,C648)+COUNTIF('Peer-Review'!F:F,C648)</f>
        <v>2</v>
      </c>
      <c r="G648" s="3">
        <f t="shared" si="1"/>
        <v>2</v>
      </c>
      <c r="H648" s="3" t="str">
        <f>IFERROR(__xludf.DUMMYFUNCTION("IFERROR(TRANSPOSE(FILTER('Peer-Review'!$J$2:$J$568,(TRIM('Peer-Review'!$B$2:$B$568)=C648 )+ (TRIM('Peer-Review'!$F$2:$F$568)=C648))),""No Reviews"")"),"22f3001768@ds.study.iitm.ac.in")</f>
        <v>22f3001768@ds.study.iitm.ac.in</v>
      </c>
      <c r="I648" s="3" t="str">
        <f>IFERROR(__xludf.DUMMYFUNCTION("""COMPUTED_VALUE"""),"23f2004417@ds.study.iitm.ac.in")</f>
        <v>23f2004417@ds.study.iitm.ac.in</v>
      </c>
      <c r="J648" s="3">
        <f>IF(D648="No R1",0,VLOOKUP(C648,'Peer-Review'!B:D,2,0))</f>
        <v>10</v>
      </c>
      <c r="K648" s="3">
        <f>IF(D648="No R1",0,VLOOKUP(C648,'Peer-Review'!B:D,3,0))</f>
        <v>9</v>
      </c>
      <c r="L648" s="3">
        <f>IF(E648="No R2",0,VLOOKUP(C648,'Peer-Review'!F:H,2,0))</f>
        <v>8</v>
      </c>
      <c r="M648" s="3">
        <f>IF(E648="No R2",0,VLOOKUP(C648,'Peer-Review'!F:H,3,0))</f>
        <v>8</v>
      </c>
    </row>
    <row r="649" hidden="1">
      <c r="A649" s="3" t="str">
        <f>IFERROR(__xludf.DUMMYFUNCTION("""COMPUTED_VALUE"""),"23f2004499@ds.study.iitm.ac.in")</f>
        <v>23f2004499@ds.study.iitm.ac.in</v>
      </c>
      <c r="B649" s="3">
        <f>IFERROR(__xludf.DUMMYFUNCTION("""COMPUTED_VALUE"""),17.0)</f>
        <v>17</v>
      </c>
      <c r="C649" s="5" t="str">
        <f>IFERROR(__xludf.DUMMYFUNCTION("""COMPUTED_VALUE"""),"https://github.com/KD-kaustubh/Tds-project-1")</f>
        <v>https://github.com/KD-kaustubh/Tds-project-1</v>
      </c>
      <c r="D649" s="3" t="str">
        <f>IFERROR(VLOOKUP(C649,'Peer-Review'!B:J,9,0),"No R1")</f>
        <v>No R1</v>
      </c>
      <c r="E649" s="3" t="str">
        <f>IFERROR(VLOOKUP(C649,'Peer-Review'!F:J,5,0),"No R2")</f>
        <v>22f3001954@ds.study.iitm.ac.in</v>
      </c>
      <c r="F649" s="3">
        <f>COUNTIF('Peer-Review'!B:B,C649)+COUNTIF('Peer-Review'!F:F,C649)</f>
        <v>2</v>
      </c>
      <c r="G649" s="3">
        <f t="shared" si="1"/>
        <v>1</v>
      </c>
      <c r="H649" s="3" t="str">
        <f>IFERROR(__xludf.DUMMYFUNCTION("IFERROR(TRANSPOSE(FILTER('Peer-Review'!$J$2:$J$568,(TRIM('Peer-Review'!$B$2:$B$568)=C649 )+ (TRIM('Peer-Review'!$F$2:$F$568)=C649))),""No Reviews"")"),"22f3001954@ds.study.iitm.ac.in")</f>
        <v>22f3001954@ds.study.iitm.ac.in</v>
      </c>
      <c r="I649" s="3" t="str">
        <f>IFERROR(__xludf.DUMMYFUNCTION("""COMPUTED_VALUE"""),"23f2004494@ds.study.iitm.ac.in")</f>
        <v>23f2004494@ds.study.iitm.ac.in</v>
      </c>
      <c r="J649" s="3">
        <f>IF(D649="No R1",0,VLOOKUP(C649,'Peer-Review'!B:D,2,0))</f>
        <v>0</v>
      </c>
      <c r="K649" s="3">
        <f>IF(D649="No R1",0,VLOOKUP(C649,'Peer-Review'!B:D,3,0))</f>
        <v>0</v>
      </c>
      <c r="L649" s="3">
        <f>IF(E649="No R2",0,VLOOKUP(C649,'Peer-Review'!F:H,2,0))</f>
        <v>5</v>
      </c>
      <c r="M649" s="3">
        <f>IF(E649="No R2",0,VLOOKUP(C649,'Peer-Review'!F:H,3,0))</f>
        <v>9</v>
      </c>
    </row>
    <row r="650" hidden="1">
      <c r="A650" s="3" t="str">
        <f>IFERROR(__xludf.DUMMYFUNCTION("""COMPUTED_VALUE"""),"23f2004527@ds.study.iitm.ac.in")</f>
        <v>23f2004527@ds.study.iitm.ac.in</v>
      </c>
      <c r="B650" s="3">
        <f>IFERROR(__xludf.DUMMYFUNCTION("""COMPUTED_VALUE"""),13.0)</f>
        <v>13</v>
      </c>
      <c r="C650" s="5" t="str">
        <f>IFERROR(__xludf.DUMMYFUNCTION("""COMPUTED_VALUE"""),"https://github.com/23f2004527/TDS_Project1")</f>
        <v>https://github.com/23f2004527/TDS_Project1</v>
      </c>
      <c r="D650" s="3" t="str">
        <f>IFERROR(VLOOKUP(C650,'Peer-Review'!B:J,9,0),"No R1")</f>
        <v>22f3001662@ds.study.iitm.ac.in</v>
      </c>
      <c r="E650" s="3" t="str">
        <f>IFERROR(VLOOKUP(C650,'Peer-Review'!F:J,5,0),"No R2")</f>
        <v>No R2</v>
      </c>
      <c r="F650" s="3">
        <f>COUNTIF('Peer-Review'!B:B,C650)+COUNTIF('Peer-Review'!F:F,C650)</f>
        <v>2</v>
      </c>
      <c r="G650" s="3">
        <f t="shared" si="1"/>
        <v>1</v>
      </c>
      <c r="H650" s="3" t="str">
        <f>IFERROR(__xludf.DUMMYFUNCTION("IFERROR(TRANSPOSE(FILTER('Peer-Review'!$J$2:$J$568,(TRIM('Peer-Review'!$B$2:$B$568)=C650 )+ (TRIM('Peer-Review'!$F$2:$F$568)=C650))),""No Reviews"")"),"22f3001662@ds.study.iitm.ac.in")</f>
        <v>22f3001662@ds.study.iitm.ac.in</v>
      </c>
      <c r="I650" s="3" t="str">
        <f>IFERROR(__xludf.DUMMYFUNCTION("""COMPUTED_VALUE"""),"23f2004714@ds.study.iitm.ac.in")</f>
        <v>23f2004714@ds.study.iitm.ac.in</v>
      </c>
      <c r="J650" s="3">
        <f>IF(D650="No R1",0,VLOOKUP(C650,'Peer-Review'!B:D,2,0))</f>
        <v>6</v>
      </c>
      <c r="K650" s="3">
        <f>IF(D650="No R1",0,VLOOKUP(C650,'Peer-Review'!B:D,3,0))</f>
        <v>7</v>
      </c>
      <c r="L650" s="3">
        <f>IF(E650="No R2",0,VLOOKUP(C650,'Peer-Review'!F:H,2,0))</f>
        <v>0</v>
      </c>
      <c r="M650" s="3">
        <f>IF(E650="No R2",0,VLOOKUP(C650,'Peer-Review'!F:H,3,0))</f>
        <v>0</v>
      </c>
    </row>
    <row r="651" hidden="1">
      <c r="A651" s="3" t="str">
        <f>IFERROR(__xludf.DUMMYFUNCTION("""COMPUTED_VALUE"""),"23f2004593@ds.study.iitm.ac.in")</f>
        <v>23f2004593@ds.study.iitm.ac.in</v>
      </c>
      <c r="B651" s="3">
        <f>IFERROR(__xludf.DUMMYFUNCTION("""COMPUTED_VALUE"""),17.0)</f>
        <v>17</v>
      </c>
      <c r="C651" s="5" t="str">
        <f>IFERROR(__xludf.DUMMYFUNCTION("""COMPUTED_VALUE"""),"https://github.com/Srilekha-05/github-barcelona-users")</f>
        <v>https://github.com/Srilekha-05/github-barcelona-users</v>
      </c>
      <c r="D651" s="3" t="str">
        <f>IFERROR(VLOOKUP(C651,'Peer-Review'!B:J,9,0),"No R1")</f>
        <v>No R1</v>
      </c>
      <c r="E651" s="3" t="str">
        <f>IFERROR(VLOOKUP(C651,'Peer-Review'!F:J,5,0),"No R2")</f>
        <v>22f3002877@ds.study.iitm.ac.in</v>
      </c>
      <c r="F651" s="3">
        <f>COUNTIF('Peer-Review'!B:B,C651)+COUNTIF('Peer-Review'!F:F,C651)</f>
        <v>2</v>
      </c>
      <c r="G651" s="3">
        <f t="shared" si="1"/>
        <v>1</v>
      </c>
      <c r="H651" s="3" t="str">
        <f>IFERROR(__xludf.DUMMYFUNCTION("IFERROR(TRANSPOSE(FILTER('Peer-Review'!$J$2:$J$568,(TRIM('Peer-Review'!$B$2:$B$568)=C651 )+ (TRIM('Peer-Review'!$F$2:$F$568)=C651))),""No Reviews"")"),"22f3002877@ds.study.iitm.ac.in")</f>
        <v>22f3002877@ds.study.iitm.ac.in</v>
      </c>
      <c r="I651" s="3" t="str">
        <f>IFERROR(__xludf.DUMMYFUNCTION("""COMPUTED_VALUE"""),"23f2004499@ds.study.iitm.ac.in")</f>
        <v>23f2004499@ds.study.iitm.ac.in</v>
      </c>
      <c r="J651" s="3">
        <f>IF(D651="No R1",0,VLOOKUP(C651,'Peer-Review'!B:D,2,0))</f>
        <v>0</v>
      </c>
      <c r="K651" s="3">
        <f>IF(D651="No R1",0,VLOOKUP(C651,'Peer-Review'!B:D,3,0))</f>
        <v>0</v>
      </c>
      <c r="L651" s="3">
        <f>IF(E651="No R2",0,VLOOKUP(C651,'Peer-Review'!F:H,2,0))</f>
        <v>10</v>
      </c>
      <c r="M651" s="3">
        <f>IF(E651="No R2",0,VLOOKUP(C651,'Peer-Review'!F:H,3,0))</f>
        <v>10</v>
      </c>
    </row>
    <row r="652" hidden="1">
      <c r="A652" s="3" t="str">
        <f>IFERROR(__xludf.DUMMYFUNCTION("""COMPUTED_VALUE"""),"23f2004625@ds.study.iitm.ac.in")</f>
        <v>23f2004625@ds.study.iitm.ac.in</v>
      </c>
      <c r="B652" s="3">
        <f>IFERROR(__xludf.DUMMYFUNCTION("""COMPUTED_VALUE"""),17.0)</f>
        <v>17</v>
      </c>
      <c r="C652" s="5" t="str">
        <f>IFERROR(__xludf.DUMMYFUNCTION("""COMPUTED_VALUE"""),"https://github.com/suryadhn/boston_user_repo")</f>
        <v>https://github.com/suryadhn/boston_user_repo</v>
      </c>
      <c r="D652" s="3" t="str">
        <f>IFERROR(VLOOKUP(C652,'Peer-Review'!B:J,9,0),"No R1")</f>
        <v>No R1</v>
      </c>
      <c r="E652" s="3" t="str">
        <f>IFERROR(VLOOKUP(C652,'Peer-Review'!F:J,5,0),"No R2")</f>
        <v>22f3003074@ds.study.iitm.ac.in</v>
      </c>
      <c r="F652" s="3">
        <f>COUNTIF('Peer-Review'!B:B,C652)+COUNTIF('Peer-Review'!F:F,C652)</f>
        <v>2</v>
      </c>
      <c r="G652" s="3">
        <f t="shared" si="1"/>
        <v>1</v>
      </c>
      <c r="H652" s="3" t="str">
        <f>IFERROR(__xludf.DUMMYFUNCTION("IFERROR(TRANSPOSE(FILTER('Peer-Review'!$J$2:$J$568,(TRIM('Peer-Review'!$B$2:$B$568)=C652 )+ (TRIM('Peer-Review'!$F$2:$F$568)=C652))),""No Reviews"")"),"22f3003074@ds.study.iitm.ac.in")</f>
        <v>22f3003074@ds.study.iitm.ac.in</v>
      </c>
      <c r="I652" s="3" t="str">
        <f>IFERROR(__xludf.DUMMYFUNCTION("""COMPUTED_VALUE"""),"23f2004593@ds.study.iitm.ac.in")</f>
        <v>23f2004593@ds.study.iitm.ac.in</v>
      </c>
      <c r="J652" s="3">
        <f>IF(D652="No R1",0,VLOOKUP(C652,'Peer-Review'!B:D,2,0))</f>
        <v>0</v>
      </c>
      <c r="K652" s="3">
        <f>IF(D652="No R1",0,VLOOKUP(C652,'Peer-Review'!B:D,3,0))</f>
        <v>0</v>
      </c>
      <c r="L652" s="3">
        <f>IF(E652="No R2",0,VLOOKUP(C652,'Peer-Review'!F:H,2,0))</f>
        <v>8</v>
      </c>
      <c r="M652" s="3">
        <f>IF(E652="No R2",0,VLOOKUP(C652,'Peer-Review'!F:H,3,0))</f>
        <v>10</v>
      </c>
    </row>
    <row r="653" hidden="1">
      <c r="A653" s="3" t="str">
        <f>IFERROR(__xludf.DUMMYFUNCTION("""COMPUTED_VALUE"""),"23f2004652@ds.study.iitm.ac.in")</f>
        <v>23f2004652@ds.study.iitm.ac.in</v>
      </c>
      <c r="B653" s="3">
        <f>IFERROR(__xludf.DUMMYFUNCTION("""COMPUTED_VALUE"""),17.0)</f>
        <v>17</v>
      </c>
      <c r="C653" s="5" t="str">
        <f>IFERROR(__xludf.DUMMYFUNCTION("""COMPUTED_VALUE"""),"https://github.com/Mahabodhi4652/tds_project1")</f>
        <v>https://github.com/Mahabodhi4652/tds_project1</v>
      </c>
      <c r="D653" s="3" t="str">
        <f>IFERROR(VLOOKUP(C653,'Peer-Review'!B:J,9,0),"No R1")</f>
        <v>No R1</v>
      </c>
      <c r="E653" s="3" t="str">
        <f>IFERROR(VLOOKUP(C653,'Peer-Review'!F:J,5,0),"No R2")</f>
        <v>23f2004625@ds.study.iitm.ac.in</v>
      </c>
      <c r="F653" s="3">
        <f>COUNTIF('Peer-Review'!B:B,C653)+COUNTIF('Peer-Review'!F:F,C653)</f>
        <v>2</v>
      </c>
      <c r="G653" s="3">
        <f t="shared" si="1"/>
        <v>1</v>
      </c>
      <c r="H653" s="3" t="str">
        <f>IFERROR(__xludf.DUMMYFUNCTION("IFERROR(TRANSPOSE(FILTER('Peer-Review'!$J$2:$J$568,(TRIM('Peer-Review'!$B$2:$B$568)=C653 )+ (TRIM('Peer-Review'!$F$2:$F$568)=C653))),""No Reviews"")"),"23f2004625@ds.study.iitm.ac.in")</f>
        <v>23f2004625@ds.study.iitm.ac.in</v>
      </c>
      <c r="I653" s="3" t="str">
        <f>IFERROR(__xludf.DUMMYFUNCTION("""COMPUTED_VALUE"""),"23ds1000121@ds.study.iitm.ac.in")</f>
        <v>23ds1000121@ds.study.iitm.ac.in</v>
      </c>
      <c r="J653" s="3">
        <f>IF(D653="No R1",0,VLOOKUP(C653,'Peer-Review'!B:D,2,0))</f>
        <v>0</v>
      </c>
      <c r="K653" s="3">
        <f>IF(D653="No R1",0,VLOOKUP(C653,'Peer-Review'!B:D,3,0))</f>
        <v>0</v>
      </c>
      <c r="L653" s="3">
        <f>IF(E653="No R2",0,VLOOKUP(C653,'Peer-Review'!F:H,2,0))</f>
        <v>10</v>
      </c>
      <c r="M653" s="3">
        <f>IF(E653="No R2",0,VLOOKUP(C653,'Peer-Review'!F:H,3,0))</f>
        <v>10</v>
      </c>
    </row>
    <row r="654" hidden="1">
      <c r="A654" s="3" t="str">
        <f>IFERROR(__xludf.DUMMYFUNCTION("""COMPUTED_VALUE"""),"23f2004671@ds.study.iitm.ac.in")</f>
        <v>23f2004671@ds.study.iitm.ac.in</v>
      </c>
      <c r="B654" s="3">
        <f>IFERROR(__xludf.DUMMYFUNCTION("""COMPUTED_VALUE"""),0.0)</f>
        <v>0</v>
      </c>
      <c r="C654" s="5" t="str">
        <f>IFERROR(__xludf.DUMMYFUNCTION("""COMPUTED_VALUE"""),"https://github.com/23f2004671/Project1")</f>
        <v>https://github.com/23f2004671/Project1</v>
      </c>
      <c r="D654" s="3" t="str">
        <f>IFERROR(VLOOKUP(C654,'Peer-Review'!B:J,9,0),"No R1")</f>
        <v>No R1</v>
      </c>
      <c r="E654" s="3" t="str">
        <f>IFERROR(VLOOKUP(C654,'Peer-Review'!F:J,5,0),"No R2")</f>
        <v>No R2</v>
      </c>
      <c r="F654" s="3">
        <f>COUNTIF('Peer-Review'!B:B,C654)+COUNTIF('Peer-Review'!F:F,C654)</f>
        <v>0</v>
      </c>
      <c r="G654" s="3">
        <f t="shared" si="1"/>
        <v>0</v>
      </c>
      <c r="H654" s="3" t="str">
        <f>IFERROR(__xludf.DUMMYFUNCTION("IFERROR(TRANSPOSE(FILTER('Peer-Review'!$J$2:$J$568,(TRIM('Peer-Review'!$B$2:$B$568)=C654 )+ (TRIM('Peer-Review'!$F$2:$F$568)=C654))),""No Reviews"")"),"No Reviews")</f>
        <v>No Reviews</v>
      </c>
      <c r="J654" s="3">
        <f>IF(D654="No R1",0,VLOOKUP(C654,'Peer-Review'!B:D,2,0))</f>
        <v>0</v>
      </c>
      <c r="K654" s="3">
        <f>IF(D654="No R1",0,VLOOKUP(C654,'Peer-Review'!B:D,3,0))</f>
        <v>0</v>
      </c>
      <c r="L654" s="3">
        <f>IF(E654="No R2",0,VLOOKUP(C654,'Peer-Review'!F:H,2,0))</f>
        <v>0</v>
      </c>
      <c r="M654" s="3">
        <f>IF(E654="No R2",0,VLOOKUP(C654,'Peer-Review'!F:H,3,0))</f>
        <v>0</v>
      </c>
    </row>
    <row r="655" hidden="1">
      <c r="A655" s="3" t="str">
        <f>IFERROR(__xludf.DUMMYFUNCTION("""COMPUTED_VALUE"""),"23f2004714@ds.study.iitm.ac.in")</f>
        <v>23f2004714@ds.study.iitm.ac.in</v>
      </c>
      <c r="B655" s="3">
        <f>IFERROR(__xludf.DUMMYFUNCTION("""COMPUTED_VALUE"""),13.0)</f>
        <v>13</v>
      </c>
      <c r="C655" s="5" t="str">
        <f>IFERROR(__xludf.DUMMYFUNCTION("""COMPUTED_VALUE"""),"https://github.com/ShashanksriIITM/MLT_Project1")</f>
        <v>https://github.com/ShashanksriIITM/MLT_Project1</v>
      </c>
      <c r="D655" s="3" t="str">
        <f>IFERROR(VLOOKUP(C655,'Peer-Review'!B:J,9,0),"No R1")</f>
        <v>23f2004904@ds.study.iitm.ac.in</v>
      </c>
      <c r="E655" s="3" t="str">
        <f>IFERROR(VLOOKUP(C655,'Peer-Review'!F:J,5,0),"No R2")</f>
        <v>No R2</v>
      </c>
      <c r="F655" s="3">
        <f>COUNTIF('Peer-Review'!B:B,C655)+COUNTIF('Peer-Review'!F:F,C655)</f>
        <v>1</v>
      </c>
      <c r="G655" s="3">
        <f t="shared" si="1"/>
        <v>1</v>
      </c>
      <c r="H655" s="3" t="str">
        <f>IFERROR(__xludf.DUMMYFUNCTION("IFERROR(TRANSPOSE(FILTER('Peer-Review'!$J$2:$J$568,(TRIM('Peer-Review'!$B$2:$B$568)=C655 )+ (TRIM('Peer-Review'!$F$2:$F$568)=C655))),""No Reviews"")"),"23f2004904@ds.study.iitm.ac.in")</f>
        <v>23f2004904@ds.study.iitm.ac.in</v>
      </c>
      <c r="J655" s="3">
        <f>IF(D655="No R1",0,VLOOKUP(C655,'Peer-Review'!B:D,2,0))</f>
        <v>0</v>
      </c>
      <c r="K655" s="3">
        <f>IF(D655="No R1",0,VLOOKUP(C655,'Peer-Review'!B:D,3,0))</f>
        <v>0</v>
      </c>
      <c r="L655" s="3">
        <f>IF(E655="No R2",0,VLOOKUP(C655,'Peer-Review'!F:H,2,0))</f>
        <v>0</v>
      </c>
      <c r="M655" s="3">
        <f>IF(E655="No R2",0,VLOOKUP(C655,'Peer-Review'!F:H,3,0))</f>
        <v>0</v>
      </c>
    </row>
    <row r="656" hidden="1">
      <c r="A656" s="3" t="str">
        <f>IFERROR(__xludf.DUMMYFUNCTION("""COMPUTED_VALUE"""),"23f2004724@ds.study.iitm.ac.in")</f>
        <v>23f2004724@ds.study.iitm.ac.in</v>
      </c>
      <c r="B656" s="3">
        <f>IFERROR(__xludf.DUMMYFUNCTION("""COMPUTED_VALUE"""),11.0)</f>
        <v>11</v>
      </c>
      <c r="C656" s="5" t="str">
        <f>IFERROR(__xludf.DUMMYFUNCTION("""COMPUTED_VALUE"""),"https://github.com/vivek-2028/TDS-Project-1")</f>
        <v>https://github.com/vivek-2028/TDS-Project-1</v>
      </c>
      <c r="D656" s="3" t="str">
        <f>IFERROR(VLOOKUP(C656,'Peer-Review'!B:J,9,0),"No R1")</f>
        <v>23f2004839@ds.study.iitm.ac.in</v>
      </c>
      <c r="E656" s="3" t="str">
        <f>IFERROR(VLOOKUP(C656,'Peer-Review'!F:J,5,0),"No R2")</f>
        <v>No R2</v>
      </c>
      <c r="F656" s="3">
        <f>COUNTIF('Peer-Review'!B:B,C656)+COUNTIF('Peer-Review'!F:F,C656)</f>
        <v>2</v>
      </c>
      <c r="G656" s="3">
        <f t="shared" si="1"/>
        <v>1</v>
      </c>
      <c r="H656" s="3" t="str">
        <f>IFERROR(__xludf.DUMMYFUNCTION("IFERROR(TRANSPOSE(FILTER('Peer-Review'!$J$2:$J$568,(TRIM('Peer-Review'!$B$2:$B$568)=C656 )+ (TRIM('Peer-Review'!$F$2:$F$568)=C656))),""No Reviews"")"),"23f2004839@ds.study.iitm.ac.in")</f>
        <v>23f2004839@ds.study.iitm.ac.in</v>
      </c>
      <c r="I656" s="3" t="str">
        <f>IFERROR(__xludf.DUMMYFUNCTION("""COMPUTED_VALUE"""),"21f1000330@ds.study.iitm.ac.in")</f>
        <v>21f1000330@ds.study.iitm.ac.in</v>
      </c>
      <c r="J656" s="3">
        <f>IF(D656="No R1",0,VLOOKUP(C656,'Peer-Review'!B:D,2,0))</f>
        <v>8</v>
      </c>
      <c r="K656" s="3">
        <f>IF(D656="No R1",0,VLOOKUP(C656,'Peer-Review'!B:D,3,0))</f>
        <v>9</v>
      </c>
      <c r="L656" s="3">
        <f>IF(E656="No R2",0,VLOOKUP(C656,'Peer-Review'!F:H,2,0))</f>
        <v>0</v>
      </c>
      <c r="M656" s="3">
        <f>IF(E656="No R2",0,VLOOKUP(C656,'Peer-Review'!F:H,3,0))</f>
        <v>0</v>
      </c>
    </row>
    <row r="657" hidden="1">
      <c r="A657" s="3" t="str">
        <f>IFERROR(__xludf.DUMMYFUNCTION("""COMPUTED_VALUE"""),"23f2004747@ds.study.iitm.ac.in")</f>
        <v>23f2004747@ds.study.iitm.ac.in</v>
      </c>
      <c r="B657" s="3">
        <f>IFERROR(__xludf.DUMMYFUNCTION("""COMPUTED_VALUE"""),17.0)</f>
        <v>17</v>
      </c>
      <c r="C657" s="5" t="str">
        <f>IFERROR(__xludf.DUMMYFUNCTION("""COMPUTED_VALUE"""),"https://github.com/hack-sketch/tds-project")</f>
        <v>https://github.com/hack-sketch/tds-project</v>
      </c>
      <c r="D657" s="3" t="str">
        <f>IFERROR(VLOOKUP(C657,'Peer-Review'!B:J,9,0),"No R1")</f>
        <v>No R1</v>
      </c>
      <c r="E657" s="3" t="str">
        <f>IFERROR(VLOOKUP(C657,'Peer-Review'!F:J,5,0),"No R2")</f>
        <v>23f2004652@ds.study.iitm.ac.in</v>
      </c>
      <c r="F657" s="3">
        <f>COUNTIF('Peer-Review'!B:B,C657)+COUNTIF('Peer-Review'!F:F,C657)</f>
        <v>2</v>
      </c>
      <c r="G657" s="3">
        <f t="shared" si="1"/>
        <v>1</v>
      </c>
      <c r="H657" s="3" t="str">
        <f>IFERROR(__xludf.DUMMYFUNCTION("IFERROR(TRANSPOSE(FILTER('Peer-Review'!$J$2:$J$568,(TRIM('Peer-Review'!$B$2:$B$568)=C657 )+ (TRIM('Peer-Review'!$F$2:$F$568)=C657))),""No Reviews"")"),"23f2004652@ds.study.iitm.ac.in")</f>
        <v>23f2004652@ds.study.iitm.ac.in</v>
      </c>
      <c r="I657" s="3" t="str">
        <f>IFERROR(__xludf.DUMMYFUNCTION("""COMPUTED_VALUE"""),"23ds2000050@ds.study.iitm.ac.in")</f>
        <v>23ds2000050@ds.study.iitm.ac.in</v>
      </c>
      <c r="J657" s="3">
        <f>IF(D657="No R1",0,VLOOKUP(C657,'Peer-Review'!B:D,2,0))</f>
        <v>0</v>
      </c>
      <c r="K657" s="3">
        <f>IF(D657="No R1",0,VLOOKUP(C657,'Peer-Review'!B:D,3,0))</f>
        <v>0</v>
      </c>
      <c r="L657" s="3">
        <f>IF(E657="No R2",0,VLOOKUP(C657,'Peer-Review'!F:H,2,0))</f>
        <v>8</v>
      </c>
      <c r="M657" s="3">
        <f>IF(E657="No R2",0,VLOOKUP(C657,'Peer-Review'!F:H,3,0))</f>
        <v>10</v>
      </c>
    </row>
    <row r="658" hidden="1">
      <c r="A658" s="3" t="str">
        <f>IFERROR(__xludf.DUMMYFUNCTION("""COMPUTED_VALUE"""),"23f2004790@ds.study.iitm.ac.in")</f>
        <v>23f2004790@ds.study.iitm.ac.in</v>
      </c>
      <c r="B658" s="3">
        <f>IFERROR(__xludf.DUMMYFUNCTION("""COMPUTED_VALUE"""),17.0)</f>
        <v>17</v>
      </c>
      <c r="C658" s="5" t="str">
        <f>IFERROR(__xludf.DUMMYFUNCTION("""COMPUTED_VALUE"""),"https://github.com/AlexStark110/MELB_USERS")</f>
        <v>https://github.com/AlexStark110/MELB_USERS</v>
      </c>
      <c r="D658" s="3" t="str">
        <f>IFERROR(VLOOKUP(C658,'Peer-Review'!B:J,9,0),"No R1")</f>
        <v>No R1</v>
      </c>
      <c r="E658" s="3" t="str">
        <f>IFERROR(VLOOKUP(C658,'Peer-Review'!F:J,5,0),"No R2")</f>
        <v>23f2004747@ds.study.iitm.ac.in</v>
      </c>
      <c r="F658" s="3">
        <f>COUNTIF('Peer-Review'!B:B,C658)+COUNTIF('Peer-Review'!F:F,C658)</f>
        <v>2</v>
      </c>
      <c r="G658" s="3">
        <f t="shared" si="1"/>
        <v>1</v>
      </c>
      <c r="H658" s="3" t="str">
        <f>IFERROR(__xludf.DUMMYFUNCTION("IFERROR(TRANSPOSE(FILTER('Peer-Review'!$J$2:$J$568,(TRIM('Peer-Review'!$B$2:$B$568)=C658 )+ (TRIM('Peer-Review'!$F$2:$F$568)=C658))),""No Reviews"")"),"23f2004747@ds.study.iitm.ac.in")</f>
        <v>23f2004747@ds.study.iitm.ac.in</v>
      </c>
      <c r="I658" s="3" t="str">
        <f>IFERROR(__xludf.DUMMYFUNCTION("""COMPUTED_VALUE"""),"23ds3000059@ds.study.iitm.ac.in")</f>
        <v>23ds3000059@ds.study.iitm.ac.in</v>
      </c>
      <c r="J658" s="3">
        <f>IF(D658="No R1",0,VLOOKUP(C658,'Peer-Review'!B:D,2,0))</f>
        <v>0</v>
      </c>
      <c r="K658" s="3">
        <f>IF(D658="No R1",0,VLOOKUP(C658,'Peer-Review'!B:D,3,0))</f>
        <v>0</v>
      </c>
      <c r="L658" s="3">
        <f>IF(E658="No R2",0,VLOOKUP(C658,'Peer-Review'!F:H,2,0))</f>
        <v>10</v>
      </c>
      <c r="M658" s="3">
        <f>IF(E658="No R2",0,VLOOKUP(C658,'Peer-Review'!F:H,3,0))</f>
        <v>10</v>
      </c>
    </row>
    <row r="659" hidden="1">
      <c r="A659" s="3" t="str">
        <f>IFERROR(__xludf.DUMMYFUNCTION("""COMPUTED_VALUE"""),"23f2004839@ds.study.iitm.ac.in")</f>
        <v>23f2004839@ds.study.iitm.ac.in</v>
      </c>
      <c r="B659" s="3">
        <f>IFERROR(__xludf.DUMMYFUNCTION("""COMPUTED_VALUE"""),11.0)</f>
        <v>11</v>
      </c>
      <c r="C659" s="5" t="str">
        <f>IFERROR(__xludf.DUMMYFUNCTION("""COMPUTED_VALUE"""),"https://github.com/23f2004839/TDS-Project-1")</f>
        <v>https://github.com/23f2004839/TDS-Project-1</v>
      </c>
      <c r="D659" s="3" t="str">
        <f>IFERROR(VLOOKUP(C659,'Peer-Review'!B:J,9,0),"No R1")</f>
        <v>23f2005176@ds.study.iitm.ac.in</v>
      </c>
      <c r="E659" s="3" t="str">
        <f>IFERROR(VLOOKUP(C659,'Peer-Review'!F:J,5,0),"No R2")</f>
        <v>No R2</v>
      </c>
      <c r="F659" s="3">
        <f>COUNTIF('Peer-Review'!B:B,C659)+COUNTIF('Peer-Review'!F:F,C659)</f>
        <v>2</v>
      </c>
      <c r="G659" s="3">
        <f t="shared" si="1"/>
        <v>1</v>
      </c>
      <c r="H659" s="3" t="str">
        <f>IFERROR(__xludf.DUMMYFUNCTION("IFERROR(TRANSPOSE(FILTER('Peer-Review'!$J$2:$J$568,(TRIM('Peer-Review'!$B$2:$B$568)=C659 )+ (TRIM('Peer-Review'!$F$2:$F$568)=C659))),""No Reviews"")"),"23f2005176@ds.study.iitm.ac.in")</f>
        <v>23f2005176@ds.study.iitm.ac.in</v>
      </c>
      <c r="I659" s="3" t="str">
        <f>IFERROR(__xludf.DUMMYFUNCTION("""COMPUTED_VALUE"""),"21f1000601@ds.study.iitm.ac.in")</f>
        <v>21f1000601@ds.study.iitm.ac.in</v>
      </c>
      <c r="J659" s="3">
        <f>IF(D659="No R1",0,VLOOKUP(C659,'Peer-Review'!B:D,2,0))</f>
        <v>9</v>
      </c>
      <c r="K659" s="3">
        <f>IF(D659="No R1",0,VLOOKUP(C659,'Peer-Review'!B:D,3,0))</f>
        <v>9</v>
      </c>
      <c r="L659" s="3">
        <f>IF(E659="No R2",0,VLOOKUP(C659,'Peer-Review'!F:H,2,0))</f>
        <v>0</v>
      </c>
      <c r="M659" s="3">
        <f>IF(E659="No R2",0,VLOOKUP(C659,'Peer-Review'!F:H,3,0))</f>
        <v>0</v>
      </c>
    </row>
    <row r="660" hidden="1">
      <c r="A660" s="3" t="str">
        <f>IFERROR(__xludf.DUMMYFUNCTION("""COMPUTED_VALUE"""),"23f2004904@ds.study.iitm.ac.in")</f>
        <v>23f2004904@ds.study.iitm.ac.in</v>
      </c>
      <c r="B660" s="3">
        <f>IFERROR(__xludf.DUMMYFUNCTION("""COMPUTED_VALUE"""),13.0)</f>
        <v>13</v>
      </c>
      <c r="C660" s="5" t="str">
        <f>IFERROR(__xludf.DUMMYFUNCTION("""COMPUTED_VALUE"""),"https://github.com/Shanu48/TDS_Project1")</f>
        <v>https://github.com/Shanu48/TDS_Project1</v>
      </c>
      <c r="D660" s="3" t="str">
        <f>IFERROR(VLOOKUP(C660,'Peer-Review'!B:J,9,0),"No R1")</f>
        <v>22f3001738@ds.study.iitm.ac.in</v>
      </c>
      <c r="E660" s="3" t="str">
        <f>IFERROR(VLOOKUP(C660,'Peer-Review'!F:J,5,0),"No R2")</f>
        <v>No R2</v>
      </c>
      <c r="F660" s="3">
        <f>COUNTIF('Peer-Review'!B:B,C660)+COUNTIF('Peer-Review'!F:F,C660)</f>
        <v>1</v>
      </c>
      <c r="G660" s="3">
        <f t="shared" si="1"/>
        <v>1</v>
      </c>
      <c r="H660" s="3" t="str">
        <f>IFERROR(__xludf.DUMMYFUNCTION("IFERROR(TRANSPOSE(FILTER('Peer-Review'!$J$2:$J$568,(TRIM('Peer-Review'!$B$2:$B$568)=C660 )+ (TRIM('Peer-Review'!$F$2:$F$568)=C660))),""No Reviews"")"),"22f3001738@ds.study.iitm.ac.in")</f>
        <v>22f3001738@ds.study.iitm.ac.in</v>
      </c>
      <c r="J660" s="3">
        <f>IF(D660="No R1",0,VLOOKUP(C660,'Peer-Review'!B:D,2,0))</f>
        <v>10</v>
      </c>
      <c r="K660" s="3">
        <f>IF(D660="No R1",0,VLOOKUP(C660,'Peer-Review'!B:D,3,0))</f>
        <v>10</v>
      </c>
      <c r="L660" s="3">
        <f>IF(E660="No R2",0,VLOOKUP(C660,'Peer-Review'!F:H,2,0))</f>
        <v>0</v>
      </c>
      <c r="M660" s="3">
        <f>IF(E660="No R2",0,VLOOKUP(C660,'Peer-Review'!F:H,3,0))</f>
        <v>0</v>
      </c>
    </row>
    <row r="661" hidden="1">
      <c r="A661" s="3" t="str">
        <f>IFERROR(__xludf.DUMMYFUNCTION("""COMPUTED_VALUE"""),"23f2004919@ds.study.iitm.ac.in")</f>
        <v>23f2004919@ds.study.iitm.ac.in</v>
      </c>
      <c r="B661" s="3">
        <f>IFERROR(__xludf.DUMMYFUNCTION("""COMPUTED_VALUE"""),16.0)</f>
        <v>16</v>
      </c>
      <c r="C661" s="5" t="str">
        <f>IFERROR(__xludf.DUMMYFUNCTION("""COMPUTED_VALUE"""),"https://github.com/Vscode918/Moscow-users/")</f>
        <v>https://github.com/Vscode918/Moscow-users/</v>
      </c>
      <c r="D661" s="3" t="str">
        <f>IFERROR(VLOOKUP(C661,'Peer-Review'!B:J,9,0),"No R1")</f>
        <v>No R1</v>
      </c>
      <c r="E661" s="3" t="str">
        <f>IFERROR(VLOOKUP(C661,'Peer-Review'!F:J,5,0),"No R2")</f>
        <v>22f3000757@ds.study.iitm.ac.in</v>
      </c>
      <c r="F661" s="3">
        <f>COUNTIF('Peer-Review'!B:B,C661)+COUNTIF('Peer-Review'!F:F,C661)</f>
        <v>2</v>
      </c>
      <c r="G661" s="3">
        <f t="shared" si="1"/>
        <v>1</v>
      </c>
      <c r="H661" s="3" t="str">
        <f>IFERROR(__xludf.DUMMYFUNCTION("IFERROR(TRANSPOSE(FILTER('Peer-Review'!$J$2:$J$568,(TRIM('Peer-Review'!$B$2:$B$568)=C661 )+ (TRIM('Peer-Review'!$F$2:$F$568)=C661))),""No Reviews"")"),"22f3000757@ds.study.iitm.ac.in")</f>
        <v>22f3000757@ds.study.iitm.ac.in</v>
      </c>
      <c r="I661" s="3" t="str">
        <f>IFERROR(__xludf.DUMMYFUNCTION("""COMPUTED_VALUE"""),"23f2003986@ds.study.iitm.ac.in")</f>
        <v>23f2003986@ds.study.iitm.ac.in</v>
      </c>
      <c r="J661" s="3">
        <f>IF(D661="No R1",0,VLOOKUP(C661,'Peer-Review'!B:D,2,0))</f>
        <v>0</v>
      </c>
      <c r="K661" s="3">
        <f>IF(D661="No R1",0,VLOOKUP(C661,'Peer-Review'!B:D,3,0))</f>
        <v>0</v>
      </c>
      <c r="L661" s="3">
        <f>IF(E661="No R2",0,VLOOKUP(C661,'Peer-Review'!F:H,2,0))</f>
        <v>9</v>
      </c>
      <c r="M661" s="3">
        <f>IF(E661="No R2",0,VLOOKUP(C661,'Peer-Review'!F:H,3,0))</f>
        <v>7</v>
      </c>
    </row>
    <row r="662" hidden="1">
      <c r="A662" s="3" t="str">
        <f>IFERROR(__xludf.DUMMYFUNCTION("""COMPUTED_VALUE"""),"23f2004943@ds.study.iitm.ac.in")</f>
        <v>23f2004943@ds.study.iitm.ac.in</v>
      </c>
      <c r="B662" s="3">
        <f>IFERROR(__xludf.DUMMYFUNCTION("""COMPUTED_VALUE"""),13.0)</f>
        <v>13</v>
      </c>
      <c r="C662" s="5" t="str">
        <f>IFERROR(__xludf.DUMMYFUNCTION("""COMPUTED_VALUE"""),"https://github.com/GauriTr/TDS_project_1")</f>
        <v>https://github.com/GauriTr/TDS_project_1</v>
      </c>
      <c r="D662" s="3" t="str">
        <f>IFERROR(VLOOKUP(C662,'Peer-Review'!B:J,9,0),"No R1")</f>
        <v>22f3001838@ds.study.iitm.ac.in</v>
      </c>
      <c r="E662" s="3" t="str">
        <f>IFERROR(VLOOKUP(C662,'Peer-Review'!F:J,5,0),"No R2")</f>
        <v>No R2</v>
      </c>
      <c r="F662" s="3">
        <f>COUNTIF('Peer-Review'!B:B,C662)+COUNTIF('Peer-Review'!F:F,C662)</f>
        <v>2</v>
      </c>
      <c r="G662" s="3">
        <f t="shared" si="1"/>
        <v>1</v>
      </c>
      <c r="H662" s="3" t="str">
        <f>IFERROR(__xludf.DUMMYFUNCTION("IFERROR(TRANSPOSE(FILTER('Peer-Review'!$J$2:$J$568,(TRIM('Peer-Review'!$B$2:$B$568)=C662 )+ (TRIM('Peer-Review'!$F$2:$F$568)=C662))),""No Reviews"")"),"22f3001838@ds.study.iitm.ac.in")</f>
        <v>22f3001838@ds.study.iitm.ac.in</v>
      </c>
      <c r="I662" s="3" t="str">
        <f>IFERROR(__xludf.DUMMYFUNCTION("""COMPUTED_VALUE"""),"23f2005133@ds.study.iitm.ac.in")</f>
        <v>23f2005133@ds.study.iitm.ac.in</v>
      </c>
      <c r="J662" s="3">
        <f>IF(D662="No R1",0,VLOOKUP(C662,'Peer-Review'!B:D,2,0))</f>
        <v>7</v>
      </c>
      <c r="K662" s="3">
        <f>IF(D662="No R1",0,VLOOKUP(C662,'Peer-Review'!B:D,3,0))</f>
        <v>0</v>
      </c>
      <c r="L662" s="3">
        <f>IF(E662="No R2",0,VLOOKUP(C662,'Peer-Review'!F:H,2,0))</f>
        <v>0</v>
      </c>
      <c r="M662" s="3">
        <f>IF(E662="No R2",0,VLOOKUP(C662,'Peer-Review'!F:H,3,0))</f>
        <v>0</v>
      </c>
    </row>
    <row r="663" hidden="1">
      <c r="A663" s="3" t="str">
        <f>IFERROR(__xludf.DUMMYFUNCTION("""COMPUTED_VALUE"""),"23f2004971@ds.study.iitm.ac.in")</f>
        <v>23f2004971@ds.study.iitm.ac.in</v>
      </c>
      <c r="B663" s="3">
        <f>IFERROR(__xludf.DUMMYFUNCTION("""COMPUTED_VALUE"""),0.0)</f>
        <v>0</v>
      </c>
      <c r="C663" s="5" t="str">
        <f>IFERROR(__xludf.DUMMYFUNCTION("""COMPUTED_VALUE"""),"https://github.com/Sulakshh/TDS-PROJECT-TORONTO-100")</f>
        <v>https://github.com/Sulakshh/TDS-PROJECT-TORONTO-100</v>
      </c>
      <c r="D663" s="3" t="str">
        <f>IFERROR(VLOOKUP(C663,'Peer-Review'!B:J,9,0),"No R1")</f>
        <v>No R1</v>
      </c>
      <c r="E663" s="3" t="str">
        <f>IFERROR(VLOOKUP(C663,'Peer-Review'!F:J,5,0),"No R2")</f>
        <v>No R2</v>
      </c>
      <c r="F663" s="3">
        <f>COUNTIF('Peer-Review'!B:B,C663)+COUNTIF('Peer-Review'!F:F,C663)</f>
        <v>0</v>
      </c>
      <c r="G663" s="3">
        <f t="shared" si="1"/>
        <v>0</v>
      </c>
      <c r="H663" s="3" t="str">
        <f>IFERROR(__xludf.DUMMYFUNCTION("IFERROR(TRANSPOSE(FILTER('Peer-Review'!$J$2:$J$568,(TRIM('Peer-Review'!$B$2:$B$568)=C663 )+ (TRIM('Peer-Review'!$F$2:$F$568)=C663))),""No Reviews"")"),"No Reviews")</f>
        <v>No Reviews</v>
      </c>
      <c r="J663" s="3">
        <f>IF(D663="No R1",0,VLOOKUP(C663,'Peer-Review'!B:D,2,0))</f>
        <v>0</v>
      </c>
      <c r="K663" s="3">
        <f>IF(D663="No R1",0,VLOOKUP(C663,'Peer-Review'!B:D,3,0))</f>
        <v>0</v>
      </c>
      <c r="L663" s="3">
        <f>IF(E663="No R2",0,VLOOKUP(C663,'Peer-Review'!F:H,2,0))</f>
        <v>0</v>
      </c>
      <c r="M663" s="3">
        <f>IF(E663="No R2",0,VLOOKUP(C663,'Peer-Review'!F:H,3,0))</f>
        <v>0</v>
      </c>
    </row>
    <row r="664" hidden="1">
      <c r="A664" s="3" t="str">
        <f>IFERROR(__xludf.DUMMYFUNCTION("""COMPUTED_VALUE"""),"23f2005014@ds.study.iitm.ac.in")</f>
        <v>23f2005014@ds.study.iitm.ac.in</v>
      </c>
      <c r="B664" s="3">
        <f>IFERROR(__xludf.DUMMYFUNCTION("""COMPUTED_VALUE"""),17.0)</f>
        <v>17</v>
      </c>
      <c r="C664" s="5" t="str">
        <f>IFERROR(__xludf.DUMMYFUNCTION("""COMPUTED_VALUE"""),"https://github.com/Happytth/tds-project1")</f>
        <v>https://github.com/Happytth/tds-project1</v>
      </c>
      <c r="D664" s="3" t="str">
        <f>IFERROR(VLOOKUP(C664,'Peer-Review'!B:J,9,0),"No R1")</f>
        <v>No R1</v>
      </c>
      <c r="E664" s="3" t="str">
        <f>IFERROR(VLOOKUP(C664,'Peer-Review'!F:J,5,0),"No R2")</f>
        <v>23ds3000136@ds.study.iitm.ac.in</v>
      </c>
      <c r="F664" s="3">
        <f>COUNTIF('Peer-Review'!B:B,C664)+COUNTIF('Peer-Review'!F:F,C664)</f>
        <v>2</v>
      </c>
      <c r="G664" s="3">
        <f t="shared" si="1"/>
        <v>1</v>
      </c>
      <c r="H664" s="3" t="str">
        <f>IFERROR(__xludf.DUMMYFUNCTION("IFERROR(TRANSPOSE(FILTER('Peer-Review'!$J$2:$J$568,(TRIM('Peer-Review'!$B$2:$B$568)=C664 )+ (TRIM('Peer-Review'!$F$2:$F$568)=C664))),""No Reviews"")"),"23ds3000136@ds.study.iitm.ac.in")</f>
        <v>23ds3000136@ds.study.iitm.ac.in</v>
      </c>
      <c r="I664" s="3" t="str">
        <f>IFERROR(__xludf.DUMMYFUNCTION("""COMPUTED_VALUE"""),"23f2004790@ds.study.iitm.ac.in")</f>
        <v>23f2004790@ds.study.iitm.ac.in</v>
      </c>
      <c r="J664" s="3">
        <f>IF(D664="No R1",0,VLOOKUP(C664,'Peer-Review'!B:D,2,0))</f>
        <v>0</v>
      </c>
      <c r="K664" s="3">
        <f>IF(D664="No R1",0,VLOOKUP(C664,'Peer-Review'!B:D,3,0))</f>
        <v>0</v>
      </c>
      <c r="L664" s="3">
        <f>IF(E664="No R2",0,VLOOKUP(C664,'Peer-Review'!F:H,2,0))</f>
        <v>10</v>
      </c>
      <c r="M664" s="3">
        <f>IF(E664="No R2",0,VLOOKUP(C664,'Peer-Review'!F:H,3,0))</f>
        <v>10</v>
      </c>
    </row>
    <row r="665" hidden="1">
      <c r="A665" s="3" t="str">
        <f>IFERROR(__xludf.DUMMYFUNCTION("""COMPUTED_VALUE"""),"23f2005059@ds.study.iitm.ac.in")</f>
        <v>23f2005059@ds.study.iitm.ac.in</v>
      </c>
      <c r="B665" s="3">
        <f>IFERROR(__xludf.DUMMYFUNCTION("""COMPUTED_VALUE"""),17.0)</f>
        <v>17</v>
      </c>
      <c r="C665" s="5" t="str">
        <f>IFERROR(__xludf.DUMMYFUNCTION("""COMPUTED_VALUE"""),"https://github.com/hameed-student/tds-project-1")</f>
        <v>https://github.com/hameed-student/tds-project-1</v>
      </c>
      <c r="D665" s="3" t="str">
        <f>IFERROR(VLOOKUP(C665,'Peer-Review'!B:J,9,0),"No R1")</f>
        <v>No R1</v>
      </c>
      <c r="E665" s="3" t="str">
        <f>IFERROR(VLOOKUP(C665,'Peer-Review'!F:J,5,0),"No R2")</f>
        <v>23f2005014@ds.study.iitm.ac.in</v>
      </c>
      <c r="F665" s="3">
        <f>COUNTIF('Peer-Review'!B:B,C665)+COUNTIF('Peer-Review'!F:F,C665)</f>
        <v>1</v>
      </c>
      <c r="G665" s="3">
        <f t="shared" si="1"/>
        <v>1</v>
      </c>
      <c r="H665" s="3" t="str">
        <f>IFERROR(__xludf.DUMMYFUNCTION("IFERROR(TRANSPOSE(FILTER('Peer-Review'!$J$2:$J$568,(TRIM('Peer-Review'!$B$2:$B$568)=C665 )+ (TRIM('Peer-Review'!$F$2:$F$568)=C665))),""No Reviews"")"),"23f2005014@ds.study.iitm.ac.in")</f>
        <v>23f2005014@ds.study.iitm.ac.in</v>
      </c>
      <c r="J665" s="3">
        <f>IF(D665="No R1",0,VLOOKUP(C665,'Peer-Review'!B:D,2,0))</f>
        <v>0</v>
      </c>
      <c r="K665" s="3">
        <f>IF(D665="No R1",0,VLOOKUP(C665,'Peer-Review'!B:D,3,0))</f>
        <v>0</v>
      </c>
      <c r="L665" s="3">
        <f>IF(E665="No R2",0,VLOOKUP(C665,'Peer-Review'!F:H,2,0))</f>
        <v>10</v>
      </c>
      <c r="M665" s="3">
        <f>IF(E665="No R2",0,VLOOKUP(C665,'Peer-Review'!F:H,3,0))</f>
        <v>10</v>
      </c>
    </row>
    <row r="666" hidden="1">
      <c r="A666" s="3" t="str">
        <f>IFERROR(__xludf.DUMMYFUNCTION("""COMPUTED_VALUE"""),"23f2005121@ds.study.iitm.ac.in")</f>
        <v>23f2005121@ds.study.iitm.ac.in</v>
      </c>
      <c r="B666" s="3">
        <f>IFERROR(__xludf.DUMMYFUNCTION("""COMPUTED_VALUE"""),16.0)</f>
        <v>16</v>
      </c>
      <c r="C666" s="5" t="str">
        <f>IFERROR(__xludf.DUMMYFUNCTION("""COMPUTED_VALUE"""),"https://github.com/azh-py/london-github-users")</f>
        <v>https://github.com/azh-py/london-github-users</v>
      </c>
      <c r="D666" s="3" t="str">
        <f>IFERROR(VLOOKUP(C666,'Peer-Review'!B:J,9,0),"No R1")</f>
        <v>No R1</v>
      </c>
      <c r="E666" s="3" t="str">
        <f>IFERROR(VLOOKUP(C666,'Peer-Review'!F:J,5,0),"No R2")</f>
        <v>23f2004919@ds.study.iitm.ac.in</v>
      </c>
      <c r="F666" s="3">
        <f>COUNTIF('Peer-Review'!B:B,C666)+COUNTIF('Peer-Review'!F:F,C666)</f>
        <v>2</v>
      </c>
      <c r="G666" s="3">
        <f t="shared" si="1"/>
        <v>1</v>
      </c>
      <c r="H666" s="3" t="str">
        <f>IFERROR(__xludf.DUMMYFUNCTION("IFERROR(TRANSPOSE(FILTER('Peer-Review'!$J$2:$J$568,(TRIM('Peer-Review'!$B$2:$B$568)=C666 )+ (TRIM('Peer-Review'!$F$2:$F$568)=C666))),""No Reviews"")"),"23f2004919@ds.study.iitm.ac.in")</f>
        <v>23f2004919@ds.study.iitm.ac.in</v>
      </c>
      <c r="I666" s="3" t="str">
        <f>IFERROR(__xludf.DUMMYFUNCTION("""COMPUTED_VALUE"""),"22f3000849@ds.study.iitm.ac.in")</f>
        <v>22f3000849@ds.study.iitm.ac.in</v>
      </c>
      <c r="J666" s="3">
        <f>IF(D666="No R1",0,VLOOKUP(C666,'Peer-Review'!B:D,2,0))</f>
        <v>0</v>
      </c>
      <c r="K666" s="3">
        <f>IF(D666="No R1",0,VLOOKUP(C666,'Peer-Review'!B:D,3,0))</f>
        <v>0</v>
      </c>
      <c r="L666" s="3">
        <f>IF(E666="No R2",0,VLOOKUP(C666,'Peer-Review'!F:H,2,0))</f>
        <v>4</v>
      </c>
      <c r="M666" s="3">
        <f>IF(E666="No R2",0,VLOOKUP(C666,'Peer-Review'!F:H,3,0))</f>
        <v>9</v>
      </c>
    </row>
    <row r="667" hidden="1">
      <c r="A667" s="3" t="str">
        <f>IFERROR(__xludf.DUMMYFUNCTION("""COMPUTED_VALUE"""),"23f2005133@ds.study.iitm.ac.in")</f>
        <v>23f2005133@ds.study.iitm.ac.in</v>
      </c>
      <c r="B667" s="3">
        <f>IFERROR(__xludf.DUMMYFUNCTION("""COMPUTED_VALUE"""),13.0)</f>
        <v>13</v>
      </c>
      <c r="C667" s="5" t="str">
        <f>IFERROR(__xludf.DUMMYFUNCTION("""COMPUTED_VALUE"""),"https://github.com/hsnak2245/tds_p1")</f>
        <v>https://github.com/hsnak2245/tds_p1</v>
      </c>
      <c r="D667" s="3" t="str">
        <f>IFERROR(VLOOKUP(C667,'Peer-Review'!B:J,9,0),"No R1")</f>
        <v>23f3002284@ds.study.iitm.ac.in</v>
      </c>
      <c r="E667" s="3" t="str">
        <f>IFERROR(VLOOKUP(C667,'Peer-Review'!F:J,5,0),"No R2")</f>
        <v>No R2</v>
      </c>
      <c r="F667" s="3">
        <f>COUNTIF('Peer-Review'!B:B,C667)+COUNTIF('Peer-Review'!F:F,C667)</f>
        <v>2</v>
      </c>
      <c r="G667" s="3">
        <f t="shared" si="1"/>
        <v>1</v>
      </c>
      <c r="H667" s="3" t="str">
        <f>IFERROR(__xludf.DUMMYFUNCTION("IFERROR(TRANSPOSE(FILTER('Peer-Review'!$J$2:$J$568,(TRIM('Peer-Review'!$B$2:$B$568)=C667 )+ (TRIM('Peer-Review'!$F$2:$F$568)=C667))),""No Reviews"")"),"23f3002284@ds.study.iitm.ac.in")</f>
        <v>23f3002284@ds.study.iitm.ac.in</v>
      </c>
      <c r="I667" s="3" t="str">
        <f>IFERROR(__xludf.DUMMYFUNCTION("""COMPUTED_VALUE"""),"22f3001877@ds.study.iitm.ac.in")</f>
        <v>22f3001877@ds.study.iitm.ac.in</v>
      </c>
      <c r="J667" s="3">
        <f>IF(D667="No R1",0,VLOOKUP(C667,'Peer-Review'!B:D,2,0))</f>
        <v>0</v>
      </c>
      <c r="K667" s="3">
        <f>IF(D667="No R1",0,VLOOKUP(C667,'Peer-Review'!B:D,3,0))</f>
        <v>0</v>
      </c>
      <c r="L667" s="3">
        <f>IF(E667="No R2",0,VLOOKUP(C667,'Peer-Review'!F:H,2,0))</f>
        <v>0</v>
      </c>
      <c r="M667" s="3">
        <f>IF(E667="No R2",0,VLOOKUP(C667,'Peer-Review'!F:H,3,0))</f>
        <v>0</v>
      </c>
    </row>
    <row r="668" hidden="1">
      <c r="A668" s="3" t="str">
        <f>IFERROR(__xludf.DUMMYFUNCTION("""COMPUTED_VALUE"""),"23f2005176@ds.study.iitm.ac.in")</f>
        <v>23f2005176@ds.study.iitm.ac.in</v>
      </c>
      <c r="B668" s="3">
        <f>IFERROR(__xludf.DUMMYFUNCTION("""COMPUTED_VALUE"""),11.0)</f>
        <v>11</v>
      </c>
      <c r="C668" s="5" t="str">
        <f>IFERROR(__xludf.DUMMYFUNCTION("""COMPUTED_VALUE"""),"https://github.com/bl00m-byte/TDS-Project-1")</f>
        <v>https://github.com/bl00m-byte/TDS-Project-1</v>
      </c>
      <c r="D668" s="3" t="str">
        <f>IFERROR(VLOOKUP(C668,'Peer-Review'!B:J,9,0),"No R1")</f>
        <v>24ds1000043@ds.study.iitm.ac.in</v>
      </c>
      <c r="E668" s="3" t="str">
        <f>IFERROR(VLOOKUP(C668,'Peer-Review'!F:J,5,0),"No R2")</f>
        <v>No R2</v>
      </c>
      <c r="F668" s="3">
        <f>COUNTIF('Peer-Review'!B:B,C668)+COUNTIF('Peer-Review'!F:F,C668)</f>
        <v>2</v>
      </c>
      <c r="G668" s="3">
        <f t="shared" si="1"/>
        <v>1</v>
      </c>
      <c r="H668" s="3" t="str">
        <f>IFERROR(__xludf.DUMMYFUNCTION("IFERROR(TRANSPOSE(FILTER('Peer-Review'!$J$2:$J$568,(TRIM('Peer-Review'!$B$2:$B$568)=C668 )+ (TRIM('Peer-Review'!$F$2:$F$568)=C668))),""No Reviews"")"),"24ds1000043@ds.study.iitm.ac.in")</f>
        <v>24ds1000043@ds.study.iitm.ac.in</v>
      </c>
      <c r="I668" s="3" t="str">
        <f>IFERROR(__xludf.DUMMYFUNCTION("""COMPUTED_VALUE"""),"21f1001102@ds.study.iitm.ac.in")</f>
        <v>21f1001102@ds.study.iitm.ac.in</v>
      </c>
      <c r="J668" s="3">
        <f>IF(D668="No R1",0,VLOOKUP(C668,'Peer-Review'!B:D,2,0))</f>
        <v>8</v>
      </c>
      <c r="K668" s="3">
        <f>IF(D668="No R1",0,VLOOKUP(C668,'Peer-Review'!B:D,3,0))</f>
        <v>0</v>
      </c>
      <c r="L668" s="3">
        <f>IF(E668="No R2",0,VLOOKUP(C668,'Peer-Review'!F:H,2,0))</f>
        <v>0</v>
      </c>
      <c r="M668" s="3">
        <f>IF(E668="No R2",0,VLOOKUP(C668,'Peer-Review'!F:H,3,0))</f>
        <v>0</v>
      </c>
    </row>
    <row r="669" hidden="1">
      <c r="A669" s="3" t="str">
        <f>IFERROR(__xludf.DUMMYFUNCTION("""COMPUTED_VALUE"""),"23f2005332@ds.study.iitm.ac.in")</f>
        <v>23f2005332@ds.study.iitm.ac.in</v>
      </c>
      <c r="B669" s="3">
        <f>IFERROR(__xludf.DUMMYFUNCTION("""COMPUTED_VALUE"""),10.0)</f>
        <v>10</v>
      </c>
      <c r="C669" s="5" t="str">
        <f>IFERROR(__xludf.DUMMYFUNCTION("""COMPUTED_VALUE"""),"https://github.com/na-ch7/TDS-Project-1")</f>
        <v>https://github.com/na-ch7/TDS-Project-1</v>
      </c>
      <c r="D669" s="3" t="str">
        <f>IFERROR(VLOOKUP(C669,'Peer-Review'!B:J,9,0),"No R1")</f>
        <v>23f1002687@ds.study.iitm.ac.in</v>
      </c>
      <c r="E669" s="3" t="str">
        <f>IFERROR(VLOOKUP(C669,'Peer-Review'!F:J,5,0),"No R2")</f>
        <v>No R2</v>
      </c>
      <c r="F669" s="3">
        <f>COUNTIF('Peer-Review'!B:B,C669)+COUNTIF('Peer-Review'!F:F,C669)</f>
        <v>2</v>
      </c>
      <c r="G669" s="3">
        <f t="shared" si="1"/>
        <v>1</v>
      </c>
      <c r="H669" s="3" t="str">
        <f>IFERROR(__xludf.DUMMYFUNCTION("IFERROR(TRANSPOSE(FILTER('Peer-Review'!$J$2:$J$568,(TRIM('Peer-Review'!$B$2:$B$568)=C669 )+ (TRIM('Peer-Review'!$F$2:$F$568)=C669))),""No Reviews"")"),"23f1002687@ds.study.iitm.ac.in")</f>
        <v>23f1002687@ds.study.iitm.ac.in</v>
      </c>
      <c r="I669" s="3" t="str">
        <f>IFERROR(__xludf.DUMMYFUNCTION("""COMPUTED_VALUE"""),"23f2005597@ds.study.iitm.ac.in")</f>
        <v>23f2005597@ds.study.iitm.ac.in</v>
      </c>
      <c r="J669" s="3">
        <f>IF(D669="No R1",0,VLOOKUP(C669,'Peer-Review'!B:D,2,0))</f>
        <v>10</v>
      </c>
      <c r="K669" s="3">
        <f>IF(D669="No R1",0,VLOOKUP(C669,'Peer-Review'!B:D,3,0))</f>
        <v>10</v>
      </c>
      <c r="L669" s="3">
        <f>IF(E669="No R2",0,VLOOKUP(C669,'Peer-Review'!F:H,2,0))</f>
        <v>0</v>
      </c>
      <c r="M669" s="3">
        <f>IF(E669="No R2",0,VLOOKUP(C669,'Peer-Review'!F:H,3,0))</f>
        <v>0</v>
      </c>
    </row>
    <row r="670" hidden="1">
      <c r="A670" s="3" t="str">
        <f>IFERROR(__xludf.DUMMYFUNCTION("""COMPUTED_VALUE"""),"23f2005375@ds.study.iitm.ac.in")</f>
        <v>23f2005375@ds.study.iitm.ac.in</v>
      </c>
      <c r="B670" s="3">
        <f>IFERROR(__xludf.DUMMYFUNCTION("""COMPUTED_VALUE"""),17.0)</f>
        <v>17</v>
      </c>
      <c r="C670" s="5" t="str">
        <f>IFERROR(__xludf.DUMMYFUNCTION("""COMPUTED_VALUE"""),"https://github.com/heyitsshreya/Austin-GitHub-Users-Analysis")</f>
        <v>https://github.com/heyitsshreya/Austin-GitHub-Users-Analysis</v>
      </c>
      <c r="D670" s="3" t="str">
        <f>IFERROR(VLOOKUP(C670,'Peer-Review'!B:J,9,0),"No R1")</f>
        <v>No R1</v>
      </c>
      <c r="E670" s="3" t="str">
        <f>IFERROR(VLOOKUP(C670,'Peer-Review'!F:J,5,0),"No R2")</f>
        <v>23f2005059@ds.study.iitm.ac.in</v>
      </c>
      <c r="F670" s="3">
        <f>COUNTIF('Peer-Review'!B:B,C670)+COUNTIF('Peer-Review'!F:F,C670)</f>
        <v>2</v>
      </c>
      <c r="G670" s="3">
        <f t="shared" si="1"/>
        <v>1</v>
      </c>
      <c r="H670" s="3" t="str">
        <f>IFERROR(__xludf.DUMMYFUNCTION("IFERROR(TRANSPOSE(FILTER('Peer-Review'!$J$2:$J$568,(TRIM('Peer-Review'!$B$2:$B$568)=C670 )+ (TRIM('Peer-Review'!$F$2:$F$568)=C670))),""No Reviews"")"),"23f2005059@ds.study.iitm.ac.in")</f>
        <v>23f2005059@ds.study.iitm.ac.in</v>
      </c>
      <c r="I670" s="3" t="str">
        <f>IFERROR(__xludf.DUMMYFUNCTION("""COMPUTED_VALUE"""),"23ds3000215@ds.study.iitm.ac.in")</f>
        <v>23ds3000215@ds.study.iitm.ac.in</v>
      </c>
      <c r="J670" s="3">
        <f>IF(D670="No R1",0,VLOOKUP(C670,'Peer-Review'!B:D,2,0))</f>
        <v>0</v>
      </c>
      <c r="K670" s="3">
        <f>IF(D670="No R1",0,VLOOKUP(C670,'Peer-Review'!B:D,3,0))</f>
        <v>0</v>
      </c>
      <c r="L670" s="3">
        <f>IF(E670="No R2",0,VLOOKUP(C670,'Peer-Review'!F:H,2,0))</f>
        <v>10</v>
      </c>
      <c r="M670" s="3">
        <f>IF(E670="No R2",0,VLOOKUP(C670,'Peer-Review'!F:H,3,0))</f>
        <v>10</v>
      </c>
    </row>
    <row r="671" hidden="1">
      <c r="A671" s="3" t="str">
        <f>IFERROR(__xludf.DUMMYFUNCTION("""COMPUTED_VALUE"""),"23f2005504@ds.study.iitm.ac.in")</f>
        <v>23f2005504@ds.study.iitm.ac.in</v>
      </c>
      <c r="B671" s="3">
        <f>IFERROR(__xludf.DUMMYFUNCTION("""COMPUTED_VALUE"""),9.0)</f>
        <v>9</v>
      </c>
      <c r="C671" s="5" t="str">
        <f>IFERROR(__xludf.DUMMYFUNCTION("""COMPUTED_VALUE"""),"https://github.com/Amrendra-kumar7/API_Melburne")</f>
        <v>https://github.com/Amrendra-kumar7/API_Melburne</v>
      </c>
      <c r="D671" s="3" t="str">
        <f>IFERROR(VLOOKUP(C671,'Peer-Review'!B:J,9,0),"No R1")</f>
        <v>23ds2000095@ds.study.iitm.ac.in</v>
      </c>
      <c r="E671" s="3" t="str">
        <f>IFERROR(VLOOKUP(C671,'Peer-Review'!F:J,5,0),"No R2")</f>
        <v>No R2</v>
      </c>
      <c r="F671" s="3">
        <f>COUNTIF('Peer-Review'!B:B,C671)+COUNTIF('Peer-Review'!F:F,C671)</f>
        <v>2</v>
      </c>
      <c r="G671" s="3">
        <f t="shared" si="1"/>
        <v>1</v>
      </c>
      <c r="H671" s="3" t="str">
        <f>IFERROR(__xludf.DUMMYFUNCTION("IFERROR(TRANSPOSE(FILTER('Peer-Review'!$J$2:$J$568,(TRIM('Peer-Review'!$B$2:$B$568)=C671 )+ (TRIM('Peer-Review'!$F$2:$F$568)=C671))),""No Reviews"")"),"23ds2000095@ds.study.iitm.ac.in")</f>
        <v>23ds2000095@ds.study.iitm.ac.in</v>
      </c>
      <c r="I671" s="3" t="str">
        <f>IFERROR(__xludf.DUMMYFUNCTION("""COMPUTED_VALUE"""),"23f3002262@ds.study.iitm.ac.in")</f>
        <v>23f3002262@ds.study.iitm.ac.in</v>
      </c>
      <c r="J671" s="3">
        <f>IF(D671="No R1",0,VLOOKUP(C671,'Peer-Review'!B:D,2,0))</f>
        <v>8</v>
      </c>
      <c r="K671" s="3">
        <f>IF(D671="No R1",0,VLOOKUP(C671,'Peer-Review'!B:D,3,0))</f>
        <v>0</v>
      </c>
      <c r="L671" s="3">
        <f>IF(E671="No R2",0,VLOOKUP(C671,'Peer-Review'!F:H,2,0))</f>
        <v>0</v>
      </c>
      <c r="M671" s="3">
        <f>IF(E671="No R2",0,VLOOKUP(C671,'Peer-Review'!F:H,3,0))</f>
        <v>0</v>
      </c>
    </row>
    <row r="672" hidden="1">
      <c r="A672" s="3" t="str">
        <f>IFERROR(__xludf.DUMMYFUNCTION("""COMPUTED_VALUE"""),"23f2005597@ds.study.iitm.ac.in")</f>
        <v>23f2005597@ds.study.iitm.ac.in</v>
      </c>
      <c r="B672" s="3">
        <f>IFERROR(__xludf.DUMMYFUNCTION("""COMPUTED_VALUE"""),10.0)</f>
        <v>10</v>
      </c>
      <c r="C672" s="5" t="str">
        <f>IFERROR(__xludf.DUMMYFUNCTION("""COMPUTED_VALUE"""),"https://github.com/shriman-narayan-iitm/Barcelona")</f>
        <v>https://github.com/shriman-narayan-iitm/Barcelona</v>
      </c>
      <c r="D672" s="3" t="str">
        <f>IFERROR(VLOOKUP(C672,'Peer-Review'!B:J,9,0),"No R1")</f>
        <v>23f1002850@ds.study.iitm.ac.in</v>
      </c>
      <c r="E672" s="3" t="str">
        <f>IFERROR(VLOOKUP(C672,'Peer-Review'!F:J,5,0),"No R2")</f>
        <v>No R2</v>
      </c>
      <c r="F672" s="3">
        <f>COUNTIF('Peer-Review'!B:B,C672)+COUNTIF('Peer-Review'!F:F,C672)</f>
        <v>1</v>
      </c>
      <c r="G672" s="3">
        <f t="shared" si="1"/>
        <v>1</v>
      </c>
      <c r="H672" s="3" t="str">
        <f>IFERROR(__xludf.DUMMYFUNCTION("IFERROR(TRANSPOSE(FILTER('Peer-Review'!$J$2:$J$568,(TRIM('Peer-Review'!$B$2:$B$568)=C672 )+ (TRIM('Peer-Review'!$F$2:$F$568)=C672))),""No Reviews"")"),"23f1002850@ds.study.iitm.ac.in")</f>
        <v>23f1002850@ds.study.iitm.ac.in</v>
      </c>
      <c r="J672" s="3">
        <f>IF(D672="No R1",0,VLOOKUP(C672,'Peer-Review'!B:D,2,0))</f>
        <v>10</v>
      </c>
      <c r="K672" s="3">
        <f>IF(D672="No R1",0,VLOOKUP(C672,'Peer-Review'!B:D,3,0))</f>
        <v>10</v>
      </c>
      <c r="L672" s="3">
        <f>IF(E672="No R2",0,VLOOKUP(C672,'Peer-Review'!F:H,2,0))</f>
        <v>0</v>
      </c>
      <c r="M672" s="3">
        <f>IF(E672="No R2",0,VLOOKUP(C672,'Peer-Review'!F:H,3,0))</f>
        <v>0</v>
      </c>
    </row>
    <row r="673" hidden="1">
      <c r="A673" s="3" t="str">
        <f>IFERROR(__xludf.DUMMYFUNCTION("""COMPUTED_VALUE"""),"23f2005698@ds.study.iitm.ac.in")</f>
        <v>23f2005698@ds.study.iitm.ac.in</v>
      </c>
      <c r="B673" s="3">
        <f>IFERROR(__xludf.DUMMYFUNCTION("""COMPUTED_VALUE"""),0.0)</f>
        <v>0</v>
      </c>
      <c r="C673" s="5" t="str">
        <f>IFERROR(__xludf.DUMMYFUNCTION("""COMPUTED_VALUE"""),"https://github.com/godisgreate/correct1")</f>
        <v>https://github.com/godisgreate/correct1</v>
      </c>
      <c r="D673" s="3" t="str">
        <f>IFERROR(VLOOKUP(C673,'Peer-Review'!B:J,9,0),"No R1")</f>
        <v>No R1</v>
      </c>
      <c r="E673" s="3" t="str">
        <f>IFERROR(VLOOKUP(C673,'Peer-Review'!F:J,5,0),"No R2")</f>
        <v>No R2</v>
      </c>
      <c r="F673" s="3">
        <f>COUNTIF('Peer-Review'!B:B,C673)+COUNTIF('Peer-Review'!F:F,C673)</f>
        <v>0</v>
      </c>
      <c r="G673" s="3">
        <f t="shared" si="1"/>
        <v>0</v>
      </c>
      <c r="H673" s="3" t="str">
        <f>IFERROR(__xludf.DUMMYFUNCTION("IFERROR(TRANSPOSE(FILTER('Peer-Review'!$J$2:$J$568,(TRIM('Peer-Review'!$B$2:$B$568)=C673 )+ (TRIM('Peer-Review'!$F$2:$F$568)=C673))),""No Reviews"")"),"No Reviews")</f>
        <v>No Reviews</v>
      </c>
      <c r="J673" s="3">
        <f>IF(D673="No R1",0,VLOOKUP(C673,'Peer-Review'!B:D,2,0))</f>
        <v>0</v>
      </c>
      <c r="K673" s="3">
        <f>IF(D673="No R1",0,VLOOKUP(C673,'Peer-Review'!B:D,3,0))</f>
        <v>0</v>
      </c>
      <c r="L673" s="3">
        <f>IF(E673="No R2",0,VLOOKUP(C673,'Peer-Review'!F:H,2,0))</f>
        <v>0</v>
      </c>
      <c r="M673" s="3">
        <f>IF(E673="No R2",0,VLOOKUP(C673,'Peer-Review'!F:H,3,0))</f>
        <v>0</v>
      </c>
    </row>
    <row r="674" hidden="1">
      <c r="A674" s="3" t="str">
        <f>IFERROR(__xludf.DUMMYFUNCTION("""COMPUTED_VALUE"""),"23f3000169@ds.study.iitm.ac.in")</f>
        <v>23f3000169@ds.study.iitm.ac.in</v>
      </c>
      <c r="B674" s="3">
        <f>IFERROR(__xludf.DUMMYFUNCTION("""COMPUTED_VALUE"""),17.0)</f>
        <v>17</v>
      </c>
      <c r="C674" s="5" t="str">
        <f>IFERROR(__xludf.DUMMYFUNCTION("""COMPUTED_VALUE"""),"https://github.com/ashwiniitm/tdsProject1")</f>
        <v>https://github.com/ashwiniitm/tdsProject1</v>
      </c>
      <c r="D674" s="3" t="str">
        <f>IFERROR(VLOOKUP(C674,'Peer-Review'!B:J,9,0),"No R1")</f>
        <v>No R1</v>
      </c>
      <c r="E674" s="3" t="str">
        <f>IFERROR(VLOOKUP(C674,'Peer-Review'!F:J,5,0),"No R2")</f>
        <v>23f1000602@ds.study.iitm.ac.in</v>
      </c>
      <c r="F674" s="3">
        <f>COUNTIF('Peer-Review'!B:B,C674)+COUNTIF('Peer-Review'!F:F,C674)</f>
        <v>2</v>
      </c>
      <c r="G674" s="3">
        <f t="shared" si="1"/>
        <v>1</v>
      </c>
      <c r="H674" s="3" t="str">
        <f>IFERROR(__xludf.DUMMYFUNCTION("IFERROR(TRANSPOSE(FILTER('Peer-Review'!$J$2:$J$568,(TRIM('Peer-Review'!$B$2:$B$568)=C674 )+ (TRIM('Peer-Review'!$F$2:$F$568)=C674))),""No Reviews"")"),"23f1000602@ds.study.iitm.ac.in")</f>
        <v>23f1000602@ds.study.iitm.ac.in</v>
      </c>
      <c r="I674" s="3" t="str">
        <f>IFERROR(__xludf.DUMMYFUNCTION("""COMPUTED_VALUE"""),"23f2005375@ds.study.iitm.ac.in")</f>
        <v>23f2005375@ds.study.iitm.ac.in</v>
      </c>
      <c r="J674" s="3">
        <f>IF(D674="No R1",0,VLOOKUP(C674,'Peer-Review'!B:D,2,0))</f>
        <v>0</v>
      </c>
      <c r="K674" s="3">
        <f>IF(D674="No R1",0,VLOOKUP(C674,'Peer-Review'!B:D,3,0))</f>
        <v>0</v>
      </c>
      <c r="L674" s="3">
        <f>IF(E674="No R2",0,VLOOKUP(C674,'Peer-Review'!F:H,2,0))</f>
        <v>10</v>
      </c>
      <c r="M674" s="3">
        <f>IF(E674="No R2",0,VLOOKUP(C674,'Peer-Review'!F:H,3,0))</f>
        <v>10</v>
      </c>
    </row>
    <row r="675" hidden="1">
      <c r="A675" s="3" t="str">
        <f>IFERROR(__xludf.DUMMYFUNCTION("""COMPUTED_VALUE"""),"23f3000846@ds.study.iitm.ac.in")</f>
        <v>23f3000846@ds.study.iitm.ac.in</v>
      </c>
      <c r="B675" s="3">
        <f>IFERROR(__xludf.DUMMYFUNCTION("""COMPUTED_VALUE"""),12.0)</f>
        <v>12</v>
      </c>
      <c r="C675" s="5" t="str">
        <f>IFERROR(__xludf.DUMMYFUNCTION("""COMPUTED_VALUE"""),"https://github.com/navuexists/tds-project-1-navya")</f>
        <v>https://github.com/navuexists/tds-project-1-navya</v>
      </c>
      <c r="D675" s="3" t="str">
        <f>IFERROR(VLOOKUP(C675,'Peer-Review'!B:J,9,0),"No R1")</f>
        <v>23f3001129@ds.study.iitm.ac.in</v>
      </c>
      <c r="E675" s="3" t="str">
        <f>IFERROR(VLOOKUP(C675,'Peer-Review'!F:J,5,0),"No R2")</f>
        <v>No R2</v>
      </c>
      <c r="F675" s="3">
        <f>COUNTIF('Peer-Review'!B:B,C675)+COUNTIF('Peer-Review'!F:F,C675)</f>
        <v>2</v>
      </c>
      <c r="G675" s="3">
        <f t="shared" si="1"/>
        <v>1</v>
      </c>
      <c r="H675" s="3" t="str">
        <f>IFERROR(__xludf.DUMMYFUNCTION("IFERROR(TRANSPOSE(FILTER('Peer-Review'!$J$2:$J$568,(TRIM('Peer-Review'!$B$2:$B$568)=C675 )+ (TRIM('Peer-Review'!$F$2:$F$568)=C675))),""No Reviews"")"),"23f3001129@ds.study.iitm.ac.in")</f>
        <v>23f3001129@ds.study.iitm.ac.in</v>
      </c>
      <c r="I675" s="3" t="str">
        <f>IFERROR(__xludf.DUMMYFUNCTION("""COMPUTED_VALUE"""),"21f3001656@ds.study.iitm.ac.in")</f>
        <v>21f3001656@ds.study.iitm.ac.in</v>
      </c>
      <c r="J675" s="3">
        <f>IF(D675="No R1",0,VLOOKUP(C675,'Peer-Review'!B:D,2,0))</f>
        <v>9</v>
      </c>
      <c r="K675" s="3">
        <f>IF(D675="No R1",0,VLOOKUP(C675,'Peer-Review'!B:D,3,0))</f>
        <v>10</v>
      </c>
      <c r="L675" s="3">
        <f>IF(E675="No R2",0,VLOOKUP(C675,'Peer-Review'!F:H,2,0))</f>
        <v>0</v>
      </c>
      <c r="M675" s="3">
        <f>IF(E675="No R2",0,VLOOKUP(C675,'Peer-Review'!F:H,3,0))</f>
        <v>0</v>
      </c>
    </row>
    <row r="676" hidden="1">
      <c r="A676" s="3" t="str">
        <f>IFERROR(__xludf.DUMMYFUNCTION("""COMPUTED_VALUE"""),"23f3001129@ds.study.iitm.ac.in")</f>
        <v>23f3001129@ds.study.iitm.ac.in</v>
      </c>
      <c r="B676" s="3">
        <f>IFERROR(__xludf.DUMMYFUNCTION("""COMPUTED_VALUE"""),12.0)</f>
        <v>12</v>
      </c>
      <c r="C676" s="5" t="str">
        <f>IFERROR(__xludf.DUMMYFUNCTION("""COMPUTED_VALUE"""),"https://github.com/Alizalily/TDS_Project1")</f>
        <v>https://github.com/Alizalily/TDS_Project1</v>
      </c>
      <c r="D676" s="3" t="str">
        <f>IFERROR(VLOOKUP(C676,'Peer-Review'!B:J,9,0),"No R1")</f>
        <v>21f3001800@ds.study.iitm.ac.in</v>
      </c>
      <c r="E676" s="3" t="str">
        <f>IFERROR(VLOOKUP(C676,'Peer-Review'!F:J,5,0),"No R2")</f>
        <v>No R2</v>
      </c>
      <c r="F676" s="3">
        <f>COUNTIF('Peer-Review'!B:B,C676)+COUNTIF('Peer-Review'!F:F,C676)</f>
        <v>2</v>
      </c>
      <c r="G676" s="3">
        <f t="shared" si="1"/>
        <v>1</v>
      </c>
      <c r="H676" s="3" t="str">
        <f>IFERROR(__xludf.DUMMYFUNCTION("IFERROR(TRANSPOSE(FILTER('Peer-Review'!$J$2:$J$568,(TRIM('Peer-Review'!$B$2:$B$568)=C676 )+ (TRIM('Peer-Review'!$F$2:$F$568)=C676))),""No Reviews"")"),"21f3001800@ds.study.iitm.ac.in")</f>
        <v>21f3001800@ds.study.iitm.ac.in</v>
      </c>
      <c r="I676" s="3" t="str">
        <f>IFERROR(__xludf.DUMMYFUNCTION("""COMPUTED_VALUE"""),"23f3001831@ds.study.iitm.ac.in")</f>
        <v>23f3001831@ds.study.iitm.ac.in</v>
      </c>
      <c r="J676" s="3">
        <f>IF(D676="No R1",0,VLOOKUP(C676,'Peer-Review'!B:D,2,0))</f>
        <v>10</v>
      </c>
      <c r="K676" s="3">
        <f>IF(D676="No R1",0,VLOOKUP(C676,'Peer-Review'!B:D,3,0))</f>
        <v>10</v>
      </c>
      <c r="L676" s="3">
        <f>IF(E676="No R2",0,VLOOKUP(C676,'Peer-Review'!F:H,2,0))</f>
        <v>0</v>
      </c>
      <c r="M676" s="3">
        <f>IF(E676="No R2",0,VLOOKUP(C676,'Peer-Review'!F:H,3,0))</f>
        <v>0</v>
      </c>
    </row>
    <row r="677" hidden="1">
      <c r="A677" s="3" t="str">
        <f>IFERROR(__xludf.DUMMYFUNCTION("""COMPUTED_VALUE"""),"23f3001320@ds.study.iitm.ac.in")</f>
        <v>23f3001320@ds.study.iitm.ac.in</v>
      </c>
      <c r="B677" s="3">
        <f>IFERROR(__xludf.DUMMYFUNCTION("""COMPUTED_VALUE"""),17.0)</f>
        <v>17</v>
      </c>
      <c r="C677" s="5" t="str">
        <f>IFERROR(__xludf.DUMMYFUNCTION("""COMPUTED_VALUE"""),"https://github.com/ekxnsh22005/TDS-Project")</f>
        <v>https://github.com/ekxnsh22005/TDS-Project</v>
      </c>
      <c r="D677" s="3" t="str">
        <f>IFERROR(VLOOKUP(C677,'Peer-Review'!B:J,9,0),"No R1")</f>
        <v>No R1</v>
      </c>
      <c r="E677" s="3" t="str">
        <f>IFERROR(VLOOKUP(C677,'Peer-Review'!F:J,5,0),"No R2")</f>
        <v>23f3000169@ds.study.iitm.ac.in</v>
      </c>
      <c r="F677" s="3">
        <f>COUNTIF('Peer-Review'!B:B,C677)+COUNTIF('Peer-Review'!F:F,C677)</f>
        <v>1</v>
      </c>
      <c r="G677" s="3">
        <f t="shared" si="1"/>
        <v>1</v>
      </c>
      <c r="H677" s="3" t="str">
        <f>IFERROR(__xludf.DUMMYFUNCTION("IFERROR(TRANSPOSE(FILTER('Peer-Review'!$J$2:$J$568,(TRIM('Peer-Review'!$B$2:$B$568)=C677 )+ (TRIM('Peer-Review'!$F$2:$F$568)=C677))),""No Reviews"")"),"23f3000169@ds.study.iitm.ac.in")</f>
        <v>23f3000169@ds.study.iitm.ac.in</v>
      </c>
      <c r="J677" s="3">
        <f>IF(D677="No R1",0,VLOOKUP(C677,'Peer-Review'!B:D,2,0))</f>
        <v>0</v>
      </c>
      <c r="K677" s="3">
        <f>IF(D677="No R1",0,VLOOKUP(C677,'Peer-Review'!B:D,3,0))</f>
        <v>0</v>
      </c>
      <c r="L677" s="3">
        <f>IF(E677="No R2",0,VLOOKUP(C677,'Peer-Review'!F:H,2,0))</f>
        <v>10</v>
      </c>
      <c r="M677" s="3">
        <f>IF(E677="No R2",0,VLOOKUP(C677,'Peer-Review'!F:H,3,0))</f>
        <v>10</v>
      </c>
    </row>
    <row r="678" hidden="1">
      <c r="A678" s="3" t="str">
        <f>IFERROR(__xludf.DUMMYFUNCTION("""COMPUTED_VALUE"""),"23f3001322@ds.study.iitm.ac.in")</f>
        <v>23f3001322@ds.study.iitm.ac.in</v>
      </c>
      <c r="B678" s="3">
        <f>IFERROR(__xludf.DUMMYFUNCTION("""COMPUTED_VALUE"""),17.0)</f>
        <v>17</v>
      </c>
      <c r="C678" s="5" t="str">
        <f>IFERROR(__xludf.DUMMYFUNCTION("""COMPUTED_VALUE"""),"https://github.com/Harini-commits/stockholm-github-users")</f>
        <v>https://github.com/Harini-commits/stockholm-github-users</v>
      </c>
      <c r="D678" s="3" t="str">
        <f>IFERROR(VLOOKUP(C678,'Peer-Review'!B:J,9,0),"No R1")</f>
        <v>No R1</v>
      </c>
      <c r="E678" s="3" t="str">
        <f>IFERROR(VLOOKUP(C678,'Peer-Review'!F:J,5,0),"No R2")</f>
        <v>23f1001673@ds.study.iitm.ac.in</v>
      </c>
      <c r="F678" s="3">
        <f>COUNTIF('Peer-Review'!B:B,C678)+COUNTIF('Peer-Review'!F:F,C678)</f>
        <v>2</v>
      </c>
      <c r="G678" s="3">
        <f t="shared" si="1"/>
        <v>1</v>
      </c>
      <c r="H678" s="3" t="str">
        <f>IFERROR(__xludf.DUMMYFUNCTION("IFERROR(TRANSPOSE(FILTER('Peer-Review'!$J$2:$J$568,(TRIM('Peer-Review'!$B$2:$B$568)=C678 )+ (TRIM('Peer-Review'!$F$2:$F$568)=C678))),""No Reviews"")"),"23f1001673@ds.study.iitm.ac.in")</f>
        <v>23f1001673@ds.study.iitm.ac.in</v>
      </c>
      <c r="I678" s="3" t="str">
        <f>IFERROR(__xludf.DUMMYFUNCTION("""COMPUTED_VALUE"""),"23f3001320@ds.study.iitm.ac.in")</f>
        <v>23f3001320@ds.study.iitm.ac.in</v>
      </c>
      <c r="J678" s="3">
        <f>IF(D678="No R1",0,VLOOKUP(C678,'Peer-Review'!B:D,2,0))</f>
        <v>0</v>
      </c>
      <c r="K678" s="3">
        <f>IF(D678="No R1",0,VLOOKUP(C678,'Peer-Review'!B:D,3,0))</f>
        <v>0</v>
      </c>
      <c r="L678" s="3">
        <f>IF(E678="No R2",0,VLOOKUP(C678,'Peer-Review'!F:H,2,0))</f>
        <v>10</v>
      </c>
      <c r="M678" s="3">
        <f>IF(E678="No R2",0,VLOOKUP(C678,'Peer-Review'!F:H,3,0))</f>
        <v>9</v>
      </c>
    </row>
    <row r="679" hidden="1">
      <c r="A679" s="3" t="str">
        <f>IFERROR(__xludf.DUMMYFUNCTION("""COMPUTED_VALUE"""),"23f3001470@ds.study.iitm.ac.in")</f>
        <v>23f3001470@ds.study.iitm.ac.in</v>
      </c>
      <c r="B679" s="3">
        <f>IFERROR(__xludf.DUMMYFUNCTION("""COMPUTED_VALUE"""),17.0)</f>
        <v>17</v>
      </c>
      <c r="C679" s="5" t="str">
        <f>IFERROR(__xludf.DUMMYFUNCTION("""COMPUTED_VALUE"""),"https://github.com/Abhinav3499/TDS_Project_1")</f>
        <v>https://github.com/Abhinav3499/TDS_Project_1</v>
      </c>
      <c r="D679" s="3" t="str">
        <f>IFERROR(VLOOKUP(C679,'Peer-Review'!B:J,9,0),"No R1")</f>
        <v>No R1</v>
      </c>
      <c r="E679" s="3" t="str">
        <f>IFERROR(VLOOKUP(C679,'Peer-Review'!F:J,5,0),"No R2")</f>
        <v>23f3001322@ds.study.iitm.ac.in</v>
      </c>
      <c r="F679" s="3">
        <f>COUNTIF('Peer-Review'!B:B,C679)+COUNTIF('Peer-Review'!F:F,C679)</f>
        <v>1</v>
      </c>
      <c r="G679" s="3">
        <f t="shared" si="1"/>
        <v>1</v>
      </c>
      <c r="H679" s="3" t="str">
        <f>IFERROR(__xludf.DUMMYFUNCTION("IFERROR(TRANSPOSE(FILTER('Peer-Review'!$J$2:$J$568,(TRIM('Peer-Review'!$B$2:$B$568)=C679 )+ (TRIM('Peer-Review'!$F$2:$F$568)=C679))),""No Reviews"")"),"23f3001322@ds.study.iitm.ac.in")</f>
        <v>23f3001322@ds.study.iitm.ac.in</v>
      </c>
      <c r="J679" s="3">
        <f>IF(D679="No R1",0,VLOOKUP(C679,'Peer-Review'!B:D,2,0))</f>
        <v>0</v>
      </c>
      <c r="K679" s="3">
        <f>IF(D679="No R1",0,VLOOKUP(C679,'Peer-Review'!B:D,3,0))</f>
        <v>0</v>
      </c>
      <c r="L679" s="3">
        <f>IF(E679="No R2",0,VLOOKUP(C679,'Peer-Review'!F:H,2,0))</f>
        <v>10</v>
      </c>
      <c r="M679" s="3">
        <f>IF(E679="No R2",0,VLOOKUP(C679,'Peer-Review'!F:H,3,0))</f>
        <v>10</v>
      </c>
    </row>
    <row r="680" hidden="1">
      <c r="A680" s="3" t="str">
        <f>IFERROR(__xludf.DUMMYFUNCTION("""COMPUTED_VALUE"""),"23f3001726@ds.study.iitm.ac.in")</f>
        <v>23f3001726@ds.study.iitm.ac.in</v>
      </c>
      <c r="B680" s="3">
        <f>IFERROR(__xludf.DUMMYFUNCTION("""COMPUTED_VALUE"""),17.0)</f>
        <v>17</v>
      </c>
      <c r="C680" s="5" t="str">
        <f>IFERROR(__xludf.DUMMYFUNCTION("""COMPUTED_VALUE"""),"https://github.com/23f3001726/p1-tds")</f>
        <v>https://github.com/23f3001726/p1-tds</v>
      </c>
      <c r="D680" s="3" t="str">
        <f>IFERROR(VLOOKUP(C680,'Peer-Review'!B:J,9,0),"No R1")</f>
        <v>No R1</v>
      </c>
      <c r="E680" s="3" t="str">
        <f>IFERROR(VLOOKUP(C680,'Peer-Review'!F:J,5,0),"No R2")</f>
        <v>23f3001470@ds.study.iitm.ac.in</v>
      </c>
      <c r="F680" s="3">
        <f>COUNTIF('Peer-Review'!B:B,C680)+COUNTIF('Peer-Review'!F:F,C680)</f>
        <v>2</v>
      </c>
      <c r="G680" s="3">
        <f t="shared" si="1"/>
        <v>1</v>
      </c>
      <c r="H680" s="3" t="str">
        <f>IFERROR(__xludf.DUMMYFUNCTION("IFERROR(TRANSPOSE(FILTER('Peer-Review'!$J$2:$J$568,(TRIM('Peer-Review'!$B$2:$B$568)=C680 )+ (TRIM('Peer-Review'!$F$2:$F$568)=C680))),""No Reviews"")"),"23f3001470@ds.study.iitm.ac.in")</f>
        <v>23f3001470@ds.study.iitm.ac.in</v>
      </c>
      <c r="I680" s="3" t="str">
        <f>IFERROR(__xludf.DUMMYFUNCTION("""COMPUTED_VALUE"""),"23f1002374@ds.study.iitm.ac.in")</f>
        <v>23f1002374@ds.study.iitm.ac.in</v>
      </c>
      <c r="J680" s="3">
        <f>IF(D680="No R1",0,VLOOKUP(C680,'Peer-Review'!B:D,2,0))</f>
        <v>0</v>
      </c>
      <c r="K680" s="3">
        <f>IF(D680="No R1",0,VLOOKUP(C680,'Peer-Review'!B:D,3,0))</f>
        <v>0</v>
      </c>
      <c r="L680" s="3">
        <f>IF(E680="No R2",0,VLOOKUP(C680,'Peer-Review'!F:H,2,0))</f>
        <v>4</v>
      </c>
      <c r="M680" s="3">
        <f>IF(E680="No R2",0,VLOOKUP(C680,'Peer-Review'!F:H,3,0))</f>
        <v>7</v>
      </c>
    </row>
    <row r="681" hidden="1">
      <c r="A681" s="3" t="str">
        <f>IFERROR(__xludf.DUMMYFUNCTION("""COMPUTED_VALUE"""),"23f3001831@ds.study.iitm.ac.in")</f>
        <v>23f3001831@ds.study.iitm.ac.in</v>
      </c>
      <c r="B681" s="3">
        <f>IFERROR(__xludf.DUMMYFUNCTION("""COMPUTED_VALUE"""),12.0)</f>
        <v>12</v>
      </c>
      <c r="C681" s="5" t="str">
        <f>IFERROR(__xludf.DUMMYFUNCTION("""COMPUTED_VALUE"""),"https://github.com/tanmayi-iitm/Tanmayi_project_1")</f>
        <v>https://github.com/tanmayi-iitm/Tanmayi_project_1</v>
      </c>
      <c r="D681" s="3" t="str">
        <f>IFERROR(VLOOKUP(C681,'Peer-Review'!B:J,9,0),"No R1")</f>
        <v>21f3001858@ds.study.iitm.ac.in</v>
      </c>
      <c r="E681" s="3" t="str">
        <f>IFERROR(VLOOKUP(C681,'Peer-Review'!F:J,5,0),"No R2")</f>
        <v>No R2</v>
      </c>
      <c r="F681" s="3">
        <f>COUNTIF('Peer-Review'!B:B,C681)+COUNTIF('Peer-Review'!F:F,C681)</f>
        <v>1</v>
      </c>
      <c r="G681" s="3">
        <f t="shared" si="1"/>
        <v>1</v>
      </c>
      <c r="H681" s="3" t="str">
        <f>IFERROR(__xludf.DUMMYFUNCTION("IFERROR(TRANSPOSE(FILTER('Peer-Review'!$J$2:$J$568,(TRIM('Peer-Review'!$B$2:$B$568)=C681 )+ (TRIM('Peer-Review'!$F$2:$F$568)=C681))),""No Reviews"")"),"21f3001858@ds.study.iitm.ac.in")</f>
        <v>21f3001858@ds.study.iitm.ac.in</v>
      </c>
      <c r="J681" s="3">
        <f>IF(D681="No R1",0,VLOOKUP(C681,'Peer-Review'!B:D,2,0))</f>
        <v>7</v>
      </c>
      <c r="K681" s="3">
        <f>IF(D681="No R1",0,VLOOKUP(C681,'Peer-Review'!B:D,3,0))</f>
        <v>9</v>
      </c>
      <c r="L681" s="3">
        <f>IF(E681="No R2",0,VLOOKUP(C681,'Peer-Review'!F:H,2,0))</f>
        <v>0</v>
      </c>
      <c r="M681" s="3">
        <f>IF(E681="No R2",0,VLOOKUP(C681,'Peer-Review'!F:H,3,0))</f>
        <v>0</v>
      </c>
    </row>
    <row r="682">
      <c r="A682" s="3" t="str">
        <f>IFERROR(__xludf.DUMMYFUNCTION("""COMPUTED_VALUE"""),"23f3001987@ds.study.iitm.ac.in")</f>
        <v>23f3001987@ds.study.iitm.ac.in</v>
      </c>
      <c r="B682" s="3">
        <f>IFERROR(__xludf.DUMMYFUNCTION("""COMPUTED_VALUE"""),0.0)</f>
        <v>0</v>
      </c>
      <c r="C682" s="3"/>
      <c r="D682" s="3" t="str">
        <f>IFERROR(VLOOKUP(C682,'Peer-Review'!B:J,9,0),"No R1")</f>
        <v>No R1</v>
      </c>
      <c r="E682" s="3" t="str">
        <f>IFERROR(VLOOKUP(C682,'Peer-Review'!F:J,5,0),"No R2")</f>
        <v>No R2</v>
      </c>
      <c r="F682" s="3">
        <f>COUNTIF('Peer-Review'!B:B,C682)+COUNTIF('Peer-Review'!F:F,C682)</f>
        <v>0</v>
      </c>
      <c r="G682" s="3">
        <f t="shared" si="1"/>
        <v>0</v>
      </c>
      <c r="H682" s="3" t="str">
        <f>IFERROR(__xludf.DUMMYFUNCTION("IFERROR(TRANSPOSE(FILTER('Peer-Review'!$J$2:$J$568,(TRIM('Peer-Review'!$B$2:$B$568)=C682 )+ (TRIM('Peer-Review'!$F$2:$F$568)=C682))),""No Reviews"")"),"No Reviews")</f>
        <v>No Reviews</v>
      </c>
      <c r="J682" s="3">
        <f>IF(D682="No R1",0,VLOOKUP(C682,'Peer-Review'!B:D,2,0))</f>
        <v>0</v>
      </c>
      <c r="K682" s="3">
        <f>IF(D682="No R1",0,VLOOKUP(C682,'Peer-Review'!B:D,3,0))</f>
        <v>0</v>
      </c>
      <c r="L682" s="3">
        <f>IF(E682="No R2",0,VLOOKUP(C682,'Peer-Review'!F:H,2,0))</f>
        <v>0</v>
      </c>
      <c r="M682" s="3">
        <f>IF(E682="No R2",0,VLOOKUP(C682,'Peer-Review'!F:H,3,0))</f>
        <v>0</v>
      </c>
    </row>
    <row r="683" hidden="1">
      <c r="A683" s="3" t="str">
        <f>IFERROR(__xludf.DUMMYFUNCTION("""COMPUTED_VALUE"""),"23f3002086@ds.study.iitm.ac.in")</f>
        <v>23f3002086@ds.study.iitm.ac.in</v>
      </c>
      <c r="B683" s="3">
        <f>IFERROR(__xludf.DUMMYFUNCTION("""COMPUTED_VALUE"""),14.0)</f>
        <v>14</v>
      </c>
      <c r="C683" s="5" t="str">
        <f>IFERROR(__xludf.DUMMYFUNCTION("""COMPUTED_VALUE"""),"https://github.com/devp1866/tds_project_1")</f>
        <v>https://github.com/devp1866/tds_project_1</v>
      </c>
      <c r="D683" s="3" t="str">
        <f>IFERROR(VLOOKUP(C683,'Peer-Review'!B:J,9,0),"No R1")</f>
        <v>23f1002688@ds.study.iitm.ac.in</v>
      </c>
      <c r="E683" s="3" t="str">
        <f>IFERROR(VLOOKUP(C683,'Peer-Review'!F:J,5,0),"No R2")</f>
        <v>No R2</v>
      </c>
      <c r="F683" s="3">
        <f>COUNTIF('Peer-Review'!B:B,C683)+COUNTIF('Peer-Review'!F:F,C683)</f>
        <v>1</v>
      </c>
      <c r="G683" s="3">
        <f t="shared" si="1"/>
        <v>1</v>
      </c>
      <c r="H683" s="3" t="str">
        <f>IFERROR(__xludf.DUMMYFUNCTION("IFERROR(TRANSPOSE(FILTER('Peer-Review'!$J$2:$J$568,(TRIM('Peer-Review'!$B$2:$B$568)=C683 )+ (TRIM('Peer-Review'!$F$2:$F$568)=C683))),""No Reviews"")"),"23f1002688@ds.study.iitm.ac.in")</f>
        <v>23f1002688@ds.study.iitm.ac.in</v>
      </c>
      <c r="J683" s="3">
        <f>IF(D683="No R1",0,VLOOKUP(C683,'Peer-Review'!B:D,2,0))</f>
        <v>5</v>
      </c>
      <c r="K683" s="3">
        <f>IF(D683="No R1",0,VLOOKUP(C683,'Peer-Review'!B:D,3,0))</f>
        <v>5</v>
      </c>
      <c r="L683" s="3">
        <f>IF(E683="No R2",0,VLOOKUP(C683,'Peer-Review'!F:H,2,0))</f>
        <v>0</v>
      </c>
      <c r="M683" s="3">
        <f>IF(E683="No R2",0,VLOOKUP(C683,'Peer-Review'!F:H,3,0))</f>
        <v>0</v>
      </c>
    </row>
    <row r="684" hidden="1">
      <c r="A684" s="3" t="str">
        <f>IFERROR(__xludf.DUMMYFUNCTION("""COMPUTED_VALUE"""),"23f3002189@ds.study.iitm.ac.in")</f>
        <v>23f3002189@ds.study.iitm.ac.in</v>
      </c>
      <c r="B684" s="3">
        <f>IFERROR(__xludf.DUMMYFUNCTION("""COMPUTED_VALUE"""),16.0)</f>
        <v>16</v>
      </c>
      <c r="C684" s="5" t="str">
        <f>IFERROR(__xludf.DUMMYFUNCTION("""COMPUTED_VALUE"""),"https://github.com/aerosibin/TDS_Pro-1")</f>
        <v>https://github.com/aerosibin/TDS_Pro-1</v>
      </c>
      <c r="D684" s="3" t="str">
        <f>IFERROR(VLOOKUP(C684,'Peer-Review'!B:J,9,0),"No R1")</f>
        <v>No R1</v>
      </c>
      <c r="E684" s="3" t="str">
        <f>IFERROR(VLOOKUP(C684,'Peer-Review'!F:J,5,0),"No R2")</f>
        <v>22f3000946@ds.study.iitm.ac.in</v>
      </c>
      <c r="F684" s="3">
        <f>COUNTIF('Peer-Review'!B:B,C684)+COUNTIF('Peer-Review'!F:F,C684)</f>
        <v>1</v>
      </c>
      <c r="G684" s="3">
        <f t="shared" si="1"/>
        <v>1</v>
      </c>
      <c r="H684" s="3" t="str">
        <f>IFERROR(__xludf.DUMMYFUNCTION("IFERROR(TRANSPOSE(FILTER('Peer-Review'!$J$2:$J$568,(TRIM('Peer-Review'!$B$2:$B$568)=C684 )+ (TRIM('Peer-Review'!$F$2:$F$568)=C684))),""No Reviews"")"),"22f3000946@ds.study.iitm.ac.in")</f>
        <v>22f3000946@ds.study.iitm.ac.in</v>
      </c>
      <c r="J684" s="3">
        <f>IF(D684="No R1",0,VLOOKUP(C684,'Peer-Review'!B:D,2,0))</f>
        <v>0</v>
      </c>
      <c r="K684" s="3">
        <f>IF(D684="No R1",0,VLOOKUP(C684,'Peer-Review'!B:D,3,0))</f>
        <v>0</v>
      </c>
      <c r="L684" s="3">
        <f>IF(E684="No R2",0,VLOOKUP(C684,'Peer-Review'!F:H,2,0))</f>
        <v>9</v>
      </c>
      <c r="M684" s="3">
        <f>IF(E684="No R2",0,VLOOKUP(C684,'Peer-Review'!F:H,3,0))</f>
        <v>9</v>
      </c>
    </row>
    <row r="685" hidden="1">
      <c r="A685" s="3" t="str">
        <f>IFERROR(__xludf.DUMMYFUNCTION("""COMPUTED_VALUE"""),"23f3002262@ds.study.iitm.ac.in")</f>
        <v>23f3002262@ds.study.iitm.ac.in</v>
      </c>
      <c r="B685" s="3">
        <f>IFERROR(__xludf.DUMMYFUNCTION("""COMPUTED_VALUE"""),9.0)</f>
        <v>9</v>
      </c>
      <c r="C685" s="5" t="str">
        <f>IFERROR(__xludf.DUMMYFUNCTION("""COMPUTED_VALUE"""),"https://github.com/stu2262/IITM_TDS_Proj1")</f>
        <v>https://github.com/stu2262/IITM_TDS_Proj1</v>
      </c>
      <c r="D685" s="3" t="str">
        <f>IFERROR(VLOOKUP(C685,'Peer-Review'!B:J,9,0),"No R1")</f>
        <v>21f3000628@ds.study.iitm.ac.in</v>
      </c>
      <c r="E685" s="3" t="str">
        <f>IFERROR(VLOOKUP(C685,'Peer-Review'!F:J,5,0),"No R2")</f>
        <v>No R2</v>
      </c>
      <c r="F685" s="3">
        <f>COUNTIF('Peer-Review'!B:B,C685)+COUNTIF('Peer-Review'!F:F,C685)</f>
        <v>2</v>
      </c>
      <c r="G685" s="3">
        <f t="shared" si="1"/>
        <v>1</v>
      </c>
      <c r="H685" s="3" t="str">
        <f>IFERROR(__xludf.DUMMYFUNCTION("IFERROR(TRANSPOSE(FILTER('Peer-Review'!$J$2:$J$568,(TRIM('Peer-Review'!$B$2:$B$568)=C685 )+ (TRIM('Peer-Review'!$F$2:$F$568)=C685))),""No Reviews"")"),"21f3000628@ds.study.iitm.ac.in")</f>
        <v>21f3000628@ds.study.iitm.ac.in</v>
      </c>
      <c r="I685" s="3" t="str">
        <f>IFERROR(__xludf.DUMMYFUNCTION("""COMPUTED_VALUE"""),"23ds3000067@ds.study.iitm.ac.in")</f>
        <v>23ds3000067@ds.study.iitm.ac.in</v>
      </c>
      <c r="J685" s="3">
        <f>IF(D685="No R1",0,VLOOKUP(C685,'Peer-Review'!B:D,2,0))</f>
        <v>7</v>
      </c>
      <c r="K685" s="3">
        <f>IF(D685="No R1",0,VLOOKUP(C685,'Peer-Review'!B:D,3,0))</f>
        <v>9</v>
      </c>
      <c r="L685" s="3">
        <f>IF(E685="No R2",0,VLOOKUP(C685,'Peer-Review'!F:H,2,0))</f>
        <v>0</v>
      </c>
      <c r="M685" s="3">
        <f>IF(E685="No R2",0,VLOOKUP(C685,'Peer-Review'!F:H,3,0))</f>
        <v>0</v>
      </c>
    </row>
    <row r="686" hidden="1">
      <c r="A686" s="3" t="str">
        <f>IFERROR(__xludf.DUMMYFUNCTION("""COMPUTED_VALUE"""),"23f3002270@ds.study.iitm.ac.in")</f>
        <v>23f3002270@ds.study.iitm.ac.in</v>
      </c>
      <c r="B686" s="3">
        <f>IFERROR(__xludf.DUMMYFUNCTION("""COMPUTED_VALUE"""),12.0)</f>
        <v>12</v>
      </c>
      <c r="C686" s="5" t="str">
        <f>IFERROR(__xludf.DUMMYFUNCTION("""COMPUTED_VALUE"""),"https://github.com/OmkarShekharRaut/datasciencetoolsproject1")</f>
        <v>https://github.com/OmkarShekharRaut/datasciencetoolsproject1</v>
      </c>
      <c r="D686" s="3" t="str">
        <f>IFERROR(VLOOKUP(C686,'Peer-Review'!B:J,9,0),"No R1")</f>
        <v>21f3001919@ds.study.iitm.ac.in</v>
      </c>
      <c r="E686" s="3" t="str">
        <f>IFERROR(VLOOKUP(C686,'Peer-Review'!F:J,5,0),"No R2")</f>
        <v>No R2</v>
      </c>
      <c r="F686" s="3">
        <f>COUNTIF('Peer-Review'!B:B,C686)+COUNTIF('Peer-Review'!F:F,C686)</f>
        <v>1</v>
      </c>
      <c r="G686" s="3">
        <f t="shared" si="1"/>
        <v>1</v>
      </c>
      <c r="H686" s="3" t="str">
        <f>IFERROR(__xludf.DUMMYFUNCTION("IFERROR(TRANSPOSE(FILTER('Peer-Review'!$J$2:$J$568,(TRIM('Peer-Review'!$B$2:$B$568)=C686 )+ (TRIM('Peer-Review'!$F$2:$F$568)=C686))),""No Reviews"")"),"21f3001919@ds.study.iitm.ac.in")</f>
        <v>21f3001919@ds.study.iitm.ac.in</v>
      </c>
      <c r="J686" s="3">
        <f>IF(D686="No R1",0,VLOOKUP(C686,'Peer-Review'!B:D,2,0))</f>
        <v>5</v>
      </c>
      <c r="K686" s="3">
        <f>IF(D686="No R1",0,VLOOKUP(C686,'Peer-Review'!B:D,3,0))</f>
        <v>10</v>
      </c>
      <c r="L686" s="3">
        <f>IF(E686="No R2",0,VLOOKUP(C686,'Peer-Review'!F:H,2,0))</f>
        <v>0</v>
      </c>
      <c r="M686" s="3">
        <f>IF(E686="No R2",0,VLOOKUP(C686,'Peer-Review'!F:H,3,0))</f>
        <v>0</v>
      </c>
    </row>
    <row r="687" hidden="1">
      <c r="A687" s="3" t="str">
        <f>IFERROR(__xludf.DUMMYFUNCTION("""COMPUTED_VALUE"""),"23f3002284@ds.study.iitm.ac.in")</f>
        <v>23f3002284@ds.study.iitm.ac.in</v>
      </c>
      <c r="B687" s="3">
        <f>IFERROR(__xludf.DUMMYFUNCTION("""COMPUTED_VALUE"""),13.0)</f>
        <v>13</v>
      </c>
      <c r="C687" s="5" t="str">
        <f>IFERROR(__xludf.DUMMYFUNCTION("""COMPUTED_VALUE"""),"https://github.com/kuldeepchavda/tds_project_1")</f>
        <v>https://github.com/kuldeepchavda/tds_project_1</v>
      </c>
      <c r="D687" s="3" t="str">
        <f>IFERROR(VLOOKUP(C687,'Peer-Review'!B:J,9,0),"No R1")</f>
        <v>22f3001905@ds.study.iitm.ac.in</v>
      </c>
      <c r="E687" s="3" t="str">
        <f>IFERROR(VLOOKUP(C687,'Peer-Review'!F:J,5,0),"No R2")</f>
        <v>No R2</v>
      </c>
      <c r="F687" s="3">
        <f>COUNTIF('Peer-Review'!B:B,C687)+COUNTIF('Peer-Review'!F:F,C687)</f>
        <v>2</v>
      </c>
      <c r="G687" s="3">
        <f t="shared" si="1"/>
        <v>1</v>
      </c>
      <c r="H687" s="3" t="str">
        <f>IFERROR(__xludf.DUMMYFUNCTION("IFERROR(TRANSPOSE(FILTER('Peer-Review'!$J$2:$J$568,(TRIM('Peer-Review'!$B$2:$B$568)=C687 )+ (TRIM('Peer-Review'!$F$2:$F$568)=C687))),""No Reviews"")"),"22f3001905@ds.study.iitm.ac.in")</f>
        <v>22f3001905@ds.study.iitm.ac.in</v>
      </c>
      <c r="I687" s="3" t="str">
        <f>IFERROR(__xludf.DUMMYFUNCTION("""COMPUTED_VALUE"""),"23f3002624@ds.study.iitm.ac.in")</f>
        <v>23f3002624@ds.study.iitm.ac.in</v>
      </c>
      <c r="J687" s="3">
        <f>IF(D687="No R1",0,VLOOKUP(C687,'Peer-Review'!B:D,2,0))</f>
        <v>2</v>
      </c>
      <c r="K687" s="3">
        <f>IF(D687="No R1",0,VLOOKUP(C687,'Peer-Review'!B:D,3,0))</f>
        <v>2</v>
      </c>
      <c r="L687" s="3">
        <f>IF(E687="No R2",0,VLOOKUP(C687,'Peer-Review'!F:H,2,0))</f>
        <v>0</v>
      </c>
      <c r="M687" s="3">
        <f>IF(E687="No R2",0,VLOOKUP(C687,'Peer-Review'!F:H,3,0))</f>
        <v>0</v>
      </c>
    </row>
    <row r="688" hidden="1">
      <c r="A688" s="3" t="str">
        <f>IFERROR(__xludf.DUMMYFUNCTION("""COMPUTED_VALUE"""),"23f3002347@ds.study.iitm.ac.in")</f>
        <v>23f3002347@ds.study.iitm.ac.in</v>
      </c>
      <c r="B688" s="3">
        <f>IFERROR(__xludf.DUMMYFUNCTION("""COMPUTED_VALUE"""),17.0)</f>
        <v>17</v>
      </c>
      <c r="C688" s="5" t="str">
        <f>IFERROR(__xludf.DUMMYFUNCTION("""COMPUTED_VALUE"""),"https://github.com/LakshayB05/tds_project1")</f>
        <v>https://github.com/LakshayB05/tds_project1</v>
      </c>
      <c r="D688" s="3" t="str">
        <f>IFERROR(VLOOKUP(C688,'Peer-Review'!B:J,9,0),"No R1")</f>
        <v>No R1</v>
      </c>
      <c r="E688" s="3" t="str">
        <f>IFERROR(VLOOKUP(C688,'Peer-Review'!F:J,5,0),"No R2")</f>
        <v>23f1002455@ds.study.iitm.ac.in</v>
      </c>
      <c r="F688" s="3">
        <f>COUNTIF('Peer-Review'!B:B,C688)+COUNTIF('Peer-Review'!F:F,C688)</f>
        <v>2</v>
      </c>
      <c r="G688" s="3">
        <f t="shared" si="1"/>
        <v>1</v>
      </c>
      <c r="H688" s="3" t="str">
        <f>IFERROR(__xludf.DUMMYFUNCTION("IFERROR(TRANSPOSE(FILTER('Peer-Review'!$J$2:$J$568,(TRIM('Peer-Review'!$B$2:$B$568)=C688 )+ (TRIM('Peer-Review'!$F$2:$F$568)=C688))),""No Reviews"")"),"23f1002455@ds.study.iitm.ac.in")</f>
        <v>23f1002455@ds.study.iitm.ac.in</v>
      </c>
      <c r="I688" s="3" t="str">
        <f>IFERROR(__xludf.DUMMYFUNCTION("""COMPUTED_VALUE"""),"23f3001726@ds.study.iitm.ac.in")</f>
        <v>23f3001726@ds.study.iitm.ac.in</v>
      </c>
      <c r="J688" s="3">
        <f>IF(D688="No R1",0,VLOOKUP(C688,'Peer-Review'!B:D,2,0))</f>
        <v>0</v>
      </c>
      <c r="K688" s="3">
        <f>IF(D688="No R1",0,VLOOKUP(C688,'Peer-Review'!B:D,3,0))</f>
        <v>0</v>
      </c>
      <c r="L688" s="3">
        <f>IF(E688="No R2",0,VLOOKUP(C688,'Peer-Review'!F:H,2,0))</f>
        <v>9</v>
      </c>
      <c r="M688" s="3">
        <f>IF(E688="No R2",0,VLOOKUP(C688,'Peer-Review'!F:H,3,0))</f>
        <v>9</v>
      </c>
    </row>
    <row r="689" hidden="1">
      <c r="A689" s="3" t="str">
        <f>IFERROR(__xludf.DUMMYFUNCTION("""COMPUTED_VALUE"""),"23f3002354@ds.study.iitm.ac.in")</f>
        <v>23f3002354@ds.study.iitm.ac.in</v>
      </c>
      <c r="B689" s="3">
        <f>IFERROR(__xludf.DUMMYFUNCTION("""COMPUTED_VALUE"""),16.0)</f>
        <v>16</v>
      </c>
      <c r="C689" s="5" t="str">
        <f>IFERROR(__xludf.DUMMYFUNCTION("""COMPUTED_VALUE"""),"https://github.com/20vishnu27/TDS_Project-1")</f>
        <v>https://github.com/20vishnu27/TDS_Project-1</v>
      </c>
      <c r="D689" s="3" t="str">
        <f>IFERROR(VLOOKUP(C689,'Peer-Review'!B:J,9,0),"No R1")</f>
        <v>No R1</v>
      </c>
      <c r="E689" s="3" t="str">
        <f>IFERROR(VLOOKUP(C689,'Peer-Review'!F:J,5,0),"No R2")</f>
        <v>22f3003270@ds.study.iitm.ac.in</v>
      </c>
      <c r="F689" s="3">
        <f>COUNTIF('Peer-Review'!B:B,C689)+COUNTIF('Peer-Review'!F:F,C689)</f>
        <v>2</v>
      </c>
      <c r="G689" s="3">
        <f t="shared" si="1"/>
        <v>1</v>
      </c>
      <c r="H689" s="3" t="str">
        <f>IFERROR(__xludf.DUMMYFUNCTION("IFERROR(TRANSPOSE(FILTER('Peer-Review'!$J$2:$J$568,(TRIM('Peer-Review'!$B$2:$B$568)=C689 )+ (TRIM('Peer-Review'!$F$2:$F$568)=C689))),""No Reviews"")"),"22f3003270@ds.study.iitm.ac.in")</f>
        <v>22f3003270@ds.study.iitm.ac.in</v>
      </c>
      <c r="I689" s="3" t="str">
        <f>IFERROR(__xludf.DUMMYFUNCTION("""COMPUTED_VALUE"""),"23f3002189@ds.study.iitm.ac.in")</f>
        <v>23f3002189@ds.study.iitm.ac.in</v>
      </c>
      <c r="J689" s="3">
        <f>IF(D689="No R1",0,VLOOKUP(C689,'Peer-Review'!B:D,2,0))</f>
        <v>0</v>
      </c>
      <c r="K689" s="3">
        <f>IF(D689="No R1",0,VLOOKUP(C689,'Peer-Review'!B:D,3,0))</f>
        <v>0</v>
      </c>
      <c r="L689" s="3">
        <f>IF(E689="No R2",0,VLOOKUP(C689,'Peer-Review'!F:H,2,0))</f>
        <v>3</v>
      </c>
      <c r="M689" s="3">
        <f>IF(E689="No R2",0,VLOOKUP(C689,'Peer-Review'!F:H,3,0))</f>
        <v>0</v>
      </c>
    </row>
    <row r="690" hidden="1">
      <c r="A690" s="3" t="str">
        <f>IFERROR(__xludf.DUMMYFUNCTION("""COMPUTED_VALUE"""),"23f3002560@ds.study.iitm.ac.in")</f>
        <v>23f3002560@ds.study.iitm.ac.in</v>
      </c>
      <c r="B690" s="3">
        <f>IFERROR(__xludf.DUMMYFUNCTION("""COMPUTED_VALUE"""),7.0)</f>
        <v>7</v>
      </c>
      <c r="C690" s="5" t="str">
        <f>IFERROR(__xludf.DUMMYFUNCTION("""COMPUTED_VALUE"""),"https://github.com/JS121000/BERLINPROJECT")</f>
        <v>https://github.com/JS121000/BERLINPROJECT</v>
      </c>
      <c r="D690" s="3" t="str">
        <f>IFERROR(VLOOKUP(C690,'Peer-Review'!B:J,9,0),"No R1")</f>
        <v>22f3000852@ds.study.iitm.ac.in</v>
      </c>
      <c r="E690" s="3" t="str">
        <f>IFERROR(VLOOKUP(C690,'Peer-Review'!F:J,5,0),"No R2")</f>
        <v>No R2</v>
      </c>
      <c r="F690" s="3">
        <f>COUNTIF('Peer-Review'!B:B,C690)+COUNTIF('Peer-Review'!F:F,C690)</f>
        <v>2</v>
      </c>
      <c r="G690" s="3">
        <f t="shared" si="1"/>
        <v>1</v>
      </c>
      <c r="H690" s="3" t="str">
        <f>IFERROR(__xludf.DUMMYFUNCTION("IFERROR(TRANSPOSE(FILTER('Peer-Review'!$J$2:$J$568,(TRIM('Peer-Review'!$B$2:$B$568)=C690 )+ (TRIM('Peer-Review'!$F$2:$F$568)=C690))),""No Reviews"")"),"22f3000852@ds.study.iitm.ac.in")</f>
        <v>22f3000852@ds.study.iitm.ac.in</v>
      </c>
      <c r="I690" s="3" t="str">
        <f>IFERROR(__xludf.DUMMYFUNCTION("""COMPUTED_VALUE"""),"24ds1000042@ds.study.iitm.ac.in")</f>
        <v>24ds1000042@ds.study.iitm.ac.in</v>
      </c>
      <c r="J690" s="3">
        <f>IF(D690="No R1",0,VLOOKUP(C690,'Peer-Review'!B:D,2,0))</f>
        <v>2</v>
      </c>
      <c r="K690" s="3">
        <f>IF(D690="No R1",0,VLOOKUP(C690,'Peer-Review'!B:D,3,0))</f>
        <v>0</v>
      </c>
      <c r="L690" s="3">
        <f>IF(E690="No R2",0,VLOOKUP(C690,'Peer-Review'!F:H,2,0))</f>
        <v>0</v>
      </c>
      <c r="M690" s="3">
        <f>IF(E690="No R2",0,VLOOKUP(C690,'Peer-Review'!F:H,3,0))</f>
        <v>0</v>
      </c>
    </row>
    <row r="691" hidden="1">
      <c r="A691" s="3" t="str">
        <f>IFERROR(__xludf.DUMMYFUNCTION("""COMPUTED_VALUE"""),"23f3002592@ds.study.iitm.ac.in")</f>
        <v>23f3002592@ds.study.iitm.ac.in</v>
      </c>
      <c r="B691" s="3">
        <f>IFERROR(__xludf.DUMMYFUNCTION("""COMPUTED_VALUE"""),15.0)</f>
        <v>15</v>
      </c>
      <c r="C691" s="5" t="str">
        <f>IFERROR(__xludf.DUMMYFUNCTION("""COMPUTED_VALUE"""),"https://github.com/Mimansa5227/project1")</f>
        <v>https://github.com/Mimansa5227/project1</v>
      </c>
      <c r="D691" s="3" t="str">
        <f>IFERROR(VLOOKUP(C691,'Peer-Review'!B:J,9,0),"No R1")</f>
        <v>23f3003567@ds.study.iitm.ac.in</v>
      </c>
      <c r="E691" s="3" t="str">
        <f>IFERROR(VLOOKUP(C691,'Peer-Review'!F:J,5,0),"No R2")</f>
        <v>No R2</v>
      </c>
      <c r="F691" s="3">
        <f>COUNTIF('Peer-Review'!B:B,C691)+COUNTIF('Peer-Review'!F:F,C691)</f>
        <v>1</v>
      </c>
      <c r="G691" s="3">
        <f t="shared" si="1"/>
        <v>1</v>
      </c>
      <c r="H691" s="3" t="str">
        <f>IFERROR(__xludf.DUMMYFUNCTION("IFERROR(TRANSPOSE(FILTER('Peer-Review'!$J$2:$J$568,(TRIM('Peer-Review'!$B$2:$B$568)=C691 )+ (TRIM('Peer-Review'!$F$2:$F$568)=C691))),""No Reviews"")"),"23f3003567@ds.study.iitm.ac.in")</f>
        <v>23f3003567@ds.study.iitm.ac.in</v>
      </c>
      <c r="J691" s="3">
        <f>IF(D691="No R1",0,VLOOKUP(C691,'Peer-Review'!B:D,2,0))</f>
        <v>9</v>
      </c>
      <c r="K691" s="3">
        <f>IF(D691="No R1",0,VLOOKUP(C691,'Peer-Review'!B:D,3,0))</f>
        <v>8</v>
      </c>
      <c r="L691" s="3">
        <f>IF(E691="No R2",0,VLOOKUP(C691,'Peer-Review'!F:H,2,0))</f>
        <v>0</v>
      </c>
      <c r="M691" s="3">
        <f>IF(E691="No R2",0,VLOOKUP(C691,'Peer-Review'!F:H,3,0))</f>
        <v>0</v>
      </c>
    </row>
    <row r="692" hidden="1">
      <c r="A692" s="3" t="str">
        <f>IFERROR(__xludf.DUMMYFUNCTION("""COMPUTED_VALUE"""),"23f3002624@ds.study.iitm.ac.in")</f>
        <v>23f3002624@ds.study.iitm.ac.in</v>
      </c>
      <c r="B692" s="3">
        <f>IFERROR(__xludf.DUMMYFUNCTION("""COMPUTED_VALUE"""),13.0)</f>
        <v>13</v>
      </c>
      <c r="C692" s="5" t="str">
        <f>IFERROR(__xludf.DUMMYFUNCTION("""COMPUTED_VALUE"""),"https://github.com/Saransh1329/main")</f>
        <v>https://github.com/Saransh1329/main</v>
      </c>
      <c r="D692" s="3" t="str">
        <f>IFERROR(VLOOKUP(C692,'Peer-Review'!B:J,9,0),"No R1")</f>
        <v>23f3003721@ds.study.iitm.ac.in</v>
      </c>
      <c r="E692" s="3" t="str">
        <f>IFERROR(VLOOKUP(C692,'Peer-Review'!F:J,5,0),"No R2")</f>
        <v>No R2</v>
      </c>
      <c r="F692" s="3">
        <f>COUNTIF('Peer-Review'!B:B,C692)+COUNTIF('Peer-Review'!F:F,C692)</f>
        <v>2</v>
      </c>
      <c r="G692" s="3">
        <f t="shared" si="1"/>
        <v>1</v>
      </c>
      <c r="H692" s="3" t="str">
        <f>IFERROR(__xludf.DUMMYFUNCTION("IFERROR(TRANSPOSE(FILTER('Peer-Review'!$J$2:$J$568,(TRIM('Peer-Review'!$B$2:$B$568)=C692 )+ (TRIM('Peer-Review'!$F$2:$F$568)=C692))),""No Reviews"")"),"23f3003721@ds.study.iitm.ac.in")</f>
        <v>23f3003721@ds.study.iitm.ac.in</v>
      </c>
      <c r="I692" s="3" t="str">
        <f>IFERROR(__xludf.DUMMYFUNCTION("""COMPUTED_VALUE"""),"22f3001912@ds.study.iitm.ac.in")</f>
        <v>22f3001912@ds.study.iitm.ac.in</v>
      </c>
      <c r="J692" s="3">
        <f>IF(D692="No R1",0,VLOOKUP(C692,'Peer-Review'!B:D,2,0))</f>
        <v>9</v>
      </c>
      <c r="K692" s="3">
        <f>IF(D692="No R1",0,VLOOKUP(C692,'Peer-Review'!B:D,3,0))</f>
        <v>9</v>
      </c>
      <c r="L692" s="3">
        <f>IF(E692="No R2",0,VLOOKUP(C692,'Peer-Review'!F:H,2,0))</f>
        <v>0</v>
      </c>
      <c r="M692" s="3">
        <f>IF(E692="No R2",0,VLOOKUP(C692,'Peer-Review'!F:H,3,0))</f>
        <v>0</v>
      </c>
    </row>
    <row r="693" hidden="1">
      <c r="A693" s="3" t="str">
        <f>IFERROR(__xludf.DUMMYFUNCTION("""COMPUTED_VALUE"""),"23f3002773@ds.study.iitm.ac.in")</f>
        <v>23f3002773@ds.study.iitm.ac.in</v>
      </c>
      <c r="B693" s="3">
        <f>IFERROR(__xludf.DUMMYFUNCTION("""COMPUTED_VALUE"""),17.0)</f>
        <v>17</v>
      </c>
      <c r="C693" s="5" t="str">
        <f>IFERROR(__xludf.DUMMYFUNCTION("""COMPUTED_VALUE"""),"https://github.com/Praveenkunn/TDS-Project1")</f>
        <v>https://github.com/Praveenkunn/TDS-Project1</v>
      </c>
      <c r="D693" s="3" t="str">
        <f>IFERROR(VLOOKUP(C693,'Peer-Review'!B:J,9,0),"No R1")</f>
        <v>No R1</v>
      </c>
      <c r="E693" s="3" t="str">
        <f>IFERROR(VLOOKUP(C693,'Peer-Review'!F:J,5,0),"No R2")</f>
        <v>23f3002347@ds.study.iitm.ac.in</v>
      </c>
      <c r="F693" s="3">
        <f>COUNTIF('Peer-Review'!B:B,C693)+COUNTIF('Peer-Review'!F:F,C693)</f>
        <v>1</v>
      </c>
      <c r="G693" s="3">
        <f t="shared" si="1"/>
        <v>1</v>
      </c>
      <c r="H693" s="3" t="str">
        <f>IFERROR(__xludf.DUMMYFUNCTION("IFERROR(TRANSPOSE(FILTER('Peer-Review'!$J$2:$J$568,(TRIM('Peer-Review'!$B$2:$B$568)=C693 )+ (TRIM('Peer-Review'!$F$2:$F$568)=C693))),""No Reviews"")"),"23f3002347@ds.study.iitm.ac.in")</f>
        <v>23f3002347@ds.study.iitm.ac.in</v>
      </c>
      <c r="J693" s="3">
        <f>IF(D693="No R1",0,VLOOKUP(C693,'Peer-Review'!B:D,2,0))</f>
        <v>0</v>
      </c>
      <c r="K693" s="3">
        <f>IF(D693="No R1",0,VLOOKUP(C693,'Peer-Review'!B:D,3,0))</f>
        <v>0</v>
      </c>
      <c r="L693" s="3">
        <f>IF(E693="No R2",0,VLOOKUP(C693,'Peer-Review'!F:H,2,0))</f>
        <v>9</v>
      </c>
      <c r="M693" s="3">
        <f>IF(E693="No R2",0,VLOOKUP(C693,'Peer-Review'!F:H,3,0))</f>
        <v>1</v>
      </c>
    </row>
    <row r="694" hidden="1">
      <c r="A694" s="3" t="str">
        <f>IFERROR(__xludf.DUMMYFUNCTION("""COMPUTED_VALUE"""),"23f3002916@ds.study.iitm.ac.in")</f>
        <v>23f3002916@ds.study.iitm.ac.in</v>
      </c>
      <c r="B694" s="3">
        <f>IFERROR(__xludf.DUMMYFUNCTION("""COMPUTED_VALUE"""),17.0)</f>
        <v>17</v>
      </c>
      <c r="C694" s="5" t="str">
        <f>IFERROR(__xludf.DUMMYFUNCTION("""COMPUTED_VALUE"""),"https://github.com/23f3002916/TDSProject1")</f>
        <v>https://github.com/23f3002916/TDSProject1</v>
      </c>
      <c r="D694" s="3" t="str">
        <f>IFERROR(VLOOKUP(C694,'Peer-Review'!B:J,9,0),"No R1")</f>
        <v>No R1</v>
      </c>
      <c r="E694" s="3" t="str">
        <f>IFERROR(VLOOKUP(C694,'Peer-Review'!F:J,5,0),"No R2")</f>
        <v>23f2001844@ds.study.iitm.ac.in</v>
      </c>
      <c r="F694" s="3">
        <f>COUNTIF('Peer-Review'!B:B,C694)+COUNTIF('Peer-Review'!F:F,C694)</f>
        <v>1</v>
      </c>
      <c r="G694" s="3">
        <f t="shared" si="1"/>
        <v>1</v>
      </c>
      <c r="H694" s="3" t="str">
        <f>IFERROR(__xludf.DUMMYFUNCTION("IFERROR(TRANSPOSE(FILTER('Peer-Review'!$J$2:$J$568,(TRIM('Peer-Review'!$B$2:$B$568)=C694 )+ (TRIM('Peer-Review'!$F$2:$F$568)=C694))),""No Reviews"")"),"23f2001844@ds.study.iitm.ac.in")</f>
        <v>23f2001844@ds.study.iitm.ac.in</v>
      </c>
      <c r="J694" s="3">
        <f>IF(D694="No R1",0,VLOOKUP(C694,'Peer-Review'!B:D,2,0))</f>
        <v>0</v>
      </c>
      <c r="K694" s="3">
        <f>IF(D694="No R1",0,VLOOKUP(C694,'Peer-Review'!B:D,3,0))</f>
        <v>0</v>
      </c>
      <c r="L694" s="3">
        <f>IF(E694="No R2",0,VLOOKUP(C694,'Peer-Review'!F:H,2,0))</f>
        <v>7</v>
      </c>
      <c r="M694" s="3">
        <f>IF(E694="No R2",0,VLOOKUP(C694,'Peer-Review'!F:H,3,0))</f>
        <v>8</v>
      </c>
    </row>
    <row r="695" hidden="1">
      <c r="A695" s="3" t="str">
        <f>IFERROR(__xludf.DUMMYFUNCTION("""COMPUTED_VALUE"""),"23f3003117@ds.study.iitm.ac.in")</f>
        <v>23f3003117@ds.study.iitm.ac.in</v>
      </c>
      <c r="B695" s="3">
        <f>IFERROR(__xludf.DUMMYFUNCTION("""COMPUTED_VALUE"""),8.0)</f>
        <v>8</v>
      </c>
      <c r="C695" s="5" t="str">
        <f>IFERROR(__xludf.DUMMYFUNCTION("""COMPUTED_VALUE"""),"https://github.com/Yasaswini117/Project_1")</f>
        <v>https://github.com/Yasaswini117/Project_1</v>
      </c>
      <c r="D695" s="3" t="str">
        <f>IFERROR(VLOOKUP(C695,'Peer-Review'!B:J,9,0),"No R1")</f>
        <v>22f3001836@ds.study.iitm.ac.in</v>
      </c>
      <c r="E695" s="3" t="str">
        <f>IFERROR(VLOOKUP(C695,'Peer-Review'!F:J,5,0),"No R2")</f>
        <v>No R2</v>
      </c>
      <c r="F695" s="3">
        <f>COUNTIF('Peer-Review'!B:B,C695)+COUNTIF('Peer-Review'!F:F,C695)</f>
        <v>1</v>
      </c>
      <c r="G695" s="3">
        <f t="shared" si="1"/>
        <v>1</v>
      </c>
      <c r="H695" s="3" t="str">
        <f>IFERROR(__xludf.DUMMYFUNCTION("IFERROR(TRANSPOSE(FILTER('Peer-Review'!$J$2:$J$568,(TRIM('Peer-Review'!$B$2:$B$568)=C695 )+ (TRIM('Peer-Review'!$F$2:$F$568)=C695))),""No Reviews"")"),"22f3001836@ds.study.iitm.ac.in")</f>
        <v>22f3001836@ds.study.iitm.ac.in</v>
      </c>
      <c r="J695" s="3">
        <f>IF(D695="No R1",0,VLOOKUP(C695,'Peer-Review'!B:D,2,0))</f>
        <v>10</v>
      </c>
      <c r="K695" s="3">
        <f>IF(D695="No R1",0,VLOOKUP(C695,'Peer-Review'!B:D,3,0))</f>
        <v>10</v>
      </c>
      <c r="L695" s="3">
        <f>IF(E695="No R2",0,VLOOKUP(C695,'Peer-Review'!F:H,2,0))</f>
        <v>0</v>
      </c>
      <c r="M695" s="3">
        <f>IF(E695="No R2",0,VLOOKUP(C695,'Peer-Review'!F:H,3,0))</f>
        <v>0</v>
      </c>
    </row>
    <row r="696" hidden="1">
      <c r="A696" s="3" t="str">
        <f>IFERROR(__xludf.DUMMYFUNCTION("""COMPUTED_VALUE"""),"23f3003196@ds.study.iitm.ac.in")</f>
        <v>23f3003196@ds.study.iitm.ac.in</v>
      </c>
      <c r="B696" s="3">
        <f>IFERROR(__xludf.DUMMYFUNCTION("""COMPUTED_VALUE"""),0.0)</f>
        <v>0</v>
      </c>
      <c r="C696" s="5" t="str">
        <f>IFERROR(__xludf.DUMMYFUNCTION("""COMPUTED_VALUE"""),"https://github.com/Vverma-27/IIT-Scripting")</f>
        <v>https://github.com/Vverma-27/IIT-Scripting</v>
      </c>
      <c r="D696" s="3" t="str">
        <f>IFERROR(VLOOKUP(C696,'Peer-Review'!B:J,9,0),"No R1")</f>
        <v>No R1</v>
      </c>
      <c r="E696" s="3" t="str">
        <f>IFERROR(VLOOKUP(C696,'Peer-Review'!F:J,5,0),"No R2")</f>
        <v>No R2</v>
      </c>
      <c r="F696" s="3">
        <f>COUNTIF('Peer-Review'!B:B,C696)+COUNTIF('Peer-Review'!F:F,C696)</f>
        <v>0</v>
      </c>
      <c r="G696" s="3">
        <f t="shared" si="1"/>
        <v>0</v>
      </c>
      <c r="H696" s="3" t="str">
        <f>IFERROR(__xludf.DUMMYFUNCTION("IFERROR(TRANSPOSE(FILTER('Peer-Review'!$J$2:$J$568,(TRIM('Peer-Review'!$B$2:$B$568)=C696 )+ (TRIM('Peer-Review'!$F$2:$F$568)=C696))),""No Reviews"")"),"No Reviews")</f>
        <v>No Reviews</v>
      </c>
      <c r="J696" s="3">
        <f>IF(D696="No R1",0,VLOOKUP(C696,'Peer-Review'!B:D,2,0))</f>
        <v>0</v>
      </c>
      <c r="K696" s="3">
        <f>IF(D696="No R1",0,VLOOKUP(C696,'Peer-Review'!B:D,3,0))</f>
        <v>0</v>
      </c>
      <c r="L696" s="3">
        <f>IF(E696="No R2",0,VLOOKUP(C696,'Peer-Review'!F:H,2,0))</f>
        <v>0</v>
      </c>
      <c r="M696" s="3">
        <f>IF(E696="No R2",0,VLOOKUP(C696,'Peer-Review'!F:H,3,0))</f>
        <v>0</v>
      </c>
    </row>
    <row r="697" hidden="1">
      <c r="A697" s="3" t="str">
        <f>IFERROR(__xludf.DUMMYFUNCTION("""COMPUTED_VALUE"""),"23f3003443@ds.study.iitm.ac.in")</f>
        <v>23f3003443@ds.study.iitm.ac.in</v>
      </c>
      <c r="B697" s="3">
        <f>IFERROR(__xludf.DUMMYFUNCTION("""COMPUTED_VALUE"""),0.0)</f>
        <v>0</v>
      </c>
      <c r="C697" s="5" t="str">
        <f>IFERROR(__xludf.DUMMYFUNCTION("""COMPUTED_VALUE"""),"https://github.com/Sadhu01/TDS.git")</f>
        <v>https://github.com/Sadhu01/TDS.git</v>
      </c>
      <c r="D697" s="3" t="str">
        <f>IFERROR(VLOOKUP(C697,'Peer-Review'!B:J,9,0),"No R1")</f>
        <v>No R1</v>
      </c>
      <c r="E697" s="3" t="str">
        <f>IFERROR(VLOOKUP(C697,'Peer-Review'!F:J,5,0),"No R2")</f>
        <v>No R2</v>
      </c>
      <c r="F697" s="3">
        <f>COUNTIF('Peer-Review'!B:B,C697)+COUNTIF('Peer-Review'!F:F,C697)</f>
        <v>0</v>
      </c>
      <c r="G697" s="3">
        <f t="shared" si="1"/>
        <v>0</v>
      </c>
      <c r="H697" s="3" t="str">
        <f>IFERROR(__xludf.DUMMYFUNCTION("IFERROR(TRANSPOSE(FILTER('Peer-Review'!$J$2:$J$568,(TRIM('Peer-Review'!$B$2:$B$568)=C697 )+ (TRIM('Peer-Review'!$F$2:$F$568)=C697))),""No Reviews"")"),"No Reviews")</f>
        <v>No Reviews</v>
      </c>
      <c r="J697" s="3">
        <f>IF(D697="No R1",0,VLOOKUP(C697,'Peer-Review'!B:D,2,0))</f>
        <v>0</v>
      </c>
      <c r="K697" s="3">
        <f>IF(D697="No R1",0,VLOOKUP(C697,'Peer-Review'!B:D,3,0))</f>
        <v>0</v>
      </c>
      <c r="L697" s="3">
        <f>IF(E697="No R2",0,VLOOKUP(C697,'Peer-Review'!F:H,2,0))</f>
        <v>0</v>
      </c>
      <c r="M697" s="3">
        <f>IF(E697="No R2",0,VLOOKUP(C697,'Peer-Review'!F:H,3,0))</f>
        <v>0</v>
      </c>
    </row>
    <row r="698" hidden="1">
      <c r="A698" s="3" t="str">
        <f>IFERROR(__xludf.DUMMYFUNCTION("""COMPUTED_VALUE"""),"23f3003567@ds.study.iitm.ac.in")</f>
        <v>23f3003567@ds.study.iitm.ac.in</v>
      </c>
      <c r="B698" s="3">
        <f>IFERROR(__xludf.DUMMYFUNCTION("""COMPUTED_VALUE"""),17.0)</f>
        <v>17</v>
      </c>
      <c r="C698" s="5" t="str">
        <f>IFERROR(__xludf.DUMMYFUNCTION("""COMPUTED_VALUE"""),"https://github.com/RajaVishwanathDasari/TDS-Project-1")</f>
        <v>https://github.com/RajaVishwanathDasari/TDS-Project-1</v>
      </c>
      <c r="D698" s="3" t="str">
        <f>IFERROR(VLOOKUP(C698,'Peer-Review'!B:J,9,0),"No R1")</f>
        <v>No R1</v>
      </c>
      <c r="E698" s="3" t="str">
        <f>IFERROR(VLOOKUP(C698,'Peer-Review'!F:J,5,0),"No R2")</f>
        <v>23f3002592@ds.study.iitm.ac.in</v>
      </c>
      <c r="F698" s="3">
        <f>COUNTIF('Peer-Review'!B:B,C698)+COUNTIF('Peer-Review'!F:F,C698)</f>
        <v>1</v>
      </c>
      <c r="G698" s="3">
        <f t="shared" si="1"/>
        <v>1</v>
      </c>
      <c r="H698" s="3" t="str">
        <f>IFERROR(__xludf.DUMMYFUNCTION("IFERROR(TRANSPOSE(FILTER('Peer-Review'!$J$2:$J$568,(TRIM('Peer-Review'!$B$2:$B$568)=C698 )+ (TRIM('Peer-Review'!$F$2:$F$568)=C698))),""No Reviews"")"),"23f3002592@ds.study.iitm.ac.in")</f>
        <v>23f3002592@ds.study.iitm.ac.in</v>
      </c>
      <c r="J698" s="3">
        <f>IF(D698="No R1",0,VLOOKUP(C698,'Peer-Review'!B:D,2,0))</f>
        <v>0</v>
      </c>
      <c r="K698" s="3">
        <f>IF(D698="No R1",0,VLOOKUP(C698,'Peer-Review'!B:D,3,0))</f>
        <v>0</v>
      </c>
      <c r="L698" s="3">
        <f>IF(E698="No R2",0,VLOOKUP(C698,'Peer-Review'!F:H,2,0))</f>
        <v>10</v>
      </c>
      <c r="M698" s="3">
        <f>IF(E698="No R2",0,VLOOKUP(C698,'Peer-Review'!F:H,3,0))</f>
        <v>7</v>
      </c>
    </row>
    <row r="699" hidden="1">
      <c r="A699" s="3" t="str">
        <f>IFERROR(__xludf.DUMMYFUNCTION("""COMPUTED_VALUE"""),"23f3003601@ds.study.iitm.ac.in")</f>
        <v>23f3003601@ds.study.iitm.ac.in</v>
      </c>
      <c r="B699" s="3">
        <f>IFERROR(__xludf.DUMMYFUNCTION("""COMPUTED_VALUE"""),14.0)</f>
        <v>14</v>
      </c>
      <c r="C699" s="5" t="str">
        <f>IFERROR(__xludf.DUMMYFUNCTION("""COMPUTED_VALUE"""),"https://github.com/anivenk25/TDS_project1_Seattle200")</f>
        <v>https://github.com/anivenk25/TDS_project1_Seattle200</v>
      </c>
      <c r="D699" s="3" t="str">
        <f>IFERROR(VLOOKUP(C699,'Peer-Review'!B:J,9,0),"No R1")</f>
        <v>No R1</v>
      </c>
      <c r="E699" s="3" t="str">
        <f>IFERROR(VLOOKUP(C699,'Peer-Review'!F:J,5,0),"No R2")</f>
        <v>23f3004236@ds.study.iitm.ac.in</v>
      </c>
      <c r="F699" s="3">
        <f>COUNTIF('Peer-Review'!B:B,C699)+COUNTIF('Peer-Review'!F:F,C699)</f>
        <v>1</v>
      </c>
      <c r="G699" s="3">
        <f t="shared" si="1"/>
        <v>1</v>
      </c>
      <c r="H699" s="3" t="str">
        <f>IFERROR(__xludf.DUMMYFUNCTION("IFERROR(TRANSPOSE(FILTER('Peer-Review'!$J$2:$J$568,(TRIM('Peer-Review'!$B$2:$B$568)=C699 )+ (TRIM('Peer-Review'!$F$2:$F$568)=C699))),""No Reviews"")"),"23f3004236@ds.study.iitm.ac.in")</f>
        <v>23f3004236@ds.study.iitm.ac.in</v>
      </c>
      <c r="J699" s="3">
        <f>IF(D699="No R1",0,VLOOKUP(C699,'Peer-Review'!B:D,2,0))</f>
        <v>0</v>
      </c>
      <c r="K699" s="3">
        <f>IF(D699="No R1",0,VLOOKUP(C699,'Peer-Review'!B:D,3,0))</f>
        <v>0</v>
      </c>
      <c r="L699" s="3">
        <f>IF(E699="No R2",0,VLOOKUP(C699,'Peer-Review'!F:H,2,0))</f>
        <v>10</v>
      </c>
      <c r="M699" s="3">
        <f>IF(E699="No R2",0,VLOOKUP(C699,'Peer-Review'!F:H,3,0))</f>
        <v>10</v>
      </c>
    </row>
    <row r="700" hidden="1">
      <c r="A700" s="3" t="str">
        <f>IFERROR(__xludf.DUMMYFUNCTION("""COMPUTED_VALUE"""),"23f3003696@ds.study.iitm.ac.in")</f>
        <v>23f3003696@ds.study.iitm.ac.in</v>
      </c>
      <c r="B700" s="3">
        <f>IFERROR(__xludf.DUMMYFUNCTION("""COMPUTED_VALUE"""),0.0)</f>
        <v>0</v>
      </c>
      <c r="C700" s="5" t="str">
        <f>IFERROR(__xludf.DUMMYFUNCTION("""COMPUTED_VALUE"""),"https://github.com/cloudbhargavv/FetchingData")</f>
        <v>https://github.com/cloudbhargavv/FetchingData</v>
      </c>
      <c r="D700" s="3" t="str">
        <f>IFERROR(VLOOKUP(C700,'Peer-Review'!B:J,9,0),"No R1")</f>
        <v>No R1</v>
      </c>
      <c r="E700" s="3" t="str">
        <f>IFERROR(VLOOKUP(C700,'Peer-Review'!F:J,5,0),"No R2")</f>
        <v>No R2</v>
      </c>
      <c r="F700" s="3">
        <f>COUNTIF('Peer-Review'!B:B,C700)+COUNTIF('Peer-Review'!F:F,C700)</f>
        <v>0</v>
      </c>
      <c r="G700" s="3">
        <f t="shared" si="1"/>
        <v>0</v>
      </c>
      <c r="H700" s="3" t="str">
        <f>IFERROR(__xludf.DUMMYFUNCTION("IFERROR(TRANSPOSE(FILTER('Peer-Review'!$J$2:$J$568,(TRIM('Peer-Review'!$B$2:$B$568)=C700 )+ (TRIM('Peer-Review'!$F$2:$F$568)=C700))),""No Reviews"")"),"No Reviews")</f>
        <v>No Reviews</v>
      </c>
      <c r="J700" s="3">
        <f>IF(D700="No R1",0,VLOOKUP(C700,'Peer-Review'!B:D,2,0))</f>
        <v>0</v>
      </c>
      <c r="K700" s="3">
        <f>IF(D700="No R1",0,VLOOKUP(C700,'Peer-Review'!B:D,3,0))</f>
        <v>0</v>
      </c>
      <c r="L700" s="3">
        <f>IF(E700="No R2",0,VLOOKUP(C700,'Peer-Review'!F:H,2,0))</f>
        <v>0</v>
      </c>
      <c r="M700" s="3">
        <f>IF(E700="No R2",0,VLOOKUP(C700,'Peer-Review'!F:H,3,0))</f>
        <v>0</v>
      </c>
    </row>
    <row r="701" hidden="1">
      <c r="A701" s="3" t="str">
        <f>IFERROR(__xludf.DUMMYFUNCTION("""COMPUTED_VALUE"""),"23f3003711@ds.study.iitm.ac.in")</f>
        <v>23f3003711@ds.study.iitm.ac.in</v>
      </c>
      <c r="B701" s="3">
        <f>IFERROR(__xludf.DUMMYFUNCTION("""COMPUTED_VALUE"""),17.0)</f>
        <v>17</v>
      </c>
      <c r="C701" s="5" t="str">
        <f>IFERROR(__xludf.DUMMYFUNCTION("""COMPUTED_VALUE"""),"https://github.com/Amrutkar-Kavya/TDS-Project1")</f>
        <v>https://github.com/Amrutkar-Kavya/TDS-Project1</v>
      </c>
      <c r="D701" s="3" t="str">
        <f>IFERROR(VLOOKUP(C701,'Peer-Review'!B:J,9,0),"No R1")</f>
        <v>No R1</v>
      </c>
      <c r="E701" s="3" t="str">
        <f>IFERROR(VLOOKUP(C701,'Peer-Review'!F:J,5,0),"No R2")</f>
        <v>23f3003567@ds.study.iitm.ac.in</v>
      </c>
      <c r="F701" s="3">
        <f>COUNTIF('Peer-Review'!B:B,C701)+COUNTIF('Peer-Review'!F:F,C701)</f>
        <v>1</v>
      </c>
      <c r="G701" s="3">
        <f t="shared" si="1"/>
        <v>1</v>
      </c>
      <c r="H701" s="3" t="str">
        <f>IFERROR(__xludf.DUMMYFUNCTION("IFERROR(TRANSPOSE(FILTER('Peer-Review'!$J$2:$J$568,(TRIM('Peer-Review'!$B$2:$B$568)=C701 )+ (TRIM('Peer-Review'!$F$2:$F$568)=C701))),""No Reviews"")"),"23f3003567@ds.study.iitm.ac.in")</f>
        <v>23f3003567@ds.study.iitm.ac.in</v>
      </c>
      <c r="J701" s="3">
        <f>IF(D701="No R1",0,VLOOKUP(C701,'Peer-Review'!B:D,2,0))</f>
        <v>0</v>
      </c>
      <c r="K701" s="3">
        <f>IF(D701="No R1",0,VLOOKUP(C701,'Peer-Review'!B:D,3,0))</f>
        <v>0</v>
      </c>
      <c r="L701" s="3">
        <f>IF(E701="No R2",0,VLOOKUP(C701,'Peer-Review'!F:H,2,0))</f>
        <v>8</v>
      </c>
      <c r="M701" s="3">
        <f>IF(E701="No R2",0,VLOOKUP(C701,'Peer-Review'!F:H,3,0))</f>
        <v>10</v>
      </c>
    </row>
    <row r="702" hidden="1">
      <c r="A702" s="3" t="str">
        <f>IFERROR(__xludf.DUMMYFUNCTION("""COMPUTED_VALUE"""),"23f3003721@ds.study.iitm.ac.in")</f>
        <v>23f3003721@ds.study.iitm.ac.in</v>
      </c>
      <c r="B702" s="3">
        <f>IFERROR(__xludf.DUMMYFUNCTION("""COMPUTED_VALUE"""),13.0)</f>
        <v>13</v>
      </c>
      <c r="C702" s="5" t="str">
        <f>IFERROR(__xludf.DUMMYFUNCTION("""COMPUTED_VALUE"""),"https://github.com/manoharvvs/BarcelonaTDS")</f>
        <v>https://github.com/manoharvvs/BarcelonaTDS</v>
      </c>
      <c r="D702" s="3" t="str">
        <f>IFERROR(VLOOKUP(C702,'Peer-Review'!B:J,9,0),"No R1")</f>
        <v>22f3001953@ds.study.iitm.ac.in</v>
      </c>
      <c r="E702" s="3" t="str">
        <f>IFERROR(VLOOKUP(C702,'Peer-Review'!F:J,5,0),"No R2")</f>
        <v>No R2</v>
      </c>
      <c r="F702" s="3">
        <f>COUNTIF('Peer-Review'!B:B,C702)+COUNTIF('Peer-Review'!F:F,C702)</f>
        <v>1</v>
      </c>
      <c r="G702" s="3">
        <f t="shared" si="1"/>
        <v>1</v>
      </c>
      <c r="H702" s="3" t="str">
        <f>IFERROR(__xludf.DUMMYFUNCTION("IFERROR(TRANSPOSE(FILTER('Peer-Review'!$J$2:$J$568,(TRIM('Peer-Review'!$B$2:$B$568)=C702 )+ (TRIM('Peer-Review'!$F$2:$F$568)=C702))),""No Reviews"")"),"22f3001953@ds.study.iitm.ac.in")</f>
        <v>22f3001953@ds.study.iitm.ac.in</v>
      </c>
      <c r="J702" s="3">
        <f>IF(D702="No R1",0,VLOOKUP(C702,'Peer-Review'!B:D,2,0))</f>
        <v>10</v>
      </c>
      <c r="K702" s="3">
        <f>IF(D702="No R1",0,VLOOKUP(C702,'Peer-Review'!B:D,3,0))</f>
        <v>10</v>
      </c>
      <c r="L702" s="3">
        <f>IF(E702="No R2",0,VLOOKUP(C702,'Peer-Review'!F:H,2,0))</f>
        <v>0</v>
      </c>
      <c r="M702" s="3">
        <f>IF(E702="No R2",0,VLOOKUP(C702,'Peer-Review'!F:H,3,0))</f>
        <v>0</v>
      </c>
    </row>
    <row r="703" hidden="1">
      <c r="A703" s="3" t="str">
        <f>IFERROR(__xludf.DUMMYFUNCTION("""COMPUTED_VALUE"""),"23f3003749@ds.study.iitm.ac.in")</f>
        <v>23f3003749@ds.study.iitm.ac.in</v>
      </c>
      <c r="B703" s="3">
        <f>IFERROR(__xludf.DUMMYFUNCTION("""COMPUTED_VALUE"""),17.0)</f>
        <v>17</v>
      </c>
      <c r="C703" s="5" t="str">
        <f>IFERROR(__xludf.DUMMYFUNCTION("""COMPUTED_VALUE"""),"https://github.com/Me-dev-commits/project-1")</f>
        <v>https://github.com/Me-dev-commits/project-1</v>
      </c>
      <c r="D703" s="3" t="str">
        <f>IFERROR(VLOOKUP(C703,'Peer-Review'!B:J,9,0),"No R1")</f>
        <v>No R1</v>
      </c>
      <c r="E703" s="3" t="str">
        <f>IFERROR(VLOOKUP(C703,'Peer-Review'!F:J,5,0),"No R2")</f>
        <v>23f3003711@ds.study.iitm.ac.in</v>
      </c>
      <c r="F703" s="3">
        <f>COUNTIF('Peer-Review'!B:B,C703)+COUNTIF('Peer-Review'!F:F,C703)</f>
        <v>2</v>
      </c>
      <c r="G703" s="3">
        <f t="shared" si="1"/>
        <v>1</v>
      </c>
      <c r="H703" s="3" t="str">
        <f>IFERROR(__xludf.DUMMYFUNCTION("IFERROR(TRANSPOSE(FILTER('Peer-Review'!$J$2:$J$568,(TRIM('Peer-Review'!$B$2:$B$568)=C703 )+ (TRIM('Peer-Review'!$F$2:$F$568)=C703))),""No Reviews"")"),"23f3003711@ds.study.iitm.ac.in")</f>
        <v>23f3003711@ds.study.iitm.ac.in</v>
      </c>
      <c r="I703" s="3" t="str">
        <f>IFERROR(__xludf.DUMMYFUNCTION("""COMPUTED_VALUE"""),"21f1002851@ds.study.iitm.ac.in")</f>
        <v>21f1002851@ds.study.iitm.ac.in</v>
      </c>
      <c r="J703" s="3">
        <f>IF(D703="No R1",0,VLOOKUP(C703,'Peer-Review'!B:D,2,0))</f>
        <v>0</v>
      </c>
      <c r="K703" s="3">
        <f>IF(D703="No R1",0,VLOOKUP(C703,'Peer-Review'!B:D,3,0))</f>
        <v>0</v>
      </c>
      <c r="L703" s="3">
        <f>IF(E703="No R2",0,VLOOKUP(C703,'Peer-Review'!F:H,2,0))</f>
        <v>10</v>
      </c>
      <c r="M703" s="3">
        <f>IF(E703="No R2",0,VLOOKUP(C703,'Peer-Review'!F:H,3,0))</f>
        <v>10</v>
      </c>
    </row>
    <row r="704" hidden="1">
      <c r="A704" s="3" t="str">
        <f>IFERROR(__xludf.DUMMYFUNCTION("""COMPUTED_VALUE"""),"23f3003763@ds.study.iitm.ac.in")</f>
        <v>23f3003763@ds.study.iitm.ac.in</v>
      </c>
      <c r="B704" s="3">
        <f>IFERROR(__xludf.DUMMYFUNCTION("""COMPUTED_VALUE"""),17.0)</f>
        <v>17</v>
      </c>
      <c r="C704" s="5" t="str">
        <f>IFERROR(__xludf.DUMMYFUNCTION("""COMPUTED_VALUE"""),"https://github.com/abhinavsaxena277/Hyderabad-GitHub-Users")</f>
        <v>https://github.com/abhinavsaxena277/Hyderabad-GitHub-Users</v>
      </c>
      <c r="D704" s="3" t="str">
        <f>IFERROR(VLOOKUP(C704,'Peer-Review'!B:J,9,0),"No R1")</f>
        <v>No R1</v>
      </c>
      <c r="E704" s="3" t="str">
        <f>IFERROR(VLOOKUP(C704,'Peer-Review'!F:J,5,0),"No R2")</f>
        <v>23f3003749@ds.study.iitm.ac.in</v>
      </c>
      <c r="F704" s="3">
        <f>COUNTIF('Peer-Review'!B:B,C704)+COUNTIF('Peer-Review'!F:F,C704)</f>
        <v>2</v>
      </c>
      <c r="G704" s="3">
        <f t="shared" si="1"/>
        <v>1</v>
      </c>
      <c r="H704" s="3" t="str">
        <f>IFERROR(__xludf.DUMMYFUNCTION("IFERROR(TRANSPOSE(FILTER('Peer-Review'!$J$2:$J$568,(TRIM('Peer-Review'!$B$2:$B$568)=C704 )+ (TRIM('Peer-Review'!$F$2:$F$568)=C704))),""No Reviews"")"),"23f3003749@ds.study.iitm.ac.in")</f>
        <v>23f3003749@ds.study.iitm.ac.in</v>
      </c>
      <c r="I704" s="3" t="str">
        <f>IFERROR(__xludf.DUMMYFUNCTION("""COMPUTED_VALUE"""),"21f1004163@ds.study.iitm.ac.in")</f>
        <v>21f1004163@ds.study.iitm.ac.in</v>
      </c>
      <c r="J704" s="3">
        <f>IF(D704="No R1",0,VLOOKUP(C704,'Peer-Review'!B:D,2,0))</f>
        <v>0</v>
      </c>
      <c r="K704" s="3">
        <f>IF(D704="No R1",0,VLOOKUP(C704,'Peer-Review'!B:D,3,0))</f>
        <v>0</v>
      </c>
      <c r="L704" s="3">
        <f>IF(E704="No R2",0,VLOOKUP(C704,'Peer-Review'!F:H,2,0))</f>
        <v>9</v>
      </c>
      <c r="M704" s="3">
        <f>IF(E704="No R2",0,VLOOKUP(C704,'Peer-Review'!F:H,3,0))</f>
        <v>9</v>
      </c>
    </row>
    <row r="705" hidden="1">
      <c r="A705" s="3" t="str">
        <f>IFERROR(__xludf.DUMMYFUNCTION("""COMPUTED_VALUE"""),"23f3004035@ds.study.iitm.ac.in")</f>
        <v>23f3004035@ds.study.iitm.ac.in</v>
      </c>
      <c r="B705" s="3">
        <f>IFERROR(__xludf.DUMMYFUNCTION("""COMPUTED_VALUE"""),17.0)</f>
        <v>17</v>
      </c>
      <c r="C705" s="5" t="str">
        <f>IFERROR(__xludf.DUMMYFUNCTION("""COMPUTED_VALUE"""),"https://github.com/vath-21/tdsproject1")</f>
        <v>https://github.com/vath-21/tdsproject1</v>
      </c>
      <c r="D705" s="3" t="str">
        <f>IFERROR(VLOOKUP(C705,'Peer-Review'!B:J,9,0),"No R1")</f>
        <v>No R1</v>
      </c>
      <c r="E705" s="3" t="str">
        <f>IFERROR(VLOOKUP(C705,'Peer-Review'!F:J,5,0),"No R2")</f>
        <v>23f3003763@ds.study.iitm.ac.in</v>
      </c>
      <c r="F705" s="3">
        <f>COUNTIF('Peer-Review'!B:B,C705)+COUNTIF('Peer-Review'!F:F,C705)</f>
        <v>2</v>
      </c>
      <c r="G705" s="3">
        <f t="shared" si="1"/>
        <v>1</v>
      </c>
      <c r="H705" s="3" t="str">
        <f>IFERROR(__xludf.DUMMYFUNCTION("IFERROR(TRANSPOSE(FILTER('Peer-Review'!$J$2:$J$568,(TRIM('Peer-Review'!$B$2:$B$568)=C705 )+ (TRIM('Peer-Review'!$F$2:$F$568)=C705))),""No Reviews"")"),"23f3003763@ds.study.iitm.ac.in")</f>
        <v>23f3003763@ds.study.iitm.ac.in</v>
      </c>
      <c r="I705" s="3" t="str">
        <f>IFERROR(__xludf.DUMMYFUNCTION("""COMPUTED_VALUE"""),"21f1004349@ds.study.iitm.ac.in")</f>
        <v>21f1004349@ds.study.iitm.ac.in</v>
      </c>
      <c r="J705" s="3">
        <f>IF(D705="No R1",0,VLOOKUP(C705,'Peer-Review'!B:D,2,0))</f>
        <v>0</v>
      </c>
      <c r="K705" s="3">
        <f>IF(D705="No R1",0,VLOOKUP(C705,'Peer-Review'!B:D,3,0))</f>
        <v>0</v>
      </c>
      <c r="L705" s="3">
        <f>IF(E705="No R2",0,VLOOKUP(C705,'Peer-Review'!F:H,2,0))</f>
        <v>8</v>
      </c>
      <c r="M705" s="3">
        <f>IF(E705="No R2",0,VLOOKUP(C705,'Peer-Review'!F:H,3,0))</f>
        <v>10</v>
      </c>
    </row>
    <row r="706" hidden="1">
      <c r="A706" s="3" t="str">
        <f>IFERROR(__xludf.DUMMYFUNCTION("""COMPUTED_VALUE"""),"23f3004146@ds.study.iitm.ac.in")</f>
        <v>23f3004146@ds.study.iitm.ac.in</v>
      </c>
      <c r="B706" s="3">
        <f>IFERROR(__xludf.DUMMYFUNCTION("""COMPUTED_VALUE"""),17.0)</f>
        <v>17</v>
      </c>
      <c r="C706" s="5" t="str">
        <f>IFERROR(__xludf.DUMMYFUNCTION("""COMPUTED_VALUE"""),"https://github.com/singh-akhand/tds-project-1")</f>
        <v>https://github.com/singh-akhand/tds-project-1</v>
      </c>
      <c r="D706" s="3" t="str">
        <f>IFERROR(VLOOKUP(C706,'Peer-Review'!B:J,9,0),"No R1")</f>
        <v>No R1</v>
      </c>
      <c r="E706" s="3" t="str">
        <f>IFERROR(VLOOKUP(C706,'Peer-Review'!F:J,5,0),"No R2")</f>
        <v>23f3004035@ds.study.iitm.ac.in</v>
      </c>
      <c r="F706" s="3">
        <f>COUNTIF('Peer-Review'!B:B,C706)+COUNTIF('Peer-Review'!F:F,C706)</f>
        <v>2</v>
      </c>
      <c r="G706" s="3">
        <f t="shared" si="1"/>
        <v>1</v>
      </c>
      <c r="H706" s="3" t="str">
        <f>IFERROR(__xludf.DUMMYFUNCTION("IFERROR(TRANSPOSE(FILTER('Peer-Review'!$J$2:$J$568,(TRIM('Peer-Review'!$B$2:$B$568)=C706 )+ (TRIM('Peer-Review'!$F$2:$F$568)=C706))),""No Reviews"")"),"23f3004035@ds.study.iitm.ac.in")</f>
        <v>23f3004035@ds.study.iitm.ac.in</v>
      </c>
      <c r="I706" s="3" t="str">
        <f>IFERROR(__xludf.DUMMYFUNCTION("""COMPUTED_VALUE"""),"21f1004430@ds.study.iitm.ac.in")</f>
        <v>21f1004430@ds.study.iitm.ac.in</v>
      </c>
      <c r="J706" s="3">
        <f>IF(D706="No R1",0,VLOOKUP(C706,'Peer-Review'!B:D,2,0))</f>
        <v>0</v>
      </c>
      <c r="K706" s="3">
        <f>IF(D706="No R1",0,VLOOKUP(C706,'Peer-Review'!B:D,3,0))</f>
        <v>0</v>
      </c>
      <c r="L706" s="3">
        <f>IF(E706="No R2",0,VLOOKUP(C706,'Peer-Review'!F:H,2,0))</f>
        <v>10</v>
      </c>
      <c r="M706" s="3">
        <f>IF(E706="No R2",0,VLOOKUP(C706,'Peer-Review'!F:H,3,0))</f>
        <v>10</v>
      </c>
    </row>
    <row r="707" hidden="1">
      <c r="A707" s="3" t="str">
        <f>IFERROR(__xludf.DUMMYFUNCTION("""COMPUTED_VALUE"""),"23f3004177@ds.study.iitm.ac.in")</f>
        <v>23f3004177@ds.study.iitm.ac.in</v>
      </c>
      <c r="B707" s="3">
        <f>IFERROR(__xludf.DUMMYFUNCTION("""COMPUTED_VALUE"""),13.0)</f>
        <v>13</v>
      </c>
      <c r="C707" s="5" t="str">
        <f>IFERROR(__xludf.DUMMYFUNCTION("""COMPUTED_VALUE"""),"https://github.com/n3055/Chennai-50_223f3004177")</f>
        <v>https://github.com/n3055/Chennai-50_223f3004177</v>
      </c>
      <c r="D707" s="3" t="str">
        <f>IFERROR(VLOOKUP(C707,'Peer-Review'!B:J,9,0),"No R1")</f>
        <v>23f3004354@ds.study.iitm.ac.in</v>
      </c>
      <c r="E707" s="3" t="str">
        <f>IFERROR(VLOOKUP(C707,'Peer-Review'!F:J,5,0),"No R2")</f>
        <v>No R2</v>
      </c>
      <c r="F707" s="3">
        <f>COUNTIF('Peer-Review'!B:B,C707)+COUNTIF('Peer-Review'!F:F,C707)</f>
        <v>2</v>
      </c>
      <c r="G707" s="3">
        <f t="shared" si="1"/>
        <v>1</v>
      </c>
      <c r="H707" s="3" t="str">
        <f>IFERROR(__xludf.DUMMYFUNCTION("IFERROR(TRANSPOSE(FILTER('Peer-Review'!$J$2:$J$568,(TRIM('Peer-Review'!$B$2:$B$568)=C707 )+ (TRIM('Peer-Review'!$F$2:$F$568)=C707))),""No Reviews"")"),"23f3004354@ds.study.iitm.ac.in")</f>
        <v>23f3004354@ds.study.iitm.ac.in</v>
      </c>
      <c r="I707" s="3" t="str">
        <f>IFERROR(__xludf.DUMMYFUNCTION("""COMPUTED_VALUE"""),"22f3001981@ds.study.iitm.ac.in")</f>
        <v>22f3001981@ds.study.iitm.ac.in</v>
      </c>
      <c r="J707" s="3">
        <f>IF(D707="No R1",0,VLOOKUP(C707,'Peer-Review'!B:D,2,0))</f>
        <v>7</v>
      </c>
      <c r="K707" s="3">
        <f>IF(D707="No R1",0,VLOOKUP(C707,'Peer-Review'!B:D,3,0))</f>
        <v>7</v>
      </c>
      <c r="L707" s="3">
        <f>IF(E707="No R2",0,VLOOKUP(C707,'Peer-Review'!F:H,2,0))</f>
        <v>0</v>
      </c>
      <c r="M707" s="3">
        <f>IF(E707="No R2",0,VLOOKUP(C707,'Peer-Review'!F:H,3,0))</f>
        <v>0</v>
      </c>
    </row>
    <row r="708" hidden="1">
      <c r="A708" s="3" t="str">
        <f>IFERROR(__xludf.DUMMYFUNCTION("""COMPUTED_VALUE"""),"23f3004236@ds.study.iitm.ac.in")</f>
        <v>23f3004236@ds.study.iitm.ac.in</v>
      </c>
      <c r="B708" s="3">
        <f>IFERROR(__xludf.DUMMYFUNCTION("""COMPUTED_VALUE"""),14.0)</f>
        <v>14</v>
      </c>
      <c r="C708" s="5" t="str">
        <f>IFERROR(__xludf.DUMMYFUNCTION("""COMPUTED_VALUE"""),"https://github.com/23f3004236/TDS-Project-1/tree/main")</f>
        <v>https://github.com/23f3004236/TDS-Project-1/tree/main</v>
      </c>
      <c r="D708" s="3" t="str">
        <f>IFERROR(VLOOKUP(C708,'Peer-Review'!B:J,9,0),"No R1")</f>
        <v>23f1002809@ds.study.iitm.ac.in</v>
      </c>
      <c r="E708" s="3" t="str">
        <f>IFERROR(VLOOKUP(C708,'Peer-Review'!F:J,5,0),"No R2")</f>
        <v>No R2</v>
      </c>
      <c r="F708" s="3">
        <f>COUNTIF('Peer-Review'!B:B,C708)+COUNTIF('Peer-Review'!F:F,C708)</f>
        <v>1</v>
      </c>
      <c r="G708" s="3">
        <f t="shared" si="1"/>
        <v>1</v>
      </c>
      <c r="H708" s="3" t="str">
        <f>IFERROR(__xludf.DUMMYFUNCTION("IFERROR(TRANSPOSE(FILTER('Peer-Review'!$J$2:$J$568,(TRIM('Peer-Review'!$B$2:$B$568)=C708 )+ (TRIM('Peer-Review'!$F$2:$F$568)=C708))),""No Reviews"")"),"23f1002809@ds.study.iitm.ac.in")</f>
        <v>23f1002809@ds.study.iitm.ac.in</v>
      </c>
      <c r="J708" s="3">
        <f>IF(D708="No R1",0,VLOOKUP(C708,'Peer-Review'!B:D,2,0))</f>
        <v>8</v>
      </c>
      <c r="K708" s="3">
        <f>IF(D708="No R1",0,VLOOKUP(C708,'Peer-Review'!B:D,3,0))</f>
        <v>10</v>
      </c>
      <c r="L708" s="3">
        <f>IF(E708="No R2",0,VLOOKUP(C708,'Peer-Review'!F:H,2,0))</f>
        <v>0</v>
      </c>
      <c r="M708" s="3">
        <f>IF(E708="No R2",0,VLOOKUP(C708,'Peer-Review'!F:H,3,0))</f>
        <v>0</v>
      </c>
    </row>
    <row r="709">
      <c r="A709" s="3" t="str">
        <f>IFERROR(__xludf.DUMMYFUNCTION("""COMPUTED_VALUE"""),"23f3004263@ds.study.iitm.ac.in")</f>
        <v>23f3004263@ds.study.iitm.ac.in</v>
      </c>
      <c r="B709" s="3">
        <f>IFERROR(__xludf.DUMMYFUNCTION("""COMPUTED_VALUE"""),0.0)</f>
        <v>0</v>
      </c>
      <c r="C709" s="3"/>
      <c r="D709" s="3" t="str">
        <f>IFERROR(VLOOKUP(C709,'Peer-Review'!B:J,9,0),"No R1")</f>
        <v>No R1</v>
      </c>
      <c r="E709" s="3" t="str">
        <f>IFERROR(VLOOKUP(C709,'Peer-Review'!F:J,5,0),"No R2")</f>
        <v>No R2</v>
      </c>
      <c r="F709" s="3">
        <f>COUNTIF('Peer-Review'!B:B,C709)+COUNTIF('Peer-Review'!F:F,C709)</f>
        <v>0</v>
      </c>
      <c r="G709" s="3">
        <f t="shared" si="1"/>
        <v>0</v>
      </c>
      <c r="H709" s="3" t="str">
        <f>IFERROR(__xludf.DUMMYFUNCTION("IFERROR(TRANSPOSE(FILTER('Peer-Review'!$J$2:$J$568,(TRIM('Peer-Review'!$B$2:$B$568)=C709 )+ (TRIM('Peer-Review'!$F$2:$F$568)=C709))),""No Reviews"")"),"No Reviews")</f>
        <v>No Reviews</v>
      </c>
      <c r="J709" s="3">
        <f>IF(D709="No R1",0,VLOOKUP(C709,'Peer-Review'!B:D,2,0))</f>
        <v>0</v>
      </c>
      <c r="K709" s="3">
        <f>IF(D709="No R1",0,VLOOKUP(C709,'Peer-Review'!B:D,3,0))</f>
        <v>0</v>
      </c>
      <c r="L709" s="3">
        <f>IF(E709="No R2",0,VLOOKUP(C709,'Peer-Review'!F:H,2,0))</f>
        <v>0</v>
      </c>
      <c r="M709" s="3">
        <f>IF(E709="No R2",0,VLOOKUP(C709,'Peer-Review'!F:H,3,0))</f>
        <v>0</v>
      </c>
    </row>
    <row r="710" hidden="1">
      <c r="A710" s="3" t="str">
        <f>IFERROR(__xludf.DUMMYFUNCTION("""COMPUTED_VALUE"""),"23f3004266@ds.study.iitm.ac.in")</f>
        <v>23f3004266@ds.study.iitm.ac.in</v>
      </c>
      <c r="B710" s="3">
        <f>IFERROR(__xludf.DUMMYFUNCTION("""COMPUTED_VALUE"""),10.0)</f>
        <v>10</v>
      </c>
      <c r="C710" s="5" t="str">
        <f>IFERROR(__xludf.DUMMYFUNCTION("""COMPUTED_VALUE"""),"https://github.com/AfnanShamsi/TDS-Project-1/tree/main")</f>
        <v>https://github.com/AfnanShamsi/TDS-Project-1/tree/main</v>
      </c>
      <c r="D710" s="3" t="str">
        <f>IFERROR(VLOOKUP(C710,'Peer-Review'!B:J,9,0),"No R1")</f>
        <v>24f1002112@ds.study.iitm.ac.in</v>
      </c>
      <c r="E710" s="3" t="str">
        <f>IFERROR(VLOOKUP(C710,'Peer-Review'!F:J,5,0),"No R2")</f>
        <v>No R2</v>
      </c>
      <c r="F710" s="3">
        <f>COUNTIF('Peer-Review'!B:B,C710)+COUNTIF('Peer-Review'!F:F,C710)</f>
        <v>1</v>
      </c>
      <c r="G710" s="3">
        <f t="shared" si="1"/>
        <v>1</v>
      </c>
      <c r="H710" s="3" t="str">
        <f>IFERROR(__xludf.DUMMYFUNCTION("IFERROR(TRANSPOSE(FILTER('Peer-Review'!$J$2:$J$568,(TRIM('Peer-Review'!$B$2:$B$568)=C710 )+ (TRIM('Peer-Review'!$F$2:$F$568)=C710))),""No Reviews"")"),"24f1002112@ds.study.iitm.ac.in")</f>
        <v>24f1002112@ds.study.iitm.ac.in</v>
      </c>
      <c r="J710" s="3">
        <f>IF(D710="No R1",0,VLOOKUP(C710,'Peer-Review'!B:D,2,0))</f>
        <v>8</v>
      </c>
      <c r="K710" s="3">
        <f>IF(D710="No R1",0,VLOOKUP(C710,'Peer-Review'!B:D,3,0))</f>
        <v>8</v>
      </c>
      <c r="L710" s="3">
        <f>IF(E710="No R2",0,VLOOKUP(C710,'Peer-Review'!F:H,2,0))</f>
        <v>0</v>
      </c>
      <c r="M710" s="3">
        <f>IF(E710="No R2",0,VLOOKUP(C710,'Peer-Review'!F:H,3,0))</f>
        <v>0</v>
      </c>
    </row>
    <row r="711" hidden="1">
      <c r="A711" s="3" t="str">
        <f>IFERROR(__xludf.DUMMYFUNCTION("""COMPUTED_VALUE"""),"23f3004354@ds.study.iitm.ac.in")</f>
        <v>23f3004354@ds.study.iitm.ac.in</v>
      </c>
      <c r="B711" s="3">
        <f>IFERROR(__xludf.DUMMYFUNCTION("""COMPUTED_VALUE"""),13.0)</f>
        <v>13</v>
      </c>
      <c r="C711" s="5" t="str">
        <f>IFERROR(__xludf.DUMMYFUNCTION("""COMPUTED_VALUE"""),"https://github.com/pranay2k3/iitpro")</f>
        <v>https://github.com/pranay2k3/iitpro</v>
      </c>
      <c r="D711" s="3" t="str">
        <f>IFERROR(VLOOKUP(C711,'Peer-Review'!B:J,9,0),"No R1")</f>
        <v>22f3002004@ds.study.iitm.ac.in</v>
      </c>
      <c r="E711" s="3" t="str">
        <f>IFERROR(VLOOKUP(C711,'Peer-Review'!F:J,5,0),"No R2")</f>
        <v>No R2</v>
      </c>
      <c r="F711" s="3">
        <f>COUNTIF('Peer-Review'!B:B,C711)+COUNTIF('Peer-Review'!F:F,C711)</f>
        <v>2</v>
      </c>
      <c r="G711" s="3">
        <f t="shared" si="1"/>
        <v>1</v>
      </c>
      <c r="H711" s="3" t="str">
        <f>IFERROR(__xludf.DUMMYFUNCTION("IFERROR(TRANSPOSE(FILTER('Peer-Review'!$J$2:$J$568,(TRIM('Peer-Review'!$B$2:$B$568)=C711 )+ (TRIM('Peer-Review'!$F$2:$F$568)=C711))),""No Reviews"")"),"22f3002004@ds.study.iitm.ac.in")</f>
        <v>22f3002004@ds.study.iitm.ac.in</v>
      </c>
      <c r="I711" s="3" t="str">
        <f>IFERROR(__xludf.DUMMYFUNCTION("""COMPUTED_VALUE"""),"23f3004405@ds.study.iitm.ac.in")</f>
        <v>23f3004405@ds.study.iitm.ac.in</v>
      </c>
      <c r="J711" s="3">
        <f>IF(D711="No R1",0,VLOOKUP(C711,'Peer-Review'!B:D,2,0))</f>
        <v>0</v>
      </c>
      <c r="K711" s="3">
        <f>IF(D711="No R1",0,VLOOKUP(C711,'Peer-Review'!B:D,3,0))</f>
        <v>0</v>
      </c>
      <c r="L711" s="3">
        <f>IF(E711="No R2",0,VLOOKUP(C711,'Peer-Review'!F:H,2,0))</f>
        <v>0</v>
      </c>
      <c r="M711" s="3">
        <f>IF(E711="No R2",0,VLOOKUP(C711,'Peer-Review'!F:H,3,0))</f>
        <v>0</v>
      </c>
    </row>
    <row r="712" hidden="1">
      <c r="A712" s="3" t="str">
        <f>IFERROR(__xludf.DUMMYFUNCTION("""COMPUTED_VALUE"""),"23f3004372@ds.study.iitm.ac.in")</f>
        <v>23f3004372@ds.study.iitm.ac.in</v>
      </c>
      <c r="B712" s="3">
        <f>IFERROR(__xludf.DUMMYFUNCTION("""COMPUTED_VALUE"""),17.0)</f>
        <v>17</v>
      </c>
      <c r="C712" s="5" t="str">
        <f>IFERROR(__xludf.DUMMYFUNCTION("""COMPUTED_VALUE"""),"https://github.com/nightcoder358/TDS-Project-1")</f>
        <v>https://github.com/nightcoder358/TDS-Project-1</v>
      </c>
      <c r="D712" s="3" t="str">
        <f>IFERROR(VLOOKUP(C712,'Peer-Review'!B:J,9,0),"No R1")</f>
        <v>No R1</v>
      </c>
      <c r="E712" s="3" t="str">
        <f>IFERROR(VLOOKUP(C712,'Peer-Review'!F:J,5,0),"No R2")</f>
        <v>21f1004719@ds.study.iitm.ac.in</v>
      </c>
      <c r="F712" s="3">
        <f>COUNTIF('Peer-Review'!B:B,C712)+COUNTIF('Peer-Review'!F:F,C712)</f>
        <v>2</v>
      </c>
      <c r="G712" s="3">
        <f t="shared" si="1"/>
        <v>1</v>
      </c>
      <c r="H712" s="3" t="str">
        <f>IFERROR(__xludf.DUMMYFUNCTION("IFERROR(TRANSPOSE(FILTER('Peer-Review'!$J$2:$J$568,(TRIM('Peer-Review'!$B$2:$B$568)=C712 )+ (TRIM('Peer-Review'!$F$2:$F$568)=C712))),""No Reviews"")"),"21f1004719@ds.study.iitm.ac.in")</f>
        <v>21f1004719@ds.study.iitm.ac.in</v>
      </c>
      <c r="I712" s="3" t="str">
        <f>IFERROR(__xludf.DUMMYFUNCTION("""COMPUTED_VALUE"""),"23f3004146@ds.study.iitm.ac.in")</f>
        <v>23f3004146@ds.study.iitm.ac.in</v>
      </c>
      <c r="J712" s="3">
        <f>IF(D712="No R1",0,VLOOKUP(C712,'Peer-Review'!B:D,2,0))</f>
        <v>0</v>
      </c>
      <c r="K712" s="3">
        <f>IF(D712="No R1",0,VLOOKUP(C712,'Peer-Review'!B:D,3,0))</f>
        <v>0</v>
      </c>
      <c r="L712" s="3">
        <f>IF(E712="No R2",0,VLOOKUP(C712,'Peer-Review'!F:H,2,0))</f>
        <v>10</v>
      </c>
      <c r="M712" s="3">
        <f>IF(E712="No R2",0,VLOOKUP(C712,'Peer-Review'!F:H,3,0))</f>
        <v>10</v>
      </c>
    </row>
    <row r="713" hidden="1">
      <c r="A713" s="3" t="str">
        <f>IFERROR(__xludf.DUMMYFUNCTION("""COMPUTED_VALUE"""),"23f3004405@ds.study.iitm.ac.in")</f>
        <v>23f3004405@ds.study.iitm.ac.in</v>
      </c>
      <c r="B713" s="3">
        <f>IFERROR(__xludf.DUMMYFUNCTION("""COMPUTED_VALUE"""),13.0)</f>
        <v>13</v>
      </c>
      <c r="C713" s="5" t="str">
        <f>IFERROR(__xludf.DUMMYFUNCTION("""COMPUTED_VALUE"""),"https://github.com/DisRajeeth/proj-1-tds")</f>
        <v>https://github.com/DisRajeeth/proj-1-tds</v>
      </c>
      <c r="D713" s="3" t="str">
        <f>IFERROR(VLOOKUP(C713,'Peer-Review'!B:J,9,0),"No R1")</f>
        <v>24ds1000075@ds.study.iitm.ac.in</v>
      </c>
      <c r="E713" s="3" t="str">
        <f>IFERROR(VLOOKUP(C713,'Peer-Review'!F:J,5,0),"No R2")</f>
        <v>No R2</v>
      </c>
      <c r="F713" s="3">
        <f>COUNTIF('Peer-Review'!B:B,C713)+COUNTIF('Peer-Review'!F:F,C713)</f>
        <v>2</v>
      </c>
      <c r="G713" s="3">
        <f t="shared" si="1"/>
        <v>1</v>
      </c>
      <c r="H713" s="3" t="str">
        <f>IFERROR(__xludf.DUMMYFUNCTION("IFERROR(TRANSPOSE(FILTER('Peer-Review'!$J$2:$J$568,(TRIM('Peer-Review'!$B$2:$B$568)=C713 )+ (TRIM('Peer-Review'!$F$2:$F$568)=C713))),""No Reviews"")"),"24ds1000075@ds.study.iitm.ac.in")</f>
        <v>24ds1000075@ds.study.iitm.ac.in</v>
      </c>
      <c r="I713" s="3" t="str">
        <f>IFERROR(__xludf.DUMMYFUNCTION("""COMPUTED_VALUE"""),"22f3002051@ds.study.iitm.ac.in")</f>
        <v>22f3002051@ds.study.iitm.ac.in</v>
      </c>
      <c r="J713" s="3">
        <f>IF(D713="No R1",0,VLOOKUP(C713,'Peer-Review'!B:D,2,0))</f>
        <v>6</v>
      </c>
      <c r="K713" s="3">
        <f>IF(D713="No R1",0,VLOOKUP(C713,'Peer-Review'!B:D,3,0))</f>
        <v>7</v>
      </c>
      <c r="L713" s="3">
        <f>IF(E713="No R2",0,VLOOKUP(C713,'Peer-Review'!F:H,2,0))</f>
        <v>0</v>
      </c>
      <c r="M713" s="3">
        <f>IF(E713="No R2",0,VLOOKUP(C713,'Peer-Review'!F:H,3,0))</f>
        <v>0</v>
      </c>
    </row>
    <row r="714" hidden="1">
      <c r="A714" s="3" t="str">
        <f>IFERROR(__xludf.DUMMYFUNCTION("""COMPUTED_VALUE"""),"24ds1000028@ds.study.iitm.ac.in")</f>
        <v>24ds1000028@ds.study.iitm.ac.in</v>
      </c>
      <c r="B714" s="3">
        <f>IFERROR(__xludf.DUMMYFUNCTION("""COMPUTED_VALUE"""),17.0)</f>
        <v>17</v>
      </c>
      <c r="C714" s="5" t="str">
        <f>IFERROR(__xludf.DUMMYFUNCTION("""COMPUTED_VALUE"""),"https://github.com/SaloniSingh1254/seattle200")</f>
        <v>https://github.com/SaloniSingh1254/seattle200</v>
      </c>
      <c r="D714" s="3" t="str">
        <f>IFERROR(VLOOKUP(C714,'Peer-Review'!B:J,9,0),"No R1")</f>
        <v>No R1</v>
      </c>
      <c r="E714" s="3" t="str">
        <f>IFERROR(VLOOKUP(C714,'Peer-Review'!F:J,5,0),"No R2")</f>
        <v>23f3004372@ds.study.iitm.ac.in</v>
      </c>
      <c r="F714" s="3">
        <f>COUNTIF('Peer-Review'!B:B,C714)+COUNTIF('Peer-Review'!F:F,C714)</f>
        <v>2</v>
      </c>
      <c r="G714" s="3">
        <f t="shared" si="1"/>
        <v>1</v>
      </c>
      <c r="H714" s="3" t="str">
        <f>IFERROR(__xludf.DUMMYFUNCTION("IFERROR(TRANSPOSE(FILTER('Peer-Review'!$J$2:$J$568,(TRIM('Peer-Review'!$B$2:$B$568)=C714 )+ (TRIM('Peer-Review'!$F$2:$F$568)=C714))),""No Reviews"")"),"23f3004372@ds.study.iitm.ac.in")</f>
        <v>23f3004372@ds.study.iitm.ac.in</v>
      </c>
      <c r="I714" s="3" t="str">
        <f>IFERROR(__xludf.DUMMYFUNCTION("""COMPUTED_VALUE"""),"21f1004811@ds.study.iitm.ac.in")</f>
        <v>21f1004811@ds.study.iitm.ac.in</v>
      </c>
      <c r="J714" s="3">
        <f>IF(D714="No R1",0,VLOOKUP(C714,'Peer-Review'!B:D,2,0))</f>
        <v>0</v>
      </c>
      <c r="K714" s="3">
        <f>IF(D714="No R1",0,VLOOKUP(C714,'Peer-Review'!B:D,3,0))</f>
        <v>0</v>
      </c>
      <c r="L714" s="3">
        <f>IF(E714="No R2",0,VLOOKUP(C714,'Peer-Review'!F:H,2,0))</f>
        <v>5</v>
      </c>
      <c r="M714" s="3">
        <f>IF(E714="No R2",0,VLOOKUP(C714,'Peer-Review'!F:H,3,0))</f>
        <v>5</v>
      </c>
    </row>
    <row r="715" hidden="1">
      <c r="A715" s="3" t="str">
        <f>IFERROR(__xludf.DUMMYFUNCTION("""COMPUTED_VALUE"""),"24ds1000036@ds.study.iitm.ac.in")</f>
        <v>24ds1000036@ds.study.iitm.ac.in</v>
      </c>
      <c r="B715" s="3">
        <f>IFERROR(__xludf.DUMMYFUNCTION("""COMPUTED_VALUE"""),17.0)</f>
        <v>17</v>
      </c>
      <c r="C715" s="5" t="str">
        <f>IFERROR(__xludf.DUMMYFUNCTION("""COMPUTED_VALUE"""),"https://github.com/vaishnavich44/Beijing-GitHub-Analysis")</f>
        <v>https://github.com/vaishnavich44/Beijing-GitHub-Analysis</v>
      </c>
      <c r="D715" s="3" t="str">
        <f>IFERROR(VLOOKUP(C715,'Peer-Review'!B:J,9,0),"No R1")</f>
        <v>No R1</v>
      </c>
      <c r="E715" s="3" t="str">
        <f>IFERROR(VLOOKUP(C715,'Peer-Review'!F:J,5,0),"No R2")</f>
        <v>24ds1000028@ds.study.iitm.ac.in</v>
      </c>
      <c r="F715" s="3">
        <f>COUNTIF('Peer-Review'!B:B,C715)+COUNTIF('Peer-Review'!F:F,C715)</f>
        <v>2</v>
      </c>
      <c r="G715" s="3">
        <f t="shared" si="1"/>
        <v>1</v>
      </c>
      <c r="H715" s="3" t="str">
        <f>IFERROR(__xludf.DUMMYFUNCTION("IFERROR(TRANSPOSE(FILTER('Peer-Review'!$J$2:$J$568,(TRIM('Peer-Review'!$B$2:$B$568)=C715 )+ (TRIM('Peer-Review'!$F$2:$F$568)=C715))),""No Reviews"")"),"24ds1000028@ds.study.iitm.ac.in")</f>
        <v>24ds1000028@ds.study.iitm.ac.in</v>
      </c>
      <c r="I715" s="3" t="str">
        <f>IFERROR(__xludf.DUMMYFUNCTION("""COMPUTED_VALUE"""),"21f2000351@ds.study.iitm.ac.in")</f>
        <v>21f2000351@ds.study.iitm.ac.in</v>
      </c>
      <c r="J715" s="3">
        <f>IF(D715="No R1",0,VLOOKUP(C715,'Peer-Review'!B:D,2,0))</f>
        <v>0</v>
      </c>
      <c r="K715" s="3">
        <f>IF(D715="No R1",0,VLOOKUP(C715,'Peer-Review'!B:D,3,0))</f>
        <v>0</v>
      </c>
      <c r="L715" s="3">
        <f>IF(E715="No R2",0,VLOOKUP(C715,'Peer-Review'!F:H,2,0))</f>
        <v>10</v>
      </c>
      <c r="M715" s="3">
        <f>IF(E715="No R2",0,VLOOKUP(C715,'Peer-Review'!F:H,3,0))</f>
        <v>10</v>
      </c>
    </row>
    <row r="716" hidden="1">
      <c r="A716" s="3" t="str">
        <f>IFERROR(__xludf.DUMMYFUNCTION("""COMPUTED_VALUE"""),"24ds1000042@ds.study.iitm.ac.in")</f>
        <v>24ds1000042@ds.study.iitm.ac.in</v>
      </c>
      <c r="B716" s="3">
        <f>IFERROR(__xludf.DUMMYFUNCTION("""COMPUTED_VALUE"""),7.0)</f>
        <v>7</v>
      </c>
      <c r="C716" s="5" t="str">
        <f>IFERROR(__xludf.DUMMYFUNCTION("""COMPUTED_VALUE"""),"https://github.com/Preena-iitmds/pree_ZurichProj1")</f>
        <v>https://github.com/Preena-iitmds/pree_ZurichProj1</v>
      </c>
      <c r="D716" s="3" t="str">
        <f>IFERROR(VLOOKUP(C716,'Peer-Review'!B:J,9,0),"No R1")</f>
        <v>22f3000983@ds.study.iitm.ac.in</v>
      </c>
      <c r="E716" s="3" t="str">
        <f>IFERROR(VLOOKUP(C716,'Peer-Review'!F:J,5,0),"No R2")</f>
        <v>No R2</v>
      </c>
      <c r="F716" s="3">
        <f>COUNTIF('Peer-Review'!B:B,C716)+COUNTIF('Peer-Review'!F:F,C716)</f>
        <v>2</v>
      </c>
      <c r="G716" s="3">
        <f t="shared" si="1"/>
        <v>1</v>
      </c>
      <c r="H716" s="3" t="str">
        <f>IFERROR(__xludf.DUMMYFUNCTION("IFERROR(TRANSPOSE(FILTER('Peer-Review'!$J$2:$J$568,(TRIM('Peer-Review'!$B$2:$B$568)=C716 )+ (TRIM('Peer-Review'!$F$2:$F$568)=C716))),""No Reviews"")"),"22f3000983@ds.study.iitm.ac.in")</f>
        <v>22f3000983@ds.study.iitm.ac.in</v>
      </c>
      <c r="I716" s="3" t="str">
        <f>IFERROR(__xludf.DUMMYFUNCTION("""COMPUTED_VALUE"""),"22f1001082@ds.study.iitm.ac.in")</f>
        <v>22f1001082@ds.study.iitm.ac.in</v>
      </c>
      <c r="J716" s="3">
        <f>IF(D716="No R1",0,VLOOKUP(C716,'Peer-Review'!B:D,2,0))</f>
        <v>9</v>
      </c>
      <c r="K716" s="3">
        <f>IF(D716="No R1",0,VLOOKUP(C716,'Peer-Review'!B:D,3,0))</f>
        <v>9</v>
      </c>
      <c r="L716" s="3">
        <f>IF(E716="No R2",0,VLOOKUP(C716,'Peer-Review'!F:H,2,0))</f>
        <v>0</v>
      </c>
      <c r="M716" s="3">
        <f>IF(E716="No R2",0,VLOOKUP(C716,'Peer-Review'!F:H,3,0))</f>
        <v>0</v>
      </c>
    </row>
    <row r="717" hidden="1">
      <c r="A717" s="3" t="str">
        <f>IFERROR(__xludf.DUMMYFUNCTION("""COMPUTED_VALUE"""),"24ds1000043@ds.study.iitm.ac.in")</f>
        <v>24ds1000043@ds.study.iitm.ac.in</v>
      </c>
      <c r="B717" s="3">
        <f>IFERROR(__xludf.DUMMYFUNCTION("""COMPUTED_VALUE"""),11.0)</f>
        <v>11</v>
      </c>
      <c r="C717" s="5" t="str">
        <f>IFERROR(__xludf.DUMMYFUNCTION("""COMPUTED_VALUE"""),"https://github.com/Shivam-IITM-DS/banglore-users")</f>
        <v>https://github.com/Shivam-IITM-DS/banglore-users</v>
      </c>
      <c r="D717" s="3" t="str">
        <f>IFERROR(VLOOKUP(C717,'Peer-Review'!B:J,9,0),"No R1")</f>
        <v>24ds1000095@ds.study.iitm.ac.in</v>
      </c>
      <c r="E717" s="3" t="str">
        <f>IFERROR(VLOOKUP(C717,'Peer-Review'!F:J,5,0),"No R2")</f>
        <v>No R2</v>
      </c>
      <c r="F717" s="3">
        <f>COUNTIF('Peer-Review'!B:B,C717)+COUNTIF('Peer-Review'!F:F,C717)</f>
        <v>1</v>
      </c>
      <c r="G717" s="3">
        <f t="shared" si="1"/>
        <v>1</v>
      </c>
      <c r="H717" s="3" t="str">
        <f>IFERROR(__xludf.DUMMYFUNCTION("IFERROR(TRANSPOSE(FILTER('Peer-Review'!$J$2:$J$568,(TRIM('Peer-Review'!$B$2:$B$568)=C717 )+ (TRIM('Peer-Review'!$F$2:$F$568)=C717))),""No Reviews"")"),"24ds1000095@ds.study.iitm.ac.in")</f>
        <v>24ds1000095@ds.study.iitm.ac.in</v>
      </c>
      <c r="J717" s="3">
        <f>IF(D717="No R1",0,VLOOKUP(C717,'Peer-Review'!B:D,2,0))</f>
        <v>6</v>
      </c>
      <c r="K717" s="3">
        <f>IF(D717="No R1",0,VLOOKUP(C717,'Peer-Review'!B:D,3,0))</f>
        <v>8</v>
      </c>
      <c r="L717" s="3">
        <f>IF(E717="No R2",0,VLOOKUP(C717,'Peer-Review'!F:H,2,0))</f>
        <v>0</v>
      </c>
      <c r="M717" s="3">
        <f>IF(E717="No R2",0,VLOOKUP(C717,'Peer-Review'!F:H,3,0))</f>
        <v>0</v>
      </c>
    </row>
    <row r="718" hidden="1">
      <c r="A718" s="3" t="str">
        <f>IFERROR(__xludf.DUMMYFUNCTION("""COMPUTED_VALUE"""),"24ds1000075@ds.study.iitm.ac.in")</f>
        <v>24ds1000075@ds.study.iitm.ac.in</v>
      </c>
      <c r="B718" s="3">
        <f>IFERROR(__xludf.DUMMYFUNCTION("""COMPUTED_VALUE"""),13.0)</f>
        <v>13</v>
      </c>
      <c r="C718" s="5" t="str">
        <f>IFERROR(__xludf.DUMMYFUNCTION("""COMPUTED_VALUE"""),"https://github.com/PoornimaIITm/Tds_barcelona100")</f>
        <v>https://github.com/PoornimaIITm/Tds_barcelona100</v>
      </c>
      <c r="D718" s="3" t="str">
        <f>IFERROR(VLOOKUP(C718,'Peer-Review'!B:J,9,0),"No R1")</f>
        <v>22f3002094@ds.study.iitm.ac.in</v>
      </c>
      <c r="E718" s="3" t="str">
        <f>IFERROR(VLOOKUP(C718,'Peer-Review'!F:J,5,0),"No R2")</f>
        <v>No R2</v>
      </c>
      <c r="F718" s="3">
        <f>COUNTIF('Peer-Review'!B:B,C718)+COUNTIF('Peer-Review'!F:F,C718)</f>
        <v>1</v>
      </c>
      <c r="G718" s="3">
        <f t="shared" si="1"/>
        <v>1</v>
      </c>
      <c r="H718" s="3" t="str">
        <f>IFERROR(__xludf.DUMMYFUNCTION("IFERROR(TRANSPOSE(FILTER('Peer-Review'!$J$2:$J$568,(TRIM('Peer-Review'!$B$2:$B$568)=C718 )+ (TRIM('Peer-Review'!$F$2:$F$568)=C718))),""No Reviews"")"),"22f3002094@ds.study.iitm.ac.in")</f>
        <v>22f3002094@ds.study.iitm.ac.in</v>
      </c>
      <c r="J718" s="3">
        <f>IF(D718="No R1",0,VLOOKUP(C718,'Peer-Review'!B:D,2,0))</f>
        <v>9</v>
      </c>
      <c r="K718" s="3">
        <f>IF(D718="No R1",0,VLOOKUP(C718,'Peer-Review'!B:D,3,0))</f>
        <v>10</v>
      </c>
      <c r="L718" s="3">
        <f>IF(E718="No R2",0,VLOOKUP(C718,'Peer-Review'!F:H,2,0))</f>
        <v>0</v>
      </c>
      <c r="M718" s="3">
        <f>IF(E718="No R2",0,VLOOKUP(C718,'Peer-Review'!F:H,3,0))</f>
        <v>0</v>
      </c>
    </row>
    <row r="719" hidden="1">
      <c r="A719" s="3" t="str">
        <f>IFERROR(__xludf.DUMMYFUNCTION("""COMPUTED_VALUE"""),"24ds1000086@ds.study.iitm.ac.in")</f>
        <v>24ds1000086@ds.study.iitm.ac.in</v>
      </c>
      <c r="B719" s="3">
        <f>IFERROR(__xludf.DUMMYFUNCTION("""COMPUTED_VALUE"""),16.0)</f>
        <v>16</v>
      </c>
      <c r="C719" s="5" t="str">
        <f>IFERROR(__xludf.DUMMYFUNCTION("""COMPUTED_VALUE"""),"https://github.com/A-ojha31/Tokyo_200")</f>
        <v>https://github.com/A-ojha31/Tokyo_200</v>
      </c>
      <c r="D719" s="3" t="str">
        <f>IFERROR(VLOOKUP(C719,'Peer-Review'!B:J,9,0),"No R1")</f>
        <v>No R1</v>
      </c>
      <c r="E719" s="3" t="str">
        <f>IFERROR(VLOOKUP(C719,'Peer-Review'!F:J,5,0),"No R2")</f>
        <v>23f3002354@ds.study.iitm.ac.in</v>
      </c>
      <c r="F719" s="3">
        <f>COUNTIF('Peer-Review'!B:B,C719)+COUNTIF('Peer-Review'!F:F,C719)</f>
        <v>2</v>
      </c>
      <c r="G719" s="3">
        <f t="shared" si="1"/>
        <v>1</v>
      </c>
      <c r="H719" s="3" t="str">
        <f>IFERROR(__xludf.DUMMYFUNCTION("IFERROR(TRANSPOSE(FILTER('Peer-Review'!$J$2:$J$568,(TRIM('Peer-Review'!$B$2:$B$568)=C719 )+ (TRIM('Peer-Review'!$F$2:$F$568)=C719))),""No Reviews"")"),"23f3002354@ds.study.iitm.ac.in")</f>
        <v>23f3002354@ds.study.iitm.ac.in</v>
      </c>
      <c r="I719" s="3" t="str">
        <f>IFERROR(__xludf.DUMMYFUNCTION("""COMPUTED_VALUE"""),"23f1000029@ds.study.iitm.ac.in")</f>
        <v>23f1000029@ds.study.iitm.ac.in</v>
      </c>
      <c r="J719" s="3">
        <f>IF(D719="No R1",0,VLOOKUP(C719,'Peer-Review'!B:D,2,0))</f>
        <v>0</v>
      </c>
      <c r="K719" s="3">
        <f>IF(D719="No R1",0,VLOOKUP(C719,'Peer-Review'!B:D,3,0))</f>
        <v>0</v>
      </c>
      <c r="L719" s="3">
        <f>IF(E719="No R2",0,VLOOKUP(C719,'Peer-Review'!F:H,2,0))</f>
        <v>9</v>
      </c>
      <c r="M719" s="3">
        <f>IF(E719="No R2",0,VLOOKUP(C719,'Peer-Review'!F:H,3,0))</f>
        <v>8</v>
      </c>
    </row>
    <row r="720" hidden="1">
      <c r="A720" s="3" t="str">
        <f>IFERROR(__xludf.DUMMYFUNCTION("""COMPUTED_VALUE"""),"24ds1000095@ds.study.iitm.ac.in")</f>
        <v>24ds1000095@ds.study.iitm.ac.in</v>
      </c>
      <c r="B720" s="3">
        <f>IFERROR(__xludf.DUMMYFUNCTION("""COMPUTED_VALUE"""),11.0)</f>
        <v>11</v>
      </c>
      <c r="C720" s="5" t="str">
        <f>IFERROR(__xludf.DUMMYFUNCTION("""COMPUTED_VALUE"""),"https://github.com/Saradha24ds1000095/TDS_Project1/")</f>
        <v>https://github.com/Saradha24ds1000095/TDS_Project1/</v>
      </c>
      <c r="D720" s="3" t="str">
        <f>IFERROR(VLOOKUP(C720,'Peer-Review'!B:J,9,0),"No R1")</f>
        <v>24ds2000109@ds.study.iitm.ac.in</v>
      </c>
      <c r="E720" s="3" t="str">
        <f>IFERROR(VLOOKUP(C720,'Peer-Review'!F:J,5,0),"No R2")</f>
        <v>No R2</v>
      </c>
      <c r="F720" s="3">
        <f>COUNTIF('Peer-Review'!B:B,C720)+COUNTIF('Peer-Review'!F:F,C720)</f>
        <v>2</v>
      </c>
      <c r="G720" s="3">
        <f t="shared" si="1"/>
        <v>1</v>
      </c>
      <c r="H720" s="3" t="str">
        <f>IFERROR(__xludf.DUMMYFUNCTION("IFERROR(TRANSPOSE(FILTER('Peer-Review'!$J$2:$J$568,(TRIM('Peer-Review'!$B$2:$B$568)=C720 )+ (TRIM('Peer-Review'!$F$2:$F$568)=C720))),""No Reviews"")"),"24ds2000109@ds.study.iitm.ac.in")</f>
        <v>24ds2000109@ds.study.iitm.ac.in</v>
      </c>
      <c r="I720" s="3" t="str">
        <f>IFERROR(__xludf.DUMMYFUNCTION("""COMPUTED_VALUE"""),"21f1002449@ds.study.iitm.ac.in")</f>
        <v>21f1002449@ds.study.iitm.ac.in</v>
      </c>
      <c r="J720" s="3">
        <f>IF(D720="No R1",0,VLOOKUP(C720,'Peer-Review'!B:D,2,0))</f>
        <v>4</v>
      </c>
      <c r="K720" s="3">
        <f>IF(D720="No R1",0,VLOOKUP(C720,'Peer-Review'!B:D,3,0))</f>
        <v>3</v>
      </c>
      <c r="L720" s="3">
        <f>IF(E720="No R2",0,VLOOKUP(C720,'Peer-Review'!F:H,2,0))</f>
        <v>0</v>
      </c>
      <c r="M720" s="3">
        <f>IF(E720="No R2",0,VLOOKUP(C720,'Peer-Review'!F:H,3,0))</f>
        <v>0</v>
      </c>
    </row>
    <row r="721" hidden="1">
      <c r="A721" s="3" t="str">
        <f>IFERROR(__xludf.DUMMYFUNCTION("""COMPUTED_VALUE"""),"24ds2000080@ds.study.iitm.ac.in")</f>
        <v>24ds2000080@ds.study.iitm.ac.in</v>
      </c>
      <c r="B721" s="3">
        <f>IFERROR(__xludf.DUMMYFUNCTION("""COMPUTED_VALUE"""),14.0)</f>
        <v>14</v>
      </c>
      <c r="C721" s="5" t="str">
        <f>IFERROR(__xludf.DUMMYFUNCTION("""COMPUTED_VALUE"""),"https://github.com/harshithbabu-git/Tools-in-DS-Project-1")</f>
        <v>https://github.com/harshithbabu-git/Tools-in-DS-Project-1</v>
      </c>
      <c r="D721" s="3" t="str">
        <f>IFERROR(VLOOKUP(C721,'Peer-Review'!B:J,9,0),"No R1")</f>
        <v>23f1002940@ds.study.iitm.ac.in</v>
      </c>
      <c r="E721" s="3" t="str">
        <f>IFERROR(VLOOKUP(C721,'Peer-Review'!F:J,5,0),"No R2")</f>
        <v>No R2</v>
      </c>
      <c r="F721" s="3">
        <f>COUNTIF('Peer-Review'!B:B,C721)+COUNTIF('Peer-Review'!F:F,C721)</f>
        <v>2</v>
      </c>
      <c r="G721" s="3">
        <f t="shared" si="1"/>
        <v>1</v>
      </c>
      <c r="H721" s="3" t="str">
        <f>IFERROR(__xludf.DUMMYFUNCTION("IFERROR(TRANSPOSE(FILTER('Peer-Review'!$J$2:$J$568,(TRIM('Peer-Review'!$B$2:$B$568)=C721 )+ (TRIM('Peer-Review'!$F$2:$F$568)=C721))),""No Reviews"")"),"23f1002940@ds.study.iitm.ac.in")</f>
        <v>23f1002940@ds.study.iitm.ac.in</v>
      </c>
      <c r="I721" s="3" t="str">
        <f>IFERROR(__xludf.DUMMYFUNCTION("""COMPUTED_VALUE"""),"24ds2000126@ds.study.iitm.ac.in")</f>
        <v>24ds2000126@ds.study.iitm.ac.in</v>
      </c>
      <c r="J721" s="3">
        <f>IF(D721="No R1",0,VLOOKUP(C721,'Peer-Review'!B:D,2,0))</f>
        <v>0</v>
      </c>
      <c r="K721" s="3">
        <f>IF(D721="No R1",0,VLOOKUP(C721,'Peer-Review'!B:D,3,0))</f>
        <v>1</v>
      </c>
      <c r="L721" s="3">
        <f>IF(E721="No R2",0,VLOOKUP(C721,'Peer-Review'!F:H,2,0))</f>
        <v>0</v>
      </c>
      <c r="M721" s="3">
        <f>IF(E721="No R2",0,VLOOKUP(C721,'Peer-Review'!F:H,3,0))</f>
        <v>0</v>
      </c>
    </row>
    <row r="722" hidden="1">
      <c r="A722" s="3" t="str">
        <f>IFERROR(__xludf.DUMMYFUNCTION("""COMPUTED_VALUE"""),"24ds2000089@ds.study.iitm.ac.in")</f>
        <v>24ds2000089@ds.study.iitm.ac.in</v>
      </c>
      <c r="B722" s="3">
        <f>IFERROR(__xludf.DUMMYFUNCTION("""COMPUTED_VALUE"""),17.0)</f>
        <v>17</v>
      </c>
      <c r="C722" s="5" t="str">
        <f>IFERROR(__xludf.DUMMYFUNCTION("""COMPUTED_VALUE"""),"https://github.com/shwetavyas12/Zurich-50")</f>
        <v>https://github.com/shwetavyas12/Zurich-50</v>
      </c>
      <c r="D722" s="3" t="str">
        <f>IFERROR(VLOOKUP(C722,'Peer-Review'!B:J,9,0),"No R1")</f>
        <v>No R1</v>
      </c>
      <c r="E722" s="3" t="str">
        <f>IFERROR(VLOOKUP(C722,'Peer-Review'!F:J,5,0),"No R2")</f>
        <v>21f2000507@ds.study.iitm.ac.in</v>
      </c>
      <c r="F722" s="3">
        <f>COUNTIF('Peer-Review'!B:B,C722)+COUNTIF('Peer-Review'!F:F,C722)</f>
        <v>2</v>
      </c>
      <c r="G722" s="3">
        <f t="shared" si="1"/>
        <v>1</v>
      </c>
      <c r="H722" s="3" t="str">
        <f>IFERROR(__xludf.DUMMYFUNCTION("IFERROR(TRANSPOSE(FILTER('Peer-Review'!$J$2:$J$568,(TRIM('Peer-Review'!$B$2:$B$568)=C722 )+ (TRIM('Peer-Review'!$F$2:$F$568)=C722))),""No Reviews"")"),"21f2000507@ds.study.iitm.ac.in")</f>
        <v>21f2000507@ds.study.iitm.ac.in</v>
      </c>
      <c r="I722" s="3" t="str">
        <f>IFERROR(__xludf.DUMMYFUNCTION("""COMPUTED_VALUE"""),"24ds1000036@ds.study.iitm.ac.in")</f>
        <v>24ds1000036@ds.study.iitm.ac.in</v>
      </c>
      <c r="J722" s="3">
        <f>IF(D722="No R1",0,VLOOKUP(C722,'Peer-Review'!B:D,2,0))</f>
        <v>0</v>
      </c>
      <c r="K722" s="3">
        <f>IF(D722="No R1",0,VLOOKUP(C722,'Peer-Review'!B:D,3,0))</f>
        <v>0</v>
      </c>
      <c r="L722" s="3">
        <f>IF(E722="No R2",0,VLOOKUP(C722,'Peer-Review'!F:H,2,0))</f>
        <v>10</v>
      </c>
      <c r="M722" s="3">
        <f>IF(E722="No R2",0,VLOOKUP(C722,'Peer-Review'!F:H,3,0))</f>
        <v>10</v>
      </c>
    </row>
    <row r="723" hidden="1">
      <c r="A723" s="3" t="str">
        <f>IFERROR(__xludf.DUMMYFUNCTION("""COMPUTED_VALUE"""),"24ds2000109@ds.study.iitm.ac.in")</f>
        <v>24ds2000109@ds.study.iitm.ac.in</v>
      </c>
      <c r="B723" s="3">
        <f>IFERROR(__xludf.DUMMYFUNCTION("""COMPUTED_VALUE"""),11.0)</f>
        <v>11</v>
      </c>
      <c r="C723" s="5" t="str">
        <f>IFERROR(__xludf.DUMMYFUNCTION("""COMPUTED_VALUE"""),"https://github.com/srch887/tds_sep2024_project1")</f>
        <v>https://github.com/srch887/tds_sep2024_project1</v>
      </c>
      <c r="D723" s="3" t="str">
        <f>IFERROR(VLOOKUP(C723,'Peer-Review'!B:J,9,0),"No R1")</f>
        <v>21f1003248@ds.study.iitm.ac.in</v>
      </c>
      <c r="E723" s="3" t="str">
        <f>IFERROR(VLOOKUP(C723,'Peer-Review'!F:J,5,0),"No R2")</f>
        <v>No R2</v>
      </c>
      <c r="F723" s="3">
        <f>COUNTIF('Peer-Review'!B:B,C723)+COUNTIF('Peer-Review'!F:F,C723)</f>
        <v>1</v>
      </c>
      <c r="G723" s="3">
        <f t="shared" si="1"/>
        <v>1</v>
      </c>
      <c r="H723" s="3" t="str">
        <f>IFERROR(__xludf.DUMMYFUNCTION("IFERROR(TRANSPOSE(FILTER('Peer-Review'!$J$2:$J$568,(TRIM('Peer-Review'!$B$2:$B$568)=C723 )+ (TRIM('Peer-Review'!$F$2:$F$568)=C723))),""No Reviews"")"),"21f1003248@ds.study.iitm.ac.in")</f>
        <v>21f1003248@ds.study.iitm.ac.in</v>
      </c>
      <c r="J723" s="3">
        <f>IF(D723="No R1",0,VLOOKUP(C723,'Peer-Review'!B:D,2,0))</f>
        <v>8</v>
      </c>
      <c r="K723" s="3">
        <f>IF(D723="No R1",0,VLOOKUP(C723,'Peer-Review'!B:D,3,0))</f>
        <v>8</v>
      </c>
      <c r="L723" s="3">
        <f>IF(E723="No R2",0,VLOOKUP(C723,'Peer-Review'!F:H,2,0))</f>
        <v>0</v>
      </c>
      <c r="M723" s="3">
        <f>IF(E723="No R2",0,VLOOKUP(C723,'Peer-Review'!F:H,3,0))</f>
        <v>0</v>
      </c>
    </row>
    <row r="724" hidden="1">
      <c r="A724" s="3" t="str">
        <f>IFERROR(__xludf.DUMMYFUNCTION("""COMPUTED_VALUE"""),"24ds2000126@ds.study.iitm.ac.in")</f>
        <v>24ds2000126@ds.study.iitm.ac.in</v>
      </c>
      <c r="B724" s="3">
        <f>IFERROR(__xludf.DUMMYFUNCTION("""COMPUTED_VALUE"""),14.0)</f>
        <v>14</v>
      </c>
      <c r="C724" s="5" t="str">
        <f>IFERROR(__xludf.DUMMYFUNCTION("""COMPUTED_VALUE"""),"https://github.com/manjuiitm/Dublin1")</f>
        <v>https://github.com/manjuiitm/Dublin1</v>
      </c>
      <c r="D724" s="3" t="str">
        <f>IFERROR(VLOOKUP(C724,'Peer-Review'!B:J,9,0),"No R1")</f>
        <v>24ds2000141@ds.study.iitm.ac.in</v>
      </c>
      <c r="E724" s="3" t="str">
        <f>IFERROR(VLOOKUP(C724,'Peer-Review'!F:J,5,0),"No R2")</f>
        <v>No R2</v>
      </c>
      <c r="F724" s="3">
        <f>COUNTIF('Peer-Review'!B:B,C724)+COUNTIF('Peer-Review'!F:F,C724)</f>
        <v>2</v>
      </c>
      <c r="G724" s="3">
        <f t="shared" si="1"/>
        <v>1</v>
      </c>
      <c r="H724" s="3" t="str">
        <f>IFERROR(__xludf.DUMMYFUNCTION("IFERROR(TRANSPOSE(FILTER('Peer-Review'!$J$2:$J$568,(TRIM('Peer-Review'!$B$2:$B$568)=C724 )+ (TRIM('Peer-Review'!$F$2:$F$568)=C724))),""No Reviews"")"),"24ds2000141@ds.study.iitm.ac.in")</f>
        <v>24ds2000141@ds.study.iitm.ac.in</v>
      </c>
      <c r="I724" s="3" t="str">
        <f>IFERROR(__xludf.DUMMYFUNCTION("""COMPUTED_VALUE"""),"23f1002967@ds.study.iitm.ac.in")</f>
        <v>23f1002967@ds.study.iitm.ac.in</v>
      </c>
      <c r="J724" s="3">
        <f>IF(D724="No R1",0,VLOOKUP(C724,'Peer-Review'!B:D,2,0))</f>
        <v>10</v>
      </c>
      <c r="K724" s="3">
        <f>IF(D724="No R1",0,VLOOKUP(C724,'Peer-Review'!B:D,3,0))</f>
        <v>10</v>
      </c>
      <c r="L724" s="3">
        <f>IF(E724="No R2",0,VLOOKUP(C724,'Peer-Review'!F:H,2,0))</f>
        <v>0</v>
      </c>
      <c r="M724" s="3">
        <f>IF(E724="No R2",0,VLOOKUP(C724,'Peer-Review'!F:H,3,0))</f>
        <v>0</v>
      </c>
    </row>
    <row r="725" hidden="1">
      <c r="A725" s="3" t="str">
        <f>IFERROR(__xludf.DUMMYFUNCTION("""COMPUTED_VALUE"""),"24ds2000127@ds.study.iitm.ac.in")</f>
        <v>24ds2000127@ds.study.iitm.ac.in</v>
      </c>
      <c r="B725" s="3">
        <f>IFERROR(__xludf.DUMMYFUNCTION("""COMPUTED_VALUE"""),16.0)</f>
        <v>16</v>
      </c>
      <c r="C725" s="5" t="str">
        <f>IFERROR(__xludf.DUMMYFUNCTION("""COMPUTED_VALUE"""),"https://github.com/agaMadan/TDS-Project-1")</f>
        <v>https://github.com/agaMadan/TDS-Project-1</v>
      </c>
      <c r="D725" s="3" t="str">
        <f>IFERROR(VLOOKUP(C725,'Peer-Review'!B:J,9,0),"No R1")</f>
        <v>No R1</v>
      </c>
      <c r="E725" s="3" t="str">
        <f>IFERROR(VLOOKUP(C725,'Peer-Review'!F:J,5,0),"No R2")</f>
        <v>24ds1000086@ds.study.iitm.ac.in</v>
      </c>
      <c r="F725" s="3">
        <f>COUNTIF('Peer-Review'!B:B,C725)+COUNTIF('Peer-Review'!F:F,C725)</f>
        <v>1</v>
      </c>
      <c r="G725" s="3">
        <f t="shared" si="1"/>
        <v>1</v>
      </c>
      <c r="H725" s="3" t="str">
        <f>IFERROR(__xludf.DUMMYFUNCTION("IFERROR(TRANSPOSE(FILTER('Peer-Review'!$J$2:$J$568,(TRIM('Peer-Review'!$B$2:$B$568)=C725 )+ (TRIM('Peer-Review'!$F$2:$F$568)=C725))),""No Reviews"")"),"24ds1000086@ds.study.iitm.ac.in")</f>
        <v>24ds1000086@ds.study.iitm.ac.in</v>
      </c>
      <c r="J725" s="3">
        <f>IF(D725="No R1",0,VLOOKUP(C725,'Peer-Review'!B:D,2,0))</f>
        <v>0</v>
      </c>
      <c r="K725" s="3">
        <f>IF(D725="No R1",0,VLOOKUP(C725,'Peer-Review'!B:D,3,0))</f>
        <v>0</v>
      </c>
      <c r="L725" s="3">
        <f>IF(E725="No R2",0,VLOOKUP(C725,'Peer-Review'!F:H,2,0))</f>
        <v>10</v>
      </c>
      <c r="M725" s="3">
        <f>IF(E725="No R2",0,VLOOKUP(C725,'Peer-Review'!F:H,3,0))</f>
        <v>10</v>
      </c>
    </row>
    <row r="726" hidden="1">
      <c r="A726" s="3" t="str">
        <f>IFERROR(__xludf.DUMMYFUNCTION("""COMPUTED_VALUE"""),"24ds2000129@ds.study.iitm.ac.in")</f>
        <v>24ds2000129@ds.study.iitm.ac.in</v>
      </c>
      <c r="B726" s="3">
        <f>IFERROR(__xludf.DUMMYFUNCTION("""COMPUTED_VALUE"""),16.0)</f>
        <v>16</v>
      </c>
      <c r="C726" s="5" t="str">
        <f>IFERROR(__xludf.DUMMYFUNCTION("""COMPUTED_VALUE"""),"https://github.com/DivyanshuGupta2000129/TDS_Project_1")</f>
        <v>https://github.com/DivyanshuGupta2000129/TDS_Project_1</v>
      </c>
      <c r="D726" s="3" t="str">
        <f>IFERROR(VLOOKUP(C726,'Peer-Review'!B:J,9,0),"No R1")</f>
        <v>No R1</v>
      </c>
      <c r="E726" s="3" t="str">
        <f>IFERROR(VLOOKUP(C726,'Peer-Review'!F:J,5,0),"No R2")</f>
        <v>23f1003128@ds.study.iitm.ac.in</v>
      </c>
      <c r="F726" s="3">
        <f>COUNTIF('Peer-Review'!B:B,C726)+COUNTIF('Peer-Review'!F:F,C726)</f>
        <v>2</v>
      </c>
      <c r="G726" s="3">
        <f t="shared" si="1"/>
        <v>1</v>
      </c>
      <c r="H726" s="3" t="str">
        <f>IFERROR(__xludf.DUMMYFUNCTION("IFERROR(TRANSPOSE(FILTER('Peer-Review'!$J$2:$J$568,(TRIM('Peer-Review'!$B$2:$B$568)=C726 )+ (TRIM('Peer-Review'!$F$2:$F$568)=C726))),""No Reviews"")"),"23f1003128@ds.study.iitm.ac.in")</f>
        <v>23f1003128@ds.study.iitm.ac.in</v>
      </c>
      <c r="I726" s="3" t="str">
        <f>IFERROR(__xludf.DUMMYFUNCTION("""COMPUTED_VALUE"""),"24ds2000127@ds.study.iitm.ac.in")</f>
        <v>24ds2000127@ds.study.iitm.ac.in</v>
      </c>
      <c r="J726" s="3">
        <f>IF(D726="No R1",0,VLOOKUP(C726,'Peer-Review'!B:D,2,0))</f>
        <v>0</v>
      </c>
      <c r="K726" s="3">
        <f>IF(D726="No R1",0,VLOOKUP(C726,'Peer-Review'!B:D,3,0))</f>
        <v>0</v>
      </c>
      <c r="L726" s="3">
        <f>IF(E726="No R2",0,VLOOKUP(C726,'Peer-Review'!F:H,2,0))</f>
        <v>10</v>
      </c>
      <c r="M726" s="3">
        <f>IF(E726="No R2",0,VLOOKUP(C726,'Peer-Review'!F:H,3,0))</f>
        <v>10</v>
      </c>
    </row>
    <row r="727" hidden="1">
      <c r="A727" s="3" t="str">
        <f>IFERROR(__xludf.DUMMYFUNCTION("""COMPUTED_VALUE"""),"24ds2000130@ds.study.iitm.ac.in")</f>
        <v>24ds2000130@ds.study.iitm.ac.in</v>
      </c>
      <c r="B727" s="3">
        <f>IFERROR(__xludf.DUMMYFUNCTION("""COMPUTED_VALUE"""),16.0)</f>
        <v>16</v>
      </c>
      <c r="C727" s="5" t="str">
        <f>IFERROR(__xludf.DUMMYFUNCTION("""COMPUTED_VALUE"""),"https://github.com/SaarthakTuli/TDS_Project_1")</f>
        <v>https://github.com/SaarthakTuli/TDS_Project_1</v>
      </c>
      <c r="D727" s="3" t="str">
        <f>IFERROR(VLOOKUP(C727,'Peer-Review'!B:J,9,0),"No R1")</f>
        <v>No R1</v>
      </c>
      <c r="E727" s="3" t="str">
        <f>IFERROR(VLOOKUP(C727,'Peer-Review'!F:J,5,0),"No R2")</f>
        <v>No R2</v>
      </c>
      <c r="F727" s="3">
        <f>COUNTIF('Peer-Review'!B:B,C727)+COUNTIF('Peer-Review'!F:F,C727)</f>
        <v>0</v>
      </c>
      <c r="G727" s="3">
        <f t="shared" si="1"/>
        <v>0</v>
      </c>
      <c r="H727" s="3" t="str">
        <f>IFERROR(__xludf.DUMMYFUNCTION("IFERROR(TRANSPOSE(FILTER('Peer-Review'!$J$2:$J$568,(TRIM('Peer-Review'!$B$2:$B$568)=C727 )+ (TRIM('Peer-Review'!$F$2:$F$568)=C727))),""No Reviews"")"),"No Reviews")</f>
        <v>No Reviews</v>
      </c>
      <c r="J727" s="3">
        <f>IF(D727="No R1",0,VLOOKUP(C727,'Peer-Review'!B:D,2,0))</f>
        <v>0</v>
      </c>
      <c r="K727" s="3">
        <f>IF(D727="No R1",0,VLOOKUP(C727,'Peer-Review'!B:D,3,0))</f>
        <v>0</v>
      </c>
      <c r="L727" s="3">
        <f>IF(E727="No R2",0,VLOOKUP(C727,'Peer-Review'!F:H,2,0))</f>
        <v>0</v>
      </c>
      <c r="M727" s="3">
        <f>IF(E727="No R2",0,VLOOKUP(C727,'Peer-Review'!F:H,3,0))</f>
        <v>0</v>
      </c>
    </row>
    <row r="728">
      <c r="A728" s="3" t="str">
        <f>IFERROR(__xludf.DUMMYFUNCTION("""COMPUTED_VALUE"""),"24ds2000138@ds.study.iitm.ac.in")</f>
        <v>24ds2000138@ds.study.iitm.ac.in</v>
      </c>
      <c r="B728" s="3">
        <f>IFERROR(__xludf.DUMMYFUNCTION("""COMPUTED_VALUE"""),0.0)</f>
        <v>0</v>
      </c>
      <c r="C728" s="3"/>
      <c r="D728" s="3" t="str">
        <f>IFERROR(VLOOKUP(C728,'Peer-Review'!B:J,9,0),"No R1")</f>
        <v>No R1</v>
      </c>
      <c r="E728" s="3" t="str">
        <f>IFERROR(VLOOKUP(C728,'Peer-Review'!F:J,5,0),"No R2")</f>
        <v>No R2</v>
      </c>
      <c r="F728" s="3">
        <f>COUNTIF('Peer-Review'!B:B,C728)+COUNTIF('Peer-Review'!F:F,C728)</f>
        <v>0</v>
      </c>
      <c r="G728" s="3">
        <f t="shared" si="1"/>
        <v>0</v>
      </c>
      <c r="H728" s="3" t="str">
        <f>IFERROR(__xludf.DUMMYFUNCTION("IFERROR(TRANSPOSE(FILTER('Peer-Review'!$J$2:$J$568,(TRIM('Peer-Review'!$B$2:$B$568)=C728 )+ (TRIM('Peer-Review'!$F$2:$F$568)=C728))),""No Reviews"")"),"No Reviews")</f>
        <v>No Reviews</v>
      </c>
      <c r="J728" s="3">
        <f>IF(D728="No R1",0,VLOOKUP(C728,'Peer-Review'!B:D,2,0))</f>
        <v>0</v>
      </c>
      <c r="K728" s="3">
        <f>IF(D728="No R1",0,VLOOKUP(C728,'Peer-Review'!B:D,3,0))</f>
        <v>0</v>
      </c>
      <c r="L728" s="3">
        <f>IF(E728="No R2",0,VLOOKUP(C728,'Peer-Review'!F:H,2,0))</f>
        <v>0</v>
      </c>
      <c r="M728" s="3">
        <f>IF(E728="No R2",0,VLOOKUP(C728,'Peer-Review'!F:H,3,0))</f>
        <v>0</v>
      </c>
    </row>
    <row r="729" hidden="1">
      <c r="A729" s="3" t="str">
        <f>IFERROR(__xludf.DUMMYFUNCTION("""COMPUTED_VALUE"""),"24ds2000141@ds.study.iitm.ac.in")</f>
        <v>24ds2000141@ds.study.iitm.ac.in</v>
      </c>
      <c r="B729" s="3">
        <f>IFERROR(__xludf.DUMMYFUNCTION("""COMPUTED_VALUE"""),14.0)</f>
        <v>14</v>
      </c>
      <c r="C729" s="5" t="str">
        <f>IFERROR(__xludf.DUMMYFUNCTION("""COMPUTED_VALUE"""),"https://github.com/harikrishnajiju/github-city-user-analyzer")</f>
        <v>https://github.com/harikrishnajiju/github-city-user-analyzer</v>
      </c>
      <c r="D729" s="3" t="str">
        <f>IFERROR(VLOOKUP(C729,'Peer-Review'!B:J,9,0),"No R1")</f>
        <v>23f1002973@ds.study.iitm.ac.in</v>
      </c>
      <c r="E729" s="3" t="str">
        <f>IFERROR(VLOOKUP(C729,'Peer-Review'!F:J,5,0),"No R2")</f>
        <v>No R2</v>
      </c>
      <c r="F729" s="3">
        <f>COUNTIF('Peer-Review'!B:B,C729)+COUNTIF('Peer-Review'!F:F,C729)</f>
        <v>2</v>
      </c>
      <c r="G729" s="3">
        <f t="shared" si="1"/>
        <v>1</v>
      </c>
      <c r="H729" s="3" t="str">
        <f>IFERROR(__xludf.DUMMYFUNCTION("IFERROR(TRANSPOSE(FILTER('Peer-Review'!$J$2:$J$568,(TRIM('Peer-Review'!$B$2:$B$568)=C729 )+ (TRIM('Peer-Review'!$F$2:$F$568)=C729))),""No Reviews"")"),"23f1002973@ds.study.iitm.ac.in")</f>
        <v>23f1002973@ds.study.iitm.ac.in</v>
      </c>
      <c r="I729" s="3" t="str">
        <f>IFERROR(__xludf.DUMMYFUNCTION("""COMPUTED_VALUE"""),"24f1000781@ds.study.iitm.ac.in")</f>
        <v>24f1000781@ds.study.iitm.ac.in</v>
      </c>
      <c r="J729" s="3">
        <f>IF(D729="No R1",0,VLOOKUP(C729,'Peer-Review'!B:D,2,0))</f>
        <v>6</v>
      </c>
      <c r="K729" s="3">
        <f>IF(D729="No R1",0,VLOOKUP(C729,'Peer-Review'!B:D,3,0))</f>
        <v>9</v>
      </c>
      <c r="L729" s="3">
        <f>IF(E729="No R2",0,VLOOKUP(C729,'Peer-Review'!F:H,2,0))</f>
        <v>0</v>
      </c>
      <c r="M729" s="3">
        <f>IF(E729="No R2",0,VLOOKUP(C729,'Peer-Review'!F:H,3,0))</f>
        <v>0</v>
      </c>
    </row>
    <row r="730" hidden="1">
      <c r="A730" s="3" t="str">
        <f>IFERROR(__xludf.DUMMYFUNCTION("""COMPUTED_VALUE"""),"24ds3000059@ds.study.iitm.ac.in")</f>
        <v>24ds3000059@ds.study.iitm.ac.in</v>
      </c>
      <c r="B730" s="3">
        <f>IFERROR(__xludf.DUMMYFUNCTION("""COMPUTED_VALUE"""),0.0)</f>
        <v>0</v>
      </c>
      <c r="C730" s="5" t="str">
        <f>IFERROR(__xludf.DUMMYFUNCTION("""COMPUTED_VALUE"""),"https://github.com/aaromal-rs-iitm/GithubUserAnalysis_iitmTDS.git")</f>
        <v>https://github.com/aaromal-rs-iitm/GithubUserAnalysis_iitmTDS.git</v>
      </c>
      <c r="D730" s="3" t="str">
        <f>IFERROR(VLOOKUP(C730,'Peer-Review'!B:J,9,0),"No R1")</f>
        <v>No R1</v>
      </c>
      <c r="E730" s="3" t="str">
        <f>IFERROR(VLOOKUP(C730,'Peer-Review'!F:J,5,0),"No R2")</f>
        <v>No R2</v>
      </c>
      <c r="F730" s="3">
        <f>COUNTIF('Peer-Review'!B:B,C730)+COUNTIF('Peer-Review'!F:F,C730)</f>
        <v>0</v>
      </c>
      <c r="G730" s="3">
        <f t="shared" si="1"/>
        <v>0</v>
      </c>
      <c r="H730" s="3" t="str">
        <f>IFERROR(__xludf.DUMMYFUNCTION("IFERROR(TRANSPOSE(FILTER('Peer-Review'!$J$2:$J$568,(TRIM('Peer-Review'!$B$2:$B$568)=C730 )+ (TRIM('Peer-Review'!$F$2:$F$568)=C730))),""No Reviews"")"),"No Reviews")</f>
        <v>No Reviews</v>
      </c>
      <c r="J730" s="3">
        <f>IF(D730="No R1",0,VLOOKUP(C730,'Peer-Review'!B:D,2,0))</f>
        <v>0</v>
      </c>
      <c r="K730" s="3">
        <f>IF(D730="No R1",0,VLOOKUP(C730,'Peer-Review'!B:D,3,0))</f>
        <v>0</v>
      </c>
      <c r="L730" s="3">
        <f>IF(E730="No R2",0,VLOOKUP(C730,'Peer-Review'!F:H,2,0))</f>
        <v>0</v>
      </c>
      <c r="M730" s="3">
        <f>IF(E730="No R2",0,VLOOKUP(C730,'Peer-Review'!F:H,3,0))</f>
        <v>0</v>
      </c>
    </row>
    <row r="731" hidden="1">
      <c r="A731" s="3" t="str">
        <f>IFERROR(__xludf.DUMMYFUNCTION("""COMPUTED_VALUE"""),"24ds3000064@ds.study.iitm.ac.in")</f>
        <v>24ds3000064@ds.study.iitm.ac.in</v>
      </c>
      <c r="B731" s="3">
        <f>IFERROR(__xludf.DUMMYFUNCTION("""COMPUTED_VALUE"""),6.0)</f>
        <v>6</v>
      </c>
      <c r="C731" s="5" t="str">
        <f>IFERROR(__xludf.DUMMYFUNCTION("""COMPUTED_VALUE"""),"https://github.com/Shiya-23/Project_-Stockholm")</f>
        <v>https://github.com/Shiya-23/Project_-Stockholm</v>
      </c>
      <c r="D731" s="3" t="str">
        <f>IFERROR(VLOOKUP(C731,'Peer-Review'!B:J,9,0),"No R1")</f>
        <v>22f3000373@ds.study.iitm.ac.in</v>
      </c>
      <c r="E731" s="3" t="str">
        <f>IFERROR(VLOOKUP(C731,'Peer-Review'!F:J,5,0),"No R2")</f>
        <v>No R2</v>
      </c>
      <c r="F731" s="3">
        <f>COUNTIF('Peer-Review'!B:B,C731)+COUNTIF('Peer-Review'!F:F,C731)</f>
        <v>2</v>
      </c>
      <c r="G731" s="3">
        <f t="shared" si="1"/>
        <v>1</v>
      </c>
      <c r="H731" s="3" t="str">
        <f>IFERROR(__xludf.DUMMYFUNCTION("IFERROR(TRANSPOSE(FILTER('Peer-Review'!$J$2:$J$568,(TRIM('Peer-Review'!$B$2:$B$568)=C731 )+ (TRIM('Peer-Review'!$F$2:$F$568)=C731))),""No Reviews"")"),"22f3000373@ds.study.iitm.ac.in")</f>
        <v>22f3000373@ds.study.iitm.ac.in</v>
      </c>
      <c r="I731" s="3" t="str">
        <f>IFERROR(__xludf.DUMMYFUNCTION("""COMPUTED_VALUE"""),"21f3001496@ds.study.iitm.ac.in")</f>
        <v>21f3001496@ds.study.iitm.ac.in</v>
      </c>
      <c r="J731" s="3">
        <f>IF(D731="No R1",0,VLOOKUP(C731,'Peer-Review'!B:D,2,0))</f>
        <v>8</v>
      </c>
      <c r="K731" s="3">
        <f>IF(D731="No R1",0,VLOOKUP(C731,'Peer-Review'!B:D,3,0))</f>
        <v>8</v>
      </c>
      <c r="L731" s="3">
        <f>IF(E731="No R2",0,VLOOKUP(C731,'Peer-Review'!F:H,2,0))</f>
        <v>0</v>
      </c>
      <c r="M731" s="3">
        <f>IF(E731="No R2",0,VLOOKUP(C731,'Peer-Review'!F:H,3,0))</f>
        <v>0</v>
      </c>
    </row>
    <row r="732" hidden="1">
      <c r="A732" s="3" t="str">
        <f>IFERROR(__xludf.DUMMYFUNCTION("""COMPUTED_VALUE"""),"24ds3000083@ds.study.iitm.ac.in")</f>
        <v>24ds3000083@ds.study.iitm.ac.in</v>
      </c>
      <c r="B732" s="3">
        <f>IFERROR(__xludf.DUMMYFUNCTION("""COMPUTED_VALUE"""),13.0)</f>
        <v>13</v>
      </c>
      <c r="C732" s="5" t="str">
        <f>IFERROR(__xludf.DUMMYFUNCTION("""COMPUTED_VALUE"""),"https://github.com/ranashakti7/Sydney_users")</f>
        <v>https://github.com/ranashakti7/Sydney_users</v>
      </c>
      <c r="D732" s="3" t="str">
        <f>IFERROR(VLOOKUP(C732,'Peer-Review'!B:J,9,0),"No R1")</f>
        <v>24f1002079@ds.study.iitm.ac.in</v>
      </c>
      <c r="E732" s="3" t="str">
        <f>IFERROR(VLOOKUP(C732,'Peer-Review'!F:J,5,0),"No R2")</f>
        <v>No R2</v>
      </c>
      <c r="F732" s="3">
        <f>COUNTIF('Peer-Review'!B:B,C732)+COUNTIF('Peer-Review'!F:F,C732)</f>
        <v>2</v>
      </c>
      <c r="G732" s="3">
        <f t="shared" si="1"/>
        <v>1</v>
      </c>
      <c r="H732" s="3" t="str">
        <f>IFERROR(__xludf.DUMMYFUNCTION("IFERROR(TRANSPOSE(FILTER('Peer-Review'!$J$2:$J$568,(TRIM('Peer-Review'!$B$2:$B$568)=C732 )+ (TRIM('Peer-Review'!$F$2:$F$568)=C732))),""No Reviews"")"),"24f1002079@ds.study.iitm.ac.in")</f>
        <v>24f1002079@ds.study.iitm.ac.in</v>
      </c>
      <c r="I732" s="3" t="str">
        <f>IFERROR(__xludf.DUMMYFUNCTION("""COMPUTED_VALUE"""),"22f3002275@ds.study.iitm.ac.in")</f>
        <v>22f3002275@ds.study.iitm.ac.in</v>
      </c>
      <c r="J732" s="3">
        <f>IF(D732="No R1",0,VLOOKUP(C732,'Peer-Review'!B:D,2,0))</f>
        <v>9</v>
      </c>
      <c r="K732" s="3">
        <f>IF(D732="No R1",0,VLOOKUP(C732,'Peer-Review'!B:D,3,0))</f>
        <v>9</v>
      </c>
      <c r="L732" s="3">
        <f>IF(E732="No R2",0,VLOOKUP(C732,'Peer-Review'!F:H,2,0))</f>
        <v>0</v>
      </c>
      <c r="M732" s="3">
        <f>IF(E732="No R2",0,VLOOKUP(C732,'Peer-Review'!F:H,3,0))</f>
        <v>0</v>
      </c>
    </row>
    <row r="733" hidden="1">
      <c r="A733" s="3" t="str">
        <f>IFERROR(__xludf.DUMMYFUNCTION("""COMPUTED_VALUE"""),"24ds3000100@ds.study.iitm.ac.in")</f>
        <v>24ds3000100@ds.study.iitm.ac.in</v>
      </c>
      <c r="B733" s="3">
        <f>IFERROR(__xludf.DUMMYFUNCTION("""COMPUTED_VALUE"""),17.0)</f>
        <v>17</v>
      </c>
      <c r="C733" s="5" t="str">
        <f>IFERROR(__xludf.DUMMYFUNCTION("""COMPUTED_VALUE"""),"https://github.com/edurelated2021/tds-proj1")</f>
        <v>https://github.com/edurelated2021/tds-proj1</v>
      </c>
      <c r="D733" s="3" t="str">
        <f>IFERROR(VLOOKUP(C733,'Peer-Review'!B:J,9,0),"No R1")</f>
        <v>No R1</v>
      </c>
      <c r="E733" s="3" t="str">
        <f>IFERROR(VLOOKUP(C733,'Peer-Review'!F:J,5,0),"No R2")</f>
        <v>24ds2000089@ds.study.iitm.ac.in</v>
      </c>
      <c r="F733" s="3">
        <f>COUNTIF('Peer-Review'!B:B,C733)+COUNTIF('Peer-Review'!F:F,C733)</f>
        <v>1</v>
      </c>
      <c r="G733" s="3">
        <f t="shared" si="1"/>
        <v>1</v>
      </c>
      <c r="H733" s="3" t="str">
        <f>IFERROR(__xludf.DUMMYFUNCTION("IFERROR(TRANSPOSE(FILTER('Peer-Review'!$J$2:$J$568,(TRIM('Peer-Review'!$B$2:$B$568)=C733 )+ (TRIM('Peer-Review'!$F$2:$F$568)=C733))),""No Reviews"")"),"24ds2000089@ds.study.iitm.ac.in")</f>
        <v>24ds2000089@ds.study.iitm.ac.in</v>
      </c>
      <c r="J733" s="3">
        <f>IF(D733="No R1",0,VLOOKUP(C733,'Peer-Review'!B:D,2,0))</f>
        <v>0</v>
      </c>
      <c r="K733" s="3">
        <f>IF(D733="No R1",0,VLOOKUP(C733,'Peer-Review'!B:D,3,0))</f>
        <v>0</v>
      </c>
      <c r="L733" s="3">
        <f>IF(E733="No R2",0,VLOOKUP(C733,'Peer-Review'!F:H,2,0))</f>
        <v>10</v>
      </c>
      <c r="M733" s="3">
        <f>IF(E733="No R2",0,VLOOKUP(C733,'Peer-Review'!F:H,3,0))</f>
        <v>10</v>
      </c>
    </row>
    <row r="734" hidden="1">
      <c r="A734" s="3" t="str">
        <f>IFERROR(__xludf.DUMMYFUNCTION("""COMPUTED_VALUE"""),"24f1000010@ds.study.iitm.ac.in")</f>
        <v>24f1000010@ds.study.iitm.ac.in</v>
      </c>
      <c r="B734" s="3">
        <f>IFERROR(__xludf.DUMMYFUNCTION("""COMPUTED_VALUE"""),0.0)</f>
        <v>0</v>
      </c>
      <c r="C734" s="5" t="str">
        <f>IFERROR(__xludf.DUMMYFUNCTION("""COMPUTED_VALUE"""),"https://github.com/Varuun-IIT/tools_in_ds_project")</f>
        <v>https://github.com/Varuun-IIT/tools_in_ds_project</v>
      </c>
      <c r="D734" s="3" t="str">
        <f>IFERROR(VLOOKUP(C734,'Peer-Review'!B:J,9,0),"No R1")</f>
        <v>No R1</v>
      </c>
      <c r="E734" s="3" t="str">
        <f>IFERROR(VLOOKUP(C734,'Peer-Review'!F:J,5,0),"No R2")</f>
        <v>No R2</v>
      </c>
      <c r="F734" s="3">
        <f>COUNTIF('Peer-Review'!B:B,C734)+COUNTIF('Peer-Review'!F:F,C734)</f>
        <v>0</v>
      </c>
      <c r="G734" s="3">
        <f t="shared" si="1"/>
        <v>0</v>
      </c>
      <c r="H734" s="3" t="str">
        <f>IFERROR(__xludf.DUMMYFUNCTION("IFERROR(TRANSPOSE(FILTER('Peer-Review'!$J$2:$J$568,(TRIM('Peer-Review'!$B$2:$B$568)=C734 )+ (TRIM('Peer-Review'!$F$2:$F$568)=C734))),""No Reviews"")"),"No Reviews")</f>
        <v>No Reviews</v>
      </c>
      <c r="J734" s="3">
        <f>IF(D734="No R1",0,VLOOKUP(C734,'Peer-Review'!B:D,2,0))</f>
        <v>0</v>
      </c>
      <c r="K734" s="3">
        <f>IF(D734="No R1",0,VLOOKUP(C734,'Peer-Review'!B:D,3,0))</f>
        <v>0</v>
      </c>
      <c r="L734" s="3">
        <f>IF(E734="No R2",0,VLOOKUP(C734,'Peer-Review'!F:H,2,0))</f>
        <v>0</v>
      </c>
      <c r="M734" s="3">
        <f>IF(E734="No R2",0,VLOOKUP(C734,'Peer-Review'!F:H,3,0))</f>
        <v>0</v>
      </c>
    </row>
    <row r="735" hidden="1">
      <c r="A735" s="3" t="str">
        <f>IFERROR(__xludf.DUMMYFUNCTION("""COMPUTED_VALUE"""),"24f1000237@ds.study.iitm.ac.in")</f>
        <v>24f1000237@ds.study.iitm.ac.in</v>
      </c>
      <c r="B735" s="3">
        <f>IFERROR(__xludf.DUMMYFUNCTION("""COMPUTED_VALUE"""),17.0)</f>
        <v>17</v>
      </c>
      <c r="C735" s="5" t="str">
        <f>IFERROR(__xludf.DUMMYFUNCTION("""COMPUTED_VALUE"""),"https://github.com/Aryan0550p/LondonUsersRepo")</f>
        <v>https://github.com/Aryan0550p/LondonUsersRepo</v>
      </c>
      <c r="D735" s="3" t="str">
        <f>IFERROR(VLOOKUP(C735,'Peer-Review'!B:J,9,0),"No R1")</f>
        <v>24ds3000100@ds.study.iitm.ac.in</v>
      </c>
      <c r="E735" s="3" t="str">
        <f>IFERROR(VLOOKUP(C735,'Peer-Review'!F:J,5,0),"No R2")</f>
        <v>No R2</v>
      </c>
      <c r="F735" s="3">
        <f>COUNTIF('Peer-Review'!B:B,C735)+COUNTIF('Peer-Review'!F:F,C735)</f>
        <v>1</v>
      </c>
      <c r="G735" s="3">
        <f t="shared" si="1"/>
        <v>1</v>
      </c>
      <c r="H735" s="3" t="str">
        <f>IFERROR(__xludf.DUMMYFUNCTION("IFERROR(TRANSPOSE(FILTER('Peer-Review'!$J$2:$J$568,(TRIM('Peer-Review'!$B$2:$B$568)=C735 )+ (TRIM('Peer-Review'!$F$2:$F$568)=C735))),""No Reviews"")"),"24ds3000100@ds.study.iitm.ac.in")</f>
        <v>24ds3000100@ds.study.iitm.ac.in</v>
      </c>
      <c r="J735" s="3">
        <f>IF(D735="No R1",0,VLOOKUP(C735,'Peer-Review'!B:D,2,0))</f>
        <v>6</v>
      </c>
      <c r="K735" s="3">
        <f>IF(D735="No R1",0,VLOOKUP(C735,'Peer-Review'!B:D,3,0))</f>
        <v>6</v>
      </c>
      <c r="L735" s="3">
        <f>IF(E735="No R2",0,VLOOKUP(C735,'Peer-Review'!F:H,2,0))</f>
        <v>0</v>
      </c>
      <c r="M735" s="3">
        <f>IF(E735="No R2",0,VLOOKUP(C735,'Peer-Review'!F:H,3,0))</f>
        <v>0</v>
      </c>
    </row>
    <row r="736" hidden="1">
      <c r="A736" s="3" t="str">
        <f>IFERROR(__xludf.DUMMYFUNCTION("""COMPUTED_VALUE"""),"24f1000781@ds.study.iitm.ac.in")</f>
        <v>24f1000781@ds.study.iitm.ac.in</v>
      </c>
      <c r="B736" s="3">
        <f>IFERROR(__xludf.DUMMYFUNCTION("""COMPUTED_VALUE"""),14.0)</f>
        <v>14</v>
      </c>
      <c r="C736" s="5" t="str">
        <f>IFERROR(__xludf.DUMMYFUNCTION("""COMPUTED_VALUE"""),"https://github.com/27-Swastik/tds_project_1")</f>
        <v>https://github.com/27-Swastik/tds_project_1</v>
      </c>
      <c r="D736" s="3" t="str">
        <f>IFERROR(VLOOKUP(C736,'Peer-Review'!B:J,9,0),"No R1")</f>
        <v>23f1003155@ds.study.iitm.ac.in</v>
      </c>
      <c r="E736" s="3" t="str">
        <f>IFERROR(VLOOKUP(C736,'Peer-Review'!F:J,5,0),"No R2")</f>
        <v>No R2</v>
      </c>
      <c r="F736" s="3">
        <f>COUNTIF('Peer-Review'!B:B,C736)+COUNTIF('Peer-Review'!F:F,C736)</f>
        <v>1</v>
      </c>
      <c r="G736" s="3">
        <f t="shared" si="1"/>
        <v>1</v>
      </c>
      <c r="H736" s="3" t="str">
        <f>IFERROR(__xludf.DUMMYFUNCTION("IFERROR(TRANSPOSE(FILTER('Peer-Review'!$J$2:$J$568,(TRIM('Peer-Review'!$B$2:$B$568)=C736 )+ (TRIM('Peer-Review'!$F$2:$F$568)=C736))),""No Reviews"")"),"23f1003155@ds.study.iitm.ac.in")</f>
        <v>23f1003155@ds.study.iitm.ac.in</v>
      </c>
      <c r="J736" s="3">
        <f>IF(D736="No R1",0,VLOOKUP(C736,'Peer-Review'!B:D,2,0))</f>
        <v>10</v>
      </c>
      <c r="K736" s="3">
        <f>IF(D736="No R1",0,VLOOKUP(C736,'Peer-Review'!B:D,3,0))</f>
        <v>9</v>
      </c>
      <c r="L736" s="3">
        <f>IF(E736="No R2",0,VLOOKUP(C736,'Peer-Review'!F:H,2,0))</f>
        <v>0</v>
      </c>
      <c r="M736" s="3">
        <f>IF(E736="No R2",0,VLOOKUP(C736,'Peer-Review'!F:H,3,0))</f>
        <v>0</v>
      </c>
    </row>
    <row r="737">
      <c r="A737" s="3" t="str">
        <f>IFERROR(__xludf.DUMMYFUNCTION("""COMPUTED_VALUE"""),"24f1001182@ds.study.iitm.ac.in")</f>
        <v>24f1001182@ds.study.iitm.ac.in</v>
      </c>
      <c r="B737" s="3">
        <f>IFERROR(__xludf.DUMMYFUNCTION("""COMPUTED_VALUE"""),0.0)</f>
        <v>0</v>
      </c>
      <c r="C737" s="3"/>
      <c r="D737" s="3" t="str">
        <f>IFERROR(VLOOKUP(C737,'Peer-Review'!B:J,9,0),"No R1")</f>
        <v>No R1</v>
      </c>
      <c r="E737" s="3" t="str">
        <f>IFERROR(VLOOKUP(C737,'Peer-Review'!F:J,5,0),"No R2")</f>
        <v>No R2</v>
      </c>
      <c r="F737" s="3">
        <f>COUNTIF('Peer-Review'!B:B,C737)+COUNTIF('Peer-Review'!F:F,C737)</f>
        <v>0</v>
      </c>
      <c r="G737" s="3">
        <f t="shared" si="1"/>
        <v>0</v>
      </c>
      <c r="H737" s="3" t="str">
        <f>IFERROR(__xludf.DUMMYFUNCTION("IFERROR(TRANSPOSE(FILTER('Peer-Review'!$J$2:$J$568,(TRIM('Peer-Review'!$B$2:$B$568)=C737 )+ (TRIM('Peer-Review'!$F$2:$F$568)=C737))),""No Reviews"")"),"No Reviews")</f>
        <v>No Reviews</v>
      </c>
      <c r="J737" s="3">
        <f>IF(D737="No R1",0,VLOOKUP(C737,'Peer-Review'!B:D,2,0))</f>
        <v>0</v>
      </c>
      <c r="K737" s="3">
        <f>IF(D737="No R1",0,VLOOKUP(C737,'Peer-Review'!B:D,3,0))</f>
        <v>0</v>
      </c>
      <c r="L737" s="3">
        <f>IF(E737="No R2",0,VLOOKUP(C737,'Peer-Review'!F:H,2,0))</f>
        <v>0</v>
      </c>
      <c r="M737" s="3">
        <f>IF(E737="No R2",0,VLOOKUP(C737,'Peer-Review'!F:H,3,0))</f>
        <v>0</v>
      </c>
    </row>
    <row r="738" hidden="1">
      <c r="A738" s="3" t="str">
        <f>IFERROR(__xludf.DUMMYFUNCTION("""COMPUTED_VALUE"""),"24f1001283@ds.study.iitm.ac.in")</f>
        <v>24f1001283@ds.study.iitm.ac.in</v>
      </c>
      <c r="B738" s="3">
        <f>IFERROR(__xludf.DUMMYFUNCTION("""COMPUTED_VALUE"""),17.0)</f>
        <v>17</v>
      </c>
      <c r="C738" s="5" t="str">
        <f>IFERROR(__xludf.DUMMYFUNCTION("""COMPUTED_VALUE"""),"https://github.com/RITIK-CHAUDHRY/project-1")</f>
        <v>https://github.com/RITIK-CHAUDHRY/project-1</v>
      </c>
      <c r="D738" s="3" t="str">
        <f>IFERROR(VLOOKUP(C738,'Peer-Review'!B:J,9,0),"No R1")</f>
        <v>No R1</v>
      </c>
      <c r="E738" s="3" t="str">
        <f>IFERROR(VLOOKUP(C738,'Peer-Review'!F:J,5,0),"No R2")</f>
        <v>21f2001525@ds.study.iitm.ac.in</v>
      </c>
      <c r="F738" s="3">
        <f>COUNTIF('Peer-Review'!B:B,C738)+COUNTIF('Peer-Review'!F:F,C738)</f>
        <v>1</v>
      </c>
      <c r="G738" s="3">
        <f t="shared" si="1"/>
        <v>1</v>
      </c>
      <c r="H738" s="3" t="str">
        <f>IFERROR(__xludf.DUMMYFUNCTION("IFERROR(TRANSPOSE(FILTER('Peer-Review'!$J$2:$J$568,(TRIM('Peer-Review'!$B$2:$B$568)=C738 )+ (TRIM('Peer-Review'!$F$2:$F$568)=C738))),""No Reviews"")"),"21f2001525@ds.study.iitm.ac.in")</f>
        <v>21f2001525@ds.study.iitm.ac.in</v>
      </c>
      <c r="J738" s="3">
        <f>IF(D738="No R1",0,VLOOKUP(C738,'Peer-Review'!B:D,2,0))</f>
        <v>0</v>
      </c>
      <c r="K738" s="3">
        <f>IF(D738="No R1",0,VLOOKUP(C738,'Peer-Review'!B:D,3,0))</f>
        <v>0</v>
      </c>
      <c r="L738" s="3">
        <f>IF(E738="No R2",0,VLOOKUP(C738,'Peer-Review'!F:H,2,0))</f>
        <v>9</v>
      </c>
      <c r="M738" s="3">
        <f>IF(E738="No R2",0,VLOOKUP(C738,'Peer-Review'!F:H,3,0))</f>
        <v>9</v>
      </c>
    </row>
    <row r="739" hidden="1">
      <c r="A739" s="3" t="str">
        <f>IFERROR(__xludf.DUMMYFUNCTION("""COMPUTED_VALUE"""),"24f1001336@ds.study.iitm.ac.in")</f>
        <v>24f1001336@ds.study.iitm.ac.in</v>
      </c>
      <c r="B739" s="3">
        <f>IFERROR(__xludf.DUMMYFUNCTION("""COMPUTED_VALUE"""),17.0)</f>
        <v>17</v>
      </c>
      <c r="C739" s="5" t="str">
        <f>IFERROR(__xludf.DUMMYFUNCTION("""COMPUTED_VALUE"""),"https://github.com/madhavdasm/tdsproject")</f>
        <v>https://github.com/madhavdasm/tdsproject</v>
      </c>
      <c r="D739" s="3" t="str">
        <f>IFERROR(VLOOKUP(C739,'Peer-Review'!B:J,9,0),"No R1")</f>
        <v>No R1</v>
      </c>
      <c r="E739" s="3" t="str">
        <f>IFERROR(VLOOKUP(C739,'Peer-Review'!F:J,5,0),"No R2")</f>
        <v>24f1001283@ds.study.iitm.ac.in</v>
      </c>
      <c r="F739" s="3">
        <f>COUNTIF('Peer-Review'!B:B,C739)+COUNTIF('Peer-Review'!F:F,C739)</f>
        <v>1</v>
      </c>
      <c r="G739" s="3">
        <f t="shared" si="1"/>
        <v>1</v>
      </c>
      <c r="H739" s="3" t="str">
        <f>IFERROR(__xludf.DUMMYFUNCTION("IFERROR(TRANSPOSE(FILTER('Peer-Review'!$J$2:$J$568,(TRIM('Peer-Review'!$B$2:$B$568)=C739 )+ (TRIM('Peer-Review'!$F$2:$F$568)=C739))),""No Reviews"")"),"24f1001283@ds.study.iitm.ac.in")</f>
        <v>24f1001283@ds.study.iitm.ac.in</v>
      </c>
      <c r="J739" s="3">
        <f>IF(D739="No R1",0,VLOOKUP(C739,'Peer-Review'!B:D,2,0))</f>
        <v>0</v>
      </c>
      <c r="K739" s="3">
        <f>IF(D739="No R1",0,VLOOKUP(C739,'Peer-Review'!B:D,3,0))</f>
        <v>0</v>
      </c>
      <c r="L739" s="3">
        <f>IF(E739="No R2",0,VLOOKUP(C739,'Peer-Review'!F:H,2,0))</f>
        <v>10</v>
      </c>
      <c r="M739" s="3">
        <f>IF(E739="No R2",0,VLOOKUP(C739,'Peer-Review'!F:H,3,0))</f>
        <v>10</v>
      </c>
    </row>
    <row r="740" hidden="1">
      <c r="A740" s="3" t="str">
        <f>IFERROR(__xludf.DUMMYFUNCTION("""COMPUTED_VALUE"""),"24f1001434@ds.study.iitm.ac.in")</f>
        <v>24f1001434@ds.study.iitm.ac.in</v>
      </c>
      <c r="B740" s="3">
        <f>IFERROR(__xludf.DUMMYFUNCTION("""COMPUTED_VALUE"""),14.0)</f>
        <v>14</v>
      </c>
      <c r="C740" s="5" t="str">
        <f>IFERROR(__xludf.DUMMYFUNCTION("""COMPUTED_VALUE"""),"https://github.com/Anish071105/TDS-project1")</f>
        <v>https://github.com/Anish071105/TDS-project1</v>
      </c>
      <c r="D740" s="3" t="str">
        <f>IFERROR(VLOOKUP(C740,'Peer-Review'!B:J,9,0),"No R1")</f>
        <v>23f1003171@ds.study.iitm.ac.in</v>
      </c>
      <c r="E740" s="3" t="str">
        <f>IFERROR(VLOOKUP(C740,'Peer-Review'!F:J,5,0),"No R2")</f>
        <v>No R2</v>
      </c>
      <c r="F740" s="3">
        <f>COUNTIF('Peer-Review'!B:B,C740)+COUNTIF('Peer-Review'!F:F,C740)</f>
        <v>2</v>
      </c>
      <c r="G740" s="3">
        <f t="shared" si="1"/>
        <v>1</v>
      </c>
      <c r="H740" s="3" t="str">
        <f>IFERROR(__xludf.DUMMYFUNCTION("IFERROR(TRANSPOSE(FILTER('Peer-Review'!$J$2:$J$568,(TRIM('Peer-Review'!$B$2:$B$568)=C740 )+ (TRIM('Peer-Review'!$F$2:$F$568)=C740))),""No Reviews"")"),"23f1003171@ds.study.iitm.ac.in")</f>
        <v>23f1003171@ds.study.iitm.ac.in</v>
      </c>
      <c r="I740" s="3" t="str">
        <f>IFERROR(__xludf.DUMMYFUNCTION("""COMPUTED_VALUE"""),"24f1002176@ds.study.iitm.ac.in")</f>
        <v>24f1002176@ds.study.iitm.ac.in</v>
      </c>
      <c r="J740" s="3">
        <f>IF(D740="No R1",0,VLOOKUP(C740,'Peer-Review'!B:D,2,0))</f>
        <v>10</v>
      </c>
      <c r="K740" s="3">
        <f>IF(D740="No R1",0,VLOOKUP(C740,'Peer-Review'!B:D,3,0))</f>
        <v>10</v>
      </c>
      <c r="L740" s="3">
        <f>IF(E740="No R2",0,VLOOKUP(C740,'Peer-Review'!F:H,2,0))</f>
        <v>0</v>
      </c>
      <c r="M740" s="3">
        <f>IF(E740="No R2",0,VLOOKUP(C740,'Peer-Review'!F:H,3,0))</f>
        <v>0</v>
      </c>
    </row>
    <row r="741" hidden="1">
      <c r="A741" s="3" t="str">
        <f>IFERROR(__xludf.DUMMYFUNCTION("""COMPUTED_VALUE"""),"24f1001850@ds.study.iitm.ac.in")</f>
        <v>24f1001850@ds.study.iitm.ac.in</v>
      </c>
      <c r="B741" s="3">
        <f>IFERROR(__xludf.DUMMYFUNCTION("""COMPUTED_VALUE"""),16.0)</f>
        <v>16</v>
      </c>
      <c r="C741" s="5" t="str">
        <f>IFERROR(__xludf.DUMMYFUNCTION("""COMPUTED_VALUE"""),"https://github.com/meyywwg/tds_project1")</f>
        <v>https://github.com/meyywwg/tds_project1</v>
      </c>
      <c r="D741" s="3" t="str">
        <f>IFERROR(VLOOKUP(C741,'Peer-Review'!B:J,9,0),"No R1")</f>
        <v>No R1</v>
      </c>
      <c r="E741" s="3" t="str">
        <f>IFERROR(VLOOKUP(C741,'Peer-Review'!F:J,5,0),"No R2")</f>
        <v>24ds2000130@ds.study.iitm.ac.in</v>
      </c>
      <c r="F741" s="3">
        <f>COUNTIF('Peer-Review'!B:B,C741)+COUNTIF('Peer-Review'!F:F,C741)</f>
        <v>1</v>
      </c>
      <c r="G741" s="3">
        <f t="shared" si="1"/>
        <v>1</v>
      </c>
      <c r="H741" s="3" t="str">
        <f>IFERROR(__xludf.DUMMYFUNCTION("IFERROR(TRANSPOSE(FILTER('Peer-Review'!$J$2:$J$568,(TRIM('Peer-Review'!$B$2:$B$568)=C741 )+ (TRIM('Peer-Review'!$F$2:$F$568)=C741))),""No Reviews"")"),"24ds2000130@ds.study.iitm.ac.in")</f>
        <v>24ds2000130@ds.study.iitm.ac.in</v>
      </c>
      <c r="J741" s="3">
        <f>IF(D741="No R1",0,VLOOKUP(C741,'Peer-Review'!B:D,2,0))</f>
        <v>0</v>
      </c>
      <c r="K741" s="3">
        <f>IF(D741="No R1",0,VLOOKUP(C741,'Peer-Review'!B:D,3,0))</f>
        <v>0</v>
      </c>
      <c r="L741" s="3">
        <f>IF(E741="No R2",0,VLOOKUP(C741,'Peer-Review'!F:H,2,0))</f>
        <v>9</v>
      </c>
      <c r="M741" s="3">
        <f>IF(E741="No R2",0,VLOOKUP(C741,'Peer-Review'!F:H,3,0))</f>
        <v>6</v>
      </c>
    </row>
    <row r="742" hidden="1">
      <c r="A742" s="3" t="str">
        <f>IFERROR(__xludf.DUMMYFUNCTION("""COMPUTED_VALUE"""),"24f1002025@ds.study.iitm.ac.in")</f>
        <v>24f1002025@ds.study.iitm.ac.in</v>
      </c>
      <c r="B742" s="3">
        <f>IFERROR(__xludf.DUMMYFUNCTION("""COMPUTED_VALUE"""),17.0)</f>
        <v>17</v>
      </c>
      <c r="C742" s="5" t="str">
        <f>IFERROR(__xludf.DUMMYFUNCTION("""COMPUTED_VALUE"""),"https://github.com/24f1002025/TDS-Project-1-User-Repository-Scrapping")</f>
        <v>https://github.com/24f1002025/TDS-Project-1-User-Repository-Scrapping</v>
      </c>
      <c r="D742" s="3" t="str">
        <f>IFERROR(VLOOKUP(C742,'Peer-Review'!B:J,9,0),"No R1")</f>
        <v>No R1</v>
      </c>
      <c r="E742" s="3" t="str">
        <f>IFERROR(VLOOKUP(C742,'Peer-Review'!F:J,5,0),"No R2")</f>
        <v>24f1001336@ds.study.iitm.ac.in</v>
      </c>
      <c r="F742" s="3">
        <f>COUNTIF('Peer-Review'!B:B,C742)+COUNTIF('Peer-Review'!F:F,C742)</f>
        <v>2</v>
      </c>
      <c r="G742" s="3">
        <f t="shared" si="1"/>
        <v>1</v>
      </c>
      <c r="H742" s="3" t="str">
        <f>IFERROR(__xludf.DUMMYFUNCTION("IFERROR(TRANSPOSE(FILTER('Peer-Review'!$J$2:$J$568,(TRIM('Peer-Review'!$B$2:$B$568)=C742 )+ (TRIM('Peer-Review'!$F$2:$F$568)=C742))),""No Reviews"")"),"24f1001336@ds.study.iitm.ac.in")</f>
        <v>24f1001336@ds.study.iitm.ac.in</v>
      </c>
      <c r="I742" s="3" t="str">
        <f>IFERROR(__xludf.DUMMYFUNCTION("""COMPUTED_VALUE"""),"21f3000413@ds.study.iitm.ac.in")</f>
        <v>21f3000413@ds.study.iitm.ac.in</v>
      </c>
      <c r="J742" s="3">
        <f>IF(D742="No R1",0,VLOOKUP(C742,'Peer-Review'!B:D,2,0))</f>
        <v>0</v>
      </c>
      <c r="K742" s="3">
        <f>IF(D742="No R1",0,VLOOKUP(C742,'Peer-Review'!B:D,3,0))</f>
        <v>0</v>
      </c>
      <c r="L742" s="3">
        <f>IF(E742="No R2",0,VLOOKUP(C742,'Peer-Review'!F:H,2,0))</f>
        <v>10</v>
      </c>
      <c r="M742" s="3">
        <f>IF(E742="No R2",0,VLOOKUP(C742,'Peer-Review'!F:H,3,0))</f>
        <v>9</v>
      </c>
    </row>
    <row r="743" hidden="1">
      <c r="A743" s="3" t="str">
        <f>IFERROR(__xludf.DUMMYFUNCTION("""COMPUTED_VALUE"""),"24f1002079@ds.study.iitm.ac.in")</f>
        <v>24f1002079@ds.study.iitm.ac.in</v>
      </c>
      <c r="B743" s="3">
        <f>IFERROR(__xludf.DUMMYFUNCTION("""COMPUTED_VALUE"""),13.0)</f>
        <v>13</v>
      </c>
      <c r="C743" s="5" t="str">
        <f>IFERROR(__xludf.DUMMYFUNCTION("""COMPUTED_VALUE"""),"https://github.com/AdithyaLingam/tds_project_24f1002079")</f>
        <v>https://github.com/AdithyaLingam/tds_project_24f1002079</v>
      </c>
      <c r="D743" s="3" t="str">
        <f>IFERROR(VLOOKUP(C743,'Peer-Review'!B:J,9,0),"No R1")</f>
        <v>21f1002727@ds.study.iitm.ac.in</v>
      </c>
      <c r="E743" s="3" t="str">
        <f>IFERROR(VLOOKUP(C743,'Peer-Review'!F:J,5,0),"No R2")</f>
        <v>No R2</v>
      </c>
      <c r="F743" s="3">
        <f>COUNTIF('Peer-Review'!B:B,C743)+COUNTIF('Peer-Review'!F:F,C743)</f>
        <v>2</v>
      </c>
      <c r="G743" s="3">
        <f t="shared" si="1"/>
        <v>1</v>
      </c>
      <c r="H743" s="3" t="str">
        <f>IFERROR(__xludf.DUMMYFUNCTION("IFERROR(TRANSPOSE(FILTER('Peer-Review'!$J$2:$J$568,(TRIM('Peer-Review'!$B$2:$B$568)=C743 )+ (TRIM('Peer-Review'!$F$2:$F$568)=C743))),""No Reviews"")"),"21f1002727@ds.study.iitm.ac.in")</f>
        <v>21f1002727@ds.study.iitm.ac.in</v>
      </c>
      <c r="I743" s="3" t="str">
        <f>IFERROR(__xludf.DUMMYFUNCTION("""COMPUTED_VALUE"""),"22f3002293@ds.study.iitm.ac.in")</f>
        <v>22f3002293@ds.study.iitm.ac.in</v>
      </c>
      <c r="J743" s="3">
        <f>IF(D743="No R1",0,VLOOKUP(C743,'Peer-Review'!B:D,2,0))</f>
        <v>9</v>
      </c>
      <c r="K743" s="3">
        <f>IF(D743="No R1",0,VLOOKUP(C743,'Peer-Review'!B:D,3,0))</f>
        <v>10</v>
      </c>
      <c r="L743" s="3">
        <f>IF(E743="No R2",0,VLOOKUP(C743,'Peer-Review'!F:H,2,0))</f>
        <v>0</v>
      </c>
      <c r="M743" s="3">
        <f>IF(E743="No R2",0,VLOOKUP(C743,'Peer-Review'!F:H,3,0))</f>
        <v>0</v>
      </c>
    </row>
    <row r="744" hidden="1">
      <c r="A744" s="3" t="str">
        <f>IFERROR(__xludf.DUMMYFUNCTION("""COMPUTED_VALUE"""),"24f1002112@ds.study.iitm.ac.in")</f>
        <v>24f1002112@ds.study.iitm.ac.in</v>
      </c>
      <c r="B744" s="3">
        <f>IFERROR(__xludf.DUMMYFUNCTION("""COMPUTED_VALUE"""),10.0)</f>
        <v>10</v>
      </c>
      <c r="C744" s="5" t="str">
        <f>IFERROR(__xludf.DUMMYFUNCTION("""COMPUTED_VALUE"""),"https://github.com/24f1002112/Project1TDS")</f>
        <v>https://github.com/24f1002112/Project1TDS</v>
      </c>
      <c r="D744" s="3" t="str">
        <f>IFERROR(VLOOKUP(C744,'Peer-Review'!B:J,9,0),"No R1")</f>
        <v>23f2000934@ds.study.iitm.ac.in</v>
      </c>
      <c r="E744" s="3" t="str">
        <f>IFERROR(VLOOKUP(C744,'Peer-Review'!F:J,5,0),"No R2")</f>
        <v>No R2</v>
      </c>
      <c r="F744" s="3">
        <f>COUNTIF('Peer-Review'!B:B,C744)+COUNTIF('Peer-Review'!F:F,C744)</f>
        <v>2</v>
      </c>
      <c r="G744" s="3">
        <f t="shared" si="1"/>
        <v>1</v>
      </c>
      <c r="H744" s="3" t="str">
        <f>IFERROR(__xludf.DUMMYFUNCTION("IFERROR(TRANSPOSE(FILTER('Peer-Review'!$J$2:$J$568,(TRIM('Peer-Review'!$B$2:$B$568)=C744 )+ (TRIM('Peer-Review'!$F$2:$F$568)=C744))),""No Reviews"")"),"23f2000934@ds.study.iitm.ac.in")</f>
        <v>23f2000934@ds.study.iitm.ac.in</v>
      </c>
      <c r="I744" s="3" t="str">
        <f>IFERROR(__xludf.DUMMYFUNCTION("""COMPUTED_VALUE"""),"21f1001804@ds.study.iitm.ac.in")</f>
        <v>21f1001804@ds.study.iitm.ac.in</v>
      </c>
      <c r="J744" s="3">
        <f>IF(D744="No R1",0,VLOOKUP(C744,'Peer-Review'!B:D,2,0))</f>
        <v>9</v>
      </c>
      <c r="K744" s="3">
        <f>IF(D744="No R1",0,VLOOKUP(C744,'Peer-Review'!B:D,3,0))</f>
        <v>10</v>
      </c>
      <c r="L744" s="3">
        <f>IF(E744="No R2",0,VLOOKUP(C744,'Peer-Review'!F:H,2,0))</f>
        <v>0</v>
      </c>
      <c r="M744" s="3">
        <f>IF(E744="No R2",0,VLOOKUP(C744,'Peer-Review'!F:H,3,0))</f>
        <v>0</v>
      </c>
    </row>
    <row r="745" hidden="1">
      <c r="A745" s="3" t="str">
        <f>IFERROR(__xludf.DUMMYFUNCTION("""COMPUTED_VALUE"""),"24f1002176@ds.study.iitm.ac.in")</f>
        <v>24f1002176@ds.study.iitm.ac.in</v>
      </c>
      <c r="B745" s="3">
        <f>IFERROR(__xludf.DUMMYFUNCTION("""COMPUTED_VALUE"""),14.0)</f>
        <v>14</v>
      </c>
      <c r="C745" s="5" t="str">
        <f>IFERROR(__xludf.DUMMYFUNCTION("""COMPUTED_VALUE"""),"https://github.com/adityalearnsdata/Project-1")</f>
        <v>https://github.com/adityalearnsdata/Project-1</v>
      </c>
      <c r="D745" s="3" t="str">
        <f>IFERROR(VLOOKUP(C745,'Peer-Review'!B:J,9,0),"No R1")</f>
        <v>21f1001182@ds.study.iitm.ac.in</v>
      </c>
      <c r="E745" s="3" t="str">
        <f>IFERROR(VLOOKUP(C745,'Peer-Review'!F:J,5,0),"No R2")</f>
        <v>No R2</v>
      </c>
      <c r="F745" s="3">
        <f>COUNTIF('Peer-Review'!B:B,C745)+COUNTIF('Peer-Review'!F:F,C745)</f>
        <v>1</v>
      </c>
      <c r="G745" s="3">
        <f t="shared" si="1"/>
        <v>1</v>
      </c>
      <c r="H745" s="3" t="str">
        <f>IFERROR(__xludf.DUMMYFUNCTION("IFERROR(TRANSPOSE(FILTER('Peer-Review'!$J$2:$J$568,(TRIM('Peer-Review'!$B$2:$B$568)=C745 )+ (TRIM('Peer-Review'!$F$2:$F$568)=C745))),""No Reviews"")"),"21f1001182@ds.study.iitm.ac.in")</f>
        <v>21f1001182@ds.study.iitm.ac.in</v>
      </c>
      <c r="J745" s="3">
        <f>IF(D745="No R1",0,VLOOKUP(C745,'Peer-Review'!B:D,2,0))</f>
        <v>7</v>
      </c>
      <c r="K745" s="3">
        <f>IF(D745="No R1",0,VLOOKUP(C745,'Peer-Review'!B:D,3,0))</f>
        <v>10</v>
      </c>
      <c r="L745" s="3">
        <f>IF(E745="No R2",0,VLOOKUP(C745,'Peer-Review'!F:H,2,0))</f>
        <v>0</v>
      </c>
      <c r="M745" s="3">
        <f>IF(E745="No R2",0,VLOOKUP(C745,'Peer-Review'!F:H,3,0))</f>
        <v>0</v>
      </c>
    </row>
    <row r="746" hidden="1">
      <c r="A746" s="3" t="str">
        <f>IFERROR(__xludf.DUMMYFUNCTION("""COMPUTED_VALUE"""),"24f1002325@ds.study.iitm.ac.in")</f>
        <v>24f1002325@ds.study.iitm.ac.in</v>
      </c>
      <c r="B746" s="3">
        <f>IFERROR(__xludf.DUMMYFUNCTION("""COMPUTED_VALUE"""),17.0)</f>
        <v>17</v>
      </c>
      <c r="C746" s="5" t="str">
        <f>IFERROR(__xludf.DUMMYFUNCTION("""COMPUTED_VALUE"""),"https://github.com/24f1002325-Jagan/Project-1")</f>
        <v>https://github.com/24f1002325-Jagan/Project-1</v>
      </c>
      <c r="D746" s="3" t="str">
        <f>IFERROR(VLOOKUP(C746,'Peer-Review'!B:J,9,0),"No R1")</f>
        <v>No R1</v>
      </c>
      <c r="E746" s="3" t="str">
        <f>IFERROR(VLOOKUP(C746,'Peer-Review'!F:J,5,0),"No R2")</f>
        <v>21f3000700@ds.study.iitm.ac.in</v>
      </c>
      <c r="F746" s="3">
        <f>COUNTIF('Peer-Review'!B:B,C746)+COUNTIF('Peer-Review'!F:F,C746)</f>
        <v>1</v>
      </c>
      <c r="G746" s="3">
        <f t="shared" si="1"/>
        <v>1</v>
      </c>
      <c r="H746" s="3" t="str">
        <f>IFERROR(__xludf.DUMMYFUNCTION("IFERROR(TRANSPOSE(FILTER('Peer-Review'!$J$2:$J$568,(TRIM('Peer-Review'!$B$2:$B$568)=C746 )+ (TRIM('Peer-Review'!$F$2:$F$568)=C746))),""No Reviews"")"),"21f3000700@ds.study.iitm.ac.in")</f>
        <v>21f3000700@ds.study.iitm.ac.in</v>
      </c>
      <c r="J746" s="3">
        <f>IF(D746="No R1",0,VLOOKUP(C746,'Peer-Review'!B:D,2,0))</f>
        <v>0</v>
      </c>
      <c r="K746" s="3">
        <f>IF(D746="No R1",0,VLOOKUP(C746,'Peer-Review'!B:D,3,0))</f>
        <v>0</v>
      </c>
      <c r="L746" s="3">
        <f>IF(E746="No R2",0,VLOOKUP(C746,'Peer-Review'!F:H,2,0))</f>
        <v>9</v>
      </c>
      <c r="M746" s="3">
        <f>IF(E746="No R2",0,VLOOKUP(C746,'Peer-Review'!F:H,3,0))</f>
        <v>0</v>
      </c>
    </row>
    <row r="747" hidden="1">
      <c r="A747" s="3" t="str">
        <f>IFERROR(__xludf.DUMMYFUNCTION("""COMPUTED_VALUE"""),"24f1002469@ds.study.iitm.ac.in")</f>
        <v>24f1002469@ds.study.iitm.ac.in</v>
      </c>
      <c r="B747" s="3">
        <f>IFERROR(__xludf.DUMMYFUNCTION("""COMPUTED_VALUE"""),17.0)</f>
        <v>17</v>
      </c>
      <c r="C747" s="5" t="str">
        <f>IFERROR(__xludf.DUMMYFUNCTION("""COMPUTED_VALUE"""),"https://github.com/Nandhini-Ammaiappan/Project1")</f>
        <v>https://github.com/Nandhini-Ammaiappan/Project1</v>
      </c>
      <c r="D747" s="3" t="str">
        <f>IFERROR(VLOOKUP(C747,'Peer-Review'!B:J,9,0),"No R1")</f>
        <v>No R1</v>
      </c>
      <c r="E747" s="3" t="str">
        <f>IFERROR(VLOOKUP(C747,'Peer-Review'!F:J,5,0),"No R2")</f>
        <v>21f3000753@ds.study.iitm.ac.in</v>
      </c>
      <c r="F747" s="3">
        <f>COUNTIF('Peer-Review'!B:B,C747)+COUNTIF('Peer-Review'!F:F,C747)</f>
        <v>2</v>
      </c>
      <c r="G747" s="3">
        <f t="shared" si="1"/>
        <v>1</v>
      </c>
      <c r="H747" s="3" t="str">
        <f>IFERROR(__xludf.DUMMYFUNCTION("IFERROR(TRANSPOSE(FILTER('Peer-Review'!$J$2:$J$568,(TRIM('Peer-Review'!$B$2:$B$568)=C747 )+ (TRIM('Peer-Review'!$F$2:$F$568)=C747))),""No Reviews"")"),"21f3000753@ds.study.iitm.ac.in")</f>
        <v>21f3000753@ds.study.iitm.ac.in</v>
      </c>
      <c r="I747" s="3" t="str">
        <f>IFERROR(__xludf.DUMMYFUNCTION("""COMPUTED_VALUE"""),"24f1002325@ds.study.iitm.ac.in")</f>
        <v>24f1002325@ds.study.iitm.ac.in</v>
      </c>
      <c r="J747" s="3">
        <f>IF(D747="No R1",0,VLOOKUP(C747,'Peer-Review'!B:D,2,0))</f>
        <v>0</v>
      </c>
      <c r="K747" s="3">
        <f>IF(D747="No R1",0,VLOOKUP(C747,'Peer-Review'!B:D,3,0))</f>
        <v>0</v>
      </c>
      <c r="L747" s="3">
        <f>IF(E747="No R2",0,VLOOKUP(C747,'Peer-Review'!F:H,2,0))</f>
        <v>6</v>
      </c>
      <c r="M747" s="3">
        <f>IF(E747="No R2",0,VLOOKUP(C747,'Peer-Review'!F:H,3,0))</f>
        <v>7</v>
      </c>
    </row>
    <row r="748" hidden="1">
      <c r="A748" s="3" t="str">
        <f>IFERROR(__xludf.DUMMYFUNCTION("""COMPUTED_VALUE"""),"24f1002524@ds.study.iitm.ac.in")</f>
        <v>24f1002524@ds.study.iitm.ac.in</v>
      </c>
      <c r="B748" s="3">
        <f>IFERROR(__xludf.DUMMYFUNCTION("""COMPUTED_VALUE"""),17.0)</f>
        <v>17</v>
      </c>
      <c r="C748" s="5" t="str">
        <f>IFERROR(__xludf.DUMMYFUNCTION("""COMPUTED_VALUE"""),"https://github.com/pavan-santhosh-iitm/Project1")</f>
        <v>https://github.com/pavan-santhosh-iitm/Project1</v>
      </c>
      <c r="D748" s="3" t="str">
        <f>IFERROR(VLOOKUP(C748,'Peer-Review'!B:J,9,0),"No R1")</f>
        <v>No R1</v>
      </c>
      <c r="E748" s="3" t="str">
        <f>IFERROR(VLOOKUP(C748,'Peer-Review'!F:J,5,0),"No R2")</f>
        <v>21f3001902@ds.study.iitm.ac.in</v>
      </c>
      <c r="F748" s="3">
        <f>COUNTIF('Peer-Review'!B:B,C748)+COUNTIF('Peer-Review'!F:F,C748)</f>
        <v>2</v>
      </c>
      <c r="G748" s="3">
        <f t="shared" si="1"/>
        <v>1</v>
      </c>
      <c r="H748" s="3" t="str">
        <f>IFERROR(__xludf.DUMMYFUNCTION("IFERROR(TRANSPOSE(FILTER('Peer-Review'!$J$2:$J$568,(TRIM('Peer-Review'!$B$2:$B$568)=C748 )+ (TRIM('Peer-Review'!$F$2:$F$568)=C748))),""No Reviews"")"),"21f3001902@ds.study.iitm.ac.in")</f>
        <v>21f3001902@ds.study.iitm.ac.in</v>
      </c>
      <c r="I748" s="3" t="str">
        <f>IFERROR(__xludf.DUMMYFUNCTION("""COMPUTED_VALUE"""),"24f1002469@ds.study.iitm.ac.in")</f>
        <v>24f1002469@ds.study.iitm.ac.in</v>
      </c>
      <c r="J748" s="3">
        <f>IF(D748="No R1",0,VLOOKUP(C748,'Peer-Review'!B:D,2,0))</f>
        <v>0</v>
      </c>
      <c r="K748" s="3">
        <f>IF(D748="No R1",0,VLOOKUP(C748,'Peer-Review'!B:D,3,0))</f>
        <v>0</v>
      </c>
      <c r="L748" s="3">
        <f>IF(E748="No R2",0,VLOOKUP(C748,'Peer-Review'!F:H,2,0))</f>
        <v>10</v>
      </c>
      <c r="M748" s="3">
        <f>IF(E748="No R2",0,VLOOKUP(C748,'Peer-Review'!F:H,3,0))</f>
        <v>0</v>
      </c>
    </row>
  </sheetData>
  <autoFilter ref="$A$1:$M$748">
    <filterColumn colId="2">
      <filters blank="1"/>
    </filterColumn>
  </autoFilter>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9"/>
    <hyperlink r:id="rId48" ref="C50"/>
    <hyperlink r:id="rId49" ref="C51"/>
    <hyperlink r:id="rId50" ref="C52"/>
    <hyperlink r:id="rId51" ref="C53"/>
    <hyperlink r:id="rId52" ref="C54"/>
    <hyperlink r:id="rId53" ref="C55"/>
    <hyperlink r:id="rId54" ref="C56"/>
    <hyperlink r:id="rId55" ref="C57"/>
    <hyperlink r:id="rId56" ref="C58"/>
    <hyperlink r:id="rId57" ref="C59"/>
    <hyperlink r:id="rId58" ref="C60"/>
    <hyperlink r:id="rId59" ref="C61"/>
    <hyperlink r:id="rId60" ref="C62"/>
    <hyperlink r:id="rId61" ref="C63"/>
    <hyperlink r:id="rId62" ref="C64"/>
    <hyperlink r:id="rId63" ref="C65"/>
    <hyperlink r:id="rId64" ref="C66"/>
    <hyperlink r:id="rId65" ref="C67"/>
    <hyperlink r:id="rId66" ref="C68"/>
    <hyperlink r:id="rId67" ref="C69"/>
    <hyperlink r:id="rId68" ref="C70"/>
    <hyperlink r:id="rId69" ref="C71"/>
    <hyperlink r:id="rId70" ref="C72"/>
    <hyperlink r:id="rId71" ref="C73"/>
    <hyperlink r:id="rId72" ref="C74"/>
    <hyperlink r:id="rId73" ref="C75"/>
    <hyperlink r:id="rId74" ref="C76"/>
    <hyperlink r:id="rId75" ref="C77"/>
    <hyperlink r:id="rId76" ref="C78"/>
    <hyperlink r:id="rId77" ref="C79"/>
    <hyperlink r:id="rId78" ref="C80"/>
    <hyperlink r:id="rId79" ref="C81"/>
    <hyperlink r:id="rId80" ref="C82"/>
    <hyperlink r:id="rId81" ref="C84"/>
    <hyperlink r:id="rId82" ref="C85"/>
    <hyperlink r:id="rId83" ref="C86"/>
    <hyperlink r:id="rId84" ref="C87"/>
    <hyperlink r:id="rId85" ref="C88"/>
    <hyperlink r:id="rId86" ref="C89"/>
    <hyperlink r:id="rId87" ref="C90"/>
    <hyperlink r:id="rId88" ref="C91"/>
    <hyperlink r:id="rId89" ref="C92"/>
    <hyperlink r:id="rId90" ref="C93"/>
    <hyperlink r:id="rId91" ref="C94"/>
    <hyperlink r:id="rId92" ref="C95"/>
    <hyperlink r:id="rId93" ref="C97"/>
    <hyperlink r:id="rId94" ref="C99"/>
    <hyperlink r:id="rId95" ref="C100"/>
    <hyperlink r:id="rId96" ref="C101"/>
    <hyperlink r:id="rId97" ref="C102"/>
    <hyperlink r:id="rId98" ref="C103"/>
    <hyperlink r:id="rId99" ref="C104"/>
    <hyperlink r:id="rId100" ref="C105"/>
    <hyperlink r:id="rId101" ref="C106"/>
    <hyperlink r:id="rId102" ref="C107"/>
    <hyperlink r:id="rId103" ref="C108"/>
    <hyperlink r:id="rId104" ref="C109"/>
    <hyperlink r:id="rId105" ref="C110"/>
    <hyperlink r:id="rId106" ref="C111"/>
    <hyperlink r:id="rId107" ref="C112"/>
    <hyperlink r:id="rId108" ref="C113"/>
    <hyperlink r:id="rId109" ref="C114"/>
    <hyperlink r:id="rId110" ref="C115"/>
    <hyperlink r:id="rId111" ref="C116"/>
    <hyperlink r:id="rId112" ref="C117"/>
    <hyperlink r:id="rId113" ref="C118"/>
    <hyperlink r:id="rId114" ref="C119"/>
    <hyperlink r:id="rId115" ref="C120"/>
    <hyperlink r:id="rId116" ref="C121"/>
    <hyperlink r:id="rId117" ref="C122"/>
    <hyperlink r:id="rId118" ref="C123"/>
    <hyperlink r:id="rId119" ref="C124"/>
    <hyperlink r:id="rId120" ref="C125"/>
    <hyperlink r:id="rId121" ref="C126"/>
    <hyperlink r:id="rId122" ref="C127"/>
    <hyperlink r:id="rId123" ref="C128"/>
    <hyperlink r:id="rId124" ref="C129"/>
    <hyperlink r:id="rId125" ref="C130"/>
    <hyperlink r:id="rId126" ref="C131"/>
    <hyperlink r:id="rId127" ref="C132"/>
    <hyperlink r:id="rId128" ref="C133"/>
    <hyperlink r:id="rId129" ref="C134"/>
    <hyperlink r:id="rId130" ref="C135"/>
    <hyperlink r:id="rId131" ref="C136"/>
    <hyperlink r:id="rId132" ref="C137"/>
    <hyperlink r:id="rId133" ref="C138"/>
    <hyperlink r:id="rId134" ref="C139"/>
    <hyperlink r:id="rId135" ref="C140"/>
    <hyperlink r:id="rId136" ref="C141"/>
    <hyperlink r:id="rId137" ref="C142"/>
    <hyperlink r:id="rId138" ref="C143"/>
    <hyperlink r:id="rId139" ref="C144"/>
    <hyperlink r:id="rId140" ref="C145"/>
    <hyperlink r:id="rId141" ref="C146"/>
    <hyperlink r:id="rId142" ref="C147"/>
    <hyperlink r:id="rId143" ref="C148"/>
    <hyperlink r:id="rId144" ref="C149"/>
    <hyperlink r:id="rId145" ref="C150"/>
    <hyperlink r:id="rId146" ref="C151"/>
    <hyperlink r:id="rId147" ref="C152"/>
    <hyperlink r:id="rId148" ref="C153"/>
    <hyperlink r:id="rId149" ref="C154"/>
    <hyperlink r:id="rId150" ref="C155"/>
    <hyperlink r:id="rId151" ref="C156"/>
    <hyperlink r:id="rId152" ref="C157"/>
    <hyperlink r:id="rId153" ref="C158"/>
    <hyperlink r:id="rId154" ref="C159"/>
    <hyperlink r:id="rId155" ref="C160"/>
    <hyperlink r:id="rId156" ref="C161"/>
    <hyperlink r:id="rId157" ref="C162"/>
    <hyperlink r:id="rId158" ref="C163"/>
    <hyperlink r:id="rId159" ref="C164"/>
    <hyperlink r:id="rId160" ref="C165"/>
    <hyperlink r:id="rId161" ref="C166"/>
    <hyperlink r:id="rId162" ref="C167"/>
    <hyperlink r:id="rId163" ref="C168"/>
    <hyperlink r:id="rId164" ref="C169"/>
    <hyperlink r:id="rId165" ref="C170"/>
    <hyperlink r:id="rId166" ref="C171"/>
    <hyperlink r:id="rId167" ref="C172"/>
    <hyperlink r:id="rId168" ref="C173"/>
    <hyperlink r:id="rId169" ref="C174"/>
    <hyperlink r:id="rId170" ref="C175"/>
    <hyperlink r:id="rId171" ref="C176"/>
    <hyperlink r:id="rId172" ref="C177"/>
    <hyperlink r:id="rId173" ref="C178"/>
    <hyperlink r:id="rId174" ref="C179"/>
    <hyperlink r:id="rId175" ref="C180"/>
    <hyperlink r:id="rId176" ref="C181"/>
    <hyperlink r:id="rId177" ref="C182"/>
    <hyperlink r:id="rId178" ref="C183"/>
    <hyperlink r:id="rId179" ref="C184"/>
    <hyperlink r:id="rId180" ref="C185"/>
    <hyperlink r:id="rId181" ref="C186"/>
    <hyperlink r:id="rId182" ref="C187"/>
    <hyperlink r:id="rId183" ref="C188"/>
    <hyperlink r:id="rId184" ref="C189"/>
    <hyperlink r:id="rId185" ref="C190"/>
    <hyperlink r:id="rId186" ref="C191"/>
    <hyperlink r:id="rId187" ref="C192"/>
    <hyperlink r:id="rId188" ref="C193"/>
    <hyperlink r:id="rId189" ref="C194"/>
    <hyperlink r:id="rId190" ref="C195"/>
    <hyperlink r:id="rId191" ref="C196"/>
    <hyperlink r:id="rId192" ref="C197"/>
    <hyperlink r:id="rId193" ref="C198"/>
    <hyperlink r:id="rId194" ref="C199"/>
    <hyperlink r:id="rId195" ref="C200"/>
    <hyperlink r:id="rId196" ref="C201"/>
    <hyperlink r:id="rId197" ref="C202"/>
    <hyperlink r:id="rId198" ref="C203"/>
    <hyperlink r:id="rId199" ref="C204"/>
    <hyperlink r:id="rId200" ref="C205"/>
    <hyperlink r:id="rId201" ref="C206"/>
    <hyperlink r:id="rId202" ref="C207"/>
    <hyperlink r:id="rId203" ref="C208"/>
    <hyperlink r:id="rId204" ref="C209"/>
    <hyperlink r:id="rId205" ref="C210"/>
    <hyperlink r:id="rId206" ref="C211"/>
    <hyperlink r:id="rId207" ref="C212"/>
    <hyperlink r:id="rId208" ref="C213"/>
    <hyperlink r:id="rId209" ref="C214"/>
    <hyperlink r:id="rId210" ref="C215"/>
    <hyperlink r:id="rId211" ref="C216"/>
    <hyperlink r:id="rId212" ref="C217"/>
    <hyperlink r:id="rId213" ref="C218"/>
    <hyperlink r:id="rId214" ref="C219"/>
    <hyperlink r:id="rId215" ref="C220"/>
    <hyperlink r:id="rId216" ref="C221"/>
    <hyperlink r:id="rId217" ref="C222"/>
    <hyperlink r:id="rId218" ref="C223"/>
    <hyperlink r:id="rId219" ref="C224"/>
    <hyperlink r:id="rId220" ref="C225"/>
    <hyperlink r:id="rId221" ref="C226"/>
    <hyperlink r:id="rId222" ref="C227"/>
    <hyperlink r:id="rId223" ref="C228"/>
    <hyperlink r:id="rId224" ref="C229"/>
    <hyperlink r:id="rId225" ref="C230"/>
    <hyperlink r:id="rId226" ref="C231"/>
    <hyperlink r:id="rId227" ref="C232"/>
    <hyperlink r:id="rId228" ref="C233"/>
    <hyperlink r:id="rId229" ref="C234"/>
    <hyperlink r:id="rId230" ref="C235"/>
    <hyperlink r:id="rId231" ref="C236"/>
    <hyperlink r:id="rId232" ref="C237"/>
    <hyperlink r:id="rId233" ref="C238"/>
    <hyperlink r:id="rId234" ref="C239"/>
    <hyperlink r:id="rId235" ref="C240"/>
    <hyperlink r:id="rId236" ref="C241"/>
    <hyperlink r:id="rId237" ref="C242"/>
    <hyperlink r:id="rId238" ref="C243"/>
    <hyperlink r:id="rId239" ref="C244"/>
    <hyperlink r:id="rId240" ref="C245"/>
    <hyperlink r:id="rId241" ref="C246"/>
    <hyperlink r:id="rId242" ref="C247"/>
    <hyperlink r:id="rId243" ref="C248"/>
    <hyperlink r:id="rId244" ref="C250"/>
    <hyperlink r:id="rId245" ref="C251"/>
    <hyperlink r:id="rId246" ref="C252"/>
    <hyperlink r:id="rId247" ref="C253"/>
    <hyperlink r:id="rId248" ref="C254"/>
    <hyperlink r:id="rId249" ref="C255"/>
    <hyperlink r:id="rId250" ref="C256"/>
    <hyperlink r:id="rId251" ref="C257"/>
    <hyperlink r:id="rId252" ref="C258"/>
    <hyperlink r:id="rId253" ref="C259"/>
    <hyperlink r:id="rId254" ref="C260"/>
    <hyperlink r:id="rId255" ref="C261"/>
    <hyperlink r:id="rId256" ref="C262"/>
    <hyperlink r:id="rId257" ref="C263"/>
    <hyperlink r:id="rId258" ref="C264"/>
    <hyperlink r:id="rId259" ref="C265"/>
    <hyperlink r:id="rId260" ref="C266"/>
    <hyperlink r:id="rId261" ref="C267"/>
    <hyperlink r:id="rId262" ref="C268"/>
    <hyperlink r:id="rId263" ref="C269"/>
    <hyperlink r:id="rId264" ref="C270"/>
    <hyperlink r:id="rId265" ref="C271"/>
    <hyperlink r:id="rId266" ref="C272"/>
    <hyperlink r:id="rId267" ref="C273"/>
    <hyperlink r:id="rId268" ref="C274"/>
    <hyperlink r:id="rId269" ref="C275"/>
    <hyperlink r:id="rId270" ref="C276"/>
    <hyperlink r:id="rId271" ref="C277"/>
    <hyperlink r:id="rId272" ref="C279"/>
    <hyperlink r:id="rId273" ref="C280"/>
    <hyperlink r:id="rId274" ref="C281"/>
    <hyperlink r:id="rId275" ref="C282"/>
    <hyperlink r:id="rId276" ref="C283"/>
    <hyperlink r:id="rId277" ref="C284"/>
    <hyperlink r:id="rId278" ref="C285"/>
    <hyperlink r:id="rId279" ref="C286"/>
    <hyperlink r:id="rId280" ref="C287"/>
    <hyperlink r:id="rId281" ref="C288"/>
    <hyperlink r:id="rId282" ref="C289"/>
    <hyperlink r:id="rId283" ref="C290"/>
    <hyperlink r:id="rId284" ref="C291"/>
    <hyperlink r:id="rId285" ref="C292"/>
    <hyperlink r:id="rId286" ref="C293"/>
    <hyperlink r:id="rId287" ref="C294"/>
    <hyperlink r:id="rId288" ref="C295"/>
    <hyperlink r:id="rId289" ref="C296"/>
    <hyperlink r:id="rId290" ref="C297"/>
    <hyperlink r:id="rId291" ref="C298"/>
    <hyperlink r:id="rId292" ref="C299"/>
    <hyperlink r:id="rId293" ref="C300"/>
    <hyperlink r:id="rId294" ref="C301"/>
    <hyperlink r:id="rId295" ref="C302"/>
    <hyperlink r:id="rId296" ref="C303"/>
    <hyperlink r:id="rId297" ref="C304"/>
    <hyperlink r:id="rId298" ref="C305"/>
    <hyperlink r:id="rId299" ref="C306"/>
    <hyperlink r:id="rId300" ref="C307"/>
    <hyperlink r:id="rId301" ref="C308"/>
    <hyperlink r:id="rId302" ref="C309"/>
    <hyperlink r:id="rId303" ref="C310"/>
    <hyperlink r:id="rId304" ref="C311"/>
    <hyperlink r:id="rId305" ref="C312"/>
    <hyperlink r:id="rId306" ref="C313"/>
    <hyperlink r:id="rId307" ref="C314"/>
    <hyperlink r:id="rId308" ref="C315"/>
    <hyperlink r:id="rId309" ref="C316"/>
    <hyperlink r:id="rId310" ref="C317"/>
    <hyperlink r:id="rId311" ref="C318"/>
    <hyperlink r:id="rId312" ref="C319"/>
    <hyperlink r:id="rId313" ref="C320"/>
    <hyperlink r:id="rId314" ref="C321"/>
    <hyperlink r:id="rId315" ref="C322"/>
    <hyperlink r:id="rId316" ref="C323"/>
    <hyperlink r:id="rId317" ref="C324"/>
    <hyperlink r:id="rId318" ref="C325"/>
    <hyperlink r:id="rId319" ref="C326"/>
    <hyperlink r:id="rId320" ref="C327"/>
    <hyperlink r:id="rId321" ref="C328"/>
    <hyperlink r:id="rId322" ref="C329"/>
    <hyperlink r:id="rId323" ref="C330"/>
    <hyperlink r:id="rId324" ref="C331"/>
    <hyperlink r:id="rId325" ref="C332"/>
    <hyperlink r:id="rId326" ref="C333"/>
    <hyperlink r:id="rId327" ref="C334"/>
    <hyperlink r:id="rId328" ref="C335"/>
    <hyperlink r:id="rId329" ref="C336"/>
    <hyperlink r:id="rId330" ref="C337"/>
    <hyperlink r:id="rId331" ref="C338"/>
    <hyperlink r:id="rId332" ref="C339"/>
    <hyperlink r:id="rId333" ref="C340"/>
    <hyperlink r:id="rId334" ref="C341"/>
    <hyperlink r:id="rId335" ref="C342"/>
    <hyperlink r:id="rId336" ref="C343"/>
    <hyperlink r:id="rId337" ref="C345"/>
    <hyperlink r:id="rId338" ref="C346"/>
    <hyperlink r:id="rId339" ref="C347"/>
    <hyperlink r:id="rId340" ref="C348"/>
    <hyperlink r:id="rId341" ref="C349"/>
    <hyperlink r:id="rId342" ref="C350"/>
    <hyperlink r:id="rId343" ref="C351"/>
    <hyperlink r:id="rId344" ref="C352"/>
    <hyperlink r:id="rId345" ref="C353"/>
    <hyperlink r:id="rId346" ref="C354"/>
    <hyperlink r:id="rId347" ref="C355"/>
    <hyperlink r:id="rId348" ref="C356"/>
    <hyperlink r:id="rId349" ref="C357"/>
    <hyperlink r:id="rId350" ref="C358"/>
    <hyperlink r:id="rId351" ref="C359"/>
    <hyperlink r:id="rId352" ref="C360"/>
    <hyperlink r:id="rId353" ref="C361"/>
    <hyperlink r:id="rId354" ref="C362"/>
    <hyperlink r:id="rId355" ref="C363"/>
    <hyperlink r:id="rId356" ref="C364"/>
    <hyperlink r:id="rId357" ref="C365"/>
    <hyperlink r:id="rId358" ref="C366"/>
    <hyperlink r:id="rId359" ref="C367"/>
    <hyperlink r:id="rId360" ref="C368"/>
    <hyperlink r:id="rId361" ref="C369"/>
    <hyperlink r:id="rId362" ref="C370"/>
    <hyperlink r:id="rId363" ref="C371"/>
    <hyperlink r:id="rId364" ref="C372"/>
    <hyperlink r:id="rId365" ref="C373"/>
    <hyperlink r:id="rId366" ref="C374"/>
    <hyperlink r:id="rId367" ref="C375"/>
    <hyperlink r:id="rId368" ref="C376"/>
    <hyperlink r:id="rId369" ref="C377"/>
    <hyperlink r:id="rId370" ref="C378"/>
    <hyperlink r:id="rId371" ref="C379"/>
    <hyperlink r:id="rId372" ref="C380"/>
    <hyperlink r:id="rId373" ref="C381"/>
    <hyperlink r:id="rId374" ref="C382"/>
    <hyperlink r:id="rId375" ref="C383"/>
    <hyperlink r:id="rId376" ref="C384"/>
    <hyperlink r:id="rId377" ref="C385"/>
    <hyperlink r:id="rId378" ref="C386"/>
    <hyperlink r:id="rId379" ref="C387"/>
    <hyperlink r:id="rId380" ref="C388"/>
    <hyperlink r:id="rId381" ref="C389"/>
    <hyperlink r:id="rId382" ref="C390"/>
    <hyperlink r:id="rId383" ref="C391"/>
    <hyperlink r:id="rId384" ref="C392"/>
    <hyperlink r:id="rId385" ref="C393"/>
    <hyperlink r:id="rId386" ref="C394"/>
    <hyperlink r:id="rId387" ref="C395"/>
    <hyperlink r:id="rId388" ref="C396"/>
    <hyperlink r:id="rId389" ref="C397"/>
    <hyperlink r:id="rId390" ref="C398"/>
    <hyperlink r:id="rId391" ref="C399"/>
    <hyperlink r:id="rId392" ref="C400"/>
    <hyperlink r:id="rId393" ref="C401"/>
    <hyperlink r:id="rId394" ref="C402"/>
    <hyperlink r:id="rId395" ref="C403"/>
    <hyperlink r:id="rId396" ref="C404"/>
    <hyperlink r:id="rId397" ref="C405"/>
    <hyperlink r:id="rId398" ref="C406"/>
    <hyperlink r:id="rId399" ref="C407"/>
    <hyperlink r:id="rId400" ref="C408"/>
    <hyperlink r:id="rId401" ref="C409"/>
    <hyperlink r:id="rId402" ref="C410"/>
    <hyperlink r:id="rId403" ref="C411"/>
    <hyperlink r:id="rId404" ref="C412"/>
    <hyperlink r:id="rId405" ref="C413"/>
    <hyperlink r:id="rId406" ref="C414"/>
    <hyperlink r:id="rId407" ref="C415"/>
    <hyperlink r:id="rId408" ref="C416"/>
    <hyperlink r:id="rId409" ref="C417"/>
    <hyperlink r:id="rId410" ref="C418"/>
    <hyperlink r:id="rId411" ref="C419"/>
    <hyperlink r:id="rId412" ref="C420"/>
    <hyperlink r:id="rId413" ref="C421"/>
    <hyperlink r:id="rId414" ref="C422"/>
    <hyperlink r:id="rId415" ref="C423"/>
    <hyperlink r:id="rId416" ref="C424"/>
    <hyperlink r:id="rId417" ref="C425"/>
    <hyperlink r:id="rId418" ref="C426"/>
    <hyperlink r:id="rId419" ref="C427"/>
    <hyperlink r:id="rId420" ref="C428"/>
    <hyperlink r:id="rId421" ref="C429"/>
    <hyperlink r:id="rId422" ref="C430"/>
    <hyperlink r:id="rId423" ref="C431"/>
    <hyperlink r:id="rId424" ref="C432"/>
    <hyperlink r:id="rId425" ref="C433"/>
    <hyperlink r:id="rId426" ref="C434"/>
    <hyperlink r:id="rId427" ref="C435"/>
    <hyperlink r:id="rId428" ref="C436"/>
    <hyperlink r:id="rId429" ref="C437"/>
    <hyperlink r:id="rId430" ref="C438"/>
    <hyperlink r:id="rId431" ref="C439"/>
    <hyperlink r:id="rId432" ref="C440"/>
    <hyperlink r:id="rId433" ref="C441"/>
    <hyperlink r:id="rId434" ref="C442"/>
    <hyperlink r:id="rId435" ref="C443"/>
    <hyperlink r:id="rId436" ref="C444"/>
    <hyperlink r:id="rId437" ref="C445"/>
    <hyperlink r:id="rId438" ref="C446"/>
    <hyperlink r:id="rId439" ref="C447"/>
    <hyperlink r:id="rId440" ref="C448"/>
    <hyperlink r:id="rId441" ref="C449"/>
    <hyperlink r:id="rId442" ref="C450"/>
    <hyperlink r:id="rId443" ref="C451"/>
    <hyperlink r:id="rId444" ref="C453"/>
    <hyperlink r:id="rId445" ref="C454"/>
    <hyperlink r:id="rId446" ref="C455"/>
    <hyperlink r:id="rId447" ref="C456"/>
    <hyperlink r:id="rId448" ref="C457"/>
    <hyperlink r:id="rId449" ref="C458"/>
    <hyperlink r:id="rId450" ref="C459"/>
    <hyperlink r:id="rId451" ref="C460"/>
    <hyperlink r:id="rId452" ref="C461"/>
    <hyperlink r:id="rId453" ref="C462"/>
    <hyperlink r:id="rId454" ref="C463"/>
    <hyperlink r:id="rId455" ref="C464"/>
    <hyperlink r:id="rId456" ref="C465"/>
    <hyperlink r:id="rId457" ref="C466"/>
    <hyperlink r:id="rId458" ref="C467"/>
    <hyperlink r:id="rId459" ref="C468"/>
    <hyperlink r:id="rId460" ref="C469"/>
    <hyperlink r:id="rId461" ref="C470"/>
    <hyperlink r:id="rId462" ref="C471"/>
    <hyperlink r:id="rId463" ref="C472"/>
    <hyperlink r:id="rId464" ref="C473"/>
    <hyperlink r:id="rId465" ref="C474"/>
    <hyperlink r:id="rId466" ref="C475"/>
    <hyperlink r:id="rId467" ref="C476"/>
    <hyperlink r:id="rId468" ref="C477"/>
    <hyperlink r:id="rId469" ref="C478"/>
    <hyperlink r:id="rId470" ref="C479"/>
    <hyperlink r:id="rId471" ref="C480"/>
    <hyperlink r:id="rId472" ref="C481"/>
    <hyperlink r:id="rId473" ref="C482"/>
    <hyperlink r:id="rId474" ref="C483"/>
    <hyperlink r:id="rId475" ref="C484"/>
    <hyperlink r:id="rId476" ref="C485"/>
    <hyperlink r:id="rId477" ref="C486"/>
    <hyperlink r:id="rId478" ref="C487"/>
    <hyperlink r:id="rId479" ref="C488"/>
    <hyperlink r:id="rId480" ref="C489"/>
    <hyperlink r:id="rId481" ref="C490"/>
    <hyperlink r:id="rId482" ref="C491"/>
    <hyperlink r:id="rId483" ref="C492"/>
    <hyperlink r:id="rId484" ref="C493"/>
    <hyperlink r:id="rId485" ref="C494"/>
    <hyperlink r:id="rId486" ref="C495"/>
    <hyperlink r:id="rId487" ref="C496"/>
    <hyperlink r:id="rId488" ref="C497"/>
    <hyperlink r:id="rId489" ref="C498"/>
    <hyperlink r:id="rId490" ref="C499"/>
    <hyperlink r:id="rId491" ref="C500"/>
    <hyperlink r:id="rId492" ref="C501"/>
    <hyperlink r:id="rId493" ref="C502"/>
    <hyperlink r:id="rId494" ref="C503"/>
    <hyperlink r:id="rId495" ref="C504"/>
    <hyperlink r:id="rId496" ref="C505"/>
    <hyperlink r:id="rId497" ref="C506"/>
    <hyperlink r:id="rId498" ref="C507"/>
    <hyperlink r:id="rId499" ref="C508"/>
    <hyperlink r:id="rId500" ref="C509"/>
    <hyperlink r:id="rId501" ref="C510"/>
    <hyperlink r:id="rId502" ref="C511"/>
    <hyperlink r:id="rId503" ref="C512"/>
    <hyperlink r:id="rId504" ref="C513"/>
    <hyperlink r:id="rId505" ref="C514"/>
    <hyperlink r:id="rId506" ref="C515"/>
    <hyperlink r:id="rId507" ref="C516"/>
    <hyperlink r:id="rId508" ref="C517"/>
    <hyperlink r:id="rId509" ref="C518"/>
    <hyperlink r:id="rId510" ref="C519"/>
    <hyperlink r:id="rId511" ref="C520"/>
    <hyperlink r:id="rId512" ref="C521"/>
    <hyperlink r:id="rId513" ref="C522"/>
    <hyperlink r:id="rId514" ref="C523"/>
    <hyperlink r:id="rId515" ref="C524"/>
    <hyperlink r:id="rId516" ref="C525"/>
    <hyperlink r:id="rId517" ref="C526"/>
    <hyperlink r:id="rId518" ref="C527"/>
    <hyperlink r:id="rId519" ref="C528"/>
    <hyperlink r:id="rId520" ref="C529"/>
    <hyperlink r:id="rId521" ref="C530"/>
    <hyperlink r:id="rId522" ref="C531"/>
    <hyperlink r:id="rId523" ref="C532"/>
    <hyperlink r:id="rId524" ref="C533"/>
    <hyperlink r:id="rId525" ref="C534"/>
    <hyperlink r:id="rId526" ref="C535"/>
    <hyperlink r:id="rId527" ref="C536"/>
    <hyperlink r:id="rId528" ref="C537"/>
    <hyperlink r:id="rId529" ref="C538"/>
    <hyperlink r:id="rId530" ref="C539"/>
    <hyperlink r:id="rId531" ref="C540"/>
    <hyperlink r:id="rId532" ref="C541"/>
    <hyperlink r:id="rId533" ref="C542"/>
    <hyperlink r:id="rId534" ref="C543"/>
    <hyperlink r:id="rId535" ref="C544"/>
    <hyperlink r:id="rId536" ref="C545"/>
    <hyperlink r:id="rId537" ref="C546"/>
    <hyperlink r:id="rId538" ref="C547"/>
    <hyperlink r:id="rId539" ref="C548"/>
    <hyperlink r:id="rId540" ref="C549"/>
    <hyperlink r:id="rId541" ref="C550"/>
    <hyperlink r:id="rId542" ref="C551"/>
    <hyperlink r:id="rId543" ref="C552"/>
    <hyperlink r:id="rId544" ref="C553"/>
    <hyperlink r:id="rId545" ref="C554"/>
    <hyperlink r:id="rId546" ref="C556"/>
    <hyperlink r:id="rId547" ref="C557"/>
    <hyperlink r:id="rId548" ref="C558"/>
    <hyperlink r:id="rId549" ref="C559"/>
    <hyperlink r:id="rId550" ref="C560"/>
    <hyperlink r:id="rId551" ref="C561"/>
    <hyperlink r:id="rId552" ref="C562"/>
    <hyperlink r:id="rId553" ref="C563"/>
    <hyperlink r:id="rId554" ref="C564"/>
    <hyperlink r:id="rId555" ref="C565"/>
    <hyperlink r:id="rId556" ref="C566"/>
    <hyperlink r:id="rId557" ref="C567"/>
    <hyperlink r:id="rId558" ref="C568"/>
    <hyperlink r:id="rId559" ref="C569"/>
    <hyperlink r:id="rId560" ref="C570"/>
    <hyperlink r:id="rId561" ref="C571"/>
    <hyperlink r:id="rId562" ref="C572"/>
    <hyperlink r:id="rId563" ref="C573"/>
    <hyperlink r:id="rId564" ref="C574"/>
    <hyperlink r:id="rId565" ref="C575"/>
    <hyperlink r:id="rId566" ref="C576"/>
    <hyperlink r:id="rId567" ref="C577"/>
    <hyperlink r:id="rId568" ref="C578"/>
    <hyperlink r:id="rId569" ref="C579"/>
    <hyperlink r:id="rId570" ref="C580"/>
    <hyperlink r:id="rId571" ref="C581"/>
    <hyperlink r:id="rId572" ref="C582"/>
    <hyperlink r:id="rId573" ref="C583"/>
    <hyperlink r:id="rId574" ref="C584"/>
    <hyperlink r:id="rId575" ref="C585"/>
    <hyperlink r:id="rId576" ref="C586"/>
    <hyperlink r:id="rId577" ref="C587"/>
    <hyperlink r:id="rId578" ref="C588"/>
    <hyperlink r:id="rId579" ref="C589"/>
    <hyperlink r:id="rId580" ref="C590"/>
    <hyperlink r:id="rId581" ref="C591"/>
    <hyperlink r:id="rId582" ref="C592"/>
    <hyperlink r:id="rId583" ref="C593"/>
    <hyperlink r:id="rId584" ref="C594"/>
    <hyperlink r:id="rId585" ref="C595"/>
    <hyperlink r:id="rId586" ref="C596"/>
    <hyperlink r:id="rId587" ref="C597"/>
    <hyperlink r:id="rId588" ref="C598"/>
    <hyperlink r:id="rId589" ref="C599"/>
    <hyperlink r:id="rId590" ref="C600"/>
    <hyperlink r:id="rId591" ref="C601"/>
    <hyperlink r:id="rId592" ref="C602"/>
    <hyperlink r:id="rId593" ref="C603"/>
    <hyperlink r:id="rId594" ref="C604"/>
    <hyperlink r:id="rId595" ref="C605"/>
    <hyperlink r:id="rId596" ref="C606"/>
    <hyperlink r:id="rId597" ref="C607"/>
    <hyperlink r:id="rId598" ref="C608"/>
    <hyperlink r:id="rId599" ref="C609"/>
    <hyperlink r:id="rId600" ref="C610"/>
    <hyperlink r:id="rId601" ref="C611"/>
    <hyperlink r:id="rId602" ref="C612"/>
    <hyperlink r:id="rId603" ref="C613"/>
    <hyperlink r:id="rId604" ref="C614"/>
    <hyperlink r:id="rId605" ref="C615"/>
    <hyperlink r:id="rId606" ref="C616"/>
    <hyperlink r:id="rId607" ref="C617"/>
    <hyperlink r:id="rId608" ref="C618"/>
    <hyperlink r:id="rId609" ref="C619"/>
    <hyperlink r:id="rId610" ref="C620"/>
    <hyperlink r:id="rId611" ref="C621"/>
    <hyperlink r:id="rId612" ref="C622"/>
    <hyperlink r:id="rId613" ref="C623"/>
    <hyperlink r:id="rId614" ref="C624"/>
    <hyperlink r:id="rId615" ref="C625"/>
    <hyperlink r:id="rId616" ref="C626"/>
    <hyperlink r:id="rId617" ref="C627"/>
    <hyperlink r:id="rId618" ref="C628"/>
    <hyperlink r:id="rId619" ref="C629"/>
    <hyperlink r:id="rId620" ref="C630"/>
    <hyperlink r:id="rId621" ref="C631"/>
    <hyperlink r:id="rId622" ref="C632"/>
    <hyperlink r:id="rId623" ref="C633"/>
    <hyperlink r:id="rId624" ref="C634"/>
    <hyperlink r:id="rId625" ref="C635"/>
    <hyperlink r:id="rId626" ref="C636"/>
    <hyperlink r:id="rId627" ref="C637"/>
    <hyperlink r:id="rId628" ref="C638"/>
    <hyperlink r:id="rId629" ref="C639"/>
    <hyperlink r:id="rId630" ref="C640"/>
    <hyperlink r:id="rId631" ref="C641"/>
    <hyperlink r:id="rId632" ref="C642"/>
    <hyperlink r:id="rId633" ref="C643"/>
    <hyperlink r:id="rId634" ref="C644"/>
    <hyperlink r:id="rId635" ref="C645"/>
    <hyperlink r:id="rId636" ref="C646"/>
    <hyperlink r:id="rId637" ref="C647"/>
    <hyperlink r:id="rId638" ref="C648"/>
    <hyperlink r:id="rId639" ref="C649"/>
    <hyperlink r:id="rId640" ref="C650"/>
    <hyperlink r:id="rId641" ref="C651"/>
    <hyperlink r:id="rId642" ref="C652"/>
    <hyperlink r:id="rId643" ref="C653"/>
    <hyperlink r:id="rId644" ref="C654"/>
    <hyperlink r:id="rId645" ref="C655"/>
    <hyperlink r:id="rId646" ref="C656"/>
    <hyperlink r:id="rId647" ref="C657"/>
    <hyperlink r:id="rId648" ref="C658"/>
    <hyperlink r:id="rId649" ref="C659"/>
    <hyperlink r:id="rId650" ref="C660"/>
    <hyperlink r:id="rId651" ref="C661"/>
    <hyperlink r:id="rId652" ref="C662"/>
    <hyperlink r:id="rId653" ref="C663"/>
    <hyperlink r:id="rId654" ref="C664"/>
    <hyperlink r:id="rId655" ref="C665"/>
    <hyperlink r:id="rId656" ref="C666"/>
    <hyperlink r:id="rId657" ref="C667"/>
    <hyperlink r:id="rId658" ref="C668"/>
    <hyperlink r:id="rId659" ref="C669"/>
    <hyperlink r:id="rId660" ref="C670"/>
    <hyperlink r:id="rId661" ref="C671"/>
    <hyperlink r:id="rId662" ref="C672"/>
    <hyperlink r:id="rId663" ref="C673"/>
    <hyperlink r:id="rId664" ref="C674"/>
    <hyperlink r:id="rId665" ref="C675"/>
    <hyperlink r:id="rId666" ref="C676"/>
    <hyperlink r:id="rId667" ref="C677"/>
    <hyperlink r:id="rId668" ref="C678"/>
    <hyperlink r:id="rId669" ref="C679"/>
    <hyperlink r:id="rId670" ref="C680"/>
    <hyperlink r:id="rId671" ref="C681"/>
    <hyperlink r:id="rId672" ref="C683"/>
    <hyperlink r:id="rId673" ref="C684"/>
    <hyperlink r:id="rId674" ref="C685"/>
    <hyperlink r:id="rId675" ref="C686"/>
    <hyperlink r:id="rId676" ref="C687"/>
    <hyperlink r:id="rId677" ref="C688"/>
    <hyperlink r:id="rId678" ref="C689"/>
    <hyperlink r:id="rId679" ref="C690"/>
    <hyperlink r:id="rId680" ref="C691"/>
    <hyperlink r:id="rId681" ref="C692"/>
    <hyperlink r:id="rId682" ref="C693"/>
    <hyperlink r:id="rId683" ref="C694"/>
    <hyperlink r:id="rId684" ref="C695"/>
    <hyperlink r:id="rId685" ref="C696"/>
    <hyperlink r:id="rId686" ref="C697"/>
    <hyperlink r:id="rId687" ref="C698"/>
    <hyperlink r:id="rId688" ref="C699"/>
    <hyperlink r:id="rId689" ref="C700"/>
    <hyperlink r:id="rId690" ref="C701"/>
    <hyperlink r:id="rId691" ref="C702"/>
    <hyperlink r:id="rId692" ref="C703"/>
    <hyperlink r:id="rId693" ref="C704"/>
    <hyperlink r:id="rId694" ref="C705"/>
    <hyperlink r:id="rId695" ref="C706"/>
    <hyperlink r:id="rId696" ref="C707"/>
    <hyperlink r:id="rId697" ref="C708"/>
    <hyperlink r:id="rId698" ref="C710"/>
    <hyperlink r:id="rId699" ref="C711"/>
    <hyperlink r:id="rId700" ref="C712"/>
    <hyperlink r:id="rId701" ref="C713"/>
    <hyperlink r:id="rId702" ref="C714"/>
    <hyperlink r:id="rId703" ref="C715"/>
    <hyperlink r:id="rId704" ref="C716"/>
    <hyperlink r:id="rId705" ref="C717"/>
    <hyperlink r:id="rId706" ref="C718"/>
    <hyperlink r:id="rId707" ref="C719"/>
    <hyperlink r:id="rId708" ref="C720"/>
    <hyperlink r:id="rId709" ref="C721"/>
    <hyperlink r:id="rId710" ref="C722"/>
    <hyperlink r:id="rId711" ref="C723"/>
    <hyperlink r:id="rId712" ref="C724"/>
    <hyperlink r:id="rId713" ref="C725"/>
    <hyperlink r:id="rId714" ref="C726"/>
    <hyperlink r:id="rId715" ref="C727"/>
    <hyperlink r:id="rId716" ref="C729"/>
    <hyperlink r:id="rId717" ref="C730"/>
    <hyperlink r:id="rId718" ref="C731"/>
    <hyperlink r:id="rId719" ref="C732"/>
    <hyperlink r:id="rId720" ref="C733"/>
    <hyperlink r:id="rId721" ref="C734"/>
    <hyperlink r:id="rId722" ref="C735"/>
    <hyperlink r:id="rId723" ref="C736"/>
    <hyperlink r:id="rId724" ref="C738"/>
    <hyperlink r:id="rId725" ref="C739"/>
    <hyperlink r:id="rId726" ref="C740"/>
    <hyperlink r:id="rId727" ref="C741"/>
    <hyperlink r:id="rId728" ref="C742"/>
    <hyperlink r:id="rId729" ref="C743"/>
    <hyperlink r:id="rId730" ref="C744"/>
    <hyperlink r:id="rId731" ref="C745"/>
    <hyperlink r:id="rId732" ref="C746"/>
    <hyperlink r:id="rId733" ref="C747"/>
    <hyperlink r:id="rId734" ref="C748"/>
  </hyperlinks>
  <drawing r:id="rId73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2024-11-02T01:48:24Z</dcterms:created>
</cp:coreProperties>
</file>