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lan/Desktop/4 sem/finance/"/>
    </mc:Choice>
  </mc:AlternateContent>
  <xr:revisionPtr revIDLastSave="0" documentId="8_{49325ECA-1D27-4647-8AF7-931611FB9AD1}" xr6:coauthVersionLast="47" xr6:coauthVersionMax="47" xr10:uidLastSave="{00000000-0000-0000-0000-000000000000}"/>
  <bookViews>
    <workbookView xWindow="0" yWindow="500" windowWidth="23260" windowHeight="12460" firstSheet="2" activeTab="9" xr2:uid="{00000000-000D-0000-FFFF-FFFF00000000}"/>
  </bookViews>
  <sheets>
    <sheet name="cost of debt " sheetId="14" r:id="rId1"/>
    <sheet name="WACC " sheetId="13" r:id="rId2"/>
    <sheet name="COKE" sheetId="3" r:id="rId3"/>
    <sheet name="Cashflow" sheetId="8" r:id="rId4"/>
    <sheet name="CAPM" sheetId="19" r:id="rId5"/>
    <sheet name="DCF" sheetId="15" r:id="rId6"/>
    <sheet name="Free cash flow" sheetId="16" r:id="rId7"/>
    <sheet name="ratio analysis" sheetId="11" r:id="rId8"/>
    <sheet name="Balance sheet" sheetId="9" r:id="rId9"/>
    <sheet name="income sheet" sheetId="10" r:id="rId10"/>
  </sheets>
  <definedNames>
    <definedName name="ExternalData_1" localSheetId="4" hidden="1">CAPM!$D$1:$D$128</definedName>
    <definedName name="ExternalData_1" localSheetId="2" hidden="1">COKE!$A$1:$A$128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5" l="1"/>
  <c r="B25" i="13" l="1"/>
  <c r="M10" i="19"/>
  <c r="M7" i="19"/>
  <c r="M6" i="19"/>
  <c r="M5" i="19"/>
  <c r="M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3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13" i="16" l="1"/>
  <c r="E13" i="16"/>
  <c r="D13" i="16"/>
  <c r="C13" i="16"/>
  <c r="F6" i="16"/>
  <c r="E6" i="16"/>
  <c r="D6" i="16"/>
  <c r="C6" i="16"/>
  <c r="C9" i="16"/>
  <c r="F11" i="16"/>
  <c r="E11" i="16"/>
  <c r="D11" i="16"/>
  <c r="C11" i="16"/>
  <c r="F10" i="16"/>
  <c r="F9" i="16" s="1"/>
  <c r="E10" i="16"/>
  <c r="E9" i="16" s="1"/>
  <c r="D10" i="16"/>
  <c r="D9" i="16" s="1"/>
  <c r="C10" i="16"/>
  <c r="F5" i="16"/>
  <c r="C5" i="16"/>
  <c r="D5" i="16"/>
  <c r="E5" i="16"/>
  <c r="F4" i="16"/>
  <c r="E4" i="16"/>
  <c r="D4" i="16"/>
  <c r="C4" i="16"/>
  <c r="D94" i="11"/>
  <c r="D93" i="11"/>
  <c r="D86" i="11"/>
  <c r="D85" i="11"/>
  <c r="D84" i="11"/>
  <c r="D79" i="11"/>
  <c r="D78" i="11"/>
  <c r="D77" i="11"/>
  <c r="G76" i="11"/>
  <c r="E72" i="11"/>
  <c r="E71" i="11"/>
  <c r="E70" i="11"/>
  <c r="E69" i="11"/>
  <c r="D62" i="11"/>
  <c r="D61" i="11"/>
  <c r="D60" i="11"/>
  <c r="D56" i="11"/>
  <c r="D55" i="11"/>
  <c r="D54" i="11"/>
  <c r="D53" i="11"/>
  <c r="D48" i="11"/>
  <c r="D47" i="11"/>
  <c r="D46" i="11"/>
  <c r="D42" i="11"/>
  <c r="D41" i="11"/>
  <c r="D40" i="11"/>
  <c r="D37" i="11"/>
  <c r="D36" i="11"/>
  <c r="D35" i="11"/>
  <c r="D31" i="11"/>
  <c r="D30" i="11"/>
  <c r="D29" i="11"/>
  <c r="D23" i="11"/>
  <c r="D22" i="11"/>
  <c r="D20" i="11"/>
  <c r="D16" i="11"/>
  <c r="D15" i="11"/>
  <c r="D14" i="11"/>
  <c r="D13" i="11"/>
  <c r="D8" i="11"/>
  <c r="D7" i="11"/>
  <c r="D6" i="11"/>
  <c r="J11" i="15"/>
  <c r="I11" i="15"/>
  <c r="G11" i="15"/>
  <c r="K11" i="15" s="1"/>
  <c r="F11" i="15"/>
  <c r="E11" i="15"/>
  <c r="D11" i="15"/>
  <c r="J9" i="15"/>
  <c r="I9" i="15"/>
  <c r="G9" i="15"/>
  <c r="K9" i="15" s="1"/>
  <c r="L9" i="15" s="1"/>
  <c r="F9" i="15"/>
  <c r="E9" i="15"/>
  <c r="D9" i="15"/>
  <c r="J8" i="15"/>
  <c r="I8" i="15"/>
  <c r="G8" i="15"/>
  <c r="K8" i="15" s="1"/>
  <c r="L8" i="15" s="1"/>
  <c r="G10" i="16" s="1"/>
  <c r="H10" i="16" s="1"/>
  <c r="I10" i="16" s="1"/>
  <c r="J10" i="16" s="1"/>
  <c r="K10" i="16" s="1"/>
  <c r="F8" i="15"/>
  <c r="E8" i="15"/>
  <c r="D8" i="15"/>
  <c r="J7" i="15"/>
  <c r="I7" i="15"/>
  <c r="L7" i="15" s="1"/>
  <c r="G7" i="15"/>
  <c r="K7" i="15" s="1"/>
  <c r="F7" i="15"/>
  <c r="E7" i="15"/>
  <c r="D7" i="15"/>
  <c r="J6" i="15"/>
  <c r="I6" i="15"/>
  <c r="G6" i="15"/>
  <c r="K6" i="15" s="1"/>
  <c r="F6" i="15"/>
  <c r="E6" i="15"/>
  <c r="D6" i="15"/>
  <c r="B31" i="13"/>
  <c r="B27" i="13"/>
  <c r="B36" i="13" s="1"/>
  <c r="D17" i="15" s="1"/>
  <c r="B20" i="13"/>
  <c r="B19" i="13"/>
  <c r="B12" i="13"/>
  <c r="B11" i="13"/>
  <c r="B7" i="13"/>
  <c r="B6" i="13"/>
  <c r="B5" i="13"/>
  <c r="C15" i="14"/>
  <c r="C8" i="14"/>
  <c r="C5" i="14"/>
  <c r="I4" i="14"/>
  <c r="G5" i="16" l="1"/>
  <c r="H5" i="16" s="1"/>
  <c r="I5" i="16" s="1"/>
  <c r="J5" i="16" s="1"/>
  <c r="K5" i="16" s="1"/>
  <c r="L6" i="15"/>
  <c r="G4" i="16" s="1"/>
  <c r="L11" i="15"/>
  <c r="G13" i="16" s="1"/>
  <c r="H13" i="16" s="1"/>
  <c r="I13" i="16" s="1"/>
  <c r="J13" i="16" s="1"/>
  <c r="K13" i="16" s="1"/>
  <c r="H4" i="16"/>
  <c r="G14" i="16" l="1"/>
  <c r="G6" i="16"/>
  <c r="G11" i="16" s="1"/>
  <c r="G15" i="16" s="1"/>
  <c r="G17" i="16" s="1"/>
  <c r="I4" i="16"/>
  <c r="H6" i="16"/>
  <c r="H11" i="16" s="1"/>
  <c r="H14" i="16"/>
  <c r="H15" i="16" l="1"/>
  <c r="H17" i="16" s="1"/>
  <c r="J4" i="16"/>
  <c r="I14" i="16"/>
  <c r="I6" i="16"/>
  <c r="I11" i="16" s="1"/>
  <c r="I15" i="16" l="1"/>
  <c r="I17" i="16" s="1"/>
  <c r="K4" i="16"/>
  <c r="J6" i="16"/>
  <c r="J11" i="16" s="1"/>
  <c r="J14" i="16"/>
  <c r="J15" i="16" l="1"/>
  <c r="K14" i="16"/>
  <c r="K6" i="16"/>
  <c r="K11" i="16" s="1"/>
  <c r="K15" i="16" s="1"/>
  <c r="J16" i="16" s="1"/>
  <c r="J17" i="16" s="1"/>
  <c r="G18" i="16" s="1"/>
  <c r="G19" i="16" s="1"/>
  <c r="C22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KE" description="Connection to the 'COKE' query in the workbook." type="5" refreshedVersion="8" background="1" saveData="1">
    <dbPr connection="Provider=Microsoft.Mashup.OleDb.1;Data Source=$Workbook$;Location=COKE;Extended Properties=&quot;&quot;" command="SELECT * FROM [COKE]"/>
  </connection>
  <connection id="2" xr16:uid="{00000000-0015-0000-FFFF-FFFF01000000}" keepAlive="1" name="Query - COKE (2)" description="Connection to the 'COKE (2)' query in the workbook." type="5" refreshedVersion="8" background="1" saveData="1">
    <dbPr connection="Provider=Microsoft.Mashup.OleDb.1;Data Source=$Workbook$;Location=&quot;COKE (2)&quot;;Extended Properties=&quot;&quot;" command="SELECT * FROM [COKE (2)]"/>
  </connection>
  <connection id="3" xr16:uid="{48B416E4-591C-4B97-87D6-F6ECDA968899}" keepAlive="1" name="Query - COKE (3)" description="Connection to the 'COKE (3)' query in the workbook." type="5" refreshedVersion="8" background="1" saveData="1">
    <dbPr connection="Provider=Microsoft.Mashup.OleDb.1;Data Source=$Workbook$;Location=&quot;COKE (3)&quot;;Extended Properties=&quot;&quot;" command="SELECT * FROM [COKE (3)]"/>
  </connection>
  <connection id="4" xr16:uid="{CD7A8B5E-2BC3-4EE5-92C3-CCA1DDE711C2}" keepAlive="1" name="Query - operations" description="Connection to the 'operations' query in the workbook." type="5" refreshedVersion="0" background="1">
    <dbPr connection="Provider=Microsoft.Mashup.OleDb.1;Data Source=$Workbook$;Location=operations;Extended Properties=&quot;&quot;" command="SELECT * FROM [operations]"/>
  </connection>
</connections>
</file>

<file path=xl/sharedStrings.xml><?xml version="1.0" encoding="utf-8"?>
<sst xmlns="http://schemas.openxmlformats.org/spreadsheetml/2006/main" count="292" uniqueCount="241">
  <si>
    <t>Date</t>
  </si>
  <si>
    <t>Adj Close</t>
  </si>
  <si>
    <t>S&amp;P 500</t>
  </si>
  <si>
    <t>COKE</t>
  </si>
  <si>
    <t>RCOKE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</si>
  <si>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</si>
  <si>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</si>
  <si>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</si>
  <si>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</si>
  <si>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</si>
  <si>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</si>
  <si>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</si>
  <si>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</si>
  <si>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</si>
  <si>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</si>
  <si>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</si>
  <si>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</si>
  <si>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</si>
  <si>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</si>
  <si>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</si>
  <si>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</si>
  <si>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</si>
  <si>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</si>
  <si>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</si>
  <si>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</si>
  <si>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</si>
  <si>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</si>
  <si>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</si>
  <si>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</si>
  <si>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</si>
  <si>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Rm</t>
  </si>
  <si>
    <t>% return</t>
  </si>
  <si>
    <t>Annual compound</t>
  </si>
  <si>
    <t>Calculating cost of debt</t>
  </si>
  <si>
    <t>Short term &amp; Current maturity of long term debt</t>
  </si>
  <si>
    <t>Long-term Debt</t>
  </si>
  <si>
    <t>Total Debt</t>
  </si>
  <si>
    <t>Interest Paid</t>
  </si>
  <si>
    <t>Interest rate</t>
  </si>
  <si>
    <t>Breakdown</t>
  </si>
  <si>
    <t>TTM</t>
  </si>
  <si>
    <t>Total Revenue</t>
  </si>
  <si>
    <t>Cost of Revenue</t>
  </si>
  <si>
    <t>Gross Profit</t>
  </si>
  <si>
    <t>Operating Expenses</t>
  </si>
  <si>
    <t>Selling General and Administrative</t>
  </si>
  <si>
    <t>Total Operating Expenses</t>
  </si>
  <si>
    <t>Operating Income or Loss</t>
  </si>
  <si>
    <t>Interest Expense</t>
  </si>
  <si>
    <t>Total Other Income/Expenses Net</t>
  </si>
  <si>
    <t>Income Before Tax</t>
  </si>
  <si>
    <t>Income Tax Expense</t>
  </si>
  <si>
    <t>Income from Continuing Operations</t>
  </si>
  <si>
    <t>Net Income</t>
  </si>
  <si>
    <t>Net Income available to common shareholders</t>
  </si>
  <si>
    <t>Basic EPS</t>
  </si>
  <si>
    <t>-</t>
  </si>
  <si>
    <t>Diluted EPS</t>
  </si>
  <si>
    <t>Basic Average Shares</t>
  </si>
  <si>
    <t>Diluted Average Shares</t>
  </si>
  <si>
    <t>EBITDA</t>
  </si>
  <si>
    <t>Cash flows from operating activities</t>
  </si>
  <si>
    <t>Depreciation &amp; amortization</t>
  </si>
  <si>
    <t>Deferred income taxes</t>
  </si>
  <si>
    <t>Stock based compensation</t>
  </si>
  <si>
    <t>Change in working capital</t>
  </si>
  <si>
    <t>Accounts receivable</t>
  </si>
  <si>
    <t>Inventory</t>
  </si>
  <si>
    <t>Accounts Payable</t>
  </si>
  <si>
    <t>Other working capital</t>
  </si>
  <si>
    <t>Other non-cash items</t>
  </si>
  <si>
    <t>Net cash provided by operating activites</t>
  </si>
  <si>
    <t xml:space="preserve">Cash flows from investing activities </t>
  </si>
  <si>
    <t>Investments in property, plant and equipment</t>
  </si>
  <si>
    <t>Acquisitions, net</t>
  </si>
  <si>
    <t>Other investing activites</t>
  </si>
  <si>
    <t>Net cash used for investing activites</t>
  </si>
  <si>
    <t>Cash flows from financing activities</t>
  </si>
  <si>
    <t>Debt repayment</t>
  </si>
  <si>
    <t>Dividends Paid</t>
  </si>
  <si>
    <t>Other financing activites</t>
  </si>
  <si>
    <t>Net cash used privided by (used for) financing activities</t>
  </si>
  <si>
    <t>Net change in cash</t>
  </si>
  <si>
    <t>Cash at beginning of period</t>
  </si>
  <si>
    <t>Cash at end of period</t>
  </si>
  <si>
    <t>Free Cash Flow</t>
  </si>
  <si>
    <t>Operating Cash Flow</t>
  </si>
  <si>
    <t>Capital Expenditure</t>
  </si>
  <si>
    <t>Assets</t>
  </si>
  <si>
    <t>Current Assets</t>
  </si>
  <si>
    <t>Cash</t>
  </si>
  <si>
    <t>Cash And Cash Equivalents</t>
  </si>
  <si>
    <t>Total Cash</t>
  </si>
  <si>
    <t>Net Receivables</t>
  </si>
  <si>
    <t>Other Current Assets</t>
  </si>
  <si>
    <t>Total Current Assets</t>
  </si>
  <si>
    <t>Non-current assets</t>
  </si>
  <si>
    <t>Property, plant and equipment</t>
  </si>
  <si>
    <t>Gross property, plant and equipment</t>
  </si>
  <si>
    <t>Accumulated Depreciation</t>
  </si>
  <si>
    <t>Net property, plant and equipment</t>
  </si>
  <si>
    <t>Goodwill</t>
  </si>
  <si>
    <t>Intangible Assets</t>
  </si>
  <si>
    <t>Other long-term assets</t>
  </si>
  <si>
    <t>Total non-current assets</t>
  </si>
  <si>
    <t>Total Assets</t>
  </si>
  <si>
    <t>Liabilities and stockholders' equity</t>
  </si>
  <si>
    <t>Liabilities</t>
  </si>
  <si>
    <t>Current Liabilities</t>
  </si>
  <si>
    <t>Current Debt</t>
  </si>
  <si>
    <t>Taxes payable</t>
  </si>
  <si>
    <t>Accrued liabilities</t>
  </si>
  <si>
    <t>Other Current Liabilities</t>
  </si>
  <si>
    <t>Total Current Liabilities</t>
  </si>
  <si>
    <t>Non-current liabilities</t>
  </si>
  <si>
    <t>Long Term Debt</t>
  </si>
  <si>
    <t>Deferred taxes liabilities</t>
  </si>
  <si>
    <t>Deferred revenues</t>
  </si>
  <si>
    <t>Other long-term liabilities</t>
  </si>
  <si>
    <t>Total non-current liabilities</t>
  </si>
  <si>
    <t>Total Liabilities</t>
  </si>
  <si>
    <t>Stockholders' Equity</t>
  </si>
  <si>
    <t>Common Stock</t>
  </si>
  <si>
    <t>Retained Earnings</t>
  </si>
  <si>
    <t>Accumulated other comprehensive income</t>
  </si>
  <si>
    <t>Total stockholders' equity</t>
  </si>
  <si>
    <t>Total liabilities and stockholders' equity</t>
  </si>
  <si>
    <t>a) Current Ratio = Current Assets / Current Liabilities</t>
  </si>
  <si>
    <t>Current assests</t>
  </si>
  <si>
    <t>Current ratio</t>
  </si>
  <si>
    <t xml:space="preserve">Current Liabilities </t>
  </si>
  <si>
    <t>b) Quick Ratio / Acid-test Ratio = (Current Assets – inventory)/ Current Liabilities</t>
  </si>
  <si>
    <t>Quick Ratio</t>
  </si>
  <si>
    <t>c) Cash ratio = Cash + Cash equivalents + Marketable securities / Current Liabilities</t>
  </si>
  <si>
    <t>Cash and cash equivalents</t>
  </si>
  <si>
    <t>Marketable securities</t>
  </si>
  <si>
    <t>Net Sales</t>
  </si>
  <si>
    <t>Operating Earnings</t>
  </si>
  <si>
    <t>Operating Profit Margin</t>
  </si>
  <si>
    <t>Total Assests</t>
  </si>
  <si>
    <t>ROA</t>
  </si>
  <si>
    <t>Shareholders equity</t>
  </si>
  <si>
    <t xml:space="preserve">Return on equity </t>
  </si>
  <si>
    <t>a) Solvency Ratio = (Net Income + Depreciation) / All Liabilities (Short-term + Long-term Liabilities) </t>
  </si>
  <si>
    <t>Depreciation</t>
  </si>
  <si>
    <t>Solvency ratio</t>
  </si>
  <si>
    <t>b) Debt to Equity Ratio = Total Debt  (total Liabilities)/ Shareholders’ Equity </t>
  </si>
  <si>
    <t>Debt to equity ratio</t>
  </si>
  <si>
    <t>COGS</t>
  </si>
  <si>
    <t>Inventory Beginning of 2022</t>
  </si>
  <si>
    <t>Inventory End of 2022</t>
  </si>
  <si>
    <t>Inventory Turnover Ratio</t>
  </si>
  <si>
    <t>Net Credit Sales (Net Sales - Minus Cash Sales)</t>
  </si>
  <si>
    <t>AR Beginning of 2022</t>
  </si>
  <si>
    <t>AR End of 2022</t>
  </si>
  <si>
    <t>Accounts Receivable Turnover Ratio</t>
  </si>
  <si>
    <t>c) Payable turnover ratio = Net credit purchases/average accounts payable  (Assuming 200 B in total purchases and 20 Billion in cash purchases)</t>
  </si>
  <si>
    <t>Net Credit Purchases (Net Purchases - Minus Cash Purchases)</t>
  </si>
  <si>
    <t>AP End of 2022</t>
  </si>
  <si>
    <t>AP Beginning of 2022</t>
  </si>
  <si>
    <t>Payable turnover ratio</t>
  </si>
  <si>
    <t>a) P/E Ratio = Market value per share/Earnings per share (EPS) </t>
  </si>
  <si>
    <t>Stock Price</t>
  </si>
  <si>
    <t>EPS</t>
  </si>
  <si>
    <t>P/E Ratio</t>
  </si>
  <si>
    <t>GPM</t>
  </si>
  <si>
    <t>Risk free rate</t>
  </si>
  <si>
    <t>Ra</t>
  </si>
  <si>
    <t>b) Accounts Receivable Turnover Ratio = Net Credit Sales / Average Accounts Receivables(Assuming 100 million in Cash Sales)</t>
  </si>
  <si>
    <t>Financial ratios</t>
  </si>
  <si>
    <t>1) Liquidity Ratio : It measures the ability of a company to pay its short term Financial obligations as they become due.</t>
  </si>
  <si>
    <t>2) Profitability Ratio: It measures profitability, which is a way to measure a company's performance</t>
  </si>
  <si>
    <t>3) Solvency Ratio : It measures company's ability to meet its long-term debt obligations</t>
  </si>
  <si>
    <t>4) Turn Over Ratio: It measures the amount of assets or liabilities that a company replaces in relation to its sales</t>
  </si>
  <si>
    <t>5) Earning Ratio: the expectations of the market and is the price you must pay per unit of current earnings (or future earnings, as the case may be).</t>
  </si>
  <si>
    <t>a) Gross Profit Margin = Gross Profit/Net Sales</t>
  </si>
  <si>
    <t>b)Operating Profit Margin or Return on Sales = Operating Earnings / Net Sales</t>
  </si>
  <si>
    <t xml:space="preserve">c)Return on Assets = Net Income / Total Assets </t>
  </si>
  <si>
    <t>d)Return on equity = Net income /shareholder’s equity</t>
  </si>
  <si>
    <t>a)Inventory Turnover Ratio = Costs of Goods sold/Average Inventory</t>
  </si>
  <si>
    <t>calculating  the tax rate</t>
  </si>
  <si>
    <t>income before taxes</t>
  </si>
  <si>
    <t>income after taxes</t>
  </si>
  <si>
    <t>Tax rate</t>
  </si>
  <si>
    <t>Cash ratios</t>
  </si>
  <si>
    <t>WACC</t>
  </si>
  <si>
    <t>Step 4: Calculate the weighted average cost of capital (WACC)</t>
  </si>
  <si>
    <t>After-tax cost of debt</t>
  </si>
  <si>
    <t>Step 3: Calculate the after-tax cost of debt</t>
  </si>
  <si>
    <t>Cost of Equity</t>
  </si>
  <si>
    <t>Beta</t>
  </si>
  <si>
    <t>Step 2: Calculate the cost of equity</t>
  </si>
  <si>
    <t>TOTAL</t>
  </si>
  <si>
    <t>Weight of Equity</t>
  </si>
  <si>
    <t>Weight of Debt</t>
  </si>
  <si>
    <t>Step 1: Calculate the weight of debt and equity</t>
  </si>
  <si>
    <t>Output</t>
  </si>
  <si>
    <t>Total Equity</t>
  </si>
  <si>
    <t xml:space="preserve">Shares Outstanding </t>
  </si>
  <si>
    <t>Required Return of the Market</t>
  </si>
  <si>
    <t>Risk-free Rate of Return</t>
  </si>
  <si>
    <t xml:space="preserve">Amount of Debt Outstanding </t>
  </si>
  <si>
    <t>Tax Rate</t>
  </si>
  <si>
    <t>Cost of Debt</t>
  </si>
  <si>
    <t>Input Data</t>
  </si>
  <si>
    <t>market yield</t>
  </si>
  <si>
    <t>8.37M</t>
  </si>
  <si>
    <t>shares outstanding</t>
  </si>
  <si>
    <t>Net sales</t>
  </si>
  <si>
    <t>Cost of sales</t>
  </si>
  <si>
    <t>Total operating expenses</t>
  </si>
  <si>
    <t>Operating income</t>
  </si>
  <si>
    <t>Depreciation and amortization</t>
  </si>
  <si>
    <t>Required Investment</t>
  </si>
  <si>
    <t>Long term growth rate</t>
  </si>
  <si>
    <t>Wacc</t>
  </si>
  <si>
    <t>No. of shares</t>
  </si>
  <si>
    <t>Dec 31,2019</t>
  </si>
  <si>
    <t>Dec 31,2020</t>
  </si>
  <si>
    <t>Dec 31,2021</t>
  </si>
  <si>
    <t>Dec 31,2022</t>
  </si>
  <si>
    <t>Growth rate</t>
  </si>
  <si>
    <t>Average</t>
  </si>
  <si>
    <t>Gross margin</t>
  </si>
  <si>
    <t>Operating expenses:</t>
  </si>
  <si>
    <t>Research and development</t>
  </si>
  <si>
    <t>Selling, general and administrative</t>
  </si>
  <si>
    <t>Consolidated statements of operations -USD($) shares in thousands, $ in millions</t>
  </si>
  <si>
    <t>Required investment</t>
  </si>
  <si>
    <t>FCF</t>
  </si>
  <si>
    <t>Horizon value</t>
  </si>
  <si>
    <t>Present value</t>
  </si>
  <si>
    <t>Total PV</t>
  </si>
  <si>
    <t>share price</t>
  </si>
  <si>
    <t>Market price</t>
  </si>
  <si>
    <t>Difference</t>
  </si>
  <si>
    <t>12 months ended</t>
  </si>
  <si>
    <t>Ra = the required/expected return for the asset/Investment</t>
  </si>
  <si>
    <t>Rf = the risk-free rate</t>
  </si>
  <si>
    <r>
      <t>β</t>
    </r>
    <r>
      <rPr>
        <sz val="9"/>
        <color rgb="FFFF0000"/>
        <rFont val="Lora"/>
      </rPr>
      <t>a = the beta of the asset/Investment</t>
    </r>
  </si>
  <si>
    <t>Rm = the expected market return(market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</si>
</sst>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32A31"/>
      <name val="Arial"/>
      <family val="2"/>
    </font>
    <font>
      <sz val="8"/>
      <color rgb="FF232A31"/>
      <name val="Calibri"/>
      <family val="2"/>
      <scheme val="minor"/>
    </font>
    <font>
      <sz val="9"/>
      <color rgb="FFFF0000"/>
      <name val="Lora"/>
    </font>
    <font>
      <sz val="9"/>
      <color rgb="FFFF0000"/>
      <name val="Cambria"/>
      <family val="1"/>
    </font>
    <font>
      <sz val="8"/>
      <color rgb="FF70757A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/>
    <xf numFmtId="10" fontId="16" fillId="0" borderId="0" xfId="0" applyNumberFormat="1" applyFont="1"/>
    <xf numFmtId="10" fontId="0" fillId="33" borderId="0" xfId="0" applyNumberFormat="1" applyFill="1"/>
    <xf numFmtId="9" fontId="0" fillId="0" borderId="0" xfId="0" applyNumberFormat="1"/>
    <xf numFmtId="165" fontId="0" fillId="0" borderId="0" xfId="0" applyNumberFormat="1"/>
    <xf numFmtId="164" fontId="0" fillId="0" borderId="0" xfId="0" applyNumberFormat="1"/>
    <xf numFmtId="9" fontId="0" fillId="0" borderId="0" xfId="42" applyFont="1"/>
    <xf numFmtId="3" fontId="19" fillId="0" borderId="0" xfId="0" applyNumberFormat="1" applyFont="1"/>
    <xf numFmtId="0" fontId="20" fillId="0" borderId="0" xfId="0" applyFont="1"/>
    <xf numFmtId="15" fontId="0" fillId="0" borderId="0" xfId="0" applyNumberFormat="1"/>
    <xf numFmtId="0" fontId="0" fillId="33" borderId="0" xfId="0" applyFill="1"/>
    <xf numFmtId="0" fontId="21" fillId="0" borderId="0" xfId="0" applyFont="1" applyAlignment="1">
      <alignment horizontal="left" vertical="center" indent="5" readingOrder="1"/>
    </xf>
    <xf numFmtId="0" fontId="22" fillId="0" borderId="0" xfId="0" applyFont="1" applyAlignment="1">
      <alignment horizontal="left" vertical="center" indent="5" readingOrder="1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4" fontId="0" fillId="0" borderId="0" xfId="0" applyNumberFormat="1"/>
    <xf numFmtId="0" fontId="21" fillId="0" borderId="0" xfId="0" applyFont="1"/>
    <xf numFmtId="0" fontId="23" fillId="0" borderId="0" xfId="0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m/yy"/>
    </dxf>
    <dxf>
      <numFmt numFmtId="166" formatCode="dd/mmm/yy"/>
    </dxf>
    <dxf>
      <numFmt numFmtId="166" formatCode="dd/mmm/yy"/>
    </dxf>
    <dxf>
      <numFmt numFmtId="166" formatCode="dd/mmm/yy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7" formatCode="yyyy/mm/dd"/>
    </dxf>
    <dxf>
      <alignment horizontal="general" vertical="bottom" textRotation="0" wrapText="0" indent="0" justifyLastLine="0" shrinkToFit="0" readingOrder="0"/>
    </dxf>
    <dxf>
      <numFmt numFmtId="167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3222089" cy="1550624"/>
    <xdr:pic>
      <xdr:nvPicPr>
        <xdr:cNvPr id="2" name="Picture 1">
          <a:extLst>
            <a:ext uri="{FF2B5EF4-FFF2-40B4-BE49-F238E27FC236}">
              <a16:creationId xmlns:a16="http://schemas.microsoft.com/office/drawing/2014/main" id="{3DAC5D95-2D51-46CB-B240-934C7139F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5760"/>
          <a:ext cx="3222089" cy="155062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6291762" cy="2933593"/>
    <xdr:pic>
      <xdr:nvPicPr>
        <xdr:cNvPr id="3" name="Picture 2">
          <a:extLst>
            <a:ext uri="{FF2B5EF4-FFF2-40B4-BE49-F238E27FC236}">
              <a16:creationId xmlns:a16="http://schemas.microsoft.com/office/drawing/2014/main" id="{8C0FF70C-80A9-4C65-89FE-7ED5BD788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91840"/>
          <a:ext cx="6291762" cy="293359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1" name="Date" tableColumnId="1"/>
      <queryTableField id="2" dataBound="0" tableColumnId="2"/>
    </queryTableFields>
    <queryTableDeletedFields count="6">
      <deletedField name="Open"/>
      <deletedField name="High"/>
      <deletedField name="Low"/>
      <deletedField name="Close"/>
      <deletedField name="Adj Close"/>
      <deletedField name="Volu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F366AC-801D-4824-A5A7-72F167C918B3}" autoFormatId="16" applyNumberFormats="0" applyBorderFormats="0" applyFontFormats="0" applyPatternFormats="0" applyAlignmentFormats="0" applyWidthHeightFormats="0">
  <queryTableRefresh nextId="9" unboundColumnsRight="2">
    <queryTableFields count="3">
      <queryTableField id="1" name="Date" tableColumnId="1"/>
      <queryTableField id="2" dataBound="0" tableColumnId="2"/>
      <queryTableField id="8" dataBound="0" tableColumnId="8"/>
    </queryTableFields>
    <queryTableDeletedFields count="6">
      <deletedField name="Open"/>
      <deletedField name="High"/>
      <deletedField name="Low"/>
      <deletedField name="Close"/>
      <deletedField name="Adj Close"/>
      <deletedField name="Volu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OKE" displayName="Table_COKE" ref="A1:B128" tableType="queryTable" totalsRowShown="0">
  <autoFilter ref="A1:B128" xr:uid="{00000000-0009-0000-0100-000001000000}"/>
  <tableColumns count="2">
    <tableColumn id="1" xr3:uid="{00000000-0010-0000-0000-000001000000}" uniqueName="1" name="Date" queryTableFieldId="1" dataDxfId="26"/>
    <tableColumn id="2" xr3:uid="{00000000-0010-0000-0000-000002000000}" uniqueName="2" name="Adj Close" queryTableFieldId="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B96D98-3E67-4538-B3BE-5E281A533134}" name="Table14" displayName="Table14" ref="C92:D94" headerRowCount="0" totalsRowShown="0">
  <tableColumns count="2">
    <tableColumn id="1" xr3:uid="{08309829-2A15-47EC-A3FD-2D39EFCE468A}" name="Column1"/>
    <tableColumn id="2" xr3:uid="{451540BE-B3A5-44B6-B41B-424FB75249BC}" name="Column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6FC3899-EEA4-49C1-AC00-45320B23F2C0}" name="Table15" displayName="Table15" ref="C83:F86" headerRowCount="0" totalsRowShown="0">
  <tableColumns count="4">
    <tableColumn id="1" xr3:uid="{18607450-B45D-4446-AD70-639C4B5EBA26}" name="Column1"/>
    <tableColumn id="2" xr3:uid="{4A18B353-9DD4-41BD-A31A-82DE5CFE0336}" name="Column2"/>
    <tableColumn id="3" xr3:uid="{58C72D60-CD6A-4C84-878C-3F261161700E}" name="Column3"/>
    <tableColumn id="4" xr3:uid="{3C496603-CE4F-4952-8917-495DB8053A22}" name="Column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A079ED-6EE8-4A87-AC94-251E232CA6F5}" name="Table16" displayName="Table16" ref="C76:G79" headerRowCount="0" totalsRowShown="0">
  <tableColumns count="5">
    <tableColumn id="1" xr3:uid="{4D86E0C4-9A02-4231-8F7C-46E5D9A024B3}" name="Column1"/>
    <tableColumn id="2" xr3:uid="{9C8BAB95-E50D-48D1-AB83-D580DD9B6805}" name="Column2"/>
    <tableColumn id="3" xr3:uid="{D3E1650F-43FD-4EBB-B103-C78B339032E6}" name="Column3"/>
    <tableColumn id="4" xr3:uid="{A75E161D-75E1-4B76-BDB1-77DE944DAC19}" name="Column4"/>
    <tableColumn id="5" xr3:uid="{C13E96A2-445D-4DB9-BFEC-F6398E87F661}" name="Column5" headerRowDxf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A96286F-2C4F-4957-B818-149A54C6F3A6}" name="Table17" displayName="Table17" ref="C69:E72" headerRowCount="0" totalsRowShown="0">
  <tableColumns count="3">
    <tableColumn id="1" xr3:uid="{F68DDC01-57CA-4380-98FA-A7E0090DFC37}" name="Column1"/>
    <tableColumn id="2" xr3:uid="{CC14B968-B29E-4743-9D20-63300B26B33D}" name="Column2"/>
    <tableColumn id="3" xr3:uid="{534CEDAC-BD84-4EAC-961D-D43D782553A6}" name="Column3" headerRowDxfId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582651-8C1F-44DD-97CD-A258A9C584C2}" name="Table_COKE35" displayName="Table_COKE35" ref="D1:F128" tableType="queryTable" totalsRowShown="0" headerRowDxfId="25">
  <tableColumns count="3">
    <tableColumn id="1" xr3:uid="{B3D05D7B-D7C7-4FDE-8F29-52F73D96FB02}" uniqueName="1" name="Date" queryTableFieldId="1" dataDxfId="24"/>
    <tableColumn id="2" xr3:uid="{E9F675C9-93F4-456F-971D-2823A58C4306}" uniqueName="2" name="COKE" queryTableFieldId="2"/>
    <tableColumn id="8" xr3:uid="{100476FB-C6E6-4FD2-8882-82AA07222576}" uniqueName="8" name="RCOKE" queryTableFieldId="8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A297E2-6EC9-4A38-ADB9-057A47B8079F}" name="Table11" displayName="Table11" ref="A5:L18" headerRowCount="0" totalsRowShown="0" headerRowDxfId="22">
  <tableColumns count="12">
    <tableColumn id="1" xr3:uid="{59EB371E-D798-44A7-9506-6C9158EE1A75}" name="Column1"/>
    <tableColumn id="2" xr3:uid="{7159B0AC-BF0B-4062-8392-FD20C27E8C3C}" name="Column2"/>
    <tableColumn id="3" xr3:uid="{2A1F6A51-303F-4E9A-921F-AC5EAAB8CB84}" name="Column3"/>
    <tableColumn id="4" xr3:uid="{730DE064-F9B2-409E-8881-A3994FC7CA0F}" name="Column4"/>
    <tableColumn id="5" xr3:uid="{242BA951-B7D0-4277-993A-7816E9EAF918}" name="Column5"/>
    <tableColumn id="6" xr3:uid="{DB0969A3-DFEE-4133-9427-9C7811F03164}" name="Column6"/>
    <tableColumn id="7" xr3:uid="{17263221-4311-45EB-BEB3-E183ABE3399A}" name="Column7"/>
    <tableColumn id="8" xr3:uid="{0E389F78-0698-48CF-8CF7-77F761F2890C}" name="Column8"/>
    <tableColumn id="9" xr3:uid="{15386FF6-781F-4E2E-8D8F-85370BAB3130}" name="Column9" headerRowDxfId="21"/>
    <tableColumn id="10" xr3:uid="{FD93D628-3FB3-4C7B-A89A-E8949C7BF64C}" name="Column10" headerRowDxfId="20"/>
    <tableColumn id="11" xr3:uid="{A359ACB6-CF33-4B0C-81B4-02363D2C5EB6}" name="Column11" headerRowDxfId="19"/>
    <tableColumn id="12" xr3:uid="{26249A0B-2AAA-484B-877D-88B3CA964A3F}" name="Column12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A8813A-2C70-430F-8516-4D37EB8B2829}" name="Table13" displayName="Table13" ref="B3:K22" headerRowCount="0" totalsRowShown="0" headerRowDxfId="18">
  <tableColumns count="10">
    <tableColumn id="1" xr3:uid="{0BBF69D1-9CA3-4FD9-9812-8F9BCE3FFB20}" name="Column1"/>
    <tableColumn id="2" xr3:uid="{4E789C6B-2780-43E2-BB19-A5EF03A845ED}" name="Column2" headerRowDxfId="17"/>
    <tableColumn id="3" xr3:uid="{3E07C77C-87DA-4BEC-B7CD-9F1F1D2E7F62}" name="Column3" headerRowDxfId="16"/>
    <tableColumn id="4" xr3:uid="{07770CC8-D0C0-47A2-AC74-C3DFD7B05511}" name="Column4" headerRowDxfId="15"/>
    <tableColumn id="5" xr3:uid="{C074664D-E97F-4A91-9873-97D073F8FC79}" name="Column5" headerRowDxfId="14"/>
    <tableColumn id="6" xr3:uid="{D7CE99C5-611B-4379-9F24-0628C32ECBAF}" name="Column6" headerRowDxfId="13"/>
    <tableColumn id="7" xr3:uid="{8879CCBC-15DB-4A5B-9EC4-4F44834516D0}" name="Column7" headerRowDxfId="12"/>
    <tableColumn id="8" xr3:uid="{9EDF3E90-4DC6-4E93-88F9-644E894F22CD}" name="Column8" headerRowDxfId="11"/>
    <tableColumn id="9" xr3:uid="{FE2BA411-F525-4224-8074-4A1DB79B8170}" name="Column9" headerRowDxfId="10"/>
    <tableColumn id="10" xr3:uid="{3DF119FA-A1EC-4612-8660-1105127A987B}" name="Column10" headerRow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6:D8" headerRowCount="0" totalsRowShown="0">
  <tableColumns count="2">
    <tableColumn id="1" xr3:uid="{00000000-0010-0000-0200-000001000000}" name="Column1"/>
    <tableColumn id="2" xr3:uid="{00000000-0010-0000-0200-000002000000}" name="Column2" headerRowDxfId="8"/>
  </tableColumns>
  <tableStyleInfo name="TableStyleLight1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C13:D16" headerRowCount="0" totalsRowShown="0">
  <tableColumns count="2">
    <tableColumn id="1" xr3:uid="{00000000-0010-0000-0300-000001000000}" name="Column1"/>
    <tableColumn id="2" xr3:uid="{00000000-0010-0000-0300-000002000000}" name="Column2" headerRowDxfId="7" dataDxfId="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C20:D23" headerRowCount="0" totalsRowShown="0">
  <tableColumns count="2">
    <tableColumn id="1" xr3:uid="{00000000-0010-0000-0400-000001000000}" name="Column1"/>
    <tableColumn id="2" xr3:uid="{00000000-0010-0000-0400-000002000000}" name="Column2" headerRowDxfId="5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C29:D31" headerRowCount="0" totalsRowShown="0">
  <tableColumns count="2">
    <tableColumn id="1" xr3:uid="{00000000-0010-0000-0500-000001000000}" name="Column1"/>
    <tableColumn id="2" xr3:uid="{00000000-0010-0000-0500-000002000000}" name="Column2" headerRowDxfId="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C35:D37" headerRowCount="0" totalsRowShown="0">
  <tableColumns count="2">
    <tableColumn id="1" xr3:uid="{00000000-0010-0000-0600-000001000000}" name="Column1"/>
    <tableColumn id="2" xr3:uid="{00000000-0010-0000-0600-000002000000}" name="Column2" header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5EEA-DF5F-4CF0-9765-EAD1C5626D83}">
  <dimension ref="B2:I15"/>
  <sheetViews>
    <sheetView zoomScale="84" workbookViewId="0">
      <selection activeCell="E15" sqref="E15"/>
    </sheetView>
  </sheetViews>
  <sheetFormatPr baseColWidth="10" defaultColWidth="8.83203125" defaultRowHeight="15" x14ac:dyDescent="0.2"/>
  <cols>
    <col min="2" max="2" width="36.83203125" customWidth="1"/>
    <col min="8" max="8" width="17.5" customWidth="1"/>
  </cols>
  <sheetData>
    <row r="2" spans="2:9" x14ac:dyDescent="0.2">
      <c r="B2" t="s">
        <v>33</v>
      </c>
    </row>
    <row r="3" spans="2:9" x14ac:dyDescent="0.2">
      <c r="B3" t="s">
        <v>34</v>
      </c>
      <c r="C3">
        <v>905156</v>
      </c>
      <c r="D3" s="13"/>
      <c r="H3" t="s">
        <v>207</v>
      </c>
      <c r="I3" s="14" t="s">
        <v>206</v>
      </c>
    </row>
    <row r="4" spans="2:9" x14ac:dyDescent="0.2">
      <c r="B4" t="s">
        <v>35</v>
      </c>
      <c r="C4">
        <v>598817</v>
      </c>
      <c r="I4">
        <f>8.37*10^6</f>
        <v>8369999.9999999991</v>
      </c>
    </row>
    <row r="5" spans="2:9" x14ac:dyDescent="0.2">
      <c r="B5" t="s">
        <v>36</v>
      </c>
      <c r="C5">
        <f>SUM(C3:C4)</f>
        <v>1503973</v>
      </c>
    </row>
    <row r="6" spans="2:9" x14ac:dyDescent="0.2">
      <c r="B6" t="s">
        <v>37</v>
      </c>
      <c r="C6">
        <v>24792</v>
      </c>
      <c r="D6" s="13"/>
    </row>
    <row r="7" spans="2:9" x14ac:dyDescent="0.2">
      <c r="H7" t="s">
        <v>205</v>
      </c>
      <c r="I7" s="2">
        <v>4.0099999999999997E-2</v>
      </c>
    </row>
    <row r="8" spans="2:9" x14ac:dyDescent="0.2">
      <c r="B8" t="s">
        <v>38</v>
      </c>
      <c r="C8" s="12">
        <f>C6/C5</f>
        <v>1.6484338482140305E-2</v>
      </c>
    </row>
    <row r="11" spans="2:9" x14ac:dyDescent="0.2">
      <c r="B11" t="s">
        <v>180</v>
      </c>
    </row>
    <row r="13" spans="2:9" x14ac:dyDescent="0.2">
      <c r="B13" t="s">
        <v>181</v>
      </c>
      <c r="C13">
        <v>575087</v>
      </c>
    </row>
    <row r="14" spans="2:9" x14ac:dyDescent="0.2">
      <c r="B14" t="s">
        <v>182</v>
      </c>
      <c r="C14">
        <v>430158</v>
      </c>
    </row>
    <row r="15" spans="2:9" x14ac:dyDescent="0.2">
      <c r="B15" t="s">
        <v>183</v>
      </c>
      <c r="C15" s="12">
        <f>(C13-C14)/C13</f>
        <v>0.25201230422527376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1" width="43.1640625" customWidth="1"/>
    <col min="2" max="2" width="17.1640625" customWidth="1"/>
    <col min="3" max="3" width="18.33203125" customWidth="1"/>
    <col min="4" max="4" width="18.5" customWidth="1"/>
    <col min="5" max="5" width="16.1640625" customWidth="1"/>
    <col min="6" max="6" width="18.1640625" customWidth="1"/>
  </cols>
  <sheetData>
    <row r="1" spans="1:6" x14ac:dyDescent="0.2">
      <c r="A1" s="4" t="s">
        <v>39</v>
      </c>
      <c r="B1" s="5" t="s">
        <v>40</v>
      </c>
      <c r="C1" s="5">
        <v>44926</v>
      </c>
      <c r="D1" s="5">
        <v>44561</v>
      </c>
      <c r="E1" s="5">
        <v>44196</v>
      </c>
      <c r="F1" s="5">
        <v>43830</v>
      </c>
    </row>
    <row r="2" spans="1:6" x14ac:dyDescent="0.2">
      <c r="A2" t="s">
        <v>41</v>
      </c>
      <c r="B2" s="3">
        <v>6200957</v>
      </c>
      <c r="C2" s="3">
        <v>6200957</v>
      </c>
      <c r="D2" s="3">
        <v>5562714</v>
      </c>
      <c r="E2" s="3">
        <v>5007357</v>
      </c>
      <c r="F2" s="3">
        <v>4826549</v>
      </c>
    </row>
    <row r="3" spans="1:6" x14ac:dyDescent="0.2">
      <c r="A3" t="s">
        <v>42</v>
      </c>
      <c r="B3" s="3">
        <v>3923003</v>
      </c>
      <c r="C3" s="3">
        <v>3923003</v>
      </c>
      <c r="D3" s="3">
        <v>3608527</v>
      </c>
      <c r="E3" s="3">
        <v>3238448</v>
      </c>
      <c r="F3" s="3">
        <v>3156047</v>
      </c>
    </row>
    <row r="4" spans="1:6" x14ac:dyDescent="0.2">
      <c r="A4" t="s">
        <v>43</v>
      </c>
      <c r="B4" s="3">
        <v>2277954</v>
      </c>
      <c r="C4" s="3">
        <v>2277954</v>
      </c>
      <c r="D4" s="3">
        <v>1954187</v>
      </c>
      <c r="E4" s="3">
        <v>1768909</v>
      </c>
      <c r="F4" s="3">
        <v>1670502</v>
      </c>
    </row>
    <row r="5" spans="1:6" x14ac:dyDescent="0.2">
      <c r="A5" t="s">
        <v>44</v>
      </c>
    </row>
    <row r="6" spans="1:6" x14ac:dyDescent="0.2">
      <c r="A6" t="s">
        <v>45</v>
      </c>
      <c r="B6" s="3">
        <v>1636907</v>
      </c>
      <c r="C6" s="3">
        <v>1636907</v>
      </c>
      <c r="D6" s="3">
        <v>1515016</v>
      </c>
      <c r="E6" s="3">
        <v>1455531</v>
      </c>
      <c r="F6" s="3">
        <v>1489748</v>
      </c>
    </row>
    <row r="7" spans="1:6" x14ac:dyDescent="0.2">
      <c r="A7" t="s">
        <v>46</v>
      </c>
      <c r="B7" s="3">
        <v>1636907</v>
      </c>
      <c r="C7" s="3">
        <v>1636907</v>
      </c>
      <c r="D7" s="3">
        <v>1515016</v>
      </c>
      <c r="E7" s="3">
        <v>1455531</v>
      </c>
      <c r="F7" s="3">
        <v>1489748</v>
      </c>
    </row>
    <row r="8" spans="1:6" x14ac:dyDescent="0.2">
      <c r="A8" t="s">
        <v>47</v>
      </c>
      <c r="B8" s="3">
        <v>641047</v>
      </c>
      <c r="C8" s="3">
        <v>641047</v>
      </c>
      <c r="D8" s="3">
        <v>439171</v>
      </c>
      <c r="E8" s="3">
        <v>313378</v>
      </c>
      <c r="F8" s="3">
        <v>180754</v>
      </c>
    </row>
    <row r="9" spans="1:6" x14ac:dyDescent="0.2">
      <c r="A9" t="s">
        <v>48</v>
      </c>
      <c r="B9" s="3">
        <v>24792</v>
      </c>
      <c r="C9" s="3">
        <v>24792</v>
      </c>
      <c r="D9" s="3">
        <v>33449</v>
      </c>
      <c r="E9" s="3">
        <v>36735</v>
      </c>
      <c r="F9" s="3">
        <v>45990</v>
      </c>
    </row>
    <row r="10" spans="1:6" x14ac:dyDescent="0.2">
      <c r="A10" t="s">
        <v>49</v>
      </c>
      <c r="B10" s="3">
        <v>-41168</v>
      </c>
      <c r="C10" s="3">
        <v>-41168</v>
      </c>
      <c r="D10" s="3">
        <v>-150573</v>
      </c>
      <c r="E10" s="3">
        <v>-35603</v>
      </c>
      <c r="F10" s="3">
        <v>-100539</v>
      </c>
    </row>
    <row r="11" spans="1:6" x14ac:dyDescent="0.2">
      <c r="A11" t="s">
        <v>50</v>
      </c>
      <c r="B11" s="3">
        <v>575087</v>
      </c>
      <c r="C11" s="3">
        <v>575087</v>
      </c>
      <c r="D11" s="3">
        <v>255149</v>
      </c>
      <c r="E11" s="3">
        <v>241040</v>
      </c>
      <c r="F11" s="3">
        <v>34225</v>
      </c>
    </row>
    <row r="12" spans="1:6" x14ac:dyDescent="0.2">
      <c r="A12" t="s">
        <v>51</v>
      </c>
      <c r="B12" s="3">
        <v>144929</v>
      </c>
      <c r="C12" s="3">
        <v>144929</v>
      </c>
      <c r="D12" s="3">
        <v>65569</v>
      </c>
      <c r="E12" s="3">
        <v>58943</v>
      </c>
      <c r="F12" s="3">
        <v>15665</v>
      </c>
    </row>
    <row r="13" spans="1:6" x14ac:dyDescent="0.2">
      <c r="A13" t="s">
        <v>52</v>
      </c>
      <c r="B13" s="3">
        <v>430158</v>
      </c>
      <c r="C13" s="3">
        <v>430158</v>
      </c>
      <c r="D13" s="3">
        <v>189580</v>
      </c>
      <c r="E13" s="3">
        <v>182097</v>
      </c>
      <c r="F13" s="3">
        <v>18560</v>
      </c>
    </row>
    <row r="14" spans="1:6" x14ac:dyDescent="0.2">
      <c r="A14" t="s">
        <v>53</v>
      </c>
      <c r="B14" s="3">
        <v>430158</v>
      </c>
      <c r="C14" s="3">
        <v>430158</v>
      </c>
      <c r="D14" s="3">
        <v>189580</v>
      </c>
      <c r="E14" s="3">
        <v>172493</v>
      </c>
      <c r="F14" s="3">
        <v>11375</v>
      </c>
    </row>
    <row r="15" spans="1:6" x14ac:dyDescent="0.2">
      <c r="A15" t="s">
        <v>54</v>
      </c>
      <c r="B15" s="3">
        <v>430158</v>
      </c>
      <c r="C15" s="3">
        <v>430158</v>
      </c>
      <c r="D15" s="3">
        <v>189580</v>
      </c>
      <c r="E15" s="3">
        <v>172493</v>
      </c>
      <c r="F15" s="3">
        <v>11375</v>
      </c>
    </row>
    <row r="16" spans="1:6" x14ac:dyDescent="0.2">
      <c r="A16" t="s">
        <v>55</v>
      </c>
      <c r="B16" t="s">
        <v>56</v>
      </c>
      <c r="C16">
        <v>45.88</v>
      </c>
      <c r="D16">
        <v>20.23</v>
      </c>
      <c r="E16">
        <v>18.399999999999999</v>
      </c>
      <c r="F16">
        <v>1.21</v>
      </c>
    </row>
    <row r="17" spans="1:6" x14ac:dyDescent="0.2">
      <c r="A17" t="s">
        <v>57</v>
      </c>
      <c r="B17" t="s">
        <v>56</v>
      </c>
      <c r="C17">
        <v>45.74</v>
      </c>
      <c r="D17">
        <v>20.170000000000002</v>
      </c>
      <c r="E17">
        <v>18.3</v>
      </c>
      <c r="F17">
        <v>1.21</v>
      </c>
    </row>
    <row r="18" spans="1:6" x14ac:dyDescent="0.2">
      <c r="A18" t="s">
        <v>58</v>
      </c>
      <c r="B18" t="s">
        <v>56</v>
      </c>
      <c r="C18" s="3">
        <v>9374</v>
      </c>
      <c r="D18" s="3">
        <v>9373</v>
      </c>
      <c r="E18" s="3">
        <v>9373</v>
      </c>
      <c r="F18" s="3">
        <v>9370</v>
      </c>
    </row>
    <row r="19" spans="1:6" x14ac:dyDescent="0.2">
      <c r="A19" t="s">
        <v>59</v>
      </c>
      <c r="B19" t="s">
        <v>56</v>
      </c>
      <c r="C19" s="3">
        <v>9405</v>
      </c>
      <c r="D19" s="3">
        <v>9400</v>
      </c>
      <c r="E19" s="3">
        <v>9427</v>
      </c>
      <c r="F19" s="3">
        <v>9417</v>
      </c>
    </row>
    <row r="20" spans="1:6" x14ac:dyDescent="0.2">
      <c r="A20" t="s">
        <v>60</v>
      </c>
      <c r="B20" t="s">
        <v>56</v>
      </c>
      <c r="C20" s="3">
        <v>771469</v>
      </c>
      <c r="D20" s="3">
        <v>469163</v>
      </c>
      <c r="E20" s="3">
        <v>456792</v>
      </c>
      <c r="F20" s="3">
        <v>260131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BD14-2B2B-4627-8B0E-C9CEE2ACE874}">
  <dimension ref="A1:B36"/>
  <sheetViews>
    <sheetView zoomScale="78" workbookViewId="0">
      <selection activeCell="B11" sqref="B11"/>
    </sheetView>
  </sheetViews>
  <sheetFormatPr baseColWidth="10" defaultColWidth="8.83203125" defaultRowHeight="15" x14ac:dyDescent="0.2"/>
  <cols>
    <col min="1" max="1" width="43.6640625" customWidth="1"/>
    <col min="2" max="2" width="19.1640625" customWidth="1"/>
  </cols>
  <sheetData>
    <row r="1" spans="1:2" x14ac:dyDescent="0.2">
      <c r="A1" t="s">
        <v>185</v>
      </c>
    </row>
    <row r="3" spans="1:2" x14ac:dyDescent="0.2">
      <c r="A3" t="s">
        <v>204</v>
      </c>
    </row>
    <row r="5" spans="1:2" x14ac:dyDescent="0.2">
      <c r="A5" t="s">
        <v>203</v>
      </c>
      <c r="B5" s="9">
        <f>'cost of debt '!C8</f>
        <v>1.6484338482140305E-2</v>
      </c>
    </row>
    <row r="6" spans="1:2" x14ac:dyDescent="0.2">
      <c r="A6" t="s">
        <v>202</v>
      </c>
      <c r="B6" s="2">
        <f>'cost of debt '!C15</f>
        <v>0.25201230422527376</v>
      </c>
    </row>
    <row r="7" spans="1:2" x14ac:dyDescent="0.2">
      <c r="A7" t="s">
        <v>201</v>
      </c>
      <c r="B7" s="11">
        <f>'cost of debt '!C5*1000</f>
        <v>1503973000</v>
      </c>
    </row>
    <row r="8" spans="1:2" x14ac:dyDescent="0.2">
      <c r="A8" t="s">
        <v>200</v>
      </c>
      <c r="B8" s="2">
        <v>4.0099999999999997E-2</v>
      </c>
    </row>
    <row r="9" spans="1:2" x14ac:dyDescent="0.2">
      <c r="A9" t="s">
        <v>199</v>
      </c>
      <c r="B9" s="2">
        <v>0.12836064468628217</v>
      </c>
    </row>
    <row r="10" spans="1:2" x14ac:dyDescent="0.2">
      <c r="A10" t="s">
        <v>162</v>
      </c>
      <c r="B10" s="10">
        <v>633.11</v>
      </c>
    </row>
    <row r="11" spans="1:2" x14ac:dyDescent="0.2">
      <c r="A11" t="s">
        <v>198</v>
      </c>
      <c r="B11" s="3">
        <f>'cost of debt '!I4</f>
        <v>8369999.9999999991</v>
      </c>
    </row>
    <row r="12" spans="1:2" x14ac:dyDescent="0.2">
      <c r="A12" t="s">
        <v>197</v>
      </c>
      <c r="B12" s="3">
        <f>B10*B11</f>
        <v>5299130700</v>
      </c>
    </row>
    <row r="14" spans="1:2" x14ac:dyDescent="0.2">
      <c r="A14" t="s">
        <v>196</v>
      </c>
    </row>
    <row r="17" spans="1:2" x14ac:dyDescent="0.2">
      <c r="A17" t="s">
        <v>195</v>
      </c>
    </row>
    <row r="19" spans="1:2" x14ac:dyDescent="0.2">
      <c r="A19" t="s">
        <v>194</v>
      </c>
      <c r="B19" s="9">
        <f>B7/(B7+B12)</f>
        <v>0.2210715970712015</v>
      </c>
    </row>
    <row r="20" spans="1:2" x14ac:dyDescent="0.2">
      <c r="A20" t="s">
        <v>193</v>
      </c>
      <c r="B20" s="9">
        <f>B12/(B7+B12)</f>
        <v>0.7789284029287985</v>
      </c>
    </row>
    <row r="21" spans="1:2" x14ac:dyDescent="0.2">
      <c r="A21" t="s">
        <v>192</v>
      </c>
      <c r="B21" s="9">
        <v>1</v>
      </c>
    </row>
    <row r="23" spans="1:2" x14ac:dyDescent="0.2">
      <c r="A23" t="s">
        <v>191</v>
      </c>
    </row>
    <row r="25" spans="1:2" x14ac:dyDescent="0.2">
      <c r="A25" t="s">
        <v>190</v>
      </c>
      <c r="B25">
        <f>CAPM!M2</f>
        <v>9.7977053224841099E-2</v>
      </c>
    </row>
    <row r="27" spans="1:2" x14ac:dyDescent="0.2">
      <c r="A27" t="s">
        <v>189</v>
      </c>
      <c r="B27" s="2">
        <f>B8+B25*(B9-B8)</f>
        <v>4.8747517882086658E-2</v>
      </c>
    </row>
    <row r="29" spans="1:2" x14ac:dyDescent="0.2">
      <c r="A29" t="s">
        <v>188</v>
      </c>
    </row>
    <row r="31" spans="1:2" x14ac:dyDescent="0.2">
      <c r="A31" t="s">
        <v>187</v>
      </c>
      <c r="B31" s="2">
        <f>B5*(1-B6)</f>
        <v>1.2330082357626775E-2</v>
      </c>
    </row>
    <row r="34" spans="1:2" x14ac:dyDescent="0.2">
      <c r="A34" t="s">
        <v>186</v>
      </c>
    </row>
    <row r="36" spans="1:2" x14ac:dyDescent="0.2">
      <c r="A36" t="s">
        <v>185</v>
      </c>
      <c r="B36" s="8">
        <f>B19*B31+B20*B27</f>
        <v>4.0696657249456807E-2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workbookViewId="0">
      <selection sqref="A1:B128"/>
    </sheetView>
  </sheetViews>
  <sheetFormatPr baseColWidth="10" defaultColWidth="8.83203125" defaultRowHeight="15" x14ac:dyDescent="0.2"/>
  <cols>
    <col min="1" max="1" width="10.33203125" bestFit="1" customWidth="1"/>
    <col min="2" max="2" width="11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41275</v>
      </c>
      <c r="B2">
        <v>60.102364000000001</v>
      </c>
    </row>
    <row r="3" spans="1:2" x14ac:dyDescent="0.2">
      <c r="A3" s="1">
        <v>41306</v>
      </c>
      <c r="B3">
        <v>60.985405</v>
      </c>
    </row>
    <row r="4" spans="1:2" x14ac:dyDescent="0.2">
      <c r="A4" s="1">
        <v>41334</v>
      </c>
      <c r="B4">
        <v>56.222534000000003</v>
      </c>
    </row>
    <row r="5" spans="1:2" x14ac:dyDescent="0.2">
      <c r="A5" s="1">
        <v>41365</v>
      </c>
      <c r="B5">
        <v>57.322384</v>
      </c>
    </row>
    <row r="6" spans="1:2" x14ac:dyDescent="0.2">
      <c r="A6" s="1">
        <v>41395</v>
      </c>
      <c r="B6">
        <v>55.728535000000001</v>
      </c>
    </row>
    <row r="7" spans="1:2" x14ac:dyDescent="0.2">
      <c r="A7" s="1">
        <v>41426</v>
      </c>
      <c r="B7">
        <v>57.228805999999999</v>
      </c>
    </row>
    <row r="8" spans="1:2" x14ac:dyDescent="0.2">
      <c r="A8" s="1">
        <v>41456</v>
      </c>
      <c r="B8">
        <v>59.765014999999998</v>
      </c>
    </row>
    <row r="9" spans="1:2" x14ac:dyDescent="0.2">
      <c r="A9" s="1">
        <v>41487</v>
      </c>
      <c r="B9">
        <v>59.038437000000002</v>
      </c>
    </row>
    <row r="10" spans="1:2" x14ac:dyDescent="0.2">
      <c r="A10" s="1">
        <v>41518</v>
      </c>
      <c r="B10">
        <v>58.775390999999999</v>
      </c>
    </row>
    <row r="11" spans="1:2" x14ac:dyDescent="0.2">
      <c r="A11" s="1">
        <v>41548</v>
      </c>
      <c r="B11">
        <v>59.489407</v>
      </c>
    </row>
    <row r="12" spans="1:2" x14ac:dyDescent="0.2">
      <c r="A12" s="1">
        <v>41579</v>
      </c>
      <c r="B12">
        <v>64.042891999999995</v>
      </c>
    </row>
    <row r="13" spans="1:2" x14ac:dyDescent="0.2">
      <c r="A13" s="1">
        <v>41609</v>
      </c>
      <c r="B13">
        <v>69.032402000000005</v>
      </c>
    </row>
    <row r="14" spans="1:2" x14ac:dyDescent="0.2">
      <c r="A14" s="1">
        <v>41640</v>
      </c>
      <c r="B14">
        <v>64.401306000000005</v>
      </c>
    </row>
    <row r="15" spans="1:2" x14ac:dyDescent="0.2">
      <c r="A15" s="1">
        <v>41671</v>
      </c>
      <c r="B15">
        <v>71.603081000000003</v>
      </c>
    </row>
    <row r="16" spans="1:2" x14ac:dyDescent="0.2">
      <c r="A16" s="1">
        <v>41699</v>
      </c>
      <c r="B16">
        <v>80.444595000000007</v>
      </c>
    </row>
    <row r="17" spans="1:2" x14ac:dyDescent="0.2">
      <c r="A17" s="1">
        <v>41730</v>
      </c>
      <c r="B17">
        <v>77.841353999999995</v>
      </c>
    </row>
    <row r="18" spans="1:2" x14ac:dyDescent="0.2">
      <c r="A18" s="1">
        <v>41760</v>
      </c>
      <c r="B18">
        <v>71.457695000000001</v>
      </c>
    </row>
    <row r="19" spans="1:2" x14ac:dyDescent="0.2">
      <c r="A19" s="1">
        <v>41791</v>
      </c>
      <c r="B19">
        <v>69.948036000000002</v>
      </c>
    </row>
    <row r="20" spans="1:2" x14ac:dyDescent="0.2">
      <c r="A20" s="1">
        <v>41821</v>
      </c>
      <c r="B20">
        <v>66.292541999999997</v>
      </c>
    </row>
    <row r="21" spans="1:2" x14ac:dyDescent="0.2">
      <c r="A21" s="1">
        <v>41852</v>
      </c>
      <c r="B21">
        <v>70.853722000000005</v>
      </c>
    </row>
    <row r="22" spans="1:2" x14ac:dyDescent="0.2">
      <c r="A22" s="1">
        <v>41883</v>
      </c>
      <c r="B22">
        <v>71.110969999999995</v>
      </c>
    </row>
    <row r="23" spans="1:2" x14ac:dyDescent="0.2">
      <c r="A23" s="1">
        <v>41913</v>
      </c>
      <c r="B23">
        <v>86.175499000000002</v>
      </c>
    </row>
    <row r="24" spans="1:2" x14ac:dyDescent="0.2">
      <c r="A24" s="1">
        <v>41944</v>
      </c>
      <c r="B24">
        <v>90.360748000000001</v>
      </c>
    </row>
    <row r="25" spans="1:2" x14ac:dyDescent="0.2">
      <c r="A25" s="1">
        <v>41974</v>
      </c>
      <c r="B25">
        <v>84.120734999999996</v>
      </c>
    </row>
    <row r="26" spans="1:2" x14ac:dyDescent="0.2">
      <c r="A26" s="1">
        <v>42005</v>
      </c>
      <c r="B26">
        <v>93.208404999999999</v>
      </c>
    </row>
    <row r="27" spans="1:2" x14ac:dyDescent="0.2">
      <c r="A27" s="1">
        <v>42036</v>
      </c>
      <c r="B27">
        <v>99.994736000000003</v>
      </c>
    </row>
    <row r="28" spans="1:2" x14ac:dyDescent="0.2">
      <c r="A28" s="1">
        <v>42064</v>
      </c>
      <c r="B28">
        <v>108.29969</v>
      </c>
    </row>
    <row r="29" spans="1:2" x14ac:dyDescent="0.2">
      <c r="A29" s="1">
        <v>42095</v>
      </c>
      <c r="B29">
        <v>108.24221</v>
      </c>
    </row>
    <row r="30" spans="1:2" x14ac:dyDescent="0.2">
      <c r="A30" s="1">
        <v>42125</v>
      </c>
      <c r="B30">
        <v>109.02739699999999</v>
      </c>
    </row>
    <row r="31" spans="1:2" x14ac:dyDescent="0.2">
      <c r="A31" s="1">
        <v>42156</v>
      </c>
      <c r="B31">
        <v>145.027466</v>
      </c>
    </row>
    <row r="32" spans="1:2" x14ac:dyDescent="0.2">
      <c r="A32" s="1">
        <v>42186</v>
      </c>
      <c r="B32">
        <v>155.52027899999999</v>
      </c>
    </row>
    <row r="33" spans="1:2" x14ac:dyDescent="0.2">
      <c r="A33" s="1">
        <v>42217</v>
      </c>
      <c r="B33">
        <v>148.29740899999999</v>
      </c>
    </row>
    <row r="34" spans="1:2" x14ac:dyDescent="0.2">
      <c r="A34" s="1">
        <v>42248</v>
      </c>
      <c r="B34">
        <v>185.94142199999999</v>
      </c>
    </row>
    <row r="35" spans="1:2" x14ac:dyDescent="0.2">
      <c r="A35" s="1">
        <v>42278</v>
      </c>
      <c r="B35">
        <v>203.08552599999999</v>
      </c>
    </row>
    <row r="36" spans="1:2" x14ac:dyDescent="0.2">
      <c r="A36" s="1">
        <v>42309</v>
      </c>
      <c r="B36">
        <v>186.444321</v>
      </c>
    </row>
    <row r="37" spans="1:2" x14ac:dyDescent="0.2">
      <c r="A37" s="1">
        <v>42339</v>
      </c>
      <c r="B37">
        <v>175.70065299999999</v>
      </c>
    </row>
    <row r="38" spans="1:2" x14ac:dyDescent="0.2">
      <c r="A38" s="1">
        <v>42370</v>
      </c>
      <c r="B38">
        <v>169.33727999999999</v>
      </c>
    </row>
    <row r="39" spans="1:2" x14ac:dyDescent="0.2">
      <c r="A39" s="1">
        <v>42401</v>
      </c>
      <c r="B39">
        <v>168.448532</v>
      </c>
    </row>
    <row r="40" spans="1:2" x14ac:dyDescent="0.2">
      <c r="A40" s="1">
        <v>42430</v>
      </c>
      <c r="B40">
        <v>154.02548200000001</v>
      </c>
    </row>
    <row r="41" spans="1:2" x14ac:dyDescent="0.2">
      <c r="A41" s="1">
        <v>42461</v>
      </c>
      <c r="B41">
        <v>153.64948999999999</v>
      </c>
    </row>
    <row r="42" spans="1:2" x14ac:dyDescent="0.2">
      <c r="A42" s="1">
        <v>42491</v>
      </c>
      <c r="B42">
        <v>119.25226600000001</v>
      </c>
    </row>
    <row r="43" spans="1:2" x14ac:dyDescent="0.2">
      <c r="A43" s="1">
        <v>42522</v>
      </c>
      <c r="B43">
        <v>142.39785800000001</v>
      </c>
    </row>
    <row r="44" spans="1:2" x14ac:dyDescent="0.2">
      <c r="A44" s="1">
        <v>42552</v>
      </c>
      <c r="B44">
        <v>137.51182600000001</v>
      </c>
    </row>
    <row r="45" spans="1:2" x14ac:dyDescent="0.2">
      <c r="A45" s="1">
        <v>42583</v>
      </c>
      <c r="B45">
        <v>145.37669399999999</v>
      </c>
    </row>
    <row r="46" spans="1:2" x14ac:dyDescent="0.2">
      <c r="A46" s="1">
        <v>42614</v>
      </c>
      <c r="B46">
        <v>143.30682400000001</v>
      </c>
    </row>
    <row r="47" spans="1:2" x14ac:dyDescent="0.2">
      <c r="A47" s="1">
        <v>42644</v>
      </c>
      <c r="B47">
        <v>136.67152400000001</v>
      </c>
    </row>
    <row r="48" spans="1:2" x14ac:dyDescent="0.2">
      <c r="A48" s="1">
        <v>42675</v>
      </c>
      <c r="B48">
        <v>156.75027499999999</v>
      </c>
    </row>
    <row r="49" spans="1:2" x14ac:dyDescent="0.2">
      <c r="A49" s="1">
        <v>42705</v>
      </c>
      <c r="B49">
        <v>173.289581</v>
      </c>
    </row>
    <row r="50" spans="1:2" x14ac:dyDescent="0.2">
      <c r="A50" s="1">
        <v>42736</v>
      </c>
      <c r="B50">
        <v>163.59080499999999</v>
      </c>
    </row>
    <row r="51" spans="1:2" x14ac:dyDescent="0.2">
      <c r="A51" s="1">
        <v>42767</v>
      </c>
      <c r="B51">
        <v>166.966522</v>
      </c>
    </row>
    <row r="52" spans="1:2" x14ac:dyDescent="0.2">
      <c r="A52" s="1">
        <v>42795</v>
      </c>
      <c r="B52">
        <v>199.909592</v>
      </c>
    </row>
    <row r="53" spans="1:2" x14ac:dyDescent="0.2">
      <c r="A53" s="1">
        <v>42826</v>
      </c>
      <c r="B53">
        <v>205.57633999999999</v>
      </c>
    </row>
    <row r="54" spans="1:2" x14ac:dyDescent="0.2">
      <c r="A54" s="1">
        <v>42856</v>
      </c>
      <c r="B54">
        <v>221.25221300000001</v>
      </c>
    </row>
    <row r="55" spans="1:2" x14ac:dyDescent="0.2">
      <c r="A55" s="1">
        <v>42887</v>
      </c>
      <c r="B55">
        <v>222.350021</v>
      </c>
    </row>
    <row r="56" spans="1:2" x14ac:dyDescent="0.2">
      <c r="A56" s="1">
        <v>42917</v>
      </c>
      <c r="B56">
        <v>233.25041200000001</v>
      </c>
    </row>
    <row r="57" spans="1:2" x14ac:dyDescent="0.2">
      <c r="A57" s="1">
        <v>42948</v>
      </c>
      <c r="B57">
        <v>207.72341900000001</v>
      </c>
    </row>
    <row r="58" spans="1:2" x14ac:dyDescent="0.2">
      <c r="A58" s="1">
        <v>42979</v>
      </c>
      <c r="B58">
        <v>209.824051</v>
      </c>
    </row>
    <row r="59" spans="1:2" x14ac:dyDescent="0.2">
      <c r="A59" s="1">
        <v>43009</v>
      </c>
      <c r="B59">
        <v>219.36457799999999</v>
      </c>
    </row>
    <row r="60" spans="1:2" x14ac:dyDescent="0.2">
      <c r="A60" s="1">
        <v>43040</v>
      </c>
      <c r="B60">
        <v>210.020218</v>
      </c>
    </row>
    <row r="61" spans="1:2" x14ac:dyDescent="0.2">
      <c r="A61" s="1">
        <v>43070</v>
      </c>
      <c r="B61">
        <v>209.58210800000001</v>
      </c>
    </row>
    <row r="62" spans="1:2" x14ac:dyDescent="0.2">
      <c r="A62" s="1">
        <v>43101</v>
      </c>
      <c r="B62">
        <v>197.178146</v>
      </c>
    </row>
    <row r="63" spans="1:2" x14ac:dyDescent="0.2">
      <c r="A63" s="1">
        <v>43132</v>
      </c>
      <c r="B63">
        <v>181.90907300000001</v>
      </c>
    </row>
    <row r="64" spans="1:2" x14ac:dyDescent="0.2">
      <c r="A64" s="1">
        <v>43160</v>
      </c>
      <c r="B64">
        <v>168.32023599999999</v>
      </c>
    </row>
    <row r="65" spans="1:2" x14ac:dyDescent="0.2">
      <c r="A65" s="1">
        <v>43191</v>
      </c>
      <c r="B65">
        <v>164.148087</v>
      </c>
    </row>
    <row r="66" spans="1:2" x14ac:dyDescent="0.2">
      <c r="A66" s="1">
        <v>43221</v>
      </c>
      <c r="B66">
        <v>124.38806200000001</v>
      </c>
    </row>
    <row r="67" spans="1:2" x14ac:dyDescent="0.2">
      <c r="A67" s="1">
        <v>43252</v>
      </c>
      <c r="B67">
        <v>131.92495700000001</v>
      </c>
    </row>
    <row r="68" spans="1:2" x14ac:dyDescent="0.2">
      <c r="A68" s="1">
        <v>43282</v>
      </c>
      <c r="B68">
        <v>141.67799400000001</v>
      </c>
    </row>
    <row r="69" spans="1:2" x14ac:dyDescent="0.2">
      <c r="A69" s="1">
        <v>43313</v>
      </c>
      <c r="B69">
        <v>165.838379</v>
      </c>
    </row>
    <row r="70" spans="1:2" x14ac:dyDescent="0.2">
      <c r="A70" s="1">
        <v>43344</v>
      </c>
      <c r="B70">
        <v>178.27915999999999</v>
      </c>
    </row>
    <row r="71" spans="1:2" x14ac:dyDescent="0.2">
      <c r="A71" s="1">
        <v>43374</v>
      </c>
      <c r="B71">
        <v>168.840958</v>
      </c>
    </row>
    <row r="72" spans="1:2" x14ac:dyDescent="0.2">
      <c r="A72" s="1">
        <v>43405</v>
      </c>
      <c r="B72">
        <v>208.16348300000001</v>
      </c>
    </row>
    <row r="73" spans="1:2" x14ac:dyDescent="0.2">
      <c r="A73" s="1">
        <v>43435</v>
      </c>
      <c r="B73">
        <v>173.74380500000001</v>
      </c>
    </row>
    <row r="74" spans="1:2" x14ac:dyDescent="0.2">
      <c r="A74" s="1">
        <v>43466</v>
      </c>
      <c r="B74">
        <v>211.37619000000001</v>
      </c>
    </row>
    <row r="75" spans="1:2" x14ac:dyDescent="0.2">
      <c r="A75" s="1">
        <v>43497</v>
      </c>
      <c r="B75">
        <v>243.063187</v>
      </c>
    </row>
    <row r="76" spans="1:2" x14ac:dyDescent="0.2">
      <c r="A76" s="1">
        <v>43525</v>
      </c>
      <c r="B76">
        <v>282.25964399999998</v>
      </c>
    </row>
    <row r="77" spans="1:2" x14ac:dyDescent="0.2">
      <c r="A77" s="1">
        <v>43556</v>
      </c>
      <c r="B77">
        <v>318.739777</v>
      </c>
    </row>
    <row r="78" spans="1:2" x14ac:dyDescent="0.2">
      <c r="A78" s="1">
        <v>43586</v>
      </c>
      <c r="B78">
        <v>296.39651500000002</v>
      </c>
    </row>
    <row r="79" spans="1:2" x14ac:dyDescent="0.2">
      <c r="A79" s="1">
        <v>43617</v>
      </c>
      <c r="B79">
        <v>293.68780500000003</v>
      </c>
    </row>
    <row r="80" spans="1:2" x14ac:dyDescent="0.2">
      <c r="A80" s="1">
        <v>43647</v>
      </c>
      <c r="B80">
        <v>288.07412699999998</v>
      </c>
    </row>
    <row r="81" spans="1:2" x14ac:dyDescent="0.2">
      <c r="A81" s="1">
        <v>43678</v>
      </c>
      <c r="B81">
        <v>330.63812300000001</v>
      </c>
    </row>
    <row r="82" spans="1:2" x14ac:dyDescent="0.2">
      <c r="A82" s="1">
        <v>43709</v>
      </c>
      <c r="B82">
        <v>298.47903400000001</v>
      </c>
    </row>
    <row r="83" spans="1:2" x14ac:dyDescent="0.2">
      <c r="A83" s="1">
        <v>43739</v>
      </c>
      <c r="B83">
        <v>269.49252300000001</v>
      </c>
    </row>
    <row r="84" spans="1:2" x14ac:dyDescent="0.2">
      <c r="A84" s="1">
        <v>43770</v>
      </c>
      <c r="B84">
        <v>265.61196899999999</v>
      </c>
    </row>
    <row r="85" spans="1:2" x14ac:dyDescent="0.2">
      <c r="A85" s="1">
        <v>43800</v>
      </c>
      <c r="B85">
        <v>279.26806599999998</v>
      </c>
    </row>
    <row r="86" spans="1:2" x14ac:dyDescent="0.2">
      <c r="A86" s="1">
        <v>43831</v>
      </c>
      <c r="B86">
        <v>266.25103799999999</v>
      </c>
    </row>
    <row r="87" spans="1:2" x14ac:dyDescent="0.2">
      <c r="A87" s="1">
        <v>43862</v>
      </c>
      <c r="B87">
        <v>193.245407</v>
      </c>
    </row>
    <row r="88" spans="1:2" x14ac:dyDescent="0.2">
      <c r="A88" s="1">
        <v>43891</v>
      </c>
      <c r="B88">
        <v>205.20143100000001</v>
      </c>
    </row>
    <row r="89" spans="1:2" x14ac:dyDescent="0.2">
      <c r="A89" s="1">
        <v>43922</v>
      </c>
      <c r="B89">
        <v>231.711456</v>
      </c>
    </row>
    <row r="90" spans="1:2" x14ac:dyDescent="0.2">
      <c r="A90" s="1">
        <v>43952</v>
      </c>
      <c r="B90">
        <v>239.812378</v>
      </c>
    </row>
    <row r="91" spans="1:2" x14ac:dyDescent="0.2">
      <c r="A91" s="1">
        <v>43983</v>
      </c>
      <c r="B91">
        <v>225.78401199999999</v>
      </c>
    </row>
    <row r="92" spans="1:2" x14ac:dyDescent="0.2">
      <c r="A92" s="1">
        <v>44013</v>
      </c>
      <c r="B92">
        <v>226.14849899999999</v>
      </c>
    </row>
    <row r="93" spans="1:2" x14ac:dyDescent="0.2">
      <c r="A93" s="1">
        <v>44044</v>
      </c>
      <c r="B93">
        <v>269.53454599999998</v>
      </c>
    </row>
    <row r="94" spans="1:2" x14ac:dyDescent="0.2">
      <c r="A94" s="1">
        <v>44075</v>
      </c>
      <c r="B94">
        <v>237.36398299999999</v>
      </c>
    </row>
    <row r="95" spans="1:2" x14ac:dyDescent="0.2">
      <c r="A95" s="1">
        <v>44105</v>
      </c>
      <c r="B95">
        <v>225.795593</v>
      </c>
    </row>
    <row r="96" spans="1:2" x14ac:dyDescent="0.2">
      <c r="A96" s="1">
        <v>44136</v>
      </c>
      <c r="B96">
        <v>258.34390300000001</v>
      </c>
    </row>
    <row r="97" spans="1:2" x14ac:dyDescent="0.2">
      <c r="A97" s="1">
        <v>44166</v>
      </c>
      <c r="B97">
        <v>262.86532599999998</v>
      </c>
    </row>
    <row r="98" spans="1:2" x14ac:dyDescent="0.2">
      <c r="A98" s="1">
        <v>44197</v>
      </c>
      <c r="B98">
        <v>263.44778400000001</v>
      </c>
    </row>
    <row r="99" spans="1:2" x14ac:dyDescent="0.2">
      <c r="A99" s="1">
        <v>44228</v>
      </c>
      <c r="B99">
        <v>253.62571700000001</v>
      </c>
    </row>
    <row r="100" spans="1:2" x14ac:dyDescent="0.2">
      <c r="A100" s="1">
        <v>44256</v>
      </c>
      <c r="B100">
        <v>285.36596700000001</v>
      </c>
    </row>
    <row r="101" spans="1:2" x14ac:dyDescent="0.2">
      <c r="A101" s="1">
        <v>44287</v>
      </c>
      <c r="B101">
        <v>289.783142</v>
      </c>
    </row>
    <row r="102" spans="1:2" x14ac:dyDescent="0.2">
      <c r="A102" s="1">
        <v>44317</v>
      </c>
      <c r="B102">
        <v>400.45285000000001</v>
      </c>
    </row>
    <row r="103" spans="1:2" x14ac:dyDescent="0.2">
      <c r="A103" s="1">
        <v>44348</v>
      </c>
      <c r="B103">
        <v>397.69360399999999</v>
      </c>
    </row>
    <row r="104" spans="1:2" x14ac:dyDescent="0.2">
      <c r="A104" s="1">
        <v>44378</v>
      </c>
      <c r="B104">
        <v>394.74648999999999</v>
      </c>
    </row>
    <row r="105" spans="1:2" x14ac:dyDescent="0.2">
      <c r="A105" s="1">
        <v>44409</v>
      </c>
      <c r="B105">
        <v>401.924622</v>
      </c>
    </row>
    <row r="106" spans="1:2" x14ac:dyDescent="0.2">
      <c r="A106" s="1">
        <v>44440</v>
      </c>
      <c r="B106">
        <v>390.06954999999999</v>
      </c>
    </row>
    <row r="107" spans="1:2" x14ac:dyDescent="0.2">
      <c r="A107" s="1">
        <v>44470</v>
      </c>
      <c r="B107">
        <v>397.21432499999997</v>
      </c>
    </row>
    <row r="108" spans="1:2" x14ac:dyDescent="0.2">
      <c r="A108" s="1">
        <v>44501</v>
      </c>
      <c r="B108">
        <v>564.975281</v>
      </c>
    </row>
    <row r="109" spans="1:2" x14ac:dyDescent="0.2">
      <c r="A109" s="1">
        <v>44531</v>
      </c>
      <c r="B109">
        <v>613.118469</v>
      </c>
    </row>
    <row r="110" spans="1:2" x14ac:dyDescent="0.2">
      <c r="A110" s="1">
        <v>44562</v>
      </c>
      <c r="B110">
        <v>567.381348</v>
      </c>
    </row>
    <row r="111" spans="1:2" x14ac:dyDescent="0.2">
      <c r="A111" s="1">
        <v>44593</v>
      </c>
      <c r="B111">
        <v>492.26769999999999</v>
      </c>
    </row>
    <row r="112" spans="1:2" x14ac:dyDescent="0.2">
      <c r="A112" s="1">
        <v>44621</v>
      </c>
      <c r="B112">
        <v>492.188446</v>
      </c>
    </row>
    <row r="113" spans="1:2" x14ac:dyDescent="0.2">
      <c r="A113" s="1">
        <v>44652</v>
      </c>
      <c r="B113">
        <v>437.35775799999999</v>
      </c>
    </row>
    <row r="114" spans="1:2" x14ac:dyDescent="0.2">
      <c r="A114" s="1">
        <v>44682</v>
      </c>
      <c r="B114">
        <v>559.96490500000004</v>
      </c>
    </row>
    <row r="115" spans="1:2" x14ac:dyDescent="0.2">
      <c r="A115" s="1">
        <v>44713</v>
      </c>
      <c r="B115">
        <v>558.90454099999999</v>
      </c>
    </row>
    <row r="116" spans="1:2" x14ac:dyDescent="0.2">
      <c r="A116" s="1">
        <v>44743</v>
      </c>
      <c r="B116">
        <v>508.45538299999998</v>
      </c>
    </row>
    <row r="117" spans="1:2" x14ac:dyDescent="0.2">
      <c r="A117" s="1">
        <v>44774</v>
      </c>
      <c r="B117">
        <v>470.35983299999998</v>
      </c>
    </row>
    <row r="118" spans="1:2" x14ac:dyDescent="0.2">
      <c r="A118" s="1">
        <v>44805</v>
      </c>
      <c r="B118">
        <v>408.28381300000001</v>
      </c>
    </row>
    <row r="119" spans="1:2" x14ac:dyDescent="0.2">
      <c r="A119" s="1">
        <v>44835</v>
      </c>
      <c r="B119">
        <v>482.93368500000003</v>
      </c>
    </row>
    <row r="120" spans="1:2" x14ac:dyDescent="0.2">
      <c r="A120" s="1">
        <v>44866</v>
      </c>
      <c r="B120">
        <v>487.94332900000001</v>
      </c>
    </row>
    <row r="121" spans="1:2" x14ac:dyDescent="0.2">
      <c r="A121" s="1">
        <v>44896</v>
      </c>
      <c r="B121">
        <v>508.34210200000001</v>
      </c>
    </row>
    <row r="122" spans="1:2" x14ac:dyDescent="0.2">
      <c r="A122" s="1">
        <v>44927</v>
      </c>
      <c r="B122">
        <v>502.80587800000001</v>
      </c>
    </row>
    <row r="123" spans="1:2" x14ac:dyDescent="0.2">
      <c r="A123" s="1">
        <v>44958</v>
      </c>
      <c r="B123">
        <v>556.36206100000004</v>
      </c>
    </row>
    <row r="124" spans="1:2" x14ac:dyDescent="0.2">
      <c r="A124" s="1">
        <v>44986</v>
      </c>
      <c r="B124">
        <v>534.61120600000004</v>
      </c>
    </row>
    <row r="125" spans="1:2" x14ac:dyDescent="0.2">
      <c r="A125" s="1">
        <v>45017</v>
      </c>
      <c r="B125">
        <v>588.94354199999998</v>
      </c>
    </row>
    <row r="126" spans="1:2" x14ac:dyDescent="0.2">
      <c r="A126" s="1">
        <v>45047</v>
      </c>
      <c r="B126">
        <v>661.73999000000003</v>
      </c>
    </row>
    <row r="127" spans="1:2" x14ac:dyDescent="0.2">
      <c r="A127" s="1">
        <v>45078</v>
      </c>
      <c r="B127">
        <v>636.02002000000005</v>
      </c>
    </row>
    <row r="128" spans="1:2" x14ac:dyDescent="0.2">
      <c r="A128" s="1">
        <v>45108</v>
      </c>
      <c r="B128">
        <v>633.28997800000002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2" workbookViewId="0">
      <selection activeCell="B28" sqref="B27:B28"/>
    </sheetView>
  </sheetViews>
  <sheetFormatPr baseColWidth="10" defaultColWidth="8.83203125" defaultRowHeight="15" x14ac:dyDescent="0.2"/>
  <cols>
    <col min="1" max="1" width="41.33203125" customWidth="1"/>
    <col min="2" max="2" width="27.6640625" customWidth="1"/>
    <col min="3" max="3" width="21.1640625" customWidth="1"/>
    <col min="4" max="4" width="22.1640625" customWidth="1"/>
    <col min="5" max="5" width="16.5" customWidth="1"/>
    <col min="6" max="6" width="19.5" customWidth="1"/>
  </cols>
  <sheetData>
    <row r="1" spans="1:6" x14ac:dyDescent="0.2">
      <c r="A1" s="4" t="s">
        <v>39</v>
      </c>
      <c r="B1" s="4" t="s">
        <v>40</v>
      </c>
      <c r="C1" s="5">
        <v>44926</v>
      </c>
      <c r="D1" s="5">
        <v>44561</v>
      </c>
      <c r="E1" s="5">
        <v>44196</v>
      </c>
      <c r="F1" s="5">
        <v>43830</v>
      </c>
    </row>
    <row r="2" spans="1:6" x14ac:dyDescent="0.2">
      <c r="A2" t="s">
        <v>61</v>
      </c>
    </row>
    <row r="3" spans="1:6" x14ac:dyDescent="0.2">
      <c r="A3" t="s">
        <v>53</v>
      </c>
      <c r="B3" s="3">
        <v>430158</v>
      </c>
      <c r="C3" s="3">
        <v>430158</v>
      </c>
      <c r="D3" s="3">
        <v>189580</v>
      </c>
      <c r="E3" s="3">
        <v>172493</v>
      </c>
      <c r="F3" s="3">
        <v>11375</v>
      </c>
    </row>
    <row r="4" spans="1:6" x14ac:dyDescent="0.2">
      <c r="A4" t="s">
        <v>62</v>
      </c>
      <c r="B4" s="3">
        <v>171590</v>
      </c>
      <c r="C4" s="3">
        <v>171590</v>
      </c>
      <c r="D4" s="3">
        <v>180565</v>
      </c>
      <c r="E4" s="3">
        <v>179017</v>
      </c>
      <c r="F4" s="3">
        <v>179916</v>
      </c>
    </row>
    <row r="5" spans="1:6" x14ac:dyDescent="0.2">
      <c r="A5" t="s">
        <v>63</v>
      </c>
      <c r="B5" s="3">
        <v>-9762</v>
      </c>
      <c r="C5" s="3">
        <v>-9762</v>
      </c>
      <c r="D5" s="3">
        <v>-27922</v>
      </c>
      <c r="E5" s="3">
        <v>8737</v>
      </c>
      <c r="F5" s="3">
        <v>3987</v>
      </c>
    </row>
    <row r="6" spans="1:6" x14ac:dyDescent="0.2">
      <c r="A6" t="s">
        <v>64</v>
      </c>
      <c r="B6" t="s">
        <v>56</v>
      </c>
      <c r="C6" t="s">
        <v>56</v>
      </c>
      <c r="D6">
        <v>0</v>
      </c>
      <c r="E6">
        <v>0</v>
      </c>
      <c r="F6" s="3">
        <v>2045</v>
      </c>
    </row>
    <row r="7" spans="1:6" x14ac:dyDescent="0.2">
      <c r="A7" t="s">
        <v>65</v>
      </c>
      <c r="B7" s="3">
        <v>-76435</v>
      </c>
      <c r="C7" s="3">
        <v>-76435</v>
      </c>
      <c r="D7" s="3">
        <v>22870</v>
      </c>
      <c r="E7" s="3">
        <v>78068</v>
      </c>
      <c r="F7" s="3">
        <v>-23683</v>
      </c>
    </row>
    <row r="8" spans="1:6" x14ac:dyDescent="0.2">
      <c r="A8" t="s">
        <v>66</v>
      </c>
      <c r="B8" s="3">
        <v>-58579</v>
      </c>
      <c r="C8" s="3">
        <v>-58579</v>
      </c>
      <c r="D8" s="3">
        <v>-43619</v>
      </c>
      <c r="E8" s="3">
        <v>14117</v>
      </c>
      <c r="F8" s="3">
        <v>-4622</v>
      </c>
    </row>
    <row r="9" spans="1:6" x14ac:dyDescent="0.2">
      <c r="A9" t="s">
        <v>67</v>
      </c>
      <c r="B9" s="3">
        <v>-44694</v>
      </c>
      <c r="C9" s="3">
        <v>-44694</v>
      </c>
      <c r="D9" s="3">
        <v>-77094</v>
      </c>
      <c r="E9">
        <v>169</v>
      </c>
      <c r="F9" s="3">
        <v>-15893</v>
      </c>
    </row>
    <row r="10" spans="1:6" x14ac:dyDescent="0.2">
      <c r="A10" t="s">
        <v>68</v>
      </c>
      <c r="B10" s="3">
        <v>40529</v>
      </c>
      <c r="C10" s="3">
        <v>40529</v>
      </c>
      <c r="D10" s="3">
        <v>84959</v>
      </c>
      <c r="E10" s="3">
        <v>31378</v>
      </c>
      <c r="F10" s="3">
        <v>28808</v>
      </c>
    </row>
    <row r="11" spans="1:6" x14ac:dyDescent="0.2">
      <c r="A11" t="s">
        <v>69</v>
      </c>
      <c r="B11" s="3">
        <v>225246</v>
      </c>
      <c r="C11" s="3">
        <v>225246</v>
      </c>
      <c r="D11" s="3">
        <v>366062</v>
      </c>
      <c r="E11" s="3">
        <v>292427</v>
      </c>
      <c r="F11" s="3">
        <v>118996</v>
      </c>
    </row>
    <row r="12" spans="1:6" x14ac:dyDescent="0.2">
      <c r="A12" t="s">
        <v>70</v>
      </c>
      <c r="B12" s="3">
        <v>33313</v>
      </c>
      <c r="C12" s="3">
        <v>38955</v>
      </c>
      <c r="D12" s="3">
        <v>156662</v>
      </c>
      <c r="E12" s="3">
        <v>33325</v>
      </c>
      <c r="F12" s="3">
        <v>109545</v>
      </c>
    </row>
    <row r="13" spans="1:6" x14ac:dyDescent="0.2">
      <c r="A13" t="s">
        <v>71</v>
      </c>
      <c r="B13" s="3">
        <v>554506</v>
      </c>
      <c r="C13" s="3">
        <v>554506</v>
      </c>
      <c r="D13" s="3">
        <v>521755</v>
      </c>
      <c r="E13" s="3">
        <v>494461</v>
      </c>
      <c r="F13" s="3">
        <v>290370</v>
      </c>
    </row>
    <row r="14" spans="1:6" x14ac:dyDescent="0.2">
      <c r="A14" t="s">
        <v>72</v>
      </c>
    </row>
    <row r="15" spans="1:6" x14ac:dyDescent="0.2">
      <c r="A15" t="s">
        <v>73</v>
      </c>
      <c r="B15" s="3">
        <v>-329260</v>
      </c>
      <c r="C15" s="3">
        <v>-329260</v>
      </c>
      <c r="D15" s="3">
        <v>-155693</v>
      </c>
      <c r="E15" s="3">
        <v>-202034</v>
      </c>
      <c r="F15" s="3">
        <v>-171374</v>
      </c>
    </row>
    <row r="16" spans="1:6" x14ac:dyDescent="0.2">
      <c r="A16" t="s">
        <v>74</v>
      </c>
      <c r="B16" s="3">
        <v>-3094</v>
      </c>
      <c r="C16" s="3">
        <v>-3094</v>
      </c>
      <c r="D16" s="3">
        <v>-2531</v>
      </c>
      <c r="E16" s="3">
        <v>-1770</v>
      </c>
      <c r="F16" s="3">
        <v>-1713</v>
      </c>
    </row>
    <row r="17" spans="1:6" x14ac:dyDescent="0.2">
      <c r="A17" t="s">
        <v>75</v>
      </c>
      <c r="B17" t="s">
        <v>56</v>
      </c>
      <c r="C17" s="3">
        <v>4275</v>
      </c>
      <c r="D17" s="3">
        <v>-6250</v>
      </c>
      <c r="E17" t="s">
        <v>56</v>
      </c>
      <c r="F17" s="3">
        <v>-2303</v>
      </c>
    </row>
    <row r="18" spans="1:6" x14ac:dyDescent="0.2">
      <c r="A18" t="s">
        <v>76</v>
      </c>
      <c r="B18" s="3">
        <v>-324985</v>
      </c>
      <c r="C18" s="3">
        <v>-324985</v>
      </c>
      <c r="D18" s="3">
        <v>-161943</v>
      </c>
      <c r="E18" s="3">
        <v>-200419</v>
      </c>
      <c r="F18" s="3">
        <v>-173677</v>
      </c>
    </row>
    <row r="19" spans="1:6" x14ac:dyDescent="0.2">
      <c r="A19" t="s">
        <v>77</v>
      </c>
    </row>
    <row r="20" spans="1:6" x14ac:dyDescent="0.2">
      <c r="A20" t="s">
        <v>78</v>
      </c>
      <c r="B20" s="3">
        <v>-127988</v>
      </c>
      <c r="C20" s="3">
        <v>-127988</v>
      </c>
      <c r="D20" s="3">
        <v>-347278</v>
      </c>
      <c r="E20" s="3">
        <v>-330861</v>
      </c>
      <c r="F20" s="3">
        <v>-698995</v>
      </c>
    </row>
    <row r="21" spans="1:6" x14ac:dyDescent="0.2">
      <c r="A21" t="s">
        <v>79</v>
      </c>
      <c r="B21" s="3">
        <v>-9374</v>
      </c>
      <c r="C21" s="3">
        <v>-9374</v>
      </c>
      <c r="D21" s="3">
        <v>-9374</v>
      </c>
      <c r="E21" s="3">
        <v>-9374</v>
      </c>
      <c r="F21" s="3">
        <v>-9369</v>
      </c>
    </row>
    <row r="22" spans="1:6" x14ac:dyDescent="0.2">
      <c r="A22" t="s">
        <v>80</v>
      </c>
      <c r="B22" s="3">
        <v>-36825</v>
      </c>
      <c r="C22" s="3">
        <v>-36825</v>
      </c>
      <c r="D22" s="3">
        <v>-40639</v>
      </c>
      <c r="E22" s="3">
        <v>-143628</v>
      </c>
      <c r="F22" s="3">
        <v>-27602</v>
      </c>
    </row>
    <row r="23" spans="1:6" x14ac:dyDescent="0.2">
      <c r="A23" t="s">
        <v>81</v>
      </c>
      <c r="B23" s="3">
        <v>-174187</v>
      </c>
      <c r="C23" s="3">
        <v>-174187</v>
      </c>
      <c r="D23" s="3">
        <v>-272291</v>
      </c>
      <c r="E23" s="3">
        <v>-248863</v>
      </c>
      <c r="F23" s="3">
        <v>-120627</v>
      </c>
    </row>
    <row r="24" spans="1:6" x14ac:dyDescent="0.2">
      <c r="A24" t="s">
        <v>82</v>
      </c>
      <c r="B24" s="3">
        <v>55334</v>
      </c>
      <c r="C24" s="3">
        <v>55334</v>
      </c>
      <c r="D24" s="3">
        <v>87521</v>
      </c>
      <c r="E24" s="3">
        <v>45179</v>
      </c>
      <c r="F24" s="3">
        <v>-3934</v>
      </c>
    </row>
    <row r="25" spans="1:6" x14ac:dyDescent="0.2">
      <c r="A25" t="s">
        <v>83</v>
      </c>
      <c r="B25" s="3">
        <v>142314</v>
      </c>
      <c r="C25" s="3">
        <v>142314</v>
      </c>
      <c r="D25" s="3">
        <v>54793</v>
      </c>
      <c r="E25" s="3">
        <v>9614</v>
      </c>
      <c r="F25" s="3">
        <v>13548</v>
      </c>
    </row>
    <row r="26" spans="1:6" x14ac:dyDescent="0.2">
      <c r="A26" t="s">
        <v>84</v>
      </c>
      <c r="B26" s="3">
        <v>197648</v>
      </c>
      <c r="C26" s="3">
        <v>197648</v>
      </c>
      <c r="D26" s="3">
        <v>142314</v>
      </c>
      <c r="E26" s="3">
        <v>54793</v>
      </c>
      <c r="F26" s="3">
        <v>9614</v>
      </c>
    </row>
    <row r="27" spans="1:6" x14ac:dyDescent="0.2">
      <c r="A27" t="s">
        <v>85</v>
      </c>
    </row>
    <row r="28" spans="1:6" x14ac:dyDescent="0.2">
      <c r="A28" t="s">
        <v>86</v>
      </c>
      <c r="B28" s="3">
        <v>554506</v>
      </c>
      <c r="C28" s="3">
        <v>554506</v>
      </c>
      <c r="D28" s="3">
        <v>521755</v>
      </c>
      <c r="E28" s="3">
        <v>494461</v>
      </c>
      <c r="F28" s="3">
        <v>290370</v>
      </c>
    </row>
    <row r="29" spans="1:6" x14ac:dyDescent="0.2">
      <c r="A29" t="s">
        <v>87</v>
      </c>
      <c r="B29" s="3">
        <v>-329260</v>
      </c>
      <c r="C29" s="3">
        <v>-329260</v>
      </c>
      <c r="D29" s="3">
        <v>-155693</v>
      </c>
      <c r="E29" s="3">
        <v>-202034</v>
      </c>
      <c r="F29" s="3">
        <v>-171374</v>
      </c>
    </row>
    <row r="30" spans="1:6" x14ac:dyDescent="0.2">
      <c r="A30" t="s">
        <v>85</v>
      </c>
      <c r="B30" s="3">
        <v>225246</v>
      </c>
      <c r="C30" s="3">
        <v>225246</v>
      </c>
      <c r="D30" s="3">
        <v>366062</v>
      </c>
      <c r="E30" s="3">
        <v>292427</v>
      </c>
      <c r="F30" s="3">
        <v>118996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B092-57E9-4977-891F-84538510E37F}">
  <dimension ref="A1:P129"/>
  <sheetViews>
    <sheetView workbookViewId="0">
      <selection activeCell="M10" sqref="M10"/>
    </sheetView>
  </sheetViews>
  <sheetFormatPr baseColWidth="10" defaultColWidth="8.83203125" defaultRowHeight="15" x14ac:dyDescent="0.2"/>
  <cols>
    <col min="1" max="2" width="13.1640625" customWidth="1"/>
    <col min="4" max="4" width="13.1640625" customWidth="1"/>
    <col min="8" max="8" width="15.5" customWidth="1"/>
    <col min="12" max="12" width="20.83203125" customWidth="1"/>
    <col min="13" max="13" width="18.1640625" customWidth="1"/>
  </cols>
  <sheetData>
    <row r="1" spans="1:13" x14ac:dyDescent="0.2">
      <c r="A1" t="s">
        <v>0</v>
      </c>
      <c r="B1" t="s">
        <v>2</v>
      </c>
      <c r="D1" t="s">
        <v>0</v>
      </c>
      <c r="E1" t="s">
        <v>3</v>
      </c>
      <c r="F1" t="s">
        <v>4</v>
      </c>
    </row>
    <row r="2" spans="1:13" x14ac:dyDescent="0.2">
      <c r="A2" s="1">
        <v>41275</v>
      </c>
      <c r="B2" s="22">
        <v>1498.11</v>
      </c>
      <c r="D2" s="1">
        <v>41275</v>
      </c>
      <c r="E2">
        <v>60.102364000000001</v>
      </c>
      <c r="G2" s="3"/>
      <c r="L2" t="s">
        <v>190</v>
      </c>
      <c r="M2">
        <f>SLOPE(C3:C128,F3:F128)</f>
        <v>9.7977053224841099E-2</v>
      </c>
    </row>
    <row r="3" spans="1:13" x14ac:dyDescent="0.2">
      <c r="A3" s="1">
        <v>41306</v>
      </c>
      <c r="B3" s="22">
        <v>1514.68</v>
      </c>
      <c r="C3">
        <f>B3/B2</f>
        <v>1.0110606030264802</v>
      </c>
      <c r="D3" s="1">
        <v>41306</v>
      </c>
      <c r="E3">
        <v>60.985405</v>
      </c>
      <c r="F3">
        <f>E3/E2</f>
        <v>1.0146922839840375</v>
      </c>
      <c r="G3" s="3"/>
    </row>
    <row r="4" spans="1:13" x14ac:dyDescent="0.2">
      <c r="A4" s="1">
        <v>41334</v>
      </c>
      <c r="B4" s="22">
        <v>1569.19</v>
      </c>
      <c r="C4">
        <f t="shared" ref="C4:C67" si="0">B4/B3</f>
        <v>1.0359877994031743</v>
      </c>
      <c r="D4" s="1">
        <v>41334</v>
      </c>
      <c r="E4">
        <v>56.222534000000003</v>
      </c>
      <c r="F4">
        <f t="shared" ref="F4:F67" si="1">E4/E3</f>
        <v>0.92190146150542085</v>
      </c>
      <c r="G4" s="3"/>
    </row>
    <row r="5" spans="1:13" x14ac:dyDescent="0.2">
      <c r="A5" s="1">
        <v>41365</v>
      </c>
      <c r="B5" s="22">
        <v>1597.57</v>
      </c>
      <c r="C5">
        <f t="shared" si="0"/>
        <v>1.018085763992888</v>
      </c>
      <c r="D5" s="1">
        <v>41365</v>
      </c>
      <c r="E5">
        <v>57.322384</v>
      </c>
      <c r="F5">
        <f t="shared" si="1"/>
        <v>1.0195624409244877</v>
      </c>
      <c r="G5" s="3"/>
      <c r="H5" t="s">
        <v>5</v>
      </c>
      <c r="L5" t="s">
        <v>30</v>
      </c>
      <c r="M5">
        <f>GEOMEAN(C3:C128)</f>
        <v>1.0087852043333272</v>
      </c>
    </row>
    <row r="6" spans="1:13" ht="16" thickBot="1" x14ac:dyDescent="0.25">
      <c r="A6" s="1">
        <v>41395</v>
      </c>
      <c r="B6" s="22">
        <v>1630.74</v>
      </c>
      <c r="C6">
        <f t="shared" si="0"/>
        <v>1.0207627834774065</v>
      </c>
      <c r="D6" s="1">
        <v>41395</v>
      </c>
      <c r="E6">
        <v>55.728535000000001</v>
      </c>
      <c r="F6">
        <f t="shared" si="1"/>
        <v>0.97219499803078668</v>
      </c>
      <c r="G6" s="3"/>
      <c r="L6" t="s">
        <v>31</v>
      </c>
      <c r="M6" s="2">
        <f>GEOMEAN(C3:C128)-1</f>
        <v>8.7852043333271901E-3</v>
      </c>
    </row>
    <row r="7" spans="1:13" x14ac:dyDescent="0.2">
      <c r="A7" s="1">
        <v>41426</v>
      </c>
      <c r="B7" s="22">
        <v>1606.28</v>
      </c>
      <c r="C7">
        <f t="shared" si="0"/>
        <v>0.98500067454039264</v>
      </c>
      <c r="D7" s="1">
        <v>41426</v>
      </c>
      <c r="E7">
        <v>57.228805999999999</v>
      </c>
      <c r="F7">
        <f t="shared" si="1"/>
        <v>1.026921055793051</v>
      </c>
      <c r="G7" s="3"/>
      <c r="H7" s="21" t="s">
        <v>6</v>
      </c>
      <c r="I7" s="21"/>
      <c r="L7" t="s">
        <v>32</v>
      </c>
      <c r="M7" s="2">
        <f>EFFECT(M6*12,12)</f>
        <v>0.11066847915249234</v>
      </c>
    </row>
    <row r="8" spans="1:13" x14ac:dyDescent="0.2">
      <c r="A8" s="1">
        <v>41456</v>
      </c>
      <c r="B8" s="22">
        <v>1685.73</v>
      </c>
      <c r="C8">
        <f t="shared" si="0"/>
        <v>1.0494621112134872</v>
      </c>
      <c r="D8" s="1">
        <v>41456</v>
      </c>
      <c r="E8">
        <v>59.765014999999998</v>
      </c>
      <c r="F8">
        <f t="shared" si="1"/>
        <v>1.0443170000785968</v>
      </c>
      <c r="G8" s="3"/>
      <c r="H8" t="s">
        <v>7</v>
      </c>
      <c r="I8">
        <v>0.26161481549302706</v>
      </c>
    </row>
    <row r="9" spans="1:13" x14ac:dyDescent="0.2">
      <c r="A9" s="1">
        <v>41487</v>
      </c>
      <c r="B9" s="22">
        <v>1632.97</v>
      </c>
      <c r="C9">
        <f t="shared" si="0"/>
        <v>0.9687019866763954</v>
      </c>
      <c r="D9" s="1">
        <v>41487</v>
      </c>
      <c r="E9">
        <v>59.038437000000002</v>
      </c>
      <c r="F9">
        <f t="shared" si="1"/>
        <v>0.98784275382512665</v>
      </c>
      <c r="G9" s="3"/>
      <c r="H9" t="s">
        <v>8</v>
      </c>
      <c r="I9">
        <v>6.8442311685450591E-2</v>
      </c>
      <c r="L9" t="s">
        <v>166</v>
      </c>
      <c r="M9" s="2">
        <v>4.0099999999999997E-2</v>
      </c>
    </row>
    <row r="10" spans="1:13" x14ac:dyDescent="0.2">
      <c r="A10" s="1">
        <v>41518</v>
      </c>
      <c r="B10" s="22">
        <v>1681.55</v>
      </c>
      <c r="C10">
        <f t="shared" si="0"/>
        <v>1.0297494748831884</v>
      </c>
      <c r="D10" s="1">
        <v>41518</v>
      </c>
      <c r="E10">
        <v>58.775390999999999</v>
      </c>
      <c r="F10">
        <f t="shared" si="1"/>
        <v>0.99554449586800542</v>
      </c>
      <c r="G10" s="3"/>
      <c r="H10" t="s">
        <v>9</v>
      </c>
      <c r="I10">
        <v>6.0929749682913904E-2</v>
      </c>
      <c r="L10" t="s">
        <v>167</v>
      </c>
      <c r="M10" s="2">
        <f>M9+M2*(M7-M9)</f>
        <v>4.7014091637919829E-2</v>
      </c>
    </row>
    <row r="11" spans="1:13" x14ac:dyDescent="0.2">
      <c r="A11" s="1">
        <v>41548</v>
      </c>
      <c r="B11" s="22">
        <v>1756.54</v>
      </c>
      <c r="C11">
        <f t="shared" si="0"/>
        <v>1.0445957598644109</v>
      </c>
      <c r="D11" s="1">
        <v>41548</v>
      </c>
      <c r="E11">
        <v>59.489407</v>
      </c>
      <c r="F11">
        <f t="shared" si="1"/>
        <v>1.0121482135269844</v>
      </c>
      <c r="G11" s="3"/>
      <c r="H11" t="s">
        <v>10</v>
      </c>
      <c r="I11">
        <v>4.0844558703027493E-2</v>
      </c>
      <c r="L11" s="17" t="s">
        <v>237</v>
      </c>
    </row>
    <row r="12" spans="1:13" ht="16" thickBot="1" x14ac:dyDescent="0.25">
      <c r="A12" s="1">
        <v>41579</v>
      </c>
      <c r="B12" s="22">
        <v>1805.81</v>
      </c>
      <c r="C12">
        <f t="shared" si="0"/>
        <v>1.0280494608719415</v>
      </c>
      <c r="D12" s="1">
        <v>41579</v>
      </c>
      <c r="E12">
        <v>64.042891999999995</v>
      </c>
      <c r="F12">
        <f t="shared" si="1"/>
        <v>1.0765427868527921</v>
      </c>
      <c r="G12" s="3"/>
      <c r="H12" s="19" t="s">
        <v>11</v>
      </c>
      <c r="I12" s="19">
        <v>126</v>
      </c>
      <c r="L12" s="17" t="s">
        <v>238</v>
      </c>
    </row>
    <row r="13" spans="1:13" x14ac:dyDescent="0.2">
      <c r="A13" s="1">
        <v>41609</v>
      </c>
      <c r="B13" s="22">
        <v>1848.36</v>
      </c>
      <c r="C13">
        <f t="shared" si="0"/>
        <v>1.0235628332991842</v>
      </c>
      <c r="D13" s="1">
        <v>41609</v>
      </c>
      <c r="E13">
        <v>69.032402000000005</v>
      </c>
      <c r="F13">
        <f t="shared" si="1"/>
        <v>1.0779088801923562</v>
      </c>
      <c r="G13" s="3"/>
      <c r="L13" s="18" t="s">
        <v>239</v>
      </c>
    </row>
    <row r="14" spans="1:13" ht="16" thickBot="1" x14ac:dyDescent="0.25">
      <c r="A14" s="1">
        <v>41640</v>
      </c>
      <c r="B14" s="22">
        <v>1782.59</v>
      </c>
      <c r="C14">
        <f t="shared" si="0"/>
        <v>0.96441710489298627</v>
      </c>
      <c r="D14" s="1">
        <v>41640</v>
      </c>
      <c r="E14">
        <v>64.401306000000005</v>
      </c>
      <c r="F14">
        <f t="shared" si="1"/>
        <v>0.93291416978363295</v>
      </c>
      <c r="G14" s="3"/>
      <c r="H14" t="s">
        <v>12</v>
      </c>
      <c r="L14" s="23" t="s">
        <v>240</v>
      </c>
    </row>
    <row r="15" spans="1:13" x14ac:dyDescent="0.2">
      <c r="A15" s="1">
        <v>41671</v>
      </c>
      <c r="B15" s="22">
        <v>1859.45</v>
      </c>
      <c r="C15">
        <f t="shared" si="0"/>
        <v>1.0431170375689307</v>
      </c>
      <c r="D15" s="1">
        <v>41671</v>
      </c>
      <c r="E15">
        <v>71.603081000000003</v>
      </c>
      <c r="F15">
        <f t="shared" si="1"/>
        <v>1.1118265365612305</v>
      </c>
      <c r="G15" s="3"/>
      <c r="H15" s="20"/>
      <c r="I15" s="20" t="s">
        <v>17</v>
      </c>
      <c r="J15" s="20" t="s">
        <v>18</v>
      </c>
      <c r="K15" s="20" t="s">
        <v>19</v>
      </c>
      <c r="L15" s="20" t="s">
        <v>20</v>
      </c>
      <c r="M15" s="20" t="s">
        <v>21</v>
      </c>
    </row>
    <row r="16" spans="1:13" x14ac:dyDescent="0.2">
      <c r="A16" s="1">
        <v>41699</v>
      </c>
      <c r="B16" s="22">
        <v>1872.34</v>
      </c>
      <c r="C16">
        <f t="shared" si="0"/>
        <v>1.0069321573583585</v>
      </c>
      <c r="D16" s="1">
        <v>41699</v>
      </c>
      <c r="E16">
        <v>80.444595000000007</v>
      </c>
      <c r="F16">
        <f t="shared" si="1"/>
        <v>1.1234795189888547</v>
      </c>
      <c r="G16" s="3"/>
      <c r="H16" t="s">
        <v>13</v>
      </c>
      <c r="I16">
        <v>1</v>
      </c>
      <c r="J16">
        <v>1.5198650094137983E-2</v>
      </c>
      <c r="K16">
        <v>1.5198650094137983E-2</v>
      </c>
      <c r="L16">
        <v>9.110382272031881</v>
      </c>
      <c r="M16">
        <v>3.0857150506016467E-3</v>
      </c>
    </row>
    <row r="17" spans="1:16" x14ac:dyDescent="0.2">
      <c r="A17" s="1">
        <v>41730</v>
      </c>
      <c r="B17" s="22">
        <v>1883.95</v>
      </c>
      <c r="C17">
        <f t="shared" si="0"/>
        <v>1.0062007968638176</v>
      </c>
      <c r="D17" s="1">
        <v>41730</v>
      </c>
      <c r="E17">
        <v>77.841353999999995</v>
      </c>
      <c r="F17">
        <f t="shared" si="1"/>
        <v>0.96763932990153023</v>
      </c>
      <c r="G17" s="3"/>
      <c r="H17" t="s">
        <v>14</v>
      </c>
      <c r="I17">
        <v>124</v>
      </c>
      <c r="J17">
        <v>0.20686646897998734</v>
      </c>
      <c r="K17">
        <v>1.6682779756450592E-3</v>
      </c>
    </row>
    <row r="18" spans="1:16" ht="16" thickBot="1" x14ac:dyDescent="0.25">
      <c r="A18" s="1">
        <v>41760</v>
      </c>
      <c r="B18" s="22">
        <v>1923.57</v>
      </c>
      <c r="C18">
        <f t="shared" si="0"/>
        <v>1.0210302821200137</v>
      </c>
      <c r="D18" s="1">
        <v>41760</v>
      </c>
      <c r="E18">
        <v>71.457695000000001</v>
      </c>
      <c r="F18">
        <f t="shared" si="1"/>
        <v>0.91799141880291557</v>
      </c>
      <c r="G18" s="3"/>
      <c r="H18" s="19" t="s">
        <v>15</v>
      </c>
      <c r="I18" s="19">
        <v>125</v>
      </c>
      <c r="J18" s="19">
        <v>0.22206511907412532</v>
      </c>
      <c r="K18" s="19"/>
      <c r="L18" s="19"/>
      <c r="M18" s="19"/>
    </row>
    <row r="19" spans="1:16" ht="16" thickBot="1" x14ac:dyDescent="0.25">
      <c r="A19" s="1">
        <v>41791</v>
      </c>
      <c r="B19" s="22">
        <v>1960.23</v>
      </c>
      <c r="C19">
        <f t="shared" si="0"/>
        <v>1.0190583134484319</v>
      </c>
      <c r="D19" s="1">
        <v>41791</v>
      </c>
      <c r="E19">
        <v>69.948036000000002</v>
      </c>
      <c r="F19">
        <f t="shared" si="1"/>
        <v>0.97887338795352974</v>
      </c>
      <c r="G19" s="3"/>
    </row>
    <row r="20" spans="1:16" x14ac:dyDescent="0.2">
      <c r="A20" s="1">
        <v>41821</v>
      </c>
      <c r="B20" s="22">
        <v>1930.67</v>
      </c>
      <c r="C20">
        <f t="shared" si="0"/>
        <v>0.98492013692270808</v>
      </c>
      <c r="D20" s="1">
        <v>41821</v>
      </c>
      <c r="E20">
        <v>66.292541999999997</v>
      </c>
      <c r="F20">
        <f t="shared" si="1"/>
        <v>0.94773986220285011</v>
      </c>
      <c r="G20" s="3"/>
      <c r="H20" s="20"/>
      <c r="I20" s="20" t="s">
        <v>22</v>
      </c>
      <c r="J20" s="20" t="s">
        <v>10</v>
      </c>
      <c r="K20" s="20" t="s">
        <v>23</v>
      </c>
      <c r="L20" s="20" t="s">
        <v>24</v>
      </c>
      <c r="M20" s="20" t="s">
        <v>25</v>
      </c>
      <c r="N20" s="20" t="s">
        <v>26</v>
      </c>
      <c r="O20" s="20" t="s">
        <v>27</v>
      </c>
      <c r="P20" s="20" t="s">
        <v>28</v>
      </c>
    </row>
    <row r="21" spans="1:16" x14ac:dyDescent="0.2">
      <c r="A21" s="1">
        <v>41852</v>
      </c>
      <c r="B21" s="22">
        <v>2003.37</v>
      </c>
      <c r="C21">
        <f t="shared" si="0"/>
        <v>1.0376553217276903</v>
      </c>
      <c r="D21" s="1">
        <v>41852</v>
      </c>
      <c r="E21">
        <v>70.853722000000005</v>
      </c>
      <c r="F21">
        <f t="shared" si="1"/>
        <v>1.0688038180825832</v>
      </c>
      <c r="G21" s="3"/>
      <c r="H21" t="s">
        <v>16</v>
      </c>
      <c r="I21">
        <v>0.90926236521168291</v>
      </c>
      <c r="J21">
        <v>3.3464746773716976E-2</v>
      </c>
      <c r="K21">
        <v>27.170752892886448</v>
      </c>
      <c r="L21">
        <v>4.6814802771078431E-54</v>
      </c>
      <c r="M21">
        <v>0.84302625731524827</v>
      </c>
      <c r="N21">
        <v>0.97549847310811755</v>
      </c>
      <c r="O21">
        <v>0.84302625731524827</v>
      </c>
      <c r="P21">
        <v>0.97549847310811755</v>
      </c>
    </row>
    <row r="22" spans="1:16" ht="16" thickBot="1" x14ac:dyDescent="0.25">
      <c r="A22" s="1">
        <v>41883</v>
      </c>
      <c r="B22" s="22">
        <v>1972.29</v>
      </c>
      <c r="C22">
        <f t="shared" si="0"/>
        <v>0.98448614085266328</v>
      </c>
      <c r="D22" s="1">
        <v>41883</v>
      </c>
      <c r="E22">
        <v>71.110969999999995</v>
      </c>
      <c r="F22">
        <f t="shared" si="1"/>
        <v>1.003630691412372</v>
      </c>
      <c r="G22" s="3"/>
      <c r="H22" s="19" t="s">
        <v>29</v>
      </c>
      <c r="I22" s="19">
        <v>9.7977053224841043E-2</v>
      </c>
      <c r="J22" s="19">
        <v>3.2460564883638902E-2</v>
      </c>
      <c r="K22" s="19">
        <v>3.0183409800802457</v>
      </c>
      <c r="L22" s="19">
        <v>3.0857150506017977E-3</v>
      </c>
      <c r="M22" s="19">
        <v>3.3728502576892652E-2</v>
      </c>
      <c r="N22" s="19">
        <v>0.16222560387278945</v>
      </c>
      <c r="O22" s="19">
        <v>3.3728502576892652E-2</v>
      </c>
      <c r="P22" s="19">
        <v>0.16222560387278945</v>
      </c>
    </row>
    <row r="23" spans="1:16" x14ac:dyDescent="0.2">
      <c r="A23" s="1">
        <v>41913</v>
      </c>
      <c r="B23" s="22">
        <v>2018.05</v>
      </c>
      <c r="C23">
        <f t="shared" si="0"/>
        <v>1.0232014561753089</v>
      </c>
      <c r="D23" s="1">
        <v>41913</v>
      </c>
      <c r="E23">
        <v>86.175499000000002</v>
      </c>
      <c r="F23">
        <f t="shared" si="1"/>
        <v>1.2118453594431353</v>
      </c>
      <c r="G23" s="3"/>
    </row>
    <row r="24" spans="1:16" x14ac:dyDescent="0.2">
      <c r="A24" s="1">
        <v>41944</v>
      </c>
      <c r="B24" s="22">
        <v>2067.56</v>
      </c>
      <c r="C24">
        <f t="shared" si="0"/>
        <v>1.024533584400783</v>
      </c>
      <c r="D24" s="1">
        <v>41944</v>
      </c>
      <c r="E24">
        <v>90.360748000000001</v>
      </c>
      <c r="F24">
        <f t="shared" si="1"/>
        <v>1.0485665769106831</v>
      </c>
      <c r="G24" s="3"/>
    </row>
    <row r="25" spans="1:16" x14ac:dyDescent="0.2">
      <c r="A25" s="1">
        <v>41974</v>
      </c>
      <c r="B25" s="22">
        <v>2058.9</v>
      </c>
      <c r="C25">
        <f t="shared" si="0"/>
        <v>0.99581148793747221</v>
      </c>
      <c r="D25" s="1">
        <v>41974</v>
      </c>
      <c r="E25">
        <v>84.120734999999996</v>
      </c>
      <c r="F25">
        <f t="shared" si="1"/>
        <v>0.93094332286846493</v>
      </c>
      <c r="G25" s="3"/>
    </row>
    <row r="26" spans="1:16" x14ac:dyDescent="0.2">
      <c r="A26" s="1">
        <v>42005</v>
      </c>
      <c r="B26" s="22">
        <v>1994.99</v>
      </c>
      <c r="C26">
        <f t="shared" si="0"/>
        <v>0.96895915294574764</v>
      </c>
      <c r="D26" s="1">
        <v>42005</v>
      </c>
      <c r="E26">
        <v>93.208404999999999</v>
      </c>
      <c r="F26">
        <f t="shared" si="1"/>
        <v>1.1080312719569081</v>
      </c>
      <c r="G26" s="3"/>
    </row>
    <row r="27" spans="1:16" x14ac:dyDescent="0.2">
      <c r="A27" s="1">
        <v>42036</v>
      </c>
      <c r="B27" s="22">
        <v>2104.5</v>
      </c>
      <c r="C27">
        <f t="shared" si="0"/>
        <v>1.0548925057268457</v>
      </c>
      <c r="D27" s="1">
        <v>42036</v>
      </c>
      <c r="E27">
        <v>99.994736000000003</v>
      </c>
      <c r="F27">
        <f t="shared" si="1"/>
        <v>1.0728081442869879</v>
      </c>
      <c r="G27" s="3"/>
    </row>
    <row r="28" spans="1:16" x14ac:dyDescent="0.2">
      <c r="A28" s="1">
        <v>42064</v>
      </c>
      <c r="B28" s="22">
        <v>2067.89</v>
      </c>
      <c r="C28">
        <f t="shared" si="0"/>
        <v>0.98260394392967443</v>
      </c>
      <c r="D28" s="1">
        <v>42064</v>
      </c>
      <c r="E28">
        <v>108.29969</v>
      </c>
      <c r="F28">
        <f t="shared" si="1"/>
        <v>1.0830539119579254</v>
      </c>
      <c r="G28" s="3"/>
    </row>
    <row r="29" spans="1:16" x14ac:dyDescent="0.2">
      <c r="A29" s="1">
        <v>42095</v>
      </c>
      <c r="B29" s="22">
        <v>2085.5100000000002</v>
      </c>
      <c r="C29">
        <f t="shared" si="0"/>
        <v>1.0085207627098154</v>
      </c>
      <c r="D29" s="1">
        <v>42095</v>
      </c>
      <c r="E29">
        <v>108.24221</v>
      </c>
      <c r="F29">
        <f t="shared" si="1"/>
        <v>0.99946925055833491</v>
      </c>
      <c r="G29" s="3"/>
    </row>
    <row r="30" spans="1:16" x14ac:dyDescent="0.2">
      <c r="A30" s="1">
        <v>42125</v>
      </c>
      <c r="B30" s="22">
        <v>2107.39</v>
      </c>
      <c r="C30">
        <f t="shared" si="0"/>
        <v>1.0104914385450081</v>
      </c>
      <c r="D30" s="1">
        <v>42125</v>
      </c>
      <c r="E30">
        <v>109.02739699999999</v>
      </c>
      <c r="F30">
        <f t="shared" si="1"/>
        <v>1.0072539816029256</v>
      </c>
      <c r="G30" s="3"/>
    </row>
    <row r="31" spans="1:16" x14ac:dyDescent="0.2">
      <c r="A31" s="1">
        <v>42156</v>
      </c>
      <c r="B31" s="22">
        <v>2063.11</v>
      </c>
      <c r="C31">
        <f t="shared" si="0"/>
        <v>0.9789882271435284</v>
      </c>
      <c r="D31" s="1">
        <v>42156</v>
      </c>
      <c r="E31">
        <v>145.027466</v>
      </c>
      <c r="F31">
        <f t="shared" si="1"/>
        <v>1.3301928688621265</v>
      </c>
      <c r="G31" s="3"/>
    </row>
    <row r="32" spans="1:16" x14ac:dyDescent="0.2">
      <c r="A32" s="1">
        <v>42186</v>
      </c>
      <c r="B32" s="22">
        <v>2103.84</v>
      </c>
      <c r="C32">
        <f t="shared" si="0"/>
        <v>1.0197420399300086</v>
      </c>
      <c r="D32" s="1">
        <v>42186</v>
      </c>
      <c r="E32">
        <v>155.52027899999999</v>
      </c>
      <c r="F32">
        <f t="shared" si="1"/>
        <v>1.0723505229002621</v>
      </c>
      <c r="G32" s="3"/>
    </row>
    <row r="33" spans="1:7" x14ac:dyDescent="0.2">
      <c r="A33" s="1">
        <v>42217</v>
      </c>
      <c r="B33" s="22">
        <v>1972.18</v>
      </c>
      <c r="C33">
        <f t="shared" si="0"/>
        <v>0.93741919537607421</v>
      </c>
      <c r="D33" s="1">
        <v>42217</v>
      </c>
      <c r="E33">
        <v>148.29740899999999</v>
      </c>
      <c r="F33">
        <f t="shared" si="1"/>
        <v>0.95355673198091417</v>
      </c>
      <c r="G33" s="3"/>
    </row>
    <row r="34" spans="1:7" x14ac:dyDescent="0.2">
      <c r="A34" s="1">
        <v>42248</v>
      </c>
      <c r="B34" s="22">
        <v>1920.03</v>
      </c>
      <c r="C34">
        <f t="shared" si="0"/>
        <v>0.97355718037907291</v>
      </c>
      <c r="D34" s="1">
        <v>42248</v>
      </c>
      <c r="E34">
        <v>185.94142199999999</v>
      </c>
      <c r="F34">
        <f t="shared" si="1"/>
        <v>1.2538413398712853</v>
      </c>
      <c r="G34" s="3"/>
    </row>
    <row r="35" spans="1:7" x14ac:dyDescent="0.2">
      <c r="A35" s="1">
        <v>42278</v>
      </c>
      <c r="B35" s="22">
        <v>2079.36</v>
      </c>
      <c r="C35">
        <f t="shared" si="0"/>
        <v>1.0829830783894003</v>
      </c>
      <c r="D35" s="1">
        <v>42278</v>
      </c>
      <c r="E35">
        <v>203.08552599999999</v>
      </c>
      <c r="F35">
        <f t="shared" si="1"/>
        <v>1.0922016397185561</v>
      </c>
      <c r="G35" s="3"/>
    </row>
    <row r="36" spans="1:7" x14ac:dyDescent="0.2">
      <c r="A36" s="1">
        <v>42309</v>
      </c>
      <c r="B36" s="22">
        <v>2080.41</v>
      </c>
      <c r="C36">
        <f t="shared" si="0"/>
        <v>1.0005049630655585</v>
      </c>
      <c r="D36" s="1">
        <v>42309</v>
      </c>
      <c r="E36">
        <v>186.444321</v>
      </c>
      <c r="F36">
        <f t="shared" si="1"/>
        <v>0.91805814364141347</v>
      </c>
      <c r="G36" s="3"/>
    </row>
    <row r="37" spans="1:7" x14ac:dyDescent="0.2">
      <c r="A37" s="1">
        <v>42339</v>
      </c>
      <c r="B37" s="22">
        <v>2043.94</v>
      </c>
      <c r="C37">
        <f t="shared" si="0"/>
        <v>0.98246980162564124</v>
      </c>
      <c r="D37" s="1">
        <v>42339</v>
      </c>
      <c r="E37">
        <v>175.70065299999999</v>
      </c>
      <c r="F37">
        <f t="shared" si="1"/>
        <v>0.94237599760413182</v>
      </c>
      <c r="G37" s="3"/>
    </row>
    <row r="38" spans="1:7" x14ac:dyDescent="0.2">
      <c r="A38" s="1">
        <v>42370</v>
      </c>
      <c r="B38" s="22">
        <v>1940.24</v>
      </c>
      <c r="C38">
        <f t="shared" si="0"/>
        <v>0.94926465551826378</v>
      </c>
      <c r="D38" s="1">
        <v>42370</v>
      </c>
      <c r="E38">
        <v>169.33727999999999</v>
      </c>
      <c r="F38">
        <f t="shared" si="1"/>
        <v>0.96378287222415737</v>
      </c>
      <c r="G38" s="3"/>
    </row>
    <row r="39" spans="1:7" x14ac:dyDescent="0.2">
      <c r="A39" s="1">
        <v>42401</v>
      </c>
      <c r="B39" s="22">
        <v>1932.23</v>
      </c>
      <c r="C39">
        <f t="shared" si="0"/>
        <v>0.99587164474498002</v>
      </c>
      <c r="D39" s="1">
        <v>42401</v>
      </c>
      <c r="E39">
        <v>168.448532</v>
      </c>
      <c r="F39">
        <f t="shared" si="1"/>
        <v>0.9947516105136448</v>
      </c>
      <c r="G39" s="3"/>
    </row>
    <row r="40" spans="1:7" x14ac:dyDescent="0.2">
      <c r="A40" s="1">
        <v>42430</v>
      </c>
      <c r="B40" s="22">
        <v>2059.7399999999998</v>
      </c>
      <c r="C40">
        <f t="shared" si="0"/>
        <v>1.0659911087189411</v>
      </c>
      <c r="D40" s="1">
        <v>42430</v>
      </c>
      <c r="E40">
        <v>154.02548200000001</v>
      </c>
      <c r="F40">
        <f t="shared" si="1"/>
        <v>0.91437711074858175</v>
      </c>
      <c r="G40" s="3"/>
    </row>
    <row r="41" spans="1:7" x14ac:dyDescent="0.2">
      <c r="A41" s="1">
        <v>42461</v>
      </c>
      <c r="B41" s="22">
        <v>2065.3000000000002</v>
      </c>
      <c r="C41">
        <f t="shared" si="0"/>
        <v>1.0026993698233759</v>
      </c>
      <c r="D41" s="1">
        <v>42461</v>
      </c>
      <c r="E41">
        <v>153.64948999999999</v>
      </c>
      <c r="F41">
        <f t="shared" si="1"/>
        <v>0.99755889742971215</v>
      </c>
      <c r="G41" s="3"/>
    </row>
    <row r="42" spans="1:7" x14ac:dyDescent="0.2">
      <c r="A42" s="1">
        <v>42491</v>
      </c>
      <c r="B42" s="22">
        <v>2096.9499999999998</v>
      </c>
      <c r="C42">
        <f t="shared" si="0"/>
        <v>1.0153246501718878</v>
      </c>
      <c r="D42" s="1">
        <v>42491</v>
      </c>
      <c r="E42">
        <v>119.25226600000001</v>
      </c>
      <c r="F42">
        <f t="shared" si="1"/>
        <v>0.7761318700114137</v>
      </c>
      <c r="G42" s="3"/>
    </row>
    <row r="43" spans="1:7" x14ac:dyDescent="0.2">
      <c r="A43" s="1">
        <v>42522</v>
      </c>
      <c r="B43" s="22">
        <v>2098.86</v>
      </c>
      <c r="C43">
        <f t="shared" si="0"/>
        <v>1.0009108467059302</v>
      </c>
      <c r="D43" s="1">
        <v>42522</v>
      </c>
      <c r="E43">
        <v>142.39785800000001</v>
      </c>
      <c r="F43">
        <f t="shared" si="1"/>
        <v>1.1940893265709518</v>
      </c>
      <c r="G43" s="3"/>
    </row>
    <row r="44" spans="1:7" x14ac:dyDescent="0.2">
      <c r="A44" s="1">
        <v>42552</v>
      </c>
      <c r="B44" s="22">
        <v>2173.6</v>
      </c>
      <c r="C44">
        <f t="shared" si="0"/>
        <v>1.0356098072286859</v>
      </c>
      <c r="D44" s="1">
        <v>42552</v>
      </c>
      <c r="E44">
        <v>137.51182600000001</v>
      </c>
      <c r="F44">
        <f t="shared" si="1"/>
        <v>0.96568746139425776</v>
      </c>
      <c r="G44" s="3"/>
    </row>
    <row r="45" spans="1:7" x14ac:dyDescent="0.2">
      <c r="A45" s="1">
        <v>42583</v>
      </c>
      <c r="B45" s="22">
        <v>2170.9499999999998</v>
      </c>
      <c r="C45">
        <f t="shared" si="0"/>
        <v>0.99878082443871918</v>
      </c>
      <c r="D45" s="1">
        <v>42583</v>
      </c>
      <c r="E45">
        <v>145.37669399999999</v>
      </c>
      <c r="F45">
        <f t="shared" si="1"/>
        <v>1.057194120889646</v>
      </c>
      <c r="G45" s="3"/>
    </row>
    <row r="46" spans="1:7" x14ac:dyDescent="0.2">
      <c r="A46" s="1">
        <v>42614</v>
      </c>
      <c r="B46" s="22">
        <v>2168.27</v>
      </c>
      <c r="C46">
        <f t="shared" si="0"/>
        <v>0.99876551740021657</v>
      </c>
      <c r="D46" s="1">
        <v>42614</v>
      </c>
      <c r="E46">
        <v>143.30682400000001</v>
      </c>
      <c r="F46">
        <f t="shared" si="1"/>
        <v>0.9857620231754618</v>
      </c>
      <c r="G46" s="3"/>
    </row>
    <row r="47" spans="1:7" x14ac:dyDescent="0.2">
      <c r="A47" s="1">
        <v>42644</v>
      </c>
      <c r="B47" s="22">
        <v>2126.15</v>
      </c>
      <c r="C47">
        <f t="shared" si="0"/>
        <v>0.98057437496252775</v>
      </c>
      <c r="D47" s="1">
        <v>42644</v>
      </c>
      <c r="E47">
        <v>136.67152400000001</v>
      </c>
      <c r="F47">
        <f t="shared" si="1"/>
        <v>0.95369864592072739</v>
      </c>
      <c r="G47" s="3"/>
    </row>
    <row r="48" spans="1:7" x14ac:dyDescent="0.2">
      <c r="A48" s="1">
        <v>42675</v>
      </c>
      <c r="B48" s="22">
        <v>2198.81</v>
      </c>
      <c r="C48">
        <f t="shared" si="0"/>
        <v>1.0341744467699832</v>
      </c>
      <c r="D48" s="1">
        <v>42675</v>
      </c>
      <c r="E48">
        <v>156.75027499999999</v>
      </c>
      <c r="F48">
        <f t="shared" si="1"/>
        <v>1.1469124687597687</v>
      </c>
      <c r="G48" s="3"/>
    </row>
    <row r="49" spans="1:7" x14ac:dyDescent="0.2">
      <c r="A49" s="1">
        <v>42705</v>
      </c>
      <c r="B49" s="22">
        <v>2238.83</v>
      </c>
      <c r="C49">
        <f t="shared" si="0"/>
        <v>1.018200754044233</v>
      </c>
      <c r="D49" s="1">
        <v>42705</v>
      </c>
      <c r="E49">
        <v>173.289581</v>
      </c>
      <c r="F49">
        <f t="shared" si="1"/>
        <v>1.1055137287637933</v>
      </c>
      <c r="G49" s="3"/>
    </row>
    <row r="50" spans="1:7" x14ac:dyDescent="0.2">
      <c r="A50" s="1">
        <v>42736</v>
      </c>
      <c r="B50" s="22">
        <v>2278.87</v>
      </c>
      <c r="C50">
        <f t="shared" si="0"/>
        <v>1.0178843413747358</v>
      </c>
      <c r="D50" s="1">
        <v>42736</v>
      </c>
      <c r="E50">
        <v>163.59080499999999</v>
      </c>
      <c r="F50">
        <f t="shared" si="1"/>
        <v>0.94403139563249328</v>
      </c>
      <c r="G50" s="3"/>
    </row>
    <row r="51" spans="1:7" x14ac:dyDescent="0.2">
      <c r="A51" s="1">
        <v>42767</v>
      </c>
      <c r="B51" s="22">
        <v>2363.64</v>
      </c>
      <c r="C51">
        <f t="shared" si="0"/>
        <v>1.0371982605414087</v>
      </c>
      <c r="D51" s="1">
        <v>42767</v>
      </c>
      <c r="E51">
        <v>166.966522</v>
      </c>
      <c r="F51">
        <f t="shared" si="1"/>
        <v>1.0206351267725591</v>
      </c>
      <c r="G51" s="3"/>
    </row>
    <row r="52" spans="1:7" x14ac:dyDescent="0.2">
      <c r="A52" s="1">
        <v>42795</v>
      </c>
      <c r="B52" s="22">
        <v>2362.7199999999998</v>
      </c>
      <c r="C52">
        <f t="shared" si="0"/>
        <v>0.99961076982958486</v>
      </c>
      <c r="D52" s="1">
        <v>42795</v>
      </c>
      <c r="E52">
        <v>199.909592</v>
      </c>
      <c r="F52">
        <f t="shared" si="1"/>
        <v>1.1973034450582853</v>
      </c>
      <c r="G52" s="3"/>
    </row>
    <row r="53" spans="1:7" x14ac:dyDescent="0.2">
      <c r="A53" s="1">
        <v>42826</v>
      </c>
      <c r="B53" s="22">
        <v>2384.1999999999998</v>
      </c>
      <c r="C53">
        <f t="shared" si="0"/>
        <v>1.009091216902553</v>
      </c>
      <c r="D53" s="1">
        <v>42826</v>
      </c>
      <c r="E53">
        <v>205.57633999999999</v>
      </c>
      <c r="F53">
        <f t="shared" si="1"/>
        <v>1.0283465537761689</v>
      </c>
      <c r="G53" s="3"/>
    </row>
    <row r="54" spans="1:7" x14ac:dyDescent="0.2">
      <c r="A54" s="1">
        <v>42856</v>
      </c>
      <c r="B54" s="22">
        <v>2411.8000000000002</v>
      </c>
      <c r="C54">
        <f t="shared" si="0"/>
        <v>1.0115762100494927</v>
      </c>
      <c r="D54" s="1">
        <v>42856</v>
      </c>
      <c r="E54">
        <v>221.25221300000001</v>
      </c>
      <c r="F54">
        <f t="shared" si="1"/>
        <v>1.0762532935453566</v>
      </c>
      <c r="G54" s="3"/>
    </row>
    <row r="55" spans="1:7" x14ac:dyDescent="0.2">
      <c r="A55" s="1">
        <v>42887</v>
      </c>
      <c r="B55" s="22">
        <v>2423.41</v>
      </c>
      <c r="C55">
        <f t="shared" si="0"/>
        <v>1.0048138319927025</v>
      </c>
      <c r="D55" s="1">
        <v>42887</v>
      </c>
      <c r="E55">
        <v>222.350021</v>
      </c>
      <c r="F55">
        <f t="shared" si="1"/>
        <v>1.0049617944386391</v>
      </c>
      <c r="G55" s="3"/>
    </row>
    <row r="56" spans="1:7" x14ac:dyDescent="0.2">
      <c r="A56" s="1">
        <v>42917</v>
      </c>
      <c r="B56" s="22">
        <v>2470.3000000000002</v>
      </c>
      <c r="C56">
        <f t="shared" si="0"/>
        <v>1.0193487688835154</v>
      </c>
      <c r="D56" s="1">
        <v>42917</v>
      </c>
      <c r="E56">
        <v>233.25041200000001</v>
      </c>
      <c r="F56">
        <f t="shared" si="1"/>
        <v>1.049023566316641</v>
      </c>
      <c r="G56" s="3"/>
    </row>
    <row r="57" spans="1:7" x14ac:dyDescent="0.2">
      <c r="A57" s="1">
        <v>42948</v>
      </c>
      <c r="B57" s="22">
        <v>2471.65</v>
      </c>
      <c r="C57">
        <f t="shared" si="0"/>
        <v>1.0005464923288669</v>
      </c>
      <c r="D57" s="1">
        <v>42948</v>
      </c>
      <c r="E57">
        <v>207.72341900000001</v>
      </c>
      <c r="F57">
        <f t="shared" si="1"/>
        <v>0.89055970885058933</v>
      </c>
      <c r="G57" s="3"/>
    </row>
    <row r="58" spans="1:7" x14ac:dyDescent="0.2">
      <c r="A58" s="1">
        <v>42979</v>
      </c>
      <c r="B58" s="22">
        <v>2519.36</v>
      </c>
      <c r="C58">
        <f t="shared" si="0"/>
        <v>1.0193028948273422</v>
      </c>
      <c r="D58" s="1">
        <v>42979</v>
      </c>
      <c r="E58">
        <v>209.824051</v>
      </c>
      <c r="F58">
        <f t="shared" si="1"/>
        <v>1.0101126392494049</v>
      </c>
      <c r="G58" s="3"/>
    </row>
    <row r="59" spans="1:7" x14ac:dyDescent="0.2">
      <c r="A59" s="1">
        <v>43009</v>
      </c>
      <c r="B59" s="22">
        <v>2575.2600000000002</v>
      </c>
      <c r="C59">
        <f t="shared" si="0"/>
        <v>1.022188174774546</v>
      </c>
      <c r="D59" s="1">
        <v>43009</v>
      </c>
      <c r="E59">
        <v>219.36457799999999</v>
      </c>
      <c r="F59">
        <f t="shared" si="1"/>
        <v>1.0454691774109346</v>
      </c>
      <c r="G59" s="3"/>
    </row>
    <row r="60" spans="1:7" x14ac:dyDescent="0.2">
      <c r="A60" s="1">
        <v>43040</v>
      </c>
      <c r="B60" s="22">
        <v>2647.58</v>
      </c>
      <c r="C60">
        <f t="shared" si="0"/>
        <v>1.0280826013684055</v>
      </c>
      <c r="D60" s="1">
        <v>43040</v>
      </c>
      <c r="E60">
        <v>210.020218</v>
      </c>
      <c r="F60">
        <f t="shared" si="1"/>
        <v>0.95740260307660063</v>
      </c>
      <c r="G60" s="3"/>
    </row>
    <row r="61" spans="1:7" x14ac:dyDescent="0.2">
      <c r="A61" s="1">
        <v>43070</v>
      </c>
      <c r="B61" s="22">
        <v>2673.61</v>
      </c>
      <c r="C61">
        <f t="shared" si="0"/>
        <v>1.0098316198188535</v>
      </c>
      <c r="D61" s="1">
        <v>43070</v>
      </c>
      <c r="E61">
        <v>209.58210800000001</v>
      </c>
      <c r="F61">
        <f t="shared" si="1"/>
        <v>0.9979139627404825</v>
      </c>
      <c r="G61" s="3"/>
    </row>
    <row r="62" spans="1:7" x14ac:dyDescent="0.2">
      <c r="A62" s="1">
        <v>43101</v>
      </c>
      <c r="B62" s="22">
        <v>2823.81</v>
      </c>
      <c r="C62">
        <f t="shared" si="0"/>
        <v>1.0561787246457037</v>
      </c>
      <c r="D62" s="1">
        <v>43101</v>
      </c>
      <c r="E62">
        <v>197.178146</v>
      </c>
      <c r="F62">
        <f t="shared" si="1"/>
        <v>0.94081573986267941</v>
      </c>
      <c r="G62" s="3"/>
    </row>
    <row r="63" spans="1:7" x14ac:dyDescent="0.2">
      <c r="A63" s="1">
        <v>43132</v>
      </c>
      <c r="B63" s="22">
        <v>2713.83</v>
      </c>
      <c r="C63">
        <f t="shared" si="0"/>
        <v>0.96105262039584816</v>
      </c>
      <c r="D63" s="1">
        <v>43132</v>
      </c>
      <c r="E63">
        <v>181.90907300000001</v>
      </c>
      <c r="F63">
        <f t="shared" si="1"/>
        <v>0.92256204194150404</v>
      </c>
      <c r="G63" s="3"/>
    </row>
    <row r="64" spans="1:7" x14ac:dyDescent="0.2">
      <c r="A64" s="1">
        <v>43160</v>
      </c>
      <c r="B64" s="22">
        <v>2640.87</v>
      </c>
      <c r="C64">
        <f t="shared" si="0"/>
        <v>0.97311548623163568</v>
      </c>
      <c r="D64" s="1">
        <v>43160</v>
      </c>
      <c r="E64">
        <v>168.32023599999999</v>
      </c>
      <c r="F64">
        <f t="shared" si="1"/>
        <v>0.9252987397720398</v>
      </c>
      <c r="G64" s="3"/>
    </row>
    <row r="65" spans="1:7" x14ac:dyDescent="0.2">
      <c r="A65" s="1">
        <v>43191</v>
      </c>
      <c r="B65" s="22">
        <v>2648.05</v>
      </c>
      <c r="C65">
        <f t="shared" si="0"/>
        <v>1.0027188010011854</v>
      </c>
      <c r="D65" s="1">
        <v>43191</v>
      </c>
      <c r="E65">
        <v>164.148087</v>
      </c>
      <c r="F65">
        <f t="shared" si="1"/>
        <v>0.97521302786196196</v>
      </c>
      <c r="G65" s="3"/>
    </row>
    <row r="66" spans="1:7" x14ac:dyDescent="0.2">
      <c r="A66" s="1">
        <v>43221</v>
      </c>
      <c r="B66" s="22">
        <v>2705.27</v>
      </c>
      <c r="C66">
        <f t="shared" si="0"/>
        <v>1.0216083533165914</v>
      </c>
      <c r="D66" s="1">
        <v>43221</v>
      </c>
      <c r="E66">
        <v>124.38806200000001</v>
      </c>
      <c r="F66">
        <f t="shared" si="1"/>
        <v>0.75777954086056454</v>
      </c>
      <c r="G66" s="3"/>
    </row>
    <row r="67" spans="1:7" x14ac:dyDescent="0.2">
      <c r="A67" s="1">
        <v>43252</v>
      </c>
      <c r="B67" s="22">
        <v>2718.37</v>
      </c>
      <c r="C67">
        <f t="shared" si="0"/>
        <v>1.0048424002040461</v>
      </c>
      <c r="D67" s="1">
        <v>43252</v>
      </c>
      <c r="E67">
        <v>131.92495700000001</v>
      </c>
      <c r="F67">
        <f t="shared" si="1"/>
        <v>1.0605917873372768</v>
      </c>
      <c r="G67" s="3"/>
    </row>
    <row r="68" spans="1:7" x14ac:dyDescent="0.2">
      <c r="A68" s="1">
        <v>43282</v>
      </c>
      <c r="B68" s="22">
        <v>2816.29</v>
      </c>
      <c r="C68">
        <f t="shared" ref="C68:C128" si="2">B68/B67</f>
        <v>1.0360215864654188</v>
      </c>
      <c r="D68" s="1">
        <v>43282</v>
      </c>
      <c r="E68">
        <v>141.67799400000001</v>
      </c>
      <c r="F68">
        <f t="shared" ref="F68:F128" si="3">E68/E67</f>
        <v>1.0739286729500317</v>
      </c>
      <c r="G68" s="3"/>
    </row>
    <row r="69" spans="1:7" x14ac:dyDescent="0.2">
      <c r="A69" s="1">
        <v>43313</v>
      </c>
      <c r="B69" s="22">
        <v>2901.52</v>
      </c>
      <c r="C69">
        <f t="shared" si="2"/>
        <v>1.0302632186316041</v>
      </c>
      <c r="D69" s="1">
        <v>43313</v>
      </c>
      <c r="E69">
        <v>165.838379</v>
      </c>
      <c r="F69">
        <f t="shared" si="3"/>
        <v>1.1705302589193916</v>
      </c>
      <c r="G69" s="3"/>
    </row>
    <row r="70" spans="1:7" x14ac:dyDescent="0.2">
      <c r="A70" s="1">
        <v>43344</v>
      </c>
      <c r="B70" s="22">
        <v>2913.98</v>
      </c>
      <c r="C70">
        <f t="shared" si="2"/>
        <v>1.0042943009181395</v>
      </c>
      <c r="D70" s="1">
        <v>43344</v>
      </c>
      <c r="E70">
        <v>178.27915999999999</v>
      </c>
      <c r="F70">
        <f t="shared" si="3"/>
        <v>1.0750175024322928</v>
      </c>
      <c r="G70" s="3"/>
    </row>
    <row r="71" spans="1:7" x14ac:dyDescent="0.2">
      <c r="A71" s="1">
        <v>43374</v>
      </c>
      <c r="B71" s="22">
        <v>2711.74</v>
      </c>
      <c r="C71">
        <f t="shared" si="2"/>
        <v>0.93059664102018536</v>
      </c>
      <c r="D71" s="1">
        <v>43374</v>
      </c>
      <c r="E71">
        <v>168.840958</v>
      </c>
      <c r="F71">
        <f t="shared" si="3"/>
        <v>0.94705942074216642</v>
      </c>
      <c r="G71" s="3"/>
    </row>
    <row r="72" spans="1:7" x14ac:dyDescent="0.2">
      <c r="A72" s="1">
        <v>43405</v>
      </c>
      <c r="B72" s="22">
        <v>2760.17</v>
      </c>
      <c r="C72">
        <f t="shared" si="2"/>
        <v>1.0178593817991402</v>
      </c>
      <c r="D72" s="1">
        <v>43405</v>
      </c>
      <c r="E72">
        <v>208.16348300000001</v>
      </c>
      <c r="F72">
        <f t="shared" si="3"/>
        <v>1.232896836560238</v>
      </c>
      <c r="G72" s="3"/>
    </row>
    <row r="73" spans="1:7" x14ac:dyDescent="0.2">
      <c r="A73" s="1">
        <v>43435</v>
      </c>
      <c r="B73" s="22">
        <v>2506.85</v>
      </c>
      <c r="C73">
        <f t="shared" si="2"/>
        <v>0.90822304423278266</v>
      </c>
      <c r="D73" s="1">
        <v>43435</v>
      </c>
      <c r="E73">
        <v>173.74380500000001</v>
      </c>
      <c r="F73">
        <f t="shared" si="3"/>
        <v>0.83465073939025125</v>
      </c>
      <c r="G73" s="3"/>
    </row>
    <row r="74" spans="1:7" x14ac:dyDescent="0.2">
      <c r="A74" s="1">
        <v>43466</v>
      </c>
      <c r="B74" s="22">
        <v>2704.1</v>
      </c>
      <c r="C74">
        <f t="shared" si="2"/>
        <v>1.0786844047310369</v>
      </c>
      <c r="D74" s="1">
        <v>43466</v>
      </c>
      <c r="E74">
        <v>211.37619000000001</v>
      </c>
      <c r="F74">
        <f t="shared" si="3"/>
        <v>1.2165969888825676</v>
      </c>
      <c r="G74" s="3"/>
    </row>
    <row r="75" spans="1:7" x14ac:dyDescent="0.2">
      <c r="A75" s="1">
        <v>43497</v>
      </c>
      <c r="B75" s="22">
        <v>2784.49</v>
      </c>
      <c r="C75">
        <f t="shared" si="2"/>
        <v>1.0297289301431161</v>
      </c>
      <c r="D75" s="1">
        <v>43497</v>
      </c>
      <c r="E75">
        <v>243.063187</v>
      </c>
      <c r="F75">
        <f t="shared" si="3"/>
        <v>1.1499080714814662</v>
      </c>
      <c r="G75" s="3"/>
    </row>
    <row r="76" spans="1:7" x14ac:dyDescent="0.2">
      <c r="A76" s="1">
        <v>43525</v>
      </c>
      <c r="B76" s="22">
        <v>2834.4</v>
      </c>
      <c r="C76">
        <f t="shared" si="2"/>
        <v>1.0179242877510783</v>
      </c>
      <c r="D76" s="1">
        <v>43525</v>
      </c>
      <c r="E76">
        <v>282.25964399999998</v>
      </c>
      <c r="F76">
        <f t="shared" si="3"/>
        <v>1.1612603598421507</v>
      </c>
      <c r="G76" s="3"/>
    </row>
    <row r="77" spans="1:7" x14ac:dyDescent="0.2">
      <c r="A77" s="1">
        <v>43556</v>
      </c>
      <c r="B77" s="22">
        <v>2945.83</v>
      </c>
      <c r="C77">
        <f t="shared" si="2"/>
        <v>1.0393134349421393</v>
      </c>
      <c r="D77" s="1">
        <v>43556</v>
      </c>
      <c r="E77">
        <v>318.739777</v>
      </c>
      <c r="F77">
        <f t="shared" si="3"/>
        <v>1.1292431765413833</v>
      </c>
      <c r="G77" s="3"/>
    </row>
    <row r="78" spans="1:7" x14ac:dyDescent="0.2">
      <c r="A78" s="1">
        <v>43586</v>
      </c>
      <c r="B78" s="22">
        <v>2752.06</v>
      </c>
      <c r="C78">
        <f t="shared" si="2"/>
        <v>0.93422227351883846</v>
      </c>
      <c r="D78" s="1">
        <v>43586</v>
      </c>
      <c r="E78">
        <v>296.39651500000002</v>
      </c>
      <c r="F78">
        <f t="shared" si="3"/>
        <v>0.92990124354639303</v>
      </c>
      <c r="G78" s="3"/>
    </row>
    <row r="79" spans="1:7" x14ac:dyDescent="0.2">
      <c r="A79" s="1">
        <v>43617</v>
      </c>
      <c r="B79" s="22">
        <v>2941.76</v>
      </c>
      <c r="C79">
        <f t="shared" si="2"/>
        <v>1.068930183208215</v>
      </c>
      <c r="D79" s="1">
        <v>43617</v>
      </c>
      <c r="E79">
        <v>293.68780500000003</v>
      </c>
      <c r="F79">
        <f t="shared" si="3"/>
        <v>0.99086119484232127</v>
      </c>
      <c r="G79" s="3"/>
    </row>
    <row r="80" spans="1:7" x14ac:dyDescent="0.2">
      <c r="A80" s="1">
        <v>43647</v>
      </c>
      <c r="B80" s="22">
        <v>2980.38</v>
      </c>
      <c r="C80">
        <f t="shared" si="2"/>
        <v>1.0131281953660394</v>
      </c>
      <c r="D80" s="1">
        <v>43647</v>
      </c>
      <c r="E80">
        <v>288.07412699999998</v>
      </c>
      <c r="F80">
        <f t="shared" si="3"/>
        <v>0.98088555975281289</v>
      </c>
      <c r="G80" s="3"/>
    </row>
    <row r="81" spans="1:7" x14ac:dyDescent="0.2">
      <c r="A81" s="1">
        <v>43678</v>
      </c>
      <c r="B81" s="22">
        <v>2926.46</v>
      </c>
      <c r="C81">
        <f t="shared" si="2"/>
        <v>0.98190834725773224</v>
      </c>
      <c r="D81" s="1">
        <v>43678</v>
      </c>
      <c r="E81">
        <v>330.63812300000001</v>
      </c>
      <c r="F81">
        <f t="shared" si="3"/>
        <v>1.1477536231499195</v>
      </c>
      <c r="G81" s="3"/>
    </row>
    <row r="82" spans="1:7" x14ac:dyDescent="0.2">
      <c r="A82" s="1">
        <v>43709</v>
      </c>
      <c r="B82" s="22">
        <v>2976.74</v>
      </c>
      <c r="C82">
        <f t="shared" si="2"/>
        <v>1.0171811676906568</v>
      </c>
      <c r="D82" s="1">
        <v>43709</v>
      </c>
      <c r="E82">
        <v>298.47903400000001</v>
      </c>
      <c r="F82">
        <f t="shared" si="3"/>
        <v>0.90273629456818572</v>
      </c>
      <c r="G82" s="3"/>
    </row>
    <row r="83" spans="1:7" x14ac:dyDescent="0.2">
      <c r="A83" s="1">
        <v>43739</v>
      </c>
      <c r="B83" s="22">
        <v>3037.56</v>
      </c>
      <c r="C83">
        <f t="shared" si="2"/>
        <v>1.0204317474821449</v>
      </c>
      <c r="D83" s="1">
        <v>43739</v>
      </c>
      <c r="E83">
        <v>269.49252300000001</v>
      </c>
      <c r="F83">
        <f t="shared" si="3"/>
        <v>0.9028859393856119</v>
      </c>
      <c r="G83" s="3"/>
    </row>
    <row r="84" spans="1:7" x14ac:dyDescent="0.2">
      <c r="A84" s="1">
        <v>43770</v>
      </c>
      <c r="B84" s="22">
        <v>3140.98</v>
      </c>
      <c r="C84">
        <f t="shared" si="2"/>
        <v>1.0340470640909152</v>
      </c>
      <c r="D84" s="1">
        <v>43770</v>
      </c>
      <c r="E84">
        <v>265.61196899999999</v>
      </c>
      <c r="F84">
        <f t="shared" si="3"/>
        <v>0.98560051330255272</v>
      </c>
      <c r="G84" s="3"/>
    </row>
    <row r="85" spans="1:7" x14ac:dyDescent="0.2">
      <c r="A85" s="1">
        <v>43800</v>
      </c>
      <c r="B85" s="22">
        <v>3230.78</v>
      </c>
      <c r="C85">
        <f t="shared" si="2"/>
        <v>1.0285898031824463</v>
      </c>
      <c r="D85" s="1">
        <v>43800</v>
      </c>
      <c r="E85">
        <v>279.26806599999998</v>
      </c>
      <c r="F85">
        <f t="shared" si="3"/>
        <v>1.0514137109536656</v>
      </c>
      <c r="G85" s="3"/>
    </row>
    <row r="86" spans="1:7" x14ac:dyDescent="0.2">
      <c r="A86" s="1">
        <v>43831</v>
      </c>
      <c r="B86" s="22">
        <v>3225.52</v>
      </c>
      <c r="C86">
        <f t="shared" si="2"/>
        <v>0.99837191018887073</v>
      </c>
      <c r="D86" s="1">
        <v>43831</v>
      </c>
      <c r="E86">
        <v>266.25103799999999</v>
      </c>
      <c r="F86">
        <f t="shared" si="3"/>
        <v>0.95338877020045687</v>
      </c>
      <c r="G86" s="3"/>
    </row>
    <row r="87" spans="1:7" x14ac:dyDescent="0.2">
      <c r="A87" s="1">
        <v>43862</v>
      </c>
      <c r="B87" s="22">
        <v>2954.22</v>
      </c>
      <c r="C87">
        <f t="shared" si="2"/>
        <v>0.91588953099035186</v>
      </c>
      <c r="D87" s="1">
        <v>43862</v>
      </c>
      <c r="E87">
        <v>193.245407</v>
      </c>
      <c r="F87">
        <f t="shared" si="3"/>
        <v>0.72580151593624964</v>
      </c>
      <c r="G87" s="3"/>
    </row>
    <row r="88" spans="1:7" x14ac:dyDescent="0.2">
      <c r="A88" s="1">
        <v>43891</v>
      </c>
      <c r="B88" s="22">
        <v>2584.59</v>
      </c>
      <c r="C88">
        <f t="shared" si="2"/>
        <v>0.87488067916404344</v>
      </c>
      <c r="D88" s="1">
        <v>43891</v>
      </c>
      <c r="E88">
        <v>205.20143100000001</v>
      </c>
      <c r="F88">
        <f t="shared" si="3"/>
        <v>1.0618696412277473</v>
      </c>
      <c r="G88" s="3"/>
    </row>
    <row r="89" spans="1:7" x14ac:dyDescent="0.2">
      <c r="A89" s="1">
        <v>43922</v>
      </c>
      <c r="B89" s="22">
        <v>2912.43</v>
      </c>
      <c r="C89">
        <f t="shared" si="2"/>
        <v>1.1268441029331537</v>
      </c>
      <c r="D89" s="1">
        <v>43922</v>
      </c>
      <c r="E89">
        <v>231.711456</v>
      </c>
      <c r="F89">
        <f t="shared" si="3"/>
        <v>1.1291902540387253</v>
      </c>
      <c r="G89" s="3"/>
    </row>
    <row r="90" spans="1:7" x14ac:dyDescent="0.2">
      <c r="A90" s="1">
        <v>43952</v>
      </c>
      <c r="B90" s="22">
        <v>3044.31</v>
      </c>
      <c r="C90">
        <f t="shared" si="2"/>
        <v>1.0452817750126184</v>
      </c>
      <c r="D90" s="1">
        <v>43952</v>
      </c>
      <c r="E90">
        <v>239.812378</v>
      </c>
      <c r="F90">
        <f t="shared" si="3"/>
        <v>1.0349612493911393</v>
      </c>
      <c r="G90" s="3"/>
    </row>
    <row r="91" spans="1:7" x14ac:dyDescent="0.2">
      <c r="A91" s="1">
        <v>43983</v>
      </c>
      <c r="B91" s="22">
        <v>3100.29</v>
      </c>
      <c r="C91">
        <f t="shared" si="2"/>
        <v>1.0183884032835027</v>
      </c>
      <c r="D91" s="1">
        <v>43983</v>
      </c>
      <c r="E91">
        <v>225.78401199999999</v>
      </c>
      <c r="F91">
        <f t="shared" si="3"/>
        <v>0.94150274428286596</v>
      </c>
      <c r="G91" s="3"/>
    </row>
    <row r="92" spans="1:7" x14ac:dyDescent="0.2">
      <c r="A92" s="1">
        <v>44013</v>
      </c>
      <c r="B92" s="22">
        <v>3271.12</v>
      </c>
      <c r="C92">
        <f t="shared" si="2"/>
        <v>1.0551012969754443</v>
      </c>
      <c r="D92" s="1">
        <v>44013</v>
      </c>
      <c r="E92">
        <v>226.14849899999999</v>
      </c>
      <c r="F92">
        <f t="shared" si="3"/>
        <v>1.0016143171377432</v>
      </c>
      <c r="G92" s="3"/>
    </row>
    <row r="93" spans="1:7" x14ac:dyDescent="0.2">
      <c r="A93" s="1">
        <v>44044</v>
      </c>
      <c r="B93" s="22">
        <v>3500.31</v>
      </c>
      <c r="C93">
        <f t="shared" si="2"/>
        <v>1.0700646873242192</v>
      </c>
      <c r="D93" s="1">
        <v>44044</v>
      </c>
      <c r="E93">
        <v>269.53454599999998</v>
      </c>
      <c r="F93">
        <f t="shared" si="3"/>
        <v>1.1918476009871726</v>
      </c>
      <c r="G93" s="3"/>
    </row>
    <row r="94" spans="1:7" x14ac:dyDescent="0.2">
      <c r="A94" s="1">
        <v>44075</v>
      </c>
      <c r="B94" s="22">
        <v>3363</v>
      </c>
      <c r="C94">
        <f t="shared" si="2"/>
        <v>0.9607720459045056</v>
      </c>
      <c r="D94" s="1">
        <v>44075</v>
      </c>
      <c r="E94">
        <v>237.36398299999999</v>
      </c>
      <c r="F94">
        <f t="shared" si="3"/>
        <v>0.8806440084307412</v>
      </c>
      <c r="G94" s="3"/>
    </row>
    <row r="95" spans="1:7" x14ac:dyDescent="0.2">
      <c r="A95" s="1">
        <v>44105</v>
      </c>
      <c r="B95" s="22">
        <v>3269.96</v>
      </c>
      <c r="C95">
        <f t="shared" si="2"/>
        <v>0.9723342253939935</v>
      </c>
      <c r="D95" s="1">
        <v>44105</v>
      </c>
      <c r="E95">
        <v>225.795593</v>
      </c>
      <c r="F95">
        <f t="shared" si="3"/>
        <v>0.95126307768436802</v>
      </c>
      <c r="G95" s="3"/>
    </row>
    <row r="96" spans="1:7" x14ac:dyDescent="0.2">
      <c r="A96" s="1">
        <v>44136</v>
      </c>
      <c r="B96" s="22">
        <v>3621.63</v>
      </c>
      <c r="C96">
        <f t="shared" si="2"/>
        <v>1.1075456580508631</v>
      </c>
      <c r="D96" s="1">
        <v>44136</v>
      </c>
      <c r="E96">
        <v>258.34390300000001</v>
      </c>
      <c r="F96">
        <f t="shared" si="3"/>
        <v>1.1441494475935143</v>
      </c>
      <c r="G96" s="3"/>
    </row>
    <row r="97" spans="1:7" x14ac:dyDescent="0.2">
      <c r="A97" s="1">
        <v>44166</v>
      </c>
      <c r="B97" s="22">
        <v>3756.07</v>
      </c>
      <c r="C97">
        <f t="shared" si="2"/>
        <v>1.0371214066594323</v>
      </c>
      <c r="D97" s="1">
        <v>44166</v>
      </c>
      <c r="E97">
        <v>262.86532599999998</v>
      </c>
      <c r="F97">
        <f t="shared" si="3"/>
        <v>1.0175015665068743</v>
      </c>
      <c r="G97" s="3"/>
    </row>
    <row r="98" spans="1:7" x14ac:dyDescent="0.2">
      <c r="A98" s="1">
        <v>44197</v>
      </c>
      <c r="B98" s="22">
        <v>3714.24</v>
      </c>
      <c r="C98">
        <f t="shared" si="2"/>
        <v>0.98886335984153639</v>
      </c>
      <c r="D98" s="1">
        <v>44197</v>
      </c>
      <c r="E98">
        <v>263.44778400000001</v>
      </c>
      <c r="F98">
        <f t="shared" si="3"/>
        <v>1.0022158038447415</v>
      </c>
      <c r="G98" s="3"/>
    </row>
    <row r="99" spans="1:7" x14ac:dyDescent="0.2">
      <c r="A99" s="1">
        <v>44228</v>
      </c>
      <c r="B99" s="22">
        <v>3811.15</v>
      </c>
      <c r="C99">
        <f t="shared" si="2"/>
        <v>1.0260914749719998</v>
      </c>
      <c r="D99" s="1">
        <v>44228</v>
      </c>
      <c r="E99">
        <v>253.62571700000001</v>
      </c>
      <c r="F99">
        <f t="shared" si="3"/>
        <v>0.96271721534009946</v>
      </c>
      <c r="G99" s="3"/>
    </row>
    <row r="100" spans="1:7" x14ac:dyDescent="0.2">
      <c r="A100" s="1">
        <v>44256</v>
      </c>
      <c r="B100" s="22">
        <v>3972.89</v>
      </c>
      <c r="C100">
        <f t="shared" si="2"/>
        <v>1.0424386340081078</v>
      </c>
      <c r="D100" s="1">
        <v>44256</v>
      </c>
      <c r="E100">
        <v>285.36596700000001</v>
      </c>
      <c r="F100">
        <f t="shared" si="3"/>
        <v>1.1251460237370172</v>
      </c>
      <c r="G100" s="3"/>
    </row>
    <row r="101" spans="1:7" x14ac:dyDescent="0.2">
      <c r="A101" s="1">
        <v>44287</v>
      </c>
      <c r="B101" s="22">
        <v>4181.17</v>
      </c>
      <c r="C101">
        <f t="shared" si="2"/>
        <v>1.0524253125558474</v>
      </c>
      <c r="D101" s="1">
        <v>44287</v>
      </c>
      <c r="E101">
        <v>289.783142</v>
      </c>
      <c r="F101">
        <f t="shared" si="3"/>
        <v>1.0154789831683046</v>
      </c>
      <c r="G101" s="3"/>
    </row>
    <row r="102" spans="1:7" x14ac:dyDescent="0.2">
      <c r="A102" s="1">
        <v>44317</v>
      </c>
      <c r="B102" s="22">
        <v>4204.1099999999997</v>
      </c>
      <c r="C102">
        <f t="shared" si="2"/>
        <v>1.0054865025818132</v>
      </c>
      <c r="D102" s="1">
        <v>44317</v>
      </c>
      <c r="E102">
        <v>400.45285000000001</v>
      </c>
      <c r="F102">
        <f t="shared" si="3"/>
        <v>1.381905266249063</v>
      </c>
      <c r="G102" s="3"/>
    </row>
    <row r="103" spans="1:7" x14ac:dyDescent="0.2">
      <c r="A103" s="1">
        <v>44348</v>
      </c>
      <c r="B103" s="22">
        <v>4297.5</v>
      </c>
      <c r="C103">
        <f t="shared" si="2"/>
        <v>1.0222139763231695</v>
      </c>
      <c r="D103" s="1">
        <v>44348</v>
      </c>
      <c r="E103">
        <v>397.69360399999999</v>
      </c>
      <c r="F103">
        <f t="shared" si="3"/>
        <v>0.99310968569708014</v>
      </c>
      <c r="G103" s="3"/>
    </row>
    <row r="104" spans="1:7" x14ac:dyDescent="0.2">
      <c r="A104" s="1">
        <v>44378</v>
      </c>
      <c r="B104" s="22">
        <v>4395.26</v>
      </c>
      <c r="C104">
        <f t="shared" si="2"/>
        <v>1.0227481093659105</v>
      </c>
      <c r="D104" s="1">
        <v>44378</v>
      </c>
      <c r="E104">
        <v>394.74648999999999</v>
      </c>
      <c r="F104">
        <f t="shared" si="3"/>
        <v>0.99258948605067332</v>
      </c>
      <c r="G104" s="3"/>
    </row>
    <row r="105" spans="1:7" x14ac:dyDescent="0.2">
      <c r="A105" s="1">
        <v>44409</v>
      </c>
      <c r="B105" s="22">
        <v>4522.68</v>
      </c>
      <c r="C105">
        <f t="shared" si="2"/>
        <v>1.0289903213916811</v>
      </c>
      <c r="D105" s="1">
        <v>44409</v>
      </c>
      <c r="E105">
        <v>401.924622</v>
      </c>
      <c r="F105">
        <f t="shared" si="3"/>
        <v>1.0181841566216332</v>
      </c>
      <c r="G105" s="3"/>
    </row>
    <row r="106" spans="1:7" x14ac:dyDescent="0.2">
      <c r="A106" s="1">
        <v>44440</v>
      </c>
      <c r="B106" s="22">
        <v>4307.54</v>
      </c>
      <c r="C106">
        <f t="shared" si="2"/>
        <v>0.95243085957883367</v>
      </c>
      <c r="D106" s="1">
        <v>44440</v>
      </c>
      <c r="E106">
        <v>390.06954999999999</v>
      </c>
      <c r="F106">
        <f t="shared" si="3"/>
        <v>0.97050424046924899</v>
      </c>
      <c r="G106" s="3"/>
    </row>
    <row r="107" spans="1:7" x14ac:dyDescent="0.2">
      <c r="A107" s="1">
        <v>44470</v>
      </c>
      <c r="B107" s="22">
        <v>4605.38</v>
      </c>
      <c r="C107">
        <f t="shared" si="2"/>
        <v>1.0691438733012346</v>
      </c>
      <c r="D107" s="1">
        <v>44470</v>
      </c>
      <c r="E107">
        <v>397.21432499999997</v>
      </c>
      <c r="F107">
        <f t="shared" si="3"/>
        <v>1.0183166694247219</v>
      </c>
      <c r="G107" s="3"/>
    </row>
    <row r="108" spans="1:7" x14ac:dyDescent="0.2">
      <c r="A108" s="1">
        <v>44501</v>
      </c>
      <c r="B108" s="22">
        <v>4567</v>
      </c>
      <c r="C108">
        <f t="shared" si="2"/>
        <v>0.99166626858152851</v>
      </c>
      <c r="D108" s="1">
        <v>44501</v>
      </c>
      <c r="E108">
        <v>564.975281</v>
      </c>
      <c r="F108">
        <f t="shared" si="3"/>
        <v>1.4223436705108761</v>
      </c>
      <c r="G108" s="3"/>
    </row>
    <row r="109" spans="1:7" x14ac:dyDescent="0.2">
      <c r="A109" s="1">
        <v>44531</v>
      </c>
      <c r="B109" s="22">
        <v>4766.18</v>
      </c>
      <c r="C109">
        <f t="shared" si="2"/>
        <v>1.0436128749726299</v>
      </c>
      <c r="D109" s="1">
        <v>44531</v>
      </c>
      <c r="E109">
        <v>613.118469</v>
      </c>
      <c r="F109">
        <f t="shared" si="3"/>
        <v>1.0852129104034201</v>
      </c>
      <c r="G109" s="3"/>
    </row>
    <row r="110" spans="1:7" x14ac:dyDescent="0.2">
      <c r="A110" s="1">
        <v>44562</v>
      </c>
      <c r="B110" s="22">
        <v>4515.55</v>
      </c>
      <c r="C110">
        <f t="shared" si="2"/>
        <v>0.94741491089300023</v>
      </c>
      <c r="D110" s="1">
        <v>44562</v>
      </c>
      <c r="E110">
        <v>567.381348</v>
      </c>
      <c r="F110">
        <f t="shared" si="3"/>
        <v>0.9254024738895934</v>
      </c>
      <c r="G110" s="3"/>
    </row>
    <row r="111" spans="1:7" x14ac:dyDescent="0.2">
      <c r="A111" s="1">
        <v>44593</v>
      </c>
      <c r="B111" s="22">
        <v>4373.9399999999996</v>
      </c>
      <c r="C111">
        <f t="shared" si="2"/>
        <v>0.96863947913321735</v>
      </c>
      <c r="D111" s="1">
        <v>44593</v>
      </c>
      <c r="E111">
        <v>492.26769999999999</v>
      </c>
      <c r="F111">
        <f t="shared" si="3"/>
        <v>0.86761346973288234</v>
      </c>
      <c r="G111" s="3"/>
    </row>
    <row r="112" spans="1:7" x14ac:dyDescent="0.2">
      <c r="A112" s="1">
        <v>44621</v>
      </c>
      <c r="B112" s="22">
        <v>4530.41</v>
      </c>
      <c r="C112">
        <f t="shared" si="2"/>
        <v>1.0357732387732801</v>
      </c>
      <c r="D112" s="1">
        <v>44621</v>
      </c>
      <c r="E112">
        <v>492.188446</v>
      </c>
      <c r="F112">
        <f t="shared" si="3"/>
        <v>0.99983900223394706</v>
      </c>
      <c r="G112" s="3"/>
    </row>
    <row r="113" spans="1:7" x14ac:dyDescent="0.2">
      <c r="A113" s="1">
        <v>44652</v>
      </c>
      <c r="B113" s="22">
        <v>4131.93</v>
      </c>
      <c r="C113">
        <f t="shared" si="2"/>
        <v>0.91204328085096065</v>
      </c>
      <c r="D113" s="1">
        <v>44652</v>
      </c>
      <c r="E113">
        <v>437.35775799999999</v>
      </c>
      <c r="F113">
        <f t="shared" si="3"/>
        <v>0.88859818135592716</v>
      </c>
      <c r="G113" s="3"/>
    </row>
    <row r="114" spans="1:7" x14ac:dyDescent="0.2">
      <c r="A114" s="1">
        <v>44682</v>
      </c>
      <c r="B114" s="22">
        <v>4132.1499999999996</v>
      </c>
      <c r="C114">
        <f t="shared" si="2"/>
        <v>1.0000532438836087</v>
      </c>
      <c r="D114" s="1">
        <v>44682</v>
      </c>
      <c r="E114">
        <v>559.96490500000004</v>
      </c>
      <c r="F114">
        <f t="shared" si="3"/>
        <v>1.2803360515671933</v>
      </c>
      <c r="G114" s="3"/>
    </row>
    <row r="115" spans="1:7" x14ac:dyDescent="0.2">
      <c r="A115" s="1">
        <v>44713</v>
      </c>
      <c r="B115" s="22">
        <v>3785.38</v>
      </c>
      <c r="C115">
        <f t="shared" si="2"/>
        <v>0.91608000677613355</v>
      </c>
      <c r="D115" s="1">
        <v>44713</v>
      </c>
      <c r="E115">
        <v>558.90454099999999</v>
      </c>
      <c r="F115">
        <f t="shared" si="3"/>
        <v>0.99810637418428916</v>
      </c>
      <c r="G115" s="3"/>
    </row>
    <row r="116" spans="1:7" x14ac:dyDescent="0.2">
      <c r="A116" s="1">
        <v>44743</v>
      </c>
      <c r="B116" s="22">
        <v>4130.29</v>
      </c>
      <c r="C116">
        <f t="shared" si="2"/>
        <v>1.0911163476322059</v>
      </c>
      <c r="D116" s="1">
        <v>44743</v>
      </c>
      <c r="E116">
        <v>508.45538299999998</v>
      </c>
      <c r="F116">
        <f t="shared" si="3"/>
        <v>0.90973564482096414</v>
      </c>
      <c r="G116" s="3"/>
    </row>
    <row r="117" spans="1:7" x14ac:dyDescent="0.2">
      <c r="A117" s="1">
        <v>44774</v>
      </c>
      <c r="B117" s="22">
        <v>3955</v>
      </c>
      <c r="C117">
        <f t="shared" si="2"/>
        <v>0.95755988078318954</v>
      </c>
      <c r="D117" s="1">
        <v>44774</v>
      </c>
      <c r="E117">
        <v>470.35983299999998</v>
      </c>
      <c r="F117">
        <f t="shared" si="3"/>
        <v>0.9250759235250342</v>
      </c>
      <c r="G117" s="3"/>
    </row>
    <row r="118" spans="1:7" x14ac:dyDescent="0.2">
      <c r="A118" s="1">
        <v>44805</v>
      </c>
      <c r="B118" s="22">
        <v>3585.62</v>
      </c>
      <c r="C118">
        <f t="shared" si="2"/>
        <v>0.90660429835651068</v>
      </c>
      <c r="D118" s="1">
        <v>44805</v>
      </c>
      <c r="E118">
        <v>408.28381300000001</v>
      </c>
      <c r="F118">
        <f t="shared" si="3"/>
        <v>0.8680244025003726</v>
      </c>
      <c r="G118" s="3"/>
    </row>
    <row r="119" spans="1:7" x14ac:dyDescent="0.2">
      <c r="A119" s="1">
        <v>44835</v>
      </c>
      <c r="B119" s="22">
        <v>3871.98</v>
      </c>
      <c r="C119">
        <f t="shared" si="2"/>
        <v>1.0798634545768933</v>
      </c>
      <c r="D119" s="1">
        <v>44835</v>
      </c>
      <c r="E119">
        <v>482.93368500000003</v>
      </c>
      <c r="F119">
        <f t="shared" si="3"/>
        <v>1.1828381866317095</v>
      </c>
      <c r="G119" s="3"/>
    </row>
    <row r="120" spans="1:7" x14ac:dyDescent="0.2">
      <c r="A120" s="1">
        <v>44866</v>
      </c>
      <c r="B120" s="22">
        <v>4080.11</v>
      </c>
      <c r="C120">
        <f t="shared" si="2"/>
        <v>1.0537528602936999</v>
      </c>
      <c r="D120" s="1">
        <v>44866</v>
      </c>
      <c r="E120">
        <v>487.94332900000001</v>
      </c>
      <c r="F120">
        <f t="shared" si="3"/>
        <v>1.0103733579901348</v>
      </c>
      <c r="G120" s="3"/>
    </row>
    <row r="121" spans="1:7" x14ac:dyDescent="0.2">
      <c r="A121" s="1">
        <v>44896</v>
      </c>
      <c r="B121" s="22">
        <v>3839.5</v>
      </c>
      <c r="C121">
        <f t="shared" si="2"/>
        <v>0.94102855070083891</v>
      </c>
      <c r="D121" s="1">
        <v>44896</v>
      </c>
      <c r="E121">
        <v>508.34210200000001</v>
      </c>
      <c r="F121">
        <f t="shared" si="3"/>
        <v>1.0418056191931255</v>
      </c>
      <c r="G121" s="3"/>
    </row>
    <row r="122" spans="1:7" x14ac:dyDescent="0.2">
      <c r="A122" s="1">
        <v>44927</v>
      </c>
      <c r="B122" s="22">
        <v>4076.6</v>
      </c>
      <c r="C122">
        <f t="shared" si="2"/>
        <v>1.061752832400052</v>
      </c>
      <c r="D122" s="1">
        <v>44927</v>
      </c>
      <c r="E122">
        <v>502.80587800000001</v>
      </c>
      <c r="F122">
        <f t="shared" si="3"/>
        <v>0.98910925540454253</v>
      </c>
      <c r="G122" s="3"/>
    </row>
    <row r="123" spans="1:7" x14ac:dyDescent="0.2">
      <c r="A123" s="1">
        <v>44958</v>
      </c>
      <c r="B123" s="22">
        <v>3970.15</v>
      </c>
      <c r="C123">
        <f t="shared" si="2"/>
        <v>0.9738875533532847</v>
      </c>
      <c r="D123" s="1">
        <v>44958</v>
      </c>
      <c r="E123">
        <v>556.36206100000004</v>
      </c>
      <c r="F123">
        <f t="shared" si="3"/>
        <v>1.106514631875485</v>
      </c>
      <c r="G123" s="3"/>
    </row>
    <row r="124" spans="1:7" x14ac:dyDescent="0.2">
      <c r="A124" s="1">
        <v>44986</v>
      </c>
      <c r="B124" s="22">
        <v>4109.3100000000004</v>
      </c>
      <c r="C124">
        <f t="shared" si="2"/>
        <v>1.035051572358727</v>
      </c>
      <c r="D124" s="1">
        <v>44986</v>
      </c>
      <c r="E124">
        <v>534.61120600000004</v>
      </c>
      <c r="F124">
        <f t="shared" si="3"/>
        <v>0.96090521528210382</v>
      </c>
      <c r="G124" s="3"/>
    </row>
    <row r="125" spans="1:7" x14ac:dyDescent="0.2">
      <c r="A125" s="1">
        <v>45017</v>
      </c>
      <c r="B125" s="22">
        <v>4169.4799999999996</v>
      </c>
      <c r="C125">
        <f t="shared" si="2"/>
        <v>1.0146423608829704</v>
      </c>
      <c r="D125" s="1">
        <v>45017</v>
      </c>
      <c r="E125">
        <v>588.94354199999998</v>
      </c>
      <c r="F125">
        <f t="shared" si="3"/>
        <v>1.1016296242768993</v>
      </c>
      <c r="G125" s="3"/>
    </row>
    <row r="126" spans="1:7" x14ac:dyDescent="0.2">
      <c r="A126" s="1">
        <v>45047</v>
      </c>
      <c r="B126" s="22">
        <v>4179.83</v>
      </c>
      <c r="C126">
        <f t="shared" si="2"/>
        <v>1.0024823239348792</v>
      </c>
      <c r="D126" s="1">
        <v>45047</v>
      </c>
      <c r="E126">
        <v>661.73999000000003</v>
      </c>
      <c r="F126">
        <f t="shared" si="3"/>
        <v>1.1236051383682548</v>
      </c>
      <c r="G126" s="3"/>
    </row>
    <row r="127" spans="1:7" x14ac:dyDescent="0.2">
      <c r="A127" s="1">
        <v>45078</v>
      </c>
      <c r="B127" s="22">
        <v>4450.38</v>
      </c>
      <c r="C127">
        <f t="shared" si="2"/>
        <v>1.0647275128414313</v>
      </c>
      <c r="D127" s="1">
        <v>45078</v>
      </c>
      <c r="E127">
        <v>636.02002000000005</v>
      </c>
      <c r="F127">
        <f t="shared" si="3"/>
        <v>0.96113281592669053</v>
      </c>
      <c r="G127" s="3"/>
    </row>
    <row r="128" spans="1:7" x14ac:dyDescent="0.2">
      <c r="A128" s="1">
        <v>45108</v>
      </c>
      <c r="B128" s="22">
        <v>4510.04</v>
      </c>
      <c r="C128">
        <f t="shared" si="2"/>
        <v>1.0134055968254396</v>
      </c>
      <c r="D128" s="1">
        <v>45108</v>
      </c>
      <c r="E128">
        <v>633.28997800000002</v>
      </c>
      <c r="F128">
        <f t="shared" si="3"/>
        <v>0.99570761624767723</v>
      </c>
      <c r="G128" s="3"/>
    </row>
    <row r="129" spans="1:7" x14ac:dyDescent="0.2">
      <c r="A129" s="1"/>
      <c r="B129" s="22"/>
      <c r="D129" s="22"/>
      <c r="E129" s="22"/>
      <c r="F129" s="22"/>
      <c r="G129" s="3"/>
    </row>
  </sheetData>
  <sortState xmlns:xlrd2="http://schemas.microsoft.com/office/spreadsheetml/2017/richdata2" ref="A2:B129">
    <sortCondition ref="A1:A129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7863-F6C6-47CF-935C-FFDA1CF5F96E}">
  <dimension ref="A5:M18"/>
  <sheetViews>
    <sheetView workbookViewId="0">
      <selection activeCell="D22" sqref="D22"/>
    </sheetView>
  </sheetViews>
  <sheetFormatPr baseColWidth="10" defaultColWidth="8.83203125" defaultRowHeight="15" x14ac:dyDescent="0.2"/>
  <cols>
    <col min="1" max="3" width="10.5" customWidth="1"/>
    <col min="4" max="4" width="11.83203125" customWidth="1"/>
    <col min="5" max="5" width="12" customWidth="1"/>
    <col min="6" max="6" width="13.5" customWidth="1"/>
    <col min="7" max="9" width="10.5" customWidth="1"/>
    <col min="10" max="12" width="11.5" customWidth="1"/>
  </cols>
  <sheetData>
    <row r="5" spans="1:13" x14ac:dyDescent="0.2">
      <c r="D5" t="s">
        <v>217</v>
      </c>
      <c r="E5" t="s">
        <v>218</v>
      </c>
      <c r="F5" t="s">
        <v>219</v>
      </c>
      <c r="G5" t="s">
        <v>220</v>
      </c>
      <c r="I5" s="4" t="s">
        <v>221</v>
      </c>
      <c r="J5" s="4" t="s">
        <v>221</v>
      </c>
      <c r="K5" s="4" t="s">
        <v>221</v>
      </c>
      <c r="L5" t="s">
        <v>222</v>
      </c>
      <c r="M5" s="2"/>
    </row>
    <row r="6" spans="1:13" x14ac:dyDescent="0.2">
      <c r="A6" t="s">
        <v>208</v>
      </c>
      <c r="D6" s="3">
        <f>'income sheet'!F2</f>
        <v>4826549</v>
      </c>
      <c r="E6" s="3">
        <f>'income sheet'!E2</f>
        <v>5007357</v>
      </c>
      <c r="F6" s="3">
        <f>'income sheet'!D2</f>
        <v>5562714</v>
      </c>
      <c r="G6" s="3">
        <f>'income sheet'!C2</f>
        <v>6200957</v>
      </c>
      <c r="I6" s="2">
        <f>(E6/D6)-1</f>
        <v>3.7461134238977012E-2</v>
      </c>
      <c r="J6" s="2">
        <f t="shared" ref="J6:K11" si="0">(F6/E6)-1</f>
        <v>0.11090820966030579</v>
      </c>
      <c r="K6" s="2">
        <f t="shared" si="0"/>
        <v>0.11473590049749105</v>
      </c>
      <c r="L6" s="2">
        <f>AVERAGE(I6,J6,K6)</f>
        <v>8.7701748132257951E-2</v>
      </c>
    </row>
    <row r="7" spans="1:13" x14ac:dyDescent="0.2">
      <c r="A7" t="s">
        <v>209</v>
      </c>
      <c r="D7" s="3">
        <f>'income sheet'!F3</f>
        <v>3156047</v>
      </c>
      <c r="E7" s="3">
        <f>'income sheet'!E3</f>
        <v>3238448</v>
      </c>
      <c r="F7" s="3">
        <f>'income sheet'!D3</f>
        <v>3608527</v>
      </c>
      <c r="G7" s="3">
        <f>'income sheet'!C3</f>
        <v>3923003</v>
      </c>
      <c r="I7" s="2">
        <f>(E7/D7)-1</f>
        <v>2.6108926768200869E-2</v>
      </c>
      <c r="J7" s="2">
        <f t="shared" si="0"/>
        <v>0.11427665350810012</v>
      </c>
      <c r="K7" s="2">
        <f t="shared" si="0"/>
        <v>8.7148024664911672E-2</v>
      </c>
      <c r="L7" s="2">
        <f>AVERAGE(I7,J7,K7)</f>
        <v>7.5844534980404221E-2</v>
      </c>
    </row>
    <row r="8" spans="1:13" x14ac:dyDescent="0.2">
      <c r="A8" t="s">
        <v>210</v>
      </c>
      <c r="D8" s="3">
        <f>'income sheet'!F7</f>
        <v>1489748</v>
      </c>
      <c r="E8" s="3">
        <f>'income sheet'!E7</f>
        <v>1455531</v>
      </c>
      <c r="F8" s="3">
        <f>'income sheet'!D7</f>
        <v>1515016</v>
      </c>
      <c r="G8" s="3">
        <f>'income sheet'!C7</f>
        <v>1636907</v>
      </c>
      <c r="I8" s="2">
        <f>(E8/D8)-1</f>
        <v>-2.2968314104130361E-2</v>
      </c>
      <c r="J8" s="2">
        <f t="shared" si="0"/>
        <v>4.0868246708589462E-2</v>
      </c>
      <c r="K8" s="2">
        <f t="shared" si="0"/>
        <v>8.045525591808933E-2</v>
      </c>
      <c r="L8" s="2">
        <f>AVERAGE(I8,J8,K8)</f>
        <v>3.2785062840849477E-2</v>
      </c>
    </row>
    <row r="9" spans="1:13" x14ac:dyDescent="0.2">
      <c r="A9" t="s">
        <v>211</v>
      </c>
      <c r="D9" s="3">
        <f>'income sheet'!F8</f>
        <v>180754</v>
      </c>
      <c r="E9" s="3">
        <f>'income sheet'!E8</f>
        <v>313378</v>
      </c>
      <c r="F9" s="3">
        <f>'income sheet'!D8</f>
        <v>439171</v>
      </c>
      <c r="G9" s="3">
        <f>'income sheet'!C8</f>
        <v>641047</v>
      </c>
      <c r="I9" s="2">
        <f>(E9/D9)-1</f>
        <v>0.73372650121159144</v>
      </c>
      <c r="J9" s="2">
        <f t="shared" si="0"/>
        <v>0.40140979902864915</v>
      </c>
      <c r="K9" s="2">
        <f t="shared" si="0"/>
        <v>0.45967516070050163</v>
      </c>
      <c r="L9" s="2">
        <f>AVERAGE(I9,J9,K9)</f>
        <v>0.53160382031358078</v>
      </c>
    </row>
    <row r="10" spans="1:13" x14ac:dyDescent="0.2">
      <c r="I10" s="2"/>
      <c r="J10" s="2"/>
      <c r="K10" s="2"/>
      <c r="L10" s="2"/>
    </row>
    <row r="11" spans="1:13" x14ac:dyDescent="0.2">
      <c r="A11" t="s">
        <v>212</v>
      </c>
      <c r="D11" s="3">
        <f>Cashflow!F4</f>
        <v>179916</v>
      </c>
      <c r="E11" s="3">
        <f>Cashflow!E4</f>
        <v>179017</v>
      </c>
      <c r="F11" s="3">
        <f>Cashflow!D4</f>
        <v>180565</v>
      </c>
      <c r="G11" s="3">
        <f>Cashflow!C4</f>
        <v>171590</v>
      </c>
      <c r="I11" s="2">
        <f>(E11/D11)-1</f>
        <v>-4.9967762733720278E-3</v>
      </c>
      <c r="J11" s="2">
        <f t="shared" si="0"/>
        <v>8.6472234480523547E-3</v>
      </c>
      <c r="K11" s="2">
        <f t="shared" si="0"/>
        <v>-4.9705092349015545E-2</v>
      </c>
      <c r="L11" s="2">
        <f>AVERAGE(I11,J11,K11)</f>
        <v>-1.5351548391445072E-2</v>
      </c>
    </row>
    <row r="13" spans="1:13" x14ac:dyDescent="0.2">
      <c r="A13" t="s">
        <v>213</v>
      </c>
      <c r="D13" s="9">
        <v>0.05</v>
      </c>
    </row>
    <row r="14" spans="1:13" x14ac:dyDescent="0.2">
      <c r="A14" t="s">
        <v>183</v>
      </c>
      <c r="D14" s="9">
        <v>0.21</v>
      </c>
    </row>
    <row r="16" spans="1:13" x14ac:dyDescent="0.2">
      <c r="A16" t="s">
        <v>214</v>
      </c>
      <c r="D16" s="9">
        <v>0.01</v>
      </c>
    </row>
    <row r="17" spans="1:4" x14ac:dyDescent="0.2">
      <c r="A17" t="s">
        <v>215</v>
      </c>
      <c r="D17" s="2">
        <f>'WACC '!B36</f>
        <v>4.0696657249456807E-2</v>
      </c>
    </row>
    <row r="18" spans="1:4" x14ac:dyDescent="0.2">
      <c r="A18" t="s">
        <v>216</v>
      </c>
      <c r="C18" s="16">
        <f>68*1000</f>
        <v>68000</v>
      </c>
      <c r="D18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3829-8BCA-457F-A3AE-8CF8578EB0C8}">
  <dimension ref="B2:K22"/>
  <sheetViews>
    <sheetView workbookViewId="0">
      <selection activeCell="C22" sqref="C22"/>
    </sheetView>
  </sheetViews>
  <sheetFormatPr baseColWidth="10" defaultColWidth="8.83203125" defaultRowHeight="15" x14ac:dyDescent="0.2"/>
  <cols>
    <col min="2" max="2" width="66.1640625" customWidth="1"/>
    <col min="3" max="3" width="14.6640625" customWidth="1"/>
    <col min="4" max="4" width="13" customWidth="1"/>
    <col min="5" max="5" width="12.1640625" customWidth="1"/>
    <col min="6" max="6" width="12.5" customWidth="1"/>
    <col min="7" max="7" width="11" bestFit="1" customWidth="1"/>
    <col min="8" max="9" width="10.5" customWidth="1"/>
    <col min="10" max="10" width="12" bestFit="1" customWidth="1"/>
    <col min="11" max="11" width="11.5" customWidth="1"/>
  </cols>
  <sheetData>
    <row r="2" spans="2:11" x14ac:dyDescent="0.2">
      <c r="B2" t="s">
        <v>227</v>
      </c>
      <c r="C2" s="25" t="s">
        <v>236</v>
      </c>
      <c r="D2" s="25"/>
      <c r="E2" s="25"/>
      <c r="F2" s="25"/>
      <c r="G2" s="25"/>
      <c r="H2" s="25"/>
      <c r="I2" s="25"/>
      <c r="J2" s="25"/>
      <c r="K2" s="25"/>
    </row>
    <row r="3" spans="2:11" x14ac:dyDescent="0.2">
      <c r="C3" s="15">
        <v>43830</v>
      </c>
      <c r="D3" s="15">
        <v>44196</v>
      </c>
      <c r="E3" s="15">
        <v>44561</v>
      </c>
      <c r="F3" s="15">
        <v>44926</v>
      </c>
      <c r="G3">
        <v>2023</v>
      </c>
      <c r="H3">
        <v>2024</v>
      </c>
      <c r="I3">
        <v>2025</v>
      </c>
      <c r="J3">
        <v>2026</v>
      </c>
      <c r="K3">
        <v>2027</v>
      </c>
    </row>
    <row r="4" spans="2:11" x14ac:dyDescent="0.2">
      <c r="B4" t="s">
        <v>208</v>
      </c>
      <c r="C4" s="3">
        <f>'income sheet'!F2</f>
        <v>4826549</v>
      </c>
      <c r="D4" s="3">
        <f>'income sheet'!E2</f>
        <v>5007357</v>
      </c>
      <c r="E4" s="3">
        <f>'income sheet'!D2</f>
        <v>5562714</v>
      </c>
      <c r="F4" s="3">
        <f>'income sheet'!C2</f>
        <v>6200957</v>
      </c>
      <c r="G4">
        <f>F4*(1+DCF!$L6)</f>
        <v>6744791.7689929623</v>
      </c>
      <c r="H4">
        <f>G4*(1+DCF!$L6)</f>
        <v>7336321.7979217097</v>
      </c>
      <c r="I4">
        <f>H4*(1+DCF!$L6)</f>
        <v>7979730.0444602333</v>
      </c>
      <c r="J4">
        <f>I4*(1+DCF!$L6)</f>
        <v>8679566.3189828955</v>
      </c>
      <c r="K4">
        <f>J4*(1+DCF!$L6)</f>
        <v>9440779.4581875633</v>
      </c>
    </row>
    <row r="5" spans="2:11" x14ac:dyDescent="0.2">
      <c r="B5" t="s">
        <v>209</v>
      </c>
      <c r="C5" s="3">
        <f>'income sheet'!F3</f>
        <v>3156047</v>
      </c>
      <c r="D5" s="3">
        <f>'income sheet'!E3</f>
        <v>3238448</v>
      </c>
      <c r="E5" s="3">
        <f>'income sheet'!D3</f>
        <v>3608527</v>
      </c>
      <c r="F5" s="3">
        <f>'income sheet'!C3</f>
        <v>3923003</v>
      </c>
      <c r="G5">
        <f>F5*(1+DCF!$L7)</f>
        <v>4220541.338261731</v>
      </c>
      <c r="H5">
        <f>G5*(1+DCF!$L7)</f>
        <v>4540646.3334277645</v>
      </c>
      <c r="I5">
        <f>H5*(1+DCF!$L7)</f>
        <v>4885029.5430970704</v>
      </c>
      <c r="J5">
        <f>I5*(1+DCF!$L7)</f>
        <v>5255532.3371588038</v>
      </c>
      <c r="K5">
        <f>J5*(1+DCF!$L7)</f>
        <v>5654135.7433450902</v>
      </c>
    </row>
    <row r="6" spans="2:11" x14ac:dyDescent="0.2">
      <c r="B6" t="s">
        <v>223</v>
      </c>
      <c r="C6" s="3">
        <f>'income sheet'!F4</f>
        <v>1670502</v>
      </c>
      <c r="D6" s="3">
        <f>'income sheet'!E4</f>
        <v>1768909</v>
      </c>
      <c r="E6" s="3">
        <f>'income sheet'!D4</f>
        <v>1954187</v>
      </c>
      <c r="F6" s="3">
        <f>'income sheet'!C4</f>
        <v>2277954</v>
      </c>
      <c r="G6">
        <f>G4-G5</f>
        <v>2524250.4307312313</v>
      </c>
      <c r="H6">
        <f t="shared" ref="H6:K6" si="0">H4-H5</f>
        <v>2795675.4644939452</v>
      </c>
      <c r="I6">
        <f t="shared" si="0"/>
        <v>3094700.5013631629</v>
      </c>
      <c r="J6">
        <f t="shared" si="0"/>
        <v>3424033.9818240916</v>
      </c>
      <c r="K6">
        <f t="shared" si="0"/>
        <v>3786643.7148424732</v>
      </c>
    </row>
    <row r="7" spans="2:11" x14ac:dyDescent="0.2">
      <c r="B7" t="s">
        <v>224</v>
      </c>
    </row>
    <row r="8" spans="2:11" x14ac:dyDescent="0.2">
      <c r="B8" t="s">
        <v>225</v>
      </c>
      <c r="C8">
        <v>0</v>
      </c>
      <c r="D8">
        <v>0</v>
      </c>
      <c r="E8">
        <v>0</v>
      </c>
      <c r="F8">
        <v>0</v>
      </c>
    </row>
    <row r="9" spans="2:11" x14ac:dyDescent="0.2">
      <c r="B9" t="s">
        <v>226</v>
      </c>
      <c r="C9" s="3">
        <f>'income sheet'!F6</f>
        <v>1489748</v>
      </c>
      <c r="D9" s="3">
        <f>D10</f>
        <v>1455531</v>
      </c>
      <c r="E9" s="3">
        <f>E10</f>
        <v>1515016</v>
      </c>
      <c r="F9" s="3">
        <f>F10</f>
        <v>1636907</v>
      </c>
    </row>
    <row r="10" spans="2:11" x14ac:dyDescent="0.2">
      <c r="B10" t="s">
        <v>210</v>
      </c>
      <c r="C10" s="3">
        <f>'income sheet'!F7</f>
        <v>1489748</v>
      </c>
      <c r="D10" s="3">
        <f>'income sheet'!E7</f>
        <v>1455531</v>
      </c>
      <c r="E10" s="3">
        <f>'income sheet'!D7</f>
        <v>1515016</v>
      </c>
      <c r="F10" s="3">
        <f>'income sheet'!C7</f>
        <v>1636907</v>
      </c>
      <c r="G10">
        <f>F10*(1+DCF!$L8)</f>
        <v>1690573.0988596263</v>
      </c>
      <c r="H10">
        <f>G10*(1+DCF!$L8)</f>
        <v>1745998.6441427888</v>
      </c>
      <c r="I10">
        <f>H10*(1+DCF!$L8)</f>
        <v>1803241.3194110482</v>
      </c>
      <c r="J10">
        <f>I10*(1+DCF!$L8)</f>
        <v>1862360.6993851557</v>
      </c>
      <c r="K10">
        <f>J10*(1+DCF!$L8)</f>
        <v>1923418.3119468263</v>
      </c>
    </row>
    <row r="11" spans="2:11" x14ac:dyDescent="0.2">
      <c r="B11" t="s">
        <v>211</v>
      </c>
      <c r="C11" s="3">
        <f>'income sheet'!F8</f>
        <v>180754</v>
      </c>
      <c r="D11" s="3">
        <f>'income sheet'!E8</f>
        <v>313378</v>
      </c>
      <c r="E11" s="3">
        <f>'income sheet'!D8</f>
        <v>439171</v>
      </c>
      <c r="F11" s="3">
        <f>'income sheet'!C8</f>
        <v>641047</v>
      </c>
      <c r="G11">
        <f>G6-G10</f>
        <v>833677.33187160501</v>
      </c>
      <c r="H11">
        <f t="shared" ref="H11:K11" si="1">H6-H10</f>
        <v>1049676.8203511564</v>
      </c>
      <c r="I11">
        <f t="shared" si="1"/>
        <v>1291459.1819521147</v>
      </c>
      <c r="J11">
        <f t="shared" si="1"/>
        <v>1561673.2824389359</v>
      </c>
      <c r="K11">
        <f t="shared" si="1"/>
        <v>1863225.4028956469</v>
      </c>
    </row>
    <row r="13" spans="2:11" x14ac:dyDescent="0.2">
      <c r="B13" t="s">
        <v>144</v>
      </c>
      <c r="C13" s="3">
        <f>Cashflow!F4</f>
        <v>179916</v>
      </c>
      <c r="D13" s="3">
        <f>Cashflow!E4</f>
        <v>179017</v>
      </c>
      <c r="E13" s="3">
        <f>Cashflow!D4</f>
        <v>180565</v>
      </c>
      <c r="F13" s="3">
        <f>Cashflow!C4</f>
        <v>171590</v>
      </c>
      <c r="G13">
        <f>F13*(1+DCF!$L11)</f>
        <v>168955.82781151193</v>
      </c>
      <c r="H13">
        <f>G13*(1+DCF!$L11)</f>
        <v>166362.09424484684</v>
      </c>
      <c r="I13">
        <f>H13*(1+DCF!$L11)</f>
        <v>163808.17850454492</v>
      </c>
      <c r="J13">
        <f>I13*(1+DCF!$L11)</f>
        <v>161293.46932531794</v>
      </c>
      <c r="K13">
        <f>J13*(1+DCF!$L11)</f>
        <v>158817.36482574628</v>
      </c>
    </row>
    <row r="14" spans="2:11" x14ac:dyDescent="0.2">
      <c r="B14" t="s">
        <v>228</v>
      </c>
      <c r="G14">
        <f>G4*DCF!$D$13</f>
        <v>337239.58844964812</v>
      </c>
      <c r="H14">
        <f>H4*DCF!$D$13</f>
        <v>366816.0898960855</v>
      </c>
      <c r="I14">
        <f>I4*DCF!$D$13</f>
        <v>398986.50222301169</v>
      </c>
      <c r="J14">
        <f>J4*DCF!$D$13</f>
        <v>433978.31594914477</v>
      </c>
      <c r="K14">
        <f>K4*DCF!$D$13</f>
        <v>472038.97290937818</v>
      </c>
    </row>
    <row r="15" spans="2:11" x14ac:dyDescent="0.2">
      <c r="B15" s="16" t="s">
        <v>229</v>
      </c>
      <c r="C15" s="16"/>
      <c r="D15" s="16"/>
      <c r="E15" s="16"/>
      <c r="F15" s="16"/>
      <c r="G15" s="16">
        <f>G11*(1-DCF!D14)+G13-G14</f>
        <v>490321.33154043183</v>
      </c>
      <c r="H15" s="16">
        <f>H11*(1-DCF!E14)+H13-H14</f>
        <v>849222.82469991781</v>
      </c>
      <c r="I15" s="16">
        <f>I11*(1-DCF!F14)+I13-I14</f>
        <v>1056280.8582336479</v>
      </c>
      <c r="J15" s="16">
        <f>J11*(1-DCF!G14)+J13-J14</f>
        <v>1288988.4358151092</v>
      </c>
      <c r="K15" s="16">
        <f>K11*(1-DCF!H14)+K13-K14</f>
        <v>1550003.794812015</v>
      </c>
    </row>
    <row r="16" spans="2:11" x14ac:dyDescent="0.2">
      <c r="B16" t="s">
        <v>230</v>
      </c>
      <c r="J16">
        <f>K15/(DCF!D17-DCF!D16)</f>
        <v>50494220.990119152</v>
      </c>
    </row>
    <row r="17" spans="2:10" x14ac:dyDescent="0.2">
      <c r="B17" t="s">
        <v>231</v>
      </c>
      <c r="G17">
        <f>SUM(G15:G16)/(1+DCF!$D$17)^1</f>
        <v>471147.21482467587</v>
      </c>
      <c r="H17">
        <f>SUM(H15:H16)/(1+DCF!$D$17)^1</f>
        <v>816013.79113141296</v>
      </c>
      <c r="I17">
        <f>SUM(I15:I16)/(1+DCF!$D$17)^1</f>
        <v>1014974.777593098</v>
      </c>
      <c r="J17">
        <f>SUM(J15:J16)/(1+DCF!$D$17)^1</f>
        <v>49758216.349802054</v>
      </c>
    </row>
    <row r="18" spans="2:10" x14ac:dyDescent="0.2">
      <c r="B18" t="s">
        <v>232</v>
      </c>
      <c r="G18">
        <f>SUM(G17:J17)</f>
        <v>52060352.133351244</v>
      </c>
    </row>
    <row r="19" spans="2:10" x14ac:dyDescent="0.2">
      <c r="B19" t="s">
        <v>233</v>
      </c>
      <c r="G19" s="16">
        <f>G18/DCF!C18</f>
        <v>765.59341372575363</v>
      </c>
    </row>
    <row r="21" spans="2:10" x14ac:dyDescent="0.2">
      <c r="B21" t="s">
        <v>234</v>
      </c>
      <c r="C21">
        <v>629.29999999999995</v>
      </c>
    </row>
    <row r="22" spans="2:10" x14ac:dyDescent="0.2">
      <c r="B22" t="s">
        <v>235</v>
      </c>
      <c r="C22" s="16">
        <f>G19-C21</f>
        <v>136.29341372575368</v>
      </c>
    </row>
  </sheetData>
  <mergeCells count="1">
    <mergeCell ref="C2:K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4"/>
  <sheetViews>
    <sheetView topLeftCell="A6" workbookViewId="0">
      <selection activeCell="C6" sqref="C6:D8"/>
    </sheetView>
  </sheetViews>
  <sheetFormatPr baseColWidth="10" defaultColWidth="8.83203125" defaultRowHeight="15" x14ac:dyDescent="0.2"/>
  <cols>
    <col min="3" max="3" width="31.1640625" customWidth="1"/>
    <col min="4" max="7" width="10.5" customWidth="1"/>
  </cols>
  <sheetData>
    <row r="1" spans="1:5" x14ac:dyDescent="0.2">
      <c r="A1" t="s">
        <v>169</v>
      </c>
    </row>
    <row r="2" spans="1:5" x14ac:dyDescent="0.2">
      <c r="B2" t="s">
        <v>170</v>
      </c>
    </row>
    <row r="3" spans="1:5" x14ac:dyDescent="0.2">
      <c r="C3" t="s">
        <v>127</v>
      </c>
    </row>
    <row r="4" spans="1:5" x14ac:dyDescent="0.2">
      <c r="D4">
        <v>2022</v>
      </c>
    </row>
    <row r="5" spans="1:5" x14ac:dyDescent="0.2">
      <c r="E5" s="3"/>
    </row>
    <row r="6" spans="1:5" x14ac:dyDescent="0.2">
      <c r="C6" t="s">
        <v>128</v>
      </c>
      <c r="D6" s="3">
        <f>'Balance sheet'!B10</f>
        <v>1245801</v>
      </c>
      <c r="E6" s="3"/>
    </row>
    <row r="7" spans="1:5" x14ac:dyDescent="0.2">
      <c r="C7" t="s">
        <v>130</v>
      </c>
      <c r="D7" s="3">
        <f>'Balance sheet'!B29</f>
        <v>905156</v>
      </c>
    </row>
    <row r="8" spans="1:5" x14ac:dyDescent="0.2">
      <c r="C8" s="6" t="s">
        <v>129</v>
      </c>
      <c r="D8" s="6">
        <f>D6/D7</f>
        <v>1.3763384433180579</v>
      </c>
    </row>
    <row r="10" spans="1:5" x14ac:dyDescent="0.2">
      <c r="C10" t="s">
        <v>131</v>
      </c>
    </row>
    <row r="13" spans="1:5" x14ac:dyDescent="0.2">
      <c r="C13" t="s">
        <v>89</v>
      </c>
      <c r="D13" s="3">
        <f>D6</f>
        <v>1245801</v>
      </c>
    </row>
    <row r="14" spans="1:5" x14ac:dyDescent="0.2">
      <c r="C14" t="s">
        <v>67</v>
      </c>
      <c r="D14" s="3">
        <f>'Balance sheet'!B8</f>
        <v>347545</v>
      </c>
    </row>
    <row r="15" spans="1:5" x14ac:dyDescent="0.2">
      <c r="C15" t="s">
        <v>108</v>
      </c>
      <c r="D15" s="3">
        <f>D7</f>
        <v>905156</v>
      </c>
    </row>
    <row r="16" spans="1:5" x14ac:dyDescent="0.2">
      <c r="C16" s="6" t="s">
        <v>132</v>
      </c>
      <c r="D16" s="6">
        <f>(D13-D14)/D15</f>
        <v>0.99237700462682676</v>
      </c>
    </row>
    <row r="18" spans="2:4" x14ac:dyDescent="0.2">
      <c r="C18" t="s">
        <v>133</v>
      </c>
    </row>
    <row r="20" spans="2:4" x14ac:dyDescent="0.2">
      <c r="C20" t="s">
        <v>134</v>
      </c>
      <c r="D20" s="3">
        <f>'Balance sheet'!B5</f>
        <v>197648</v>
      </c>
    </row>
    <row r="21" spans="2:4" x14ac:dyDescent="0.2">
      <c r="C21" t="s">
        <v>135</v>
      </c>
      <c r="D21">
        <v>0</v>
      </c>
    </row>
    <row r="22" spans="2:4" x14ac:dyDescent="0.2">
      <c r="C22" t="s">
        <v>108</v>
      </c>
      <c r="D22" s="3">
        <f>D15</f>
        <v>905156</v>
      </c>
    </row>
    <row r="23" spans="2:4" x14ac:dyDescent="0.2">
      <c r="C23" s="6" t="s">
        <v>184</v>
      </c>
      <c r="D23" s="6">
        <f>(D20+D21)/D22</f>
        <v>0.2183579405097022</v>
      </c>
    </row>
    <row r="25" spans="2:4" x14ac:dyDescent="0.2">
      <c r="B25" t="s">
        <v>171</v>
      </c>
    </row>
    <row r="27" spans="2:4" x14ac:dyDescent="0.2">
      <c r="C27" t="s">
        <v>175</v>
      </c>
    </row>
    <row r="29" spans="2:4" x14ac:dyDescent="0.2">
      <c r="C29" t="s">
        <v>43</v>
      </c>
      <c r="D29" s="3">
        <f>'income sheet'!C4</f>
        <v>2277954</v>
      </c>
    </row>
    <row r="30" spans="2:4" x14ac:dyDescent="0.2">
      <c r="C30" t="s">
        <v>136</v>
      </c>
      <c r="D30" s="3">
        <f>'income sheet'!C2</f>
        <v>6200957</v>
      </c>
    </row>
    <row r="31" spans="2:4" x14ac:dyDescent="0.2">
      <c r="C31" s="6" t="s">
        <v>165</v>
      </c>
      <c r="D31" s="7">
        <f>D29/D30</f>
        <v>0.36735523242622065</v>
      </c>
    </row>
    <row r="32" spans="2:4" x14ac:dyDescent="0.2">
      <c r="C32" s="6"/>
      <c r="D32" s="7"/>
    </row>
    <row r="33" spans="3:4" x14ac:dyDescent="0.2">
      <c r="C33" t="s">
        <v>176</v>
      </c>
    </row>
    <row r="35" spans="3:4" x14ac:dyDescent="0.2">
      <c r="C35" t="s">
        <v>137</v>
      </c>
      <c r="D35" s="3">
        <f>'income sheet'!C8</f>
        <v>641047</v>
      </c>
    </row>
    <row r="36" spans="3:4" x14ac:dyDescent="0.2">
      <c r="C36" t="s">
        <v>136</v>
      </c>
      <c r="D36" s="3">
        <f>D30</f>
        <v>6200957</v>
      </c>
    </row>
    <row r="37" spans="3:4" x14ac:dyDescent="0.2">
      <c r="C37" s="6" t="s">
        <v>138</v>
      </c>
      <c r="D37" s="7">
        <f>D35/D36</f>
        <v>0.10337872041363938</v>
      </c>
    </row>
    <row r="39" spans="3:4" x14ac:dyDescent="0.2">
      <c r="C39" t="s">
        <v>177</v>
      </c>
    </row>
    <row r="40" spans="3:4" x14ac:dyDescent="0.2">
      <c r="C40" t="s">
        <v>53</v>
      </c>
      <c r="D40" s="3">
        <f>'income sheet'!C14</f>
        <v>430158</v>
      </c>
    </row>
    <row r="41" spans="3:4" x14ac:dyDescent="0.2">
      <c r="C41" t="s">
        <v>139</v>
      </c>
      <c r="D41" s="3">
        <f>'Balance sheet'!B20</f>
        <v>3709545</v>
      </c>
    </row>
    <row r="42" spans="3:4" x14ac:dyDescent="0.2">
      <c r="C42" s="6" t="s">
        <v>140</v>
      </c>
      <c r="D42" s="7">
        <f>D40/D41</f>
        <v>0.11595977404236908</v>
      </c>
    </row>
    <row r="45" spans="3:4" x14ac:dyDescent="0.2">
      <c r="C45" t="s">
        <v>178</v>
      </c>
    </row>
    <row r="46" spans="3:4" x14ac:dyDescent="0.2">
      <c r="C46" t="s">
        <v>53</v>
      </c>
      <c r="D46" s="3">
        <f>D40</f>
        <v>430158</v>
      </c>
    </row>
    <row r="47" spans="3:4" x14ac:dyDescent="0.2">
      <c r="C47" t="s">
        <v>141</v>
      </c>
      <c r="D47" s="3">
        <f>'Balance sheet'!B41</f>
        <v>1115388</v>
      </c>
    </row>
    <row r="48" spans="3:4" x14ac:dyDescent="0.2">
      <c r="C48" s="6" t="s">
        <v>142</v>
      </c>
      <c r="D48" s="7">
        <f>D46/D47</f>
        <v>0.385657726280003</v>
      </c>
    </row>
    <row r="49" spans="2:4" x14ac:dyDescent="0.2">
      <c r="D49" s="2"/>
    </row>
    <row r="51" spans="2:4" x14ac:dyDescent="0.2">
      <c r="B51" t="s">
        <v>172</v>
      </c>
    </row>
    <row r="52" spans="2:4" x14ac:dyDescent="0.2">
      <c r="C52" t="s">
        <v>143</v>
      </c>
    </row>
    <row r="53" spans="2:4" x14ac:dyDescent="0.2">
      <c r="C53" t="s">
        <v>53</v>
      </c>
      <c r="D53" s="3">
        <f>D46</f>
        <v>430158</v>
      </c>
    </row>
    <row r="54" spans="2:4" x14ac:dyDescent="0.2">
      <c r="C54" t="s">
        <v>144</v>
      </c>
      <c r="D54" s="3">
        <f>Cashflow!C4</f>
        <v>171590</v>
      </c>
    </row>
    <row r="55" spans="2:4" x14ac:dyDescent="0.2">
      <c r="C55" t="s">
        <v>120</v>
      </c>
      <c r="D55" s="3">
        <f>'Balance sheet'!B36</f>
        <v>2594157</v>
      </c>
    </row>
    <row r="56" spans="2:4" x14ac:dyDescent="0.2">
      <c r="C56" s="6" t="s">
        <v>145</v>
      </c>
      <c r="D56" s="7">
        <f>(D53+D54)/D55</f>
        <v>0.23196283031443354</v>
      </c>
    </row>
    <row r="59" spans="2:4" x14ac:dyDescent="0.2">
      <c r="C59" t="s">
        <v>146</v>
      </c>
    </row>
    <row r="60" spans="2:4" x14ac:dyDescent="0.2">
      <c r="C60" t="s">
        <v>36</v>
      </c>
      <c r="D60" s="3">
        <f>D55</f>
        <v>2594157</v>
      </c>
    </row>
    <row r="61" spans="2:4" x14ac:dyDescent="0.2">
      <c r="C61" t="s">
        <v>141</v>
      </c>
      <c r="D61" s="3">
        <f>D47</f>
        <v>1115388</v>
      </c>
    </row>
    <row r="62" spans="2:4" x14ac:dyDescent="0.2">
      <c r="C62" s="6" t="s">
        <v>147</v>
      </c>
      <c r="D62" s="7">
        <f>D60/D61</f>
        <v>2.3257888734682459</v>
      </c>
    </row>
    <row r="65" spans="2:7" x14ac:dyDescent="0.2">
      <c r="B65" t="s">
        <v>173</v>
      </c>
    </row>
    <row r="66" spans="2:7" x14ac:dyDescent="0.2">
      <c r="C66" t="s">
        <v>179</v>
      </c>
    </row>
    <row r="69" spans="2:7" x14ac:dyDescent="0.2">
      <c r="C69" t="s">
        <v>148</v>
      </c>
      <c r="E69" s="3">
        <f>'income sheet'!C3</f>
        <v>3923003</v>
      </c>
    </row>
    <row r="70" spans="2:7" x14ac:dyDescent="0.2">
      <c r="C70" t="s">
        <v>149</v>
      </c>
      <c r="E70" s="3">
        <f>'Balance sheet'!C8</f>
        <v>302851</v>
      </c>
    </row>
    <row r="71" spans="2:7" x14ac:dyDescent="0.2">
      <c r="C71" t="s">
        <v>150</v>
      </c>
      <c r="E71" s="3">
        <f>'Balance sheet'!B8</f>
        <v>347545</v>
      </c>
    </row>
    <row r="72" spans="2:7" x14ac:dyDescent="0.2">
      <c r="C72" s="6" t="s">
        <v>151</v>
      </c>
      <c r="E72" s="6">
        <f>E69/((E70+E71)/2)</f>
        <v>12.063429049379147</v>
      </c>
    </row>
    <row r="74" spans="2:7" x14ac:dyDescent="0.2">
      <c r="C74" t="s">
        <v>168</v>
      </c>
    </row>
    <row r="76" spans="2:7" x14ac:dyDescent="0.2">
      <c r="C76" t="s">
        <v>152</v>
      </c>
      <c r="G76" s="3">
        <f>D36-100</f>
        <v>6200857</v>
      </c>
    </row>
    <row r="77" spans="2:7" x14ac:dyDescent="0.2">
      <c r="C77" t="s">
        <v>153</v>
      </c>
      <c r="D77" s="3">
        <f>'Balance sheet'!C7</f>
        <v>454934</v>
      </c>
    </row>
    <row r="78" spans="2:7" x14ac:dyDescent="0.2">
      <c r="C78" t="s">
        <v>154</v>
      </c>
      <c r="D78" s="3">
        <f>'Balance sheet'!B7</f>
        <v>515928</v>
      </c>
    </row>
    <row r="79" spans="2:7" x14ac:dyDescent="0.2">
      <c r="C79" s="6" t="s">
        <v>155</v>
      </c>
      <c r="D79" s="6">
        <f>G76/((D77+D78)/2)</f>
        <v>12.773920495394814</v>
      </c>
      <c r="G79" s="6"/>
    </row>
    <row r="81" spans="2:7" x14ac:dyDescent="0.2">
      <c r="C81" t="s">
        <v>156</v>
      </c>
    </row>
    <row r="83" spans="2:7" x14ac:dyDescent="0.2">
      <c r="C83" t="s">
        <v>157</v>
      </c>
      <c r="F83">
        <v>200000</v>
      </c>
    </row>
    <row r="84" spans="2:7" x14ac:dyDescent="0.2">
      <c r="C84" t="s">
        <v>159</v>
      </c>
      <c r="D84" s="3">
        <f>'Balance sheet'!C25</f>
        <v>319318</v>
      </c>
    </row>
    <row r="85" spans="2:7" x14ac:dyDescent="0.2">
      <c r="C85" t="s">
        <v>158</v>
      </c>
      <c r="D85" s="3">
        <f>'Balance sheet'!B25</f>
        <v>842410</v>
      </c>
      <c r="G85" s="6"/>
    </row>
    <row r="86" spans="2:7" x14ac:dyDescent="0.2">
      <c r="C86" s="6" t="s">
        <v>160</v>
      </c>
      <c r="D86" s="6">
        <f>F83/((D84+D85)/2)</f>
        <v>0.34431467606875277</v>
      </c>
    </row>
    <row r="88" spans="2:7" x14ac:dyDescent="0.2">
      <c r="B88" t="s">
        <v>174</v>
      </c>
    </row>
    <row r="90" spans="2:7" x14ac:dyDescent="0.2">
      <c r="C90" t="s">
        <v>161</v>
      </c>
    </row>
    <row r="92" spans="2:7" x14ac:dyDescent="0.2">
      <c r="C92" t="s">
        <v>162</v>
      </c>
      <c r="D92">
        <v>629.29999999999995</v>
      </c>
    </row>
    <row r="93" spans="2:7" x14ac:dyDescent="0.2">
      <c r="C93" t="s">
        <v>163</v>
      </c>
      <c r="D93">
        <f>'income sheet'!C16</f>
        <v>45.88</v>
      </c>
    </row>
    <row r="94" spans="2:7" x14ac:dyDescent="0.2">
      <c r="C94" s="6" t="s">
        <v>164</v>
      </c>
      <c r="D94" s="6">
        <f>D92/D93</f>
        <v>13.716216216216214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zoomScale="96" workbookViewId="0">
      <selection activeCell="D29" sqref="D29"/>
    </sheetView>
  </sheetViews>
  <sheetFormatPr baseColWidth="10" defaultColWidth="8.83203125" defaultRowHeight="15" x14ac:dyDescent="0.2"/>
  <cols>
    <col min="1" max="1" width="38.6640625" customWidth="1"/>
    <col min="2" max="2" width="17.33203125" customWidth="1"/>
    <col min="3" max="3" width="12.83203125" customWidth="1"/>
    <col min="4" max="4" width="12" customWidth="1"/>
    <col min="5" max="5" width="15.1640625" customWidth="1"/>
  </cols>
  <sheetData>
    <row r="1" spans="1:5" x14ac:dyDescent="0.2">
      <c r="A1" t="s">
        <v>39</v>
      </c>
      <c r="B1" s="1">
        <v>44926</v>
      </c>
      <c r="C1" s="1">
        <v>44561</v>
      </c>
      <c r="D1" s="1">
        <v>44196</v>
      </c>
      <c r="E1" s="1">
        <v>43830</v>
      </c>
    </row>
    <row r="2" spans="1:5" x14ac:dyDescent="0.2">
      <c r="A2" t="s">
        <v>88</v>
      </c>
    </row>
    <row r="3" spans="1:5" x14ac:dyDescent="0.2">
      <c r="A3" t="s">
        <v>89</v>
      </c>
    </row>
    <row r="4" spans="1:5" x14ac:dyDescent="0.2">
      <c r="A4" t="s">
        <v>90</v>
      </c>
    </row>
    <row r="5" spans="1:5" x14ac:dyDescent="0.2">
      <c r="A5" t="s">
        <v>91</v>
      </c>
      <c r="B5" s="3">
        <v>197648</v>
      </c>
      <c r="C5" s="3">
        <v>142314</v>
      </c>
      <c r="D5" s="3">
        <v>54793</v>
      </c>
      <c r="E5" s="3">
        <v>9614</v>
      </c>
    </row>
    <row r="6" spans="1:5" x14ac:dyDescent="0.2">
      <c r="A6" t="s">
        <v>92</v>
      </c>
      <c r="B6" s="3">
        <v>197648</v>
      </c>
      <c r="C6" s="3">
        <v>142314</v>
      </c>
      <c r="D6" s="3">
        <v>54793</v>
      </c>
      <c r="E6" s="3">
        <v>9614</v>
      </c>
    </row>
    <row r="7" spans="1:5" x14ac:dyDescent="0.2">
      <c r="A7" t="s">
        <v>93</v>
      </c>
      <c r="B7" s="3">
        <v>515928</v>
      </c>
      <c r="C7" s="3">
        <v>454934</v>
      </c>
      <c r="D7" s="3">
        <v>403825</v>
      </c>
      <c r="E7" s="3">
        <v>419770</v>
      </c>
    </row>
    <row r="8" spans="1:5" x14ac:dyDescent="0.2">
      <c r="A8" t="s">
        <v>67</v>
      </c>
      <c r="B8" s="3">
        <v>347545</v>
      </c>
      <c r="C8" s="3">
        <v>302851</v>
      </c>
      <c r="D8" s="3">
        <v>225757</v>
      </c>
      <c r="E8" s="3">
        <v>225926</v>
      </c>
    </row>
    <row r="9" spans="1:5" x14ac:dyDescent="0.2">
      <c r="A9" t="s">
        <v>94</v>
      </c>
      <c r="B9" s="3">
        <v>94263</v>
      </c>
      <c r="C9" s="3">
        <v>78068</v>
      </c>
      <c r="D9" t="s">
        <v>56</v>
      </c>
      <c r="E9" s="3">
        <v>69461</v>
      </c>
    </row>
    <row r="10" spans="1:5" x14ac:dyDescent="0.2">
      <c r="A10" t="s">
        <v>95</v>
      </c>
      <c r="B10" s="3">
        <v>1245801</v>
      </c>
      <c r="C10" s="3">
        <v>1076662</v>
      </c>
      <c r="D10" s="3">
        <v>851237</v>
      </c>
      <c r="E10" s="3">
        <v>830276</v>
      </c>
    </row>
    <row r="11" spans="1:5" x14ac:dyDescent="0.2">
      <c r="A11" t="s">
        <v>96</v>
      </c>
    </row>
    <row r="12" spans="1:5" x14ac:dyDescent="0.2">
      <c r="A12" t="s">
        <v>97</v>
      </c>
    </row>
    <row r="13" spans="1:5" x14ac:dyDescent="0.2">
      <c r="A13" t="s">
        <v>98</v>
      </c>
      <c r="B13" s="3">
        <v>1330749</v>
      </c>
      <c r="C13" s="3">
        <v>1234776</v>
      </c>
      <c r="D13" s="3">
        <v>2183258</v>
      </c>
      <c r="E13" s="3">
        <v>1126739</v>
      </c>
    </row>
    <row r="14" spans="1:5" x14ac:dyDescent="0.2">
      <c r="A14" t="s">
        <v>99</v>
      </c>
      <c r="B14" s="3">
        <v>-1106263</v>
      </c>
      <c r="C14" s="3">
        <v>-1006776</v>
      </c>
      <c r="D14" s="3">
        <v>-956286</v>
      </c>
      <c r="E14" s="3">
        <v>-960675</v>
      </c>
    </row>
    <row r="15" spans="1:5" x14ac:dyDescent="0.2">
      <c r="A15" t="s">
        <v>100</v>
      </c>
      <c r="B15" s="3">
        <v>1330749</v>
      </c>
      <c r="C15" s="3">
        <v>1234776</v>
      </c>
      <c r="D15" s="3">
        <v>1226972</v>
      </c>
      <c r="E15" s="3">
        <v>1126739</v>
      </c>
    </row>
    <row r="16" spans="1:5" x14ac:dyDescent="0.2">
      <c r="A16" t="s">
        <v>101</v>
      </c>
      <c r="B16" s="3">
        <v>165903</v>
      </c>
      <c r="C16" s="3">
        <v>165903</v>
      </c>
      <c r="D16" s="3">
        <v>165903</v>
      </c>
      <c r="E16" s="3">
        <v>165903</v>
      </c>
    </row>
    <row r="17" spans="1:5" x14ac:dyDescent="0.2">
      <c r="A17" t="s">
        <v>102</v>
      </c>
      <c r="B17" s="3">
        <v>851200</v>
      </c>
      <c r="C17" s="3">
        <v>847743</v>
      </c>
      <c r="D17" s="3">
        <v>866557</v>
      </c>
      <c r="E17" s="3">
        <v>890739</v>
      </c>
    </row>
    <row r="18" spans="1:5" x14ac:dyDescent="0.2">
      <c r="A18" t="s">
        <v>103</v>
      </c>
      <c r="B18" s="3">
        <v>115892</v>
      </c>
      <c r="C18" s="3">
        <v>120486</v>
      </c>
      <c r="D18" s="3">
        <v>111781</v>
      </c>
      <c r="E18" s="3">
        <v>113269</v>
      </c>
    </row>
    <row r="19" spans="1:5" x14ac:dyDescent="0.2">
      <c r="A19" t="s">
        <v>104</v>
      </c>
      <c r="B19" s="3">
        <v>2463744</v>
      </c>
      <c r="C19" s="3">
        <v>2368908</v>
      </c>
      <c r="D19" s="3">
        <v>2371213</v>
      </c>
      <c r="E19" s="3">
        <v>2296650</v>
      </c>
    </row>
    <row r="20" spans="1:5" x14ac:dyDescent="0.2">
      <c r="A20" t="s">
        <v>105</v>
      </c>
      <c r="B20" s="3">
        <v>3709545</v>
      </c>
      <c r="C20" s="3">
        <v>3445570</v>
      </c>
      <c r="D20" s="3">
        <v>3222450</v>
      </c>
      <c r="E20" s="3">
        <v>3126926</v>
      </c>
    </row>
    <row r="21" spans="1:5" x14ac:dyDescent="0.2">
      <c r="A21" t="s">
        <v>106</v>
      </c>
    </row>
    <row r="22" spans="1:5" x14ac:dyDescent="0.2">
      <c r="A22" t="s">
        <v>107</v>
      </c>
    </row>
    <row r="23" spans="1:5" x14ac:dyDescent="0.2">
      <c r="A23" t="s">
        <v>108</v>
      </c>
    </row>
    <row r="24" spans="1:5" x14ac:dyDescent="0.2">
      <c r="A24" t="s">
        <v>109</v>
      </c>
      <c r="B24" t="s">
        <v>56</v>
      </c>
      <c r="C24" t="s">
        <v>56</v>
      </c>
      <c r="D24" s="3">
        <v>2793</v>
      </c>
      <c r="E24" s="3">
        <v>20199</v>
      </c>
    </row>
    <row r="25" spans="1:5" x14ac:dyDescent="0.2">
      <c r="A25" t="s">
        <v>68</v>
      </c>
      <c r="B25" s="3">
        <v>842410</v>
      </c>
      <c r="C25" s="3">
        <v>319318</v>
      </c>
      <c r="D25" s="3">
        <v>217560</v>
      </c>
      <c r="E25" s="3">
        <v>597768</v>
      </c>
    </row>
    <row r="26" spans="1:5" x14ac:dyDescent="0.2">
      <c r="A26" t="s">
        <v>110</v>
      </c>
      <c r="B26" t="s">
        <v>56</v>
      </c>
      <c r="C26" t="s">
        <v>56</v>
      </c>
      <c r="D26">
        <v>0</v>
      </c>
      <c r="E26" s="3">
        <v>1651</v>
      </c>
    </row>
    <row r="27" spans="1:5" x14ac:dyDescent="0.2">
      <c r="A27" t="s">
        <v>111</v>
      </c>
      <c r="B27" s="3">
        <v>162139</v>
      </c>
      <c r="C27" s="3">
        <v>173481</v>
      </c>
      <c r="D27" s="3">
        <v>152548</v>
      </c>
      <c r="E27" s="3">
        <v>168604</v>
      </c>
    </row>
    <row r="28" spans="1:5" x14ac:dyDescent="0.2">
      <c r="A28" t="s">
        <v>112</v>
      </c>
      <c r="B28" t="s">
        <v>56</v>
      </c>
      <c r="C28" t="s">
        <v>56</v>
      </c>
      <c r="D28" t="s">
        <v>56</v>
      </c>
      <c r="E28" s="3">
        <v>1174</v>
      </c>
    </row>
    <row r="29" spans="1:5" x14ac:dyDescent="0.2">
      <c r="A29" t="s">
        <v>113</v>
      </c>
      <c r="B29" s="3">
        <v>905156</v>
      </c>
      <c r="C29" s="3">
        <v>834856</v>
      </c>
      <c r="D29" s="3">
        <v>647060</v>
      </c>
      <c r="E29" s="3">
        <v>622195</v>
      </c>
    </row>
    <row r="30" spans="1:5" x14ac:dyDescent="0.2">
      <c r="A30" t="s">
        <v>114</v>
      </c>
    </row>
    <row r="31" spans="1:5" x14ac:dyDescent="0.2">
      <c r="A31" t="s">
        <v>115</v>
      </c>
      <c r="B31" s="3">
        <v>598817</v>
      </c>
      <c r="C31" s="3">
        <v>723443</v>
      </c>
      <c r="D31" s="3">
        <v>940465</v>
      </c>
      <c r="E31" s="3">
        <v>1029920</v>
      </c>
    </row>
    <row r="32" spans="1:5" x14ac:dyDescent="0.2">
      <c r="A32" t="s">
        <v>116</v>
      </c>
      <c r="B32" s="3">
        <v>150222</v>
      </c>
      <c r="C32" s="3">
        <v>136432</v>
      </c>
      <c r="D32" s="3">
        <v>158129</v>
      </c>
      <c r="E32" s="3">
        <v>125130</v>
      </c>
    </row>
    <row r="33" spans="1:5" x14ac:dyDescent="0.2">
      <c r="A33" t="s">
        <v>117</v>
      </c>
      <c r="B33" s="3">
        <v>103240</v>
      </c>
      <c r="C33" s="3">
        <v>106304</v>
      </c>
      <c r="D33" t="s">
        <v>56</v>
      </c>
      <c r="E33" t="s">
        <v>56</v>
      </c>
    </row>
    <row r="34" spans="1:5" x14ac:dyDescent="0.2">
      <c r="A34" t="s">
        <v>118</v>
      </c>
      <c r="B34" s="3">
        <v>512346</v>
      </c>
      <c r="C34" s="3">
        <v>505171</v>
      </c>
      <c r="D34" s="3">
        <v>37208</v>
      </c>
      <c r="E34" s="3">
        <v>38712</v>
      </c>
    </row>
    <row r="35" spans="1:5" x14ac:dyDescent="0.2">
      <c r="A35" t="s">
        <v>119</v>
      </c>
      <c r="B35" s="3">
        <v>1689001</v>
      </c>
      <c r="C35" s="3">
        <v>1898928</v>
      </c>
      <c r="D35" s="3">
        <v>2062400</v>
      </c>
      <c r="E35" s="3">
        <v>2053615</v>
      </c>
    </row>
    <row r="36" spans="1:5" x14ac:dyDescent="0.2">
      <c r="A36" t="s">
        <v>120</v>
      </c>
      <c r="B36" s="3">
        <v>2594157</v>
      </c>
      <c r="C36" s="3">
        <v>2733784</v>
      </c>
      <c r="D36" s="3">
        <v>2709460</v>
      </c>
      <c r="E36" s="3">
        <v>2675810</v>
      </c>
    </row>
    <row r="37" spans="1:5" x14ac:dyDescent="0.2">
      <c r="A37" t="s">
        <v>121</v>
      </c>
    </row>
    <row r="38" spans="1:5" x14ac:dyDescent="0.2">
      <c r="A38" t="s">
        <v>122</v>
      </c>
      <c r="B38" s="3">
        <v>13064</v>
      </c>
      <c r="C38" s="3">
        <v>13064</v>
      </c>
      <c r="D38" s="3">
        <v>13064</v>
      </c>
      <c r="E38" s="3">
        <v>13064</v>
      </c>
    </row>
    <row r="39" spans="1:5" x14ac:dyDescent="0.2">
      <c r="A39" t="s">
        <v>123</v>
      </c>
      <c r="B39" s="3">
        <v>1112462</v>
      </c>
      <c r="C39" s="3">
        <v>724486</v>
      </c>
      <c r="D39" s="3">
        <v>544280</v>
      </c>
      <c r="E39" s="3">
        <v>381161</v>
      </c>
    </row>
    <row r="40" spans="1:5" x14ac:dyDescent="0.2">
      <c r="A40" t="s">
        <v>124</v>
      </c>
      <c r="B40" s="3">
        <v>-84837</v>
      </c>
      <c r="C40" s="3">
        <v>-100463</v>
      </c>
      <c r="D40" s="3">
        <v>-119053</v>
      </c>
      <c r="E40" s="3">
        <v>-115002</v>
      </c>
    </row>
    <row r="41" spans="1:5" x14ac:dyDescent="0.2">
      <c r="A41" t="s">
        <v>125</v>
      </c>
      <c r="B41" s="3">
        <v>1115388</v>
      </c>
      <c r="C41" s="3">
        <v>711786</v>
      </c>
      <c r="D41" s="3">
        <v>512990</v>
      </c>
      <c r="E41" s="3">
        <v>346952</v>
      </c>
    </row>
    <row r="42" spans="1:5" x14ac:dyDescent="0.2">
      <c r="A42" t="s">
        <v>126</v>
      </c>
      <c r="B42" s="3">
        <v>3709545</v>
      </c>
      <c r="C42" s="3">
        <v>3445570</v>
      </c>
      <c r="D42" s="3">
        <v>3222450</v>
      </c>
      <c r="E42" s="3">
        <v>3126926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1 k n u V q p g r h + k A A A A 9 g A A A B I A H A B D b 2 5 m a W c v U G F j a 2 F n Z S 5 4 b W w g o h g A K K A U A A A A A A A A A A A A A A A A A A A A A A A A A A A A h Y 9 B D o I w F E S v Q r q n L S V R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u J 4 w T D l Z I a 8 M P A V 2 L T 3 2 f 5 A n g + N G 3 o t N I T 5 m p M 5 c v L + I B 5 Q S w M E F A A C A A g A 1 k n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J 7 l Z N b i T Y z g E A A J w I A A A T A B w A R m 9 y b X V s Y X M v U 2 V j d G l v b j E u b S C i G A A o o B Q A A A A A A A A A A A A A A A A A A A A A A A A A A A D t V E 1 r 2 0 A Q v R v 8 H w Y 1 B w l U g Z U m g R Y d j C Q T 0 9 h K I 6 W X q J S N N L W 2 W e 2 K 3 V U + M P 7 v X f k D h 1 q l 9 N B L 6 7 3 s z H v D 7 M z O Y x Q W m g o O 6 e Y e f R g O h g N V E Y k l h M n H G A J g q I c D M C c V r S z Q I K F 6 9 C J R t D V y b U 8 o Q y 8 U X B t H 2 V b 4 P r 9 V K F U e I W s q y o k x 1 I M W T T 4 x D i 8 o Y X m X 2 C v U o + W 4 d y a M 1 l S j D C z X c i E U r K 2 5 C i 5 c i H k h S s o X w c g / 8 1 3 4 1 A q N q X 5 h G O x N b y 4 4 f n H c T Y F v r G s p a s O V c I m k N F V Y p t q M 3 J v A L b P F 7 U 0 v L t x t 8 T F j a U E Y k S r Q s n 2 d M q w I X 5 i M 2 U u D + 3 S Z J F x 9 E 7 L e F N y R y u 5 5 3 1 0 u r Y h o N K 1 p E w O l s V c u L K 2 k Q b 4 D e V v f o 1 z D l 3 R R 9 c B X 4 q k H D Z l Q 2 I O P y + / w K + 5 z V 2 9 H T L k + f + d 1 h a 9 W z n B A e W / D r / V g q E 4 R t u 9 Y R 1 k c Z b G T h W h Q k m 5 5 q L + i i i f E B z j L 9 6 / 8 R i L n / 5 B E w m S e J l f T a J z F E a S Z u W b x P E s h m U B y H d + M s 6 k J g L d w m 0 Z g n z i w n o g C y i G r R K s I L 5 U L J 5 0 / o 4 x 1 n 7 c b v c Z n v R 7 8 y I e Z m U e l z K + V W B 7 w B 8 D X 0 S H k H 0 K n P 4 n s D 3 f M 6 X H H / P c 7 5 g d Q S w E C L Q A U A A I A C A D W S e 5 W q m C u H 6 Q A A A D 2 A A A A E g A A A A A A A A A A A A A A A A A A A A A A Q 2 9 u Z m l n L 1 B h Y 2 t h Z 2 U u e G 1 s U E s B A i 0 A F A A C A A g A 1 k n u V g / K 6 a u k A A A A 6 Q A A A B M A A A A A A A A A A A A A A A A A 8 A A A A F t D b 2 5 0 Z W 5 0 X 1 R 5 c G V z X S 5 4 b W x Q S w E C L Q A U A A I A C A D W S e 5 W T W 4 k 2 M 4 B A A C c C A A A E w A A A A A A A A A A A A A A A A D h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K Q A A A A A A A J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L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N P S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4 V D E 2 O j Q 2 O j M 5 L j E w O D I 4 N T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L R S 9 B d X R v U m V t b 3 Z l Z E N v b H V t b n M x L n t E Y X R l L D B 9 J n F 1 b 3 Q 7 L C Z x d W 9 0 O 1 N l Y 3 R p b 2 4 x L 0 N P S 0 U v Q X V 0 b 1 J l b W 9 2 Z W R D b 2 x 1 b W 5 z M S 5 7 T 3 B l b i w x f S Z x d W 9 0 O y w m c X V v d D t T Z W N 0 a W 9 u M S 9 D T 0 t F L 0 F 1 d G 9 S Z W 1 v d m V k Q 2 9 s d W 1 u c z E u e 0 h p Z 2 g s M n 0 m c X V v d D s s J n F 1 b 3 Q 7 U 2 V j d G l v b j E v Q 0 9 L R S 9 B d X R v U m V t b 3 Z l Z E N v b H V t b n M x L n t M b 3 c s M 3 0 m c X V v d D s s J n F 1 b 3 Q 7 U 2 V j d G l v b j E v Q 0 9 L R S 9 B d X R v U m V t b 3 Z l Z E N v b H V t b n M x L n t D b G 9 z Z S w 0 f S Z x d W 9 0 O y w m c X V v d D t T Z W N 0 a W 9 u M S 9 D T 0 t F L 0 F 1 d G 9 S Z W 1 v d m V k Q 2 9 s d W 1 u c z E u e 0 F k a i B D b G 9 z Z S w 1 f S Z x d W 9 0 O y w m c X V v d D t T Z W N 0 a W 9 u M S 9 D T 0 t F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0 t F L 0 F 1 d G 9 S Z W 1 v d m V k Q 2 9 s d W 1 u c z E u e 0 R h d G U s M H 0 m c X V v d D s s J n F 1 b 3 Q 7 U 2 V j d G l v b j E v Q 0 9 L R S 9 B d X R v U m V t b 3 Z l Z E N v b H V t b n M x L n t P c G V u L D F 9 J n F 1 b 3 Q 7 L C Z x d W 9 0 O 1 N l Y 3 R p b 2 4 x L 0 N P S 0 U v Q X V 0 b 1 J l b W 9 2 Z W R D b 2 x 1 b W 5 z M S 5 7 S G l n a C w y f S Z x d W 9 0 O y w m c X V v d D t T Z W N 0 a W 9 u M S 9 D T 0 t F L 0 F 1 d G 9 S Z W 1 v d m V k Q 2 9 s d W 1 u c z E u e 0 x v d y w z f S Z x d W 9 0 O y w m c X V v d D t T Z W N 0 a W 9 u M S 9 D T 0 t F L 0 F 1 d G 9 S Z W 1 v d m V k Q 2 9 s d W 1 u c z E u e 0 N s b 3 N l L D R 9 J n F 1 b 3 Q 7 L C Z x d W 9 0 O 1 N l Y 3 R p b 2 4 x L 0 N P S 0 U v Q X V 0 b 1 J l b W 9 2 Z W R D b 2 x 1 b W 5 z M S 5 7 Q W R q I E N s b 3 N l L D V 9 J n F 1 b 3 Q 7 L C Z x d W 9 0 O 1 N l Y 3 R p b 2 4 x L 0 N P S 0 U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t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S 0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L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S 0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T Y 6 N D Y 6 M z k u M T A 4 M j g 1 M V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M T I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t F L 0 F 1 d G 9 S Z W 1 v d m V k Q 2 9 s d W 1 u c z E u e 0 R h d G U s M H 0 m c X V v d D s s J n F 1 b 3 Q 7 U 2 V j d G l v b j E v Q 0 9 L R S 9 B d X R v U m V t b 3 Z l Z E N v b H V t b n M x L n t P c G V u L D F 9 J n F 1 b 3 Q 7 L C Z x d W 9 0 O 1 N l Y 3 R p b 2 4 x L 0 N P S 0 U v Q X V 0 b 1 J l b W 9 2 Z W R D b 2 x 1 b W 5 z M S 5 7 S G l n a C w y f S Z x d W 9 0 O y w m c X V v d D t T Z W N 0 a W 9 u M S 9 D T 0 t F L 0 F 1 d G 9 S Z W 1 v d m V k Q 2 9 s d W 1 u c z E u e 0 x v d y w z f S Z x d W 9 0 O y w m c X V v d D t T Z W N 0 a W 9 u M S 9 D T 0 t F L 0 F 1 d G 9 S Z W 1 v d m V k Q 2 9 s d W 1 u c z E u e 0 N s b 3 N l L D R 9 J n F 1 b 3 Q 7 L C Z x d W 9 0 O 1 N l Y 3 R p b 2 4 x L 0 N P S 0 U v Q X V 0 b 1 J l b W 9 2 Z W R D b 2 x 1 b W 5 z M S 5 7 Q W R q I E N s b 3 N l L D V 9 J n F 1 b 3 Q 7 L C Z x d W 9 0 O 1 N l Y 3 R p b 2 4 x L 0 N P S 0 U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S 0 U v Q X V 0 b 1 J l b W 9 2 Z W R D b 2 x 1 b W 5 z M S 5 7 R G F 0 Z S w w f S Z x d W 9 0 O y w m c X V v d D t T Z W N 0 a W 9 u M S 9 D T 0 t F L 0 F 1 d G 9 S Z W 1 v d m V k Q 2 9 s d W 1 u c z E u e 0 9 w Z W 4 s M X 0 m c X V v d D s s J n F 1 b 3 Q 7 U 2 V j d G l v b j E v Q 0 9 L R S 9 B d X R v U m V t b 3 Z l Z E N v b H V t b n M x L n t I a W d o L D J 9 J n F 1 b 3 Q 7 L C Z x d W 9 0 O 1 N l Y 3 R p b 2 4 x L 0 N P S 0 U v Q X V 0 b 1 J l b W 9 2 Z W R D b 2 x 1 b W 5 z M S 5 7 T G 9 3 L D N 9 J n F 1 b 3 Q 7 L C Z x d W 9 0 O 1 N l Y 3 R p b 2 4 x L 0 N P S 0 U v Q X V 0 b 1 J l b W 9 2 Z W R D b 2 x 1 b W 5 z M S 5 7 Q 2 x v c 2 U s N H 0 m c X V v d D s s J n F 1 b 3 Q 7 U 2 V j d G l v b j E v Q 0 9 L R S 9 B d X R v U m V t b 3 Z l Z E N v b H V t b n M x L n t B Z G o g Q 2 x v c 2 U s N X 0 m c X V v d D s s J n F 1 b 3 Q 7 U 2 V j d G l v b j E v Q 0 9 L R S 9 B d X R v U m V t b 3 Z l Z E N v b H V t b n M x L n t W b 2 x 1 b W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t F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S 0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L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w M z o 1 O T o w N S 4 1 O T c w N T g 4 W i I g L z 4 8 R W 5 0 c n k g V H l w Z T 0 i R m l s b E N v b H V t b l R 5 c G V z I i B W Y W x 1 Z T 0 i c 0 J n W U d C Z 1 l G I i A v P j x F b n R y e S B U e X B l P S J G a W x s Q 2 9 s d W 1 u T m F t Z X M i I F Z h b H V l P S J z W y Z x d W 9 0 O 0 N P T l N P T E l E Q V R F R C B T V E F U R U 1 F T l R T I E 9 G I E 9 Q R V J B V E l P T l M g L S B V U 0 Q g K C Q p I H N o Y X J l c y B p b i B U a G 9 1 c 2 F u Z H M s I C Q g a W 4 g T W l s b G l v b n M m c X V v d D s s J n F 1 b 3 Q 7 M T I g T W 9 u d G h z I E V u Z G V k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y Y X R p b 2 5 z L 0 F 1 d G 9 S Z W 1 v d m V k Q 2 9 s d W 1 u c z E u e 0 N P T l N P T E l E Q V R F R C B T V E F U R U 1 F T l R T I E 9 G I E 9 Q R V J B V E l P T l M g L S B V U 0 Q g K C Q p I H N o Y X J l c y B p b i B U a G 9 1 c 2 F u Z H M s I C Q g a W 4 g T W l s b G l v b n M s M H 0 m c X V v d D s s J n F 1 b 3 Q 7 U 2 V j d G l v b j E v b 3 B l c m F 0 a W 9 u c y 9 B d X R v U m V t b 3 Z l Z E N v b H V t b n M x L n s x M i B N b 2 5 0 a H M g R W 5 k Z W Q s M X 0 m c X V v d D s s J n F 1 b 3 Q 7 U 2 V j d G l v b j E v b 3 B l c m F 0 a W 9 u c y 9 B d X R v U m V t b 3 Z l Z E N v b H V t b n M x L n t D b 2 x 1 b W 4 x L D J 9 J n F 1 b 3 Q 7 L C Z x d W 9 0 O 1 N l Y 3 R p b 2 4 x L 2 9 w Z X J h d G l v b n M v Q X V 0 b 1 J l b W 9 2 Z W R D b 2 x 1 b W 5 z M S 5 7 X z E s M 3 0 m c X V v d D s s J n F 1 b 3 Q 7 U 2 V j d G l v b j E v b 3 B l c m F 0 a W 9 u c y 9 B d X R v U m V t b 3 Z l Z E N v b H V t b n M x L n t f M i w 0 f S Z x d W 9 0 O y w m c X V v d D t T Z W N 0 a W 9 u M S 9 v c G V y Y X R p b 2 5 z L 0 F 1 d G 9 S Z W 1 v d m V k Q 2 9 s d W 1 u c z E u e 1 8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w Z X J h d G l v b n M v Q X V 0 b 1 J l b W 9 2 Z W R D b 2 x 1 b W 5 z M S 5 7 Q 0 9 O U 0 9 M S U R B V E V E I F N U Q V R F T U V O V F M g T 0 Y g T 1 B F U k F U S U 9 O U y A t I F V T R C A o J C k g c 2 h h c m V z I G l u I F R o b 3 V z Y W 5 k c y w g J C B p b i B N a W x s a W 9 u c y w w f S Z x d W 9 0 O y w m c X V v d D t T Z W N 0 a W 9 u M S 9 v c G V y Y X R p b 2 5 z L 0 F 1 d G 9 S Z W 1 v d m V k Q 2 9 s d W 1 u c z E u e z E y I E 1 v b n R o c y B F b m R l Z C w x f S Z x d W 9 0 O y w m c X V v d D t T Z W N 0 a W 9 u M S 9 v c G V y Y X R p b 2 5 z L 0 F 1 d G 9 S Z W 1 v d m V k Q 2 9 s d W 1 u c z E u e 0 N v b H V t b j E s M n 0 m c X V v d D s s J n F 1 b 3 Q 7 U 2 V j d G l v b j E v b 3 B l c m F 0 a W 9 u c y 9 B d X R v U m V t b 3 Z l Z E N v b H V t b n M x L n t f M S w z f S Z x d W 9 0 O y w m c X V v d D t T Z W N 0 a W 9 u M S 9 v c G V y Y X R p b 2 5 z L 0 F 1 d G 9 S Z W 1 v d m V k Q 2 9 s d W 1 u c z E u e 1 8 y L D R 9 J n F 1 b 3 Q 7 L C Z x d W 9 0 O 1 N l Y 3 R p b 2 4 x L 2 9 w Z X J h d G l v b n M v Q X V 0 b 1 J l b W 9 2 Z W R D b 2 x 1 b W 5 z M S 5 7 X z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X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L R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x l X 0 N P S 0 U z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3 L T A 4 V D E 2 O j Q 2 O j M 5 L j E w O D I 4 N T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R m l s b E N v d W 5 0 I i B W Y W x 1 Z T 0 i b D E y N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L R S 9 B d X R v U m V t b 3 Z l Z E N v b H V t b n M x L n t E Y X R l L D B 9 J n F 1 b 3 Q 7 L C Z x d W 9 0 O 1 N l Y 3 R p b 2 4 x L 0 N P S 0 U v Q X V 0 b 1 J l b W 9 2 Z W R D b 2 x 1 b W 5 z M S 5 7 T 3 B l b i w x f S Z x d W 9 0 O y w m c X V v d D t T Z W N 0 a W 9 u M S 9 D T 0 t F L 0 F 1 d G 9 S Z W 1 v d m V k Q 2 9 s d W 1 u c z E u e 0 h p Z 2 g s M n 0 m c X V v d D s s J n F 1 b 3 Q 7 U 2 V j d G l v b j E v Q 0 9 L R S 9 B d X R v U m V t b 3 Z l Z E N v b H V t b n M x L n t M b 3 c s M 3 0 m c X V v d D s s J n F 1 b 3 Q 7 U 2 V j d G l v b j E v Q 0 9 L R S 9 B d X R v U m V t b 3 Z l Z E N v b H V t b n M x L n t D b G 9 z Z S w 0 f S Z x d W 9 0 O y w m c X V v d D t T Z W N 0 a W 9 u M S 9 D T 0 t F L 0 F 1 d G 9 S Z W 1 v d m V k Q 2 9 s d W 1 u c z E u e 0 F k a i B D b G 9 z Z S w 1 f S Z x d W 9 0 O y w m c X V v d D t T Z W N 0 a W 9 u M S 9 D T 0 t F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0 t F L 0 F 1 d G 9 S Z W 1 v d m V k Q 2 9 s d W 1 u c z E u e 0 R h d G U s M H 0 m c X V v d D s s J n F 1 b 3 Q 7 U 2 V j d G l v b j E v Q 0 9 L R S 9 B d X R v U m V t b 3 Z l Z E N v b H V t b n M x L n t P c G V u L D F 9 J n F 1 b 3 Q 7 L C Z x d W 9 0 O 1 N l Y 3 R p b 2 4 x L 0 N P S 0 U v Q X V 0 b 1 J l b W 9 2 Z W R D b 2 x 1 b W 5 z M S 5 7 S G l n a C w y f S Z x d W 9 0 O y w m c X V v d D t T Z W N 0 a W 9 u M S 9 D T 0 t F L 0 F 1 d G 9 S Z W 1 v d m V k Q 2 9 s d W 1 u c z E u e 0 x v d y w z f S Z x d W 9 0 O y w m c X V v d D t T Z W N 0 a W 9 u M S 9 D T 0 t F L 0 F 1 d G 9 S Z W 1 v d m V k Q 2 9 s d W 1 u c z E u e 0 N s b 3 N l L D R 9 J n F 1 b 3 Q 7 L C Z x d W 9 0 O 1 N l Y 3 R p b 2 4 x L 0 N P S 0 U v Q X V 0 b 1 J l b W 9 2 Z W R D b 2 x 1 b W 5 z M S 5 7 Q W R q I E N s b 3 N l L D V 9 J n F 1 b 3 Q 7 L C Z x d W 9 0 O 1 N l Y 3 R p b 2 4 x L 0 N P S 0 U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t F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S 0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L R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N 3 H f O 8 M R R a A + K v L x h 6 D 4 A A A A A A I A A A A A A B B m A A A A A Q A A I A A A A P m q R 3 J V + t z X p f 9 l f L 4 M b e K F V i x a E K / / q Z U r N P F / Z b d q A A A A A A 6 A A A A A A g A A I A A A A I 3 w x O s r / x y u A + Q D G t / o p n T K c j j h 2 p 6 H Q e 4 i X m + f g P M 5 U A A A A M b u B d l I Y K 4 Y X l 2 F G W M L K 1 K 3 0 k X M n u 6 q a 2 T g 4 1 G y D T S C W t n r t B m m Y I n y 2 m A R S K O g x 7 r O 8 0 3 y y g U 2 5 9 8 Z B 0 s d Y Q t / U G t T O 1 f 4 7 S L 1 l V h E 5 B l S Q A A A A N A F m M X z N R r M J 2 J h a 6 a V w V S C w U i U x O p M K g F q N k O 5 x / o v Y u n R p L O Y T h r i G r x 0 H i a L Q z / e J G P L I p s N u N a t E l w T Z D 8 = < / D a t a M a s h u p > 
</file>

<file path=customXml/itemProps1.xml><?xml version="1.0" encoding="utf-8"?>
<ds:datastoreItem xmlns:ds="http://schemas.openxmlformats.org/officeDocument/2006/customXml" ds:itemID="{9C4A24C4-4E94-459A-9AA5-5F3B8ACA14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cost of debt </vt:lpstr>
      <vt:lpstr>WACC </vt:lpstr>
      <vt:lpstr>COKE</vt:lpstr>
      <vt:lpstr>Cashflow</vt:lpstr>
      <vt:lpstr>CAPM</vt:lpstr>
      <vt:lpstr>DCF</vt:lpstr>
      <vt:lpstr>Free cash flow</vt:lpstr>
      <vt:lpstr>ratio analysis</vt:lpstr>
      <vt:lpstr>Balance sheet</vt:lpstr>
      <vt:lpstr>income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Delphina</dc:creator>
  <cp:lastModifiedBy>Microsoft Office User</cp:lastModifiedBy>
  <dcterms:created xsi:type="dcterms:W3CDTF">2023-07-10T03:07:26Z</dcterms:created>
  <dcterms:modified xsi:type="dcterms:W3CDTF">2023-08-29T14:21:18Z</dcterms:modified>
</cp:coreProperties>
</file>