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3090" windowWidth="5415" windowHeight="1275" firstSheet="6" activeTab="11"/>
  </bookViews>
  <sheets>
    <sheet name="IDFC_2020-2021" sheetId="1" r:id="rId1"/>
    <sheet name="Kotak_2020-2021" sheetId="8" r:id="rId2"/>
    <sheet name="INVOICE_UPDATE" sheetId="2" r:id="rId3"/>
    <sheet name="Account_Oct" sheetId="20" r:id="rId4"/>
    <sheet name="ACCOUNT SATTLEMENT" sheetId="6" r:id="rId5"/>
    <sheet name="Loan Sheet" sheetId="10" r:id="rId6"/>
    <sheet name="New Account Sheet" sheetId="26" r:id="rId7"/>
    <sheet name="Kotak" sheetId="27" r:id="rId8"/>
    <sheet name="IDFC" sheetId="29" r:id="rId9"/>
    <sheet name="Vendor " sheetId="30" r:id="rId10"/>
    <sheet name="Sheet1" sheetId="31" r:id="rId11"/>
    <sheet name="15.12.2020" sheetId="32" r:id="rId12"/>
  </sheets>
  <definedNames>
    <definedName name="_xlnm._FilterDatabase" localSheetId="0" hidden="1">'IDFC_2020-2021'!$A$13:$M$13</definedName>
    <definedName name="_xlnm._FilterDatabase" localSheetId="2" hidden="1">INVOICE_UPDATE!$A$1:$CU$87</definedName>
    <definedName name="_xlnm._FilterDatabase" localSheetId="1" hidden="1">'Kotak_2020-2021'!$A$12:$O$12</definedName>
  </definedNames>
  <calcPr calcId="124519"/>
</workbook>
</file>

<file path=xl/calcChain.xml><?xml version="1.0" encoding="utf-8"?>
<calcChain xmlns="http://schemas.openxmlformats.org/spreadsheetml/2006/main">
  <c r="I101" i="32"/>
  <c r="J101" s="1"/>
  <c r="H101"/>
  <c r="H100"/>
  <c r="I100" s="1"/>
  <c r="J100" s="1"/>
  <c r="J99"/>
  <c r="I99"/>
  <c r="H99"/>
  <c r="J98"/>
  <c r="I98"/>
  <c r="H98"/>
  <c r="I97"/>
  <c r="J97" s="1"/>
  <c r="H97"/>
  <c r="H96"/>
  <c r="I96" s="1"/>
  <c r="J96" s="1"/>
  <c r="J95"/>
  <c r="I95"/>
  <c r="H95"/>
  <c r="J94"/>
  <c r="I94"/>
  <c r="H94"/>
  <c r="I93"/>
  <c r="J93" s="1"/>
  <c r="H93"/>
  <c r="H92"/>
  <c r="I92" s="1"/>
  <c r="J92" s="1"/>
  <c r="J91"/>
  <c r="I91"/>
  <c r="H91"/>
  <c r="J90"/>
  <c r="I90"/>
  <c r="H90"/>
  <c r="I89"/>
  <c r="J89" s="1"/>
  <c r="H89"/>
  <c r="H88"/>
  <c r="I88" s="1"/>
  <c r="J88" s="1"/>
  <c r="J87"/>
  <c r="I87"/>
  <c r="H87"/>
  <c r="J86"/>
  <c r="I86"/>
  <c r="H86"/>
  <c r="I85"/>
  <c r="J85" s="1"/>
  <c r="H85"/>
  <c r="H84"/>
  <c r="I84" s="1"/>
  <c r="J84" s="1"/>
  <c r="J83"/>
  <c r="I83"/>
  <c r="H83"/>
  <c r="J82"/>
  <c r="I82"/>
  <c r="H82"/>
  <c r="I81"/>
  <c r="J81" s="1"/>
  <c r="H81"/>
  <c r="H80"/>
  <c r="I80" s="1"/>
  <c r="J80" s="1"/>
  <c r="J79"/>
  <c r="I79"/>
  <c r="H79"/>
  <c r="J78"/>
  <c r="I78"/>
  <c r="H78"/>
  <c r="I77"/>
  <c r="J77" s="1"/>
  <c r="H77"/>
  <c r="H76"/>
  <c r="I76" s="1"/>
  <c r="J76" s="1"/>
  <c r="J75"/>
  <c r="I75"/>
  <c r="H75"/>
  <c r="J74"/>
  <c r="I74"/>
  <c r="H74"/>
  <c r="I73"/>
  <c r="J73" s="1"/>
  <c r="H73"/>
  <c r="H72"/>
  <c r="I72" s="1"/>
  <c r="J72" s="1"/>
  <c r="J71"/>
  <c r="I71"/>
  <c r="H71"/>
  <c r="J70"/>
  <c r="I70"/>
  <c r="H70"/>
  <c r="I69"/>
  <c r="J69" s="1"/>
  <c r="H69"/>
  <c r="H68"/>
  <c r="I68" s="1"/>
  <c r="J68" s="1"/>
  <c r="J67"/>
  <c r="I67"/>
  <c r="H67"/>
  <c r="J66"/>
  <c r="I66"/>
  <c r="H66"/>
  <c r="I65"/>
  <c r="J65" s="1"/>
  <c r="H65"/>
  <c r="H64"/>
  <c r="I64" s="1"/>
  <c r="J64" s="1"/>
  <c r="J63"/>
  <c r="I63"/>
  <c r="H63"/>
  <c r="J62"/>
  <c r="I62"/>
  <c r="H62"/>
  <c r="I61"/>
  <c r="J61" s="1"/>
  <c r="H61"/>
  <c r="H60"/>
  <c r="I60" s="1"/>
  <c r="J60" s="1"/>
  <c r="J59"/>
  <c r="I59"/>
  <c r="H59"/>
  <c r="J58"/>
  <c r="I58"/>
  <c r="H58"/>
  <c r="I57"/>
  <c r="J57" s="1"/>
  <c r="H57"/>
  <c r="H56"/>
  <c r="I56" s="1"/>
  <c r="J56" s="1"/>
  <c r="J55"/>
  <c r="I55"/>
  <c r="H55"/>
  <c r="J54"/>
  <c r="I54"/>
  <c r="H54"/>
  <c r="I53"/>
  <c r="J53" s="1"/>
  <c r="H53"/>
  <c r="H52"/>
  <c r="I52" s="1"/>
  <c r="J52" s="1"/>
  <c r="J51"/>
  <c r="I51"/>
  <c r="H51"/>
  <c r="J50"/>
  <c r="I50"/>
  <c r="H50"/>
  <c r="I49"/>
  <c r="J49" s="1"/>
  <c r="H49"/>
  <c r="H48"/>
  <c r="I48" s="1"/>
  <c r="J48" s="1"/>
  <c r="J47"/>
  <c r="I47"/>
  <c r="H47"/>
  <c r="J46"/>
  <c r="I46"/>
  <c r="H46"/>
  <c r="I45"/>
  <c r="J45" s="1"/>
  <c r="H45"/>
  <c r="H44"/>
  <c r="I44" s="1"/>
  <c r="J44" s="1"/>
  <c r="J43"/>
  <c r="I43"/>
  <c r="H43"/>
  <c r="J42"/>
  <c r="I42"/>
  <c r="H42"/>
  <c r="I41"/>
  <c r="J41" s="1"/>
  <c r="H41"/>
  <c r="H40"/>
  <c r="I40" s="1"/>
  <c r="J40" s="1"/>
  <c r="J39"/>
  <c r="I39"/>
  <c r="H39"/>
  <c r="J38"/>
  <c r="I38"/>
  <c r="H38"/>
  <c r="I37"/>
  <c r="J37" s="1"/>
  <c r="H37"/>
  <c r="H36"/>
  <c r="I36" s="1"/>
  <c r="J36" s="1"/>
  <c r="J35"/>
  <c r="I35"/>
  <c r="H35"/>
  <c r="J34"/>
  <c r="I34"/>
  <c r="H34"/>
  <c r="I33"/>
  <c r="J33" s="1"/>
  <c r="H33"/>
  <c r="H32"/>
  <c r="I32" s="1"/>
  <c r="J32" s="1"/>
  <c r="J31"/>
  <c r="I31"/>
  <c r="H31"/>
  <c r="J30"/>
  <c r="I30"/>
  <c r="H30"/>
  <c r="I29"/>
  <c r="J29" s="1"/>
  <c r="H29"/>
  <c r="H28"/>
  <c r="I28" s="1"/>
  <c r="J28" s="1"/>
  <c r="J27"/>
  <c r="I27"/>
  <c r="H27"/>
  <c r="J26"/>
  <c r="I26"/>
  <c r="H26"/>
  <c r="I25"/>
  <c r="J25" s="1"/>
  <c r="H25"/>
  <c r="H24"/>
  <c r="I24" s="1"/>
  <c r="J24" s="1"/>
  <c r="J23"/>
  <c r="I23"/>
  <c r="H23"/>
  <c r="I22"/>
  <c r="J22" s="1"/>
  <c r="H22"/>
  <c r="I21"/>
  <c r="J21" s="1"/>
  <c r="H21"/>
  <c r="H20"/>
  <c r="I20" s="1"/>
  <c r="J20" s="1"/>
  <c r="H19"/>
  <c r="I19" s="1"/>
  <c r="J19" s="1"/>
  <c r="H18"/>
  <c r="I18" s="1"/>
  <c r="J18" s="1"/>
  <c r="I17"/>
  <c r="J17" s="1"/>
  <c r="H17"/>
  <c r="H16"/>
  <c r="I16" s="1"/>
  <c r="J16" s="1"/>
  <c r="H15"/>
  <c r="I15" s="1"/>
  <c r="J15" s="1"/>
  <c r="J14"/>
  <c r="I14"/>
  <c r="H14"/>
  <c r="G14"/>
  <c r="J13"/>
  <c r="I13"/>
  <c r="H13"/>
  <c r="I12"/>
  <c r="J12" s="1"/>
  <c r="H12"/>
  <c r="H11"/>
  <c r="I11" s="1"/>
  <c r="J11" s="1"/>
  <c r="H10"/>
  <c r="I10" s="1"/>
  <c r="J10" s="1"/>
  <c r="J9"/>
  <c r="I9"/>
  <c r="H9"/>
  <c r="H8"/>
  <c r="I8" s="1"/>
  <c r="J8" s="1"/>
  <c r="H7"/>
  <c r="I7" s="1"/>
  <c r="J7" s="1"/>
  <c r="H6"/>
  <c r="G6"/>
  <c r="H5"/>
  <c r="I5" s="1"/>
  <c r="D5"/>
  <c r="H4"/>
  <c r="I4" s="1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F2"/>
  <c r="E2"/>
  <c r="I6" l="1"/>
  <c r="J6" s="1"/>
  <c r="J4"/>
  <c r="J5"/>
  <c r="G2"/>
  <c r="J2" l="1"/>
  <c r="I2"/>
  <c r="D2" s="1"/>
  <c r="I41" i="2" l="1"/>
  <c r="J41"/>
  <c r="K41"/>
  <c r="L41" s="1"/>
  <c r="I40"/>
  <c r="J40"/>
  <c r="K40"/>
  <c r="L40" s="1"/>
  <c r="J39"/>
  <c r="K39" s="1"/>
  <c r="L39" s="1"/>
  <c r="O39" s="1"/>
  <c r="I39"/>
  <c r="G11" i="30" l="1"/>
  <c r="G10"/>
  <c r="G9"/>
  <c r="M9" l="1"/>
  <c r="J7"/>
  <c r="L7" s="1"/>
  <c r="J8"/>
  <c r="L8"/>
  <c r="I8"/>
  <c r="K4"/>
  <c r="J4"/>
  <c r="J3"/>
  <c r="D251" i="8" l="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J1" i="26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I2" i="31"/>
  <c r="G14" i="27" l="1"/>
  <c r="E35" i="26" l="1"/>
  <c r="C35"/>
  <c r="B35"/>
  <c r="E34"/>
  <c r="C34"/>
  <c r="B34"/>
  <c r="E33"/>
  <c r="C33"/>
  <c r="B33"/>
  <c r="E32"/>
  <c r="C32"/>
  <c r="B32"/>
  <c r="E31"/>
  <c r="C31"/>
  <c r="B31"/>
  <c r="E30"/>
  <c r="C30"/>
  <c r="B30"/>
  <c r="E29"/>
  <c r="C29"/>
  <c r="B29"/>
  <c r="E28"/>
  <c r="C28"/>
  <c r="B28"/>
  <c r="E27"/>
  <c r="C27"/>
  <c r="B27"/>
  <c r="E26"/>
  <c r="C26"/>
  <c r="B26"/>
  <c r="E25"/>
  <c r="C25"/>
  <c r="B25"/>
  <c r="E24"/>
  <c r="C24"/>
  <c r="B24"/>
  <c r="E23"/>
  <c r="C23"/>
  <c r="B23"/>
  <c r="E22"/>
  <c r="C22"/>
  <c r="B22"/>
  <c r="E21"/>
  <c r="C21"/>
  <c r="B21"/>
  <c r="E20"/>
  <c r="C20"/>
  <c r="B20"/>
  <c r="E19"/>
  <c r="C19"/>
  <c r="B19"/>
  <c r="E18"/>
  <c r="C18"/>
  <c r="B18"/>
  <c r="E17"/>
  <c r="C17"/>
  <c r="B17"/>
  <c r="E16"/>
  <c r="C16"/>
  <c r="B16"/>
  <c r="E15"/>
  <c r="C15"/>
  <c r="B15"/>
  <c r="E14"/>
  <c r="C14"/>
  <c r="B14"/>
  <c r="E13"/>
  <c r="C13"/>
  <c r="B13"/>
  <c r="E12"/>
  <c r="C12"/>
  <c r="B12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6"/>
  <c r="F15"/>
  <c r="F14"/>
  <c r="F13"/>
  <c r="F12"/>
  <c r="F11"/>
  <c r="F10"/>
  <c r="F9"/>
  <c r="F8"/>
  <c r="F7"/>
  <c r="I37" i="2" l="1"/>
  <c r="J37"/>
  <c r="K37"/>
  <c r="L37"/>
  <c r="O37" s="1"/>
  <c r="I36"/>
  <c r="J36"/>
  <c r="K36"/>
  <c r="L36"/>
  <c r="O36" s="1"/>
  <c r="X18" i="10"/>
  <c r="V18"/>
  <c r="S18"/>
  <c r="P18"/>
  <c r="M18"/>
  <c r="J18"/>
  <c r="G18" s="1"/>
  <c r="H18" s="1"/>
  <c r="F18"/>
  <c r="X17"/>
  <c r="V17"/>
  <c r="S17"/>
  <c r="P17"/>
  <c r="M17"/>
  <c r="J17"/>
  <c r="G17" s="1"/>
  <c r="H17" s="1"/>
  <c r="F17"/>
  <c r="X16"/>
  <c r="V16"/>
  <c r="S16"/>
  <c r="P16"/>
  <c r="M16"/>
  <c r="J16"/>
  <c r="G16"/>
  <c r="H16" s="1"/>
  <c r="F16"/>
  <c r="X15"/>
  <c r="V15"/>
  <c r="S15"/>
  <c r="P15"/>
  <c r="M15"/>
  <c r="J15"/>
  <c r="G15" s="1"/>
  <c r="H15" s="1"/>
  <c r="F15"/>
  <c r="D5" i="27"/>
  <c r="E9" i="26"/>
  <c r="E10"/>
  <c r="E11"/>
  <c r="D8"/>
  <c r="E8"/>
  <c r="B8"/>
  <c r="C8"/>
  <c r="B9"/>
  <c r="C9"/>
  <c r="B10"/>
  <c r="C10"/>
  <c r="B11"/>
  <c r="C11"/>
  <c r="C7"/>
  <c r="B7"/>
  <c r="D4" l="1"/>
  <c r="F4"/>
  <c r="CK1" i="29" l="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AB1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J2"/>
  <c r="BR100" i="26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M3"/>
  <c r="L3"/>
  <c r="K3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K2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4"/>
  <c r="G3"/>
  <c r="G2"/>
  <c r="I100" i="27"/>
  <c r="J100" s="1"/>
  <c r="I98"/>
  <c r="J98" s="1"/>
  <c r="I96"/>
  <c r="J96" s="1"/>
  <c r="I94"/>
  <c r="J94" s="1"/>
  <c r="I92"/>
  <c r="J92" s="1"/>
  <c r="I90"/>
  <c r="J90" s="1"/>
  <c r="I88"/>
  <c r="J88" s="1"/>
  <c r="I86"/>
  <c r="J86" s="1"/>
  <c r="I84"/>
  <c r="J84" s="1"/>
  <c r="I82"/>
  <c r="J82" s="1"/>
  <c r="I80"/>
  <c r="J80" s="1"/>
  <c r="I78"/>
  <c r="J78" s="1"/>
  <c r="I76"/>
  <c r="J76" s="1"/>
  <c r="I74"/>
  <c r="J74" s="1"/>
  <c r="I72"/>
  <c r="J72" s="1"/>
  <c r="I70"/>
  <c r="J70" s="1"/>
  <c r="I68"/>
  <c r="J68" s="1"/>
  <c r="I66"/>
  <c r="J66" s="1"/>
  <c r="I64"/>
  <c r="J64" s="1"/>
  <c r="I62"/>
  <c r="J62" s="1"/>
  <c r="I60"/>
  <c r="J60" s="1"/>
  <c r="I58"/>
  <c r="J58" s="1"/>
  <c r="I56"/>
  <c r="J56" s="1"/>
  <c r="I54"/>
  <c r="J54" s="1"/>
  <c r="I52"/>
  <c r="J52" s="1"/>
  <c r="I50"/>
  <c r="J50" s="1"/>
  <c r="I48"/>
  <c r="J48" s="1"/>
  <c r="I46"/>
  <c r="J46" s="1"/>
  <c r="I44"/>
  <c r="J44" s="1"/>
  <c r="I42"/>
  <c r="J42" s="1"/>
  <c r="I40"/>
  <c r="J40" s="1"/>
  <c r="I38"/>
  <c r="J38" s="1"/>
  <c r="I36"/>
  <c r="J36" s="1"/>
  <c r="I34"/>
  <c r="J34" s="1"/>
  <c r="I32"/>
  <c r="J32" s="1"/>
  <c r="I30"/>
  <c r="J30" s="1"/>
  <c r="I28"/>
  <c r="J28" s="1"/>
  <c r="I26"/>
  <c r="J26" s="1"/>
  <c r="I24"/>
  <c r="J24" s="1"/>
  <c r="I22"/>
  <c r="J22" s="1"/>
  <c r="I20"/>
  <c r="J20" s="1"/>
  <c r="I18"/>
  <c r="J18" s="1"/>
  <c r="I16"/>
  <c r="J16" s="1"/>
  <c r="I8"/>
  <c r="J8" s="1"/>
  <c r="I5"/>
  <c r="J5" s="1"/>
  <c r="I100" i="29"/>
  <c r="I99"/>
  <c r="I96"/>
  <c r="I95"/>
  <c r="I92"/>
  <c r="I91"/>
  <c r="I88"/>
  <c r="I87"/>
  <c r="I84"/>
  <c r="I83"/>
  <c r="I80"/>
  <c r="I79"/>
  <c r="I76"/>
  <c r="I75"/>
  <c r="I72"/>
  <c r="I71"/>
  <c r="I68"/>
  <c r="I67"/>
  <c r="I64"/>
  <c r="I63"/>
  <c r="I60"/>
  <c r="I59"/>
  <c r="I56"/>
  <c r="I55"/>
  <c r="I52"/>
  <c r="I51"/>
  <c r="I48"/>
  <c r="I47"/>
  <c r="I44"/>
  <c r="I43"/>
  <c r="I40"/>
  <c r="I39"/>
  <c r="I36"/>
  <c r="I35"/>
  <c r="I32"/>
  <c r="I31"/>
  <c r="I28"/>
  <c r="I27"/>
  <c r="I24"/>
  <c r="I23"/>
  <c r="I20"/>
  <c r="I19"/>
  <c r="I16"/>
  <c r="I15"/>
  <c r="I12"/>
  <c r="I11"/>
  <c r="I8"/>
  <c r="I7"/>
  <c r="F1"/>
  <c r="F2" i="27"/>
  <c r="H100" i="29"/>
  <c r="H99"/>
  <c r="H98"/>
  <c r="I98" s="1"/>
  <c r="H97"/>
  <c r="I97" s="1"/>
  <c r="H96"/>
  <c r="H95"/>
  <c r="H94"/>
  <c r="I94" s="1"/>
  <c r="H93"/>
  <c r="I93" s="1"/>
  <c r="H92"/>
  <c r="H91"/>
  <c r="H90"/>
  <c r="I90" s="1"/>
  <c r="H89"/>
  <c r="I89" s="1"/>
  <c r="H88"/>
  <c r="H87"/>
  <c r="H86"/>
  <c r="I86" s="1"/>
  <c r="H85"/>
  <c r="I85" s="1"/>
  <c r="H84"/>
  <c r="H83"/>
  <c r="H82"/>
  <c r="I82" s="1"/>
  <c r="H81"/>
  <c r="I81" s="1"/>
  <c r="H80"/>
  <c r="H79"/>
  <c r="H78"/>
  <c r="I78" s="1"/>
  <c r="H77"/>
  <c r="I77" s="1"/>
  <c r="H76"/>
  <c r="H75"/>
  <c r="H74"/>
  <c r="I74" s="1"/>
  <c r="H73"/>
  <c r="I73" s="1"/>
  <c r="H72"/>
  <c r="H71"/>
  <c r="H70"/>
  <c r="I70" s="1"/>
  <c r="H69"/>
  <c r="I69" s="1"/>
  <c r="H68"/>
  <c r="H67"/>
  <c r="H66"/>
  <c r="I66" s="1"/>
  <c r="H65"/>
  <c r="I65" s="1"/>
  <c r="H64"/>
  <c r="H63"/>
  <c r="H62"/>
  <c r="I62" s="1"/>
  <c r="H61"/>
  <c r="I61" s="1"/>
  <c r="H60"/>
  <c r="H59"/>
  <c r="H58"/>
  <c r="I58" s="1"/>
  <c r="H57"/>
  <c r="I57" s="1"/>
  <c r="H56"/>
  <c r="H55"/>
  <c r="H54"/>
  <c r="I54" s="1"/>
  <c r="H53"/>
  <c r="I53" s="1"/>
  <c r="H52"/>
  <c r="H51"/>
  <c r="H50"/>
  <c r="I50" s="1"/>
  <c r="H49"/>
  <c r="I49" s="1"/>
  <c r="H48"/>
  <c r="H47"/>
  <c r="H46"/>
  <c r="I46" s="1"/>
  <c r="H45"/>
  <c r="I45" s="1"/>
  <c r="H44"/>
  <c r="H43"/>
  <c r="H42"/>
  <c r="I42" s="1"/>
  <c r="H41"/>
  <c r="I41" s="1"/>
  <c r="H40"/>
  <c r="H39"/>
  <c r="H38"/>
  <c r="I38" s="1"/>
  <c r="H37"/>
  <c r="I37" s="1"/>
  <c r="H36"/>
  <c r="H35"/>
  <c r="H34"/>
  <c r="I34" s="1"/>
  <c r="H33"/>
  <c r="I33" s="1"/>
  <c r="H32"/>
  <c r="H31"/>
  <c r="H30"/>
  <c r="I30" s="1"/>
  <c r="H29"/>
  <c r="I29" s="1"/>
  <c r="H28"/>
  <c r="H27"/>
  <c r="H26"/>
  <c r="I26" s="1"/>
  <c r="H25"/>
  <c r="I25" s="1"/>
  <c r="H24"/>
  <c r="H23"/>
  <c r="H22"/>
  <c r="I22" s="1"/>
  <c r="H21"/>
  <c r="I21" s="1"/>
  <c r="H20"/>
  <c r="H19"/>
  <c r="H18"/>
  <c r="I18" s="1"/>
  <c r="H17"/>
  <c r="I17" s="1"/>
  <c r="F17" i="26" s="1"/>
  <c r="H16" i="29"/>
  <c r="H15"/>
  <c r="H14"/>
  <c r="I14" s="1"/>
  <c r="H13"/>
  <c r="I13" s="1"/>
  <c r="H12"/>
  <c r="H11"/>
  <c r="H10"/>
  <c r="I10" s="1"/>
  <c r="H9"/>
  <c r="I9" s="1"/>
  <c r="H8"/>
  <c r="H7"/>
  <c r="H6"/>
  <c r="I6" s="1"/>
  <c r="F6" i="26" s="1"/>
  <c r="H5" i="29"/>
  <c r="I5" s="1"/>
  <c r="H4"/>
  <c r="I4" s="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A1"/>
  <c r="Z1"/>
  <c r="Y1"/>
  <c r="X1"/>
  <c r="W1"/>
  <c r="V1"/>
  <c r="U1"/>
  <c r="T1"/>
  <c r="S1"/>
  <c r="R1"/>
  <c r="Q1"/>
  <c r="P1"/>
  <c r="O1"/>
  <c r="N1"/>
  <c r="M1"/>
  <c r="L1"/>
  <c r="K1"/>
  <c r="J1"/>
  <c r="G1"/>
  <c r="E1"/>
  <c r="H101" i="27"/>
  <c r="I101" s="1"/>
  <c r="J101" s="1"/>
  <c r="H100"/>
  <c r="H99"/>
  <c r="I99" s="1"/>
  <c r="J99" s="1"/>
  <c r="H98"/>
  <c r="H97"/>
  <c r="I97" s="1"/>
  <c r="J97" s="1"/>
  <c r="H96"/>
  <c r="H95"/>
  <c r="I95" s="1"/>
  <c r="J95" s="1"/>
  <c r="H94"/>
  <c r="H93"/>
  <c r="I93" s="1"/>
  <c r="J93" s="1"/>
  <c r="H92"/>
  <c r="H91"/>
  <c r="I91" s="1"/>
  <c r="J91" s="1"/>
  <c r="H90"/>
  <c r="H89"/>
  <c r="I89" s="1"/>
  <c r="J89" s="1"/>
  <c r="H88"/>
  <c r="H87"/>
  <c r="I87" s="1"/>
  <c r="J87" s="1"/>
  <c r="H86"/>
  <c r="H85"/>
  <c r="I85" s="1"/>
  <c r="J85" s="1"/>
  <c r="H84"/>
  <c r="H83"/>
  <c r="I83" s="1"/>
  <c r="J83" s="1"/>
  <c r="H82"/>
  <c r="H81"/>
  <c r="I81" s="1"/>
  <c r="J81" s="1"/>
  <c r="H80"/>
  <c r="H79"/>
  <c r="I79" s="1"/>
  <c r="J79" s="1"/>
  <c r="H78"/>
  <c r="H77"/>
  <c r="I77" s="1"/>
  <c r="J77" s="1"/>
  <c r="H76"/>
  <c r="H75"/>
  <c r="I75" s="1"/>
  <c r="J75" s="1"/>
  <c r="H74"/>
  <c r="H73"/>
  <c r="I73" s="1"/>
  <c r="J73" s="1"/>
  <c r="H72"/>
  <c r="H71"/>
  <c r="I71" s="1"/>
  <c r="J71" s="1"/>
  <c r="H70"/>
  <c r="H69"/>
  <c r="I69" s="1"/>
  <c r="J69" s="1"/>
  <c r="H68"/>
  <c r="H67"/>
  <c r="I67" s="1"/>
  <c r="J67" s="1"/>
  <c r="H66"/>
  <c r="H65"/>
  <c r="I65" s="1"/>
  <c r="J65" s="1"/>
  <c r="H64"/>
  <c r="H63"/>
  <c r="I63" s="1"/>
  <c r="J63" s="1"/>
  <c r="H62"/>
  <c r="H61"/>
  <c r="I61" s="1"/>
  <c r="J61" s="1"/>
  <c r="H60"/>
  <c r="H59"/>
  <c r="I59" s="1"/>
  <c r="J59" s="1"/>
  <c r="H58"/>
  <c r="H57"/>
  <c r="I57" s="1"/>
  <c r="J57" s="1"/>
  <c r="H56"/>
  <c r="H55"/>
  <c r="I55" s="1"/>
  <c r="J55" s="1"/>
  <c r="H54"/>
  <c r="H53"/>
  <c r="I53" s="1"/>
  <c r="J53" s="1"/>
  <c r="H52"/>
  <c r="H51"/>
  <c r="I51" s="1"/>
  <c r="J51" s="1"/>
  <c r="H50"/>
  <c r="H49"/>
  <c r="I49" s="1"/>
  <c r="J49" s="1"/>
  <c r="H48"/>
  <c r="H47"/>
  <c r="I47" s="1"/>
  <c r="J47" s="1"/>
  <c r="H46"/>
  <c r="H45"/>
  <c r="I45" s="1"/>
  <c r="J45" s="1"/>
  <c r="H44"/>
  <c r="H43"/>
  <c r="I43" s="1"/>
  <c r="J43" s="1"/>
  <c r="H42"/>
  <c r="H41"/>
  <c r="I41" s="1"/>
  <c r="J41" s="1"/>
  <c r="H40"/>
  <c r="H39"/>
  <c r="I39" s="1"/>
  <c r="J39" s="1"/>
  <c r="H38"/>
  <c r="H37"/>
  <c r="I37" s="1"/>
  <c r="J37" s="1"/>
  <c r="H36"/>
  <c r="H35"/>
  <c r="I35" s="1"/>
  <c r="J35" s="1"/>
  <c r="H34"/>
  <c r="H33"/>
  <c r="I33" s="1"/>
  <c r="J33" s="1"/>
  <c r="H32"/>
  <c r="H31"/>
  <c r="I31" s="1"/>
  <c r="J31" s="1"/>
  <c r="H30"/>
  <c r="H29"/>
  <c r="I29" s="1"/>
  <c r="J29" s="1"/>
  <c r="H28"/>
  <c r="H27"/>
  <c r="I27" s="1"/>
  <c r="J27" s="1"/>
  <c r="H26"/>
  <c r="H25"/>
  <c r="I25" s="1"/>
  <c r="J25" s="1"/>
  <c r="H24"/>
  <c r="H23"/>
  <c r="I23" s="1"/>
  <c r="J23" s="1"/>
  <c r="H22"/>
  <c r="H21"/>
  <c r="I21" s="1"/>
  <c r="J21" s="1"/>
  <c r="H20"/>
  <c r="H19"/>
  <c r="I19" s="1"/>
  <c r="J19" s="1"/>
  <c r="H18"/>
  <c r="H17"/>
  <c r="I17" s="1"/>
  <c r="J17" s="1"/>
  <c r="H16"/>
  <c r="H15"/>
  <c r="I15" s="1"/>
  <c r="J15" s="1"/>
  <c r="H14"/>
  <c r="I14" s="1"/>
  <c r="J14" s="1"/>
  <c r="H13"/>
  <c r="I13" s="1"/>
  <c r="J13" s="1"/>
  <c r="H12"/>
  <c r="I12" s="1"/>
  <c r="J12" s="1"/>
  <c r="H11"/>
  <c r="I11" s="1"/>
  <c r="J11" s="1"/>
  <c r="H10"/>
  <c r="I10" s="1"/>
  <c r="J10" s="1"/>
  <c r="H9"/>
  <c r="I9" s="1"/>
  <c r="J9" s="1"/>
  <c r="H8"/>
  <c r="H7"/>
  <c r="I7" s="1"/>
  <c r="J7" s="1"/>
  <c r="H6"/>
  <c r="G6"/>
  <c r="G5" i="26" s="1"/>
  <c r="H5" i="27"/>
  <c r="H4"/>
  <c r="I4" s="1"/>
  <c r="J4" s="1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G2"/>
  <c r="E2"/>
  <c r="I6" l="1"/>
  <c r="J6" s="1"/>
  <c r="J2"/>
  <c r="H3" i="29"/>
  <c r="I3" s="1"/>
  <c r="I1" s="1"/>
  <c r="D1" s="1"/>
  <c r="J23" i="2"/>
  <c r="K23" s="1"/>
  <c r="L23" s="1"/>
  <c r="O23" s="1"/>
  <c r="H23"/>
  <c r="G23"/>
  <c r="I2" i="27" l="1"/>
  <c r="D2" s="1"/>
  <c r="H24" i="2"/>
  <c r="G24"/>
  <c r="J28"/>
  <c r="K28" s="1"/>
  <c r="H28"/>
  <c r="G28"/>
  <c r="G29"/>
  <c r="H29"/>
  <c r="K29"/>
  <c r="J29"/>
  <c r="L28" l="1"/>
  <c r="O28" s="1"/>
  <c r="L29"/>
  <c r="O29" s="1"/>
  <c r="H15" i="26"/>
  <c r="I15" s="1"/>
  <c r="F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H3"/>
  <c r="I3" s="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G1"/>
  <c r="E1"/>
  <c r="I4" l="1"/>
  <c r="I1" s="1"/>
  <c r="D1" s="1"/>
  <c r="AR21" i="20"/>
  <c r="J35" i="2" l="1"/>
  <c r="K35" s="1"/>
  <c r="L35" s="1"/>
  <c r="O35" s="1"/>
  <c r="I35"/>
  <c r="J34"/>
  <c r="K34" s="1"/>
  <c r="I34"/>
  <c r="J33"/>
  <c r="K33" s="1"/>
  <c r="L33" s="1"/>
  <c r="O33" s="1"/>
  <c r="I33"/>
  <c r="J32"/>
  <c r="K32" s="1"/>
  <c r="I32"/>
  <c r="J31"/>
  <c r="K31" s="1"/>
  <c r="I31"/>
  <c r="K30"/>
  <c r="L30" s="1"/>
  <c r="O30" s="1"/>
  <c r="J30"/>
  <c r="I30"/>
  <c r="L34" l="1"/>
  <c r="O34" s="1"/>
  <c r="L32"/>
  <c r="O32" s="1"/>
  <c r="L31"/>
  <c r="O31" s="1"/>
  <c r="F19" i="20" l="1"/>
  <c r="AI19"/>
  <c r="Z19"/>
  <c r="R12"/>
  <c r="S19"/>
  <c r="BF9"/>
  <c r="F5"/>
  <c r="F7" l="1"/>
  <c r="F8"/>
  <c r="F23" l="1"/>
  <c r="M15" i="2" l="1"/>
  <c r="M10"/>
  <c r="D18" i="20" l="1"/>
  <c r="G18"/>
  <c r="V5"/>
  <c r="G23"/>
  <c r="O11" l="1"/>
  <c r="R22"/>
  <c r="F13"/>
  <c r="AB11" l="1"/>
  <c r="F11" l="1"/>
  <c r="M14" i="10"/>
  <c r="X14"/>
  <c r="V14"/>
  <c r="S14"/>
  <c r="P14"/>
  <c r="J14"/>
  <c r="F14"/>
  <c r="G14" l="1"/>
  <c r="H14" s="1"/>
  <c r="Y14" s="1"/>
  <c r="F3" i="20"/>
  <c r="F9"/>
  <c r="D196" i="8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H18" i="20"/>
  <c r="D183" i="8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I157" l="1"/>
  <c r="I152"/>
  <c r="I151"/>
  <c r="I150"/>
  <c r="BF4" i="20" l="1"/>
  <c r="BO1" l="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E1"/>
  <c r="F1"/>
  <c r="G100"/>
  <c r="H100" s="1"/>
  <c r="G99"/>
  <c r="H99" s="1"/>
  <c r="G98"/>
  <c r="H98" s="1"/>
  <c r="G97"/>
  <c r="H97" s="1"/>
  <c r="G96"/>
  <c r="H96" s="1"/>
  <c r="G95"/>
  <c r="H95" s="1"/>
  <c r="G94"/>
  <c r="H94" s="1"/>
  <c r="G93"/>
  <c r="H93" s="1"/>
  <c r="G92"/>
  <c r="H92" s="1"/>
  <c r="G91"/>
  <c r="H91" s="1"/>
  <c r="G90"/>
  <c r="H90" s="1"/>
  <c r="G89"/>
  <c r="H89" s="1"/>
  <c r="G88"/>
  <c r="H88" s="1"/>
  <c r="G87"/>
  <c r="H87" s="1"/>
  <c r="G86"/>
  <c r="H86" s="1"/>
  <c r="G85"/>
  <c r="H85" s="1"/>
  <c r="G84"/>
  <c r="H84" s="1"/>
  <c r="G83"/>
  <c r="H83" s="1"/>
  <c r="G82"/>
  <c r="H82" s="1"/>
  <c r="G81"/>
  <c r="H81" s="1"/>
  <c r="G80"/>
  <c r="H80" s="1"/>
  <c r="G79"/>
  <c r="H79" s="1"/>
  <c r="G78"/>
  <c r="H78" s="1"/>
  <c r="G77"/>
  <c r="H77" s="1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7"/>
  <c r="H67" s="1"/>
  <c r="G66"/>
  <c r="H66" s="1"/>
  <c r="G65"/>
  <c r="H65" s="1"/>
  <c r="G64"/>
  <c r="H64" s="1"/>
  <c r="G63"/>
  <c r="H63" s="1"/>
  <c r="G62"/>
  <c r="H62" s="1"/>
  <c r="G61"/>
  <c r="H61" s="1"/>
  <c r="G60"/>
  <c r="H60" s="1"/>
  <c r="G59"/>
  <c r="H59" s="1"/>
  <c r="G58"/>
  <c r="H58" s="1"/>
  <c r="G57"/>
  <c r="H57" s="1"/>
  <c r="G56"/>
  <c r="H56" s="1"/>
  <c r="G55"/>
  <c r="H55" s="1"/>
  <c r="G54"/>
  <c r="H54" s="1"/>
  <c r="G53"/>
  <c r="H53" s="1"/>
  <c r="G52"/>
  <c r="H52" s="1"/>
  <c r="G51"/>
  <c r="H51" s="1"/>
  <c r="G50"/>
  <c r="H50" s="1"/>
  <c r="G49"/>
  <c r="H49" s="1"/>
  <c r="G48"/>
  <c r="H48" s="1"/>
  <c r="G47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G39"/>
  <c r="H39" s="1"/>
  <c r="G38"/>
  <c r="H38" s="1"/>
  <c r="G37"/>
  <c r="H37" s="1"/>
  <c r="G36"/>
  <c r="H36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H23"/>
  <c r="G22"/>
  <c r="H22" s="1"/>
  <c r="G21"/>
  <c r="H21" s="1"/>
  <c r="G20"/>
  <c r="H20" s="1"/>
  <c r="G19"/>
  <c r="H19" s="1"/>
  <c r="G17"/>
  <c r="H17" s="1"/>
  <c r="G16"/>
  <c r="H16" s="1"/>
  <c r="H15"/>
  <c r="E12"/>
  <c r="H1" l="1"/>
  <c r="D173" i="8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R5" i="20" l="1"/>
  <c r="J24" i="2" l="1"/>
  <c r="K24" s="1"/>
  <c r="L24" s="1"/>
  <c r="O24" s="1"/>
  <c r="J27"/>
  <c r="K27" s="1"/>
  <c r="I27"/>
  <c r="J26"/>
  <c r="K26" s="1"/>
  <c r="L26" s="1"/>
  <c r="O26" s="1"/>
  <c r="I26"/>
  <c r="K25"/>
  <c r="L25" s="1"/>
  <c r="O25" s="1"/>
  <c r="J25"/>
  <c r="I25"/>
  <c r="AM4" i="20"/>
  <c r="AL4"/>
  <c r="AK3"/>
  <c r="AR12"/>
  <c r="L27" i="2" l="1"/>
  <c r="O27" s="1"/>
  <c r="F4" i="20" l="1"/>
  <c r="E13" l="1"/>
  <c r="G8" l="1"/>
  <c r="H8" s="1"/>
  <c r="D157" i="8" l="1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F10" i="20" l="1"/>
  <c r="E7" i="10" l="1"/>
  <c r="E5" i="20" l="1"/>
  <c r="G7" l="1"/>
  <c r="H7" s="1"/>
  <c r="G9"/>
  <c r="H9" s="1"/>
  <c r="J16" i="2" l="1"/>
  <c r="D7" i="6" l="1"/>
  <c r="J13" i="10" l="1"/>
  <c r="G13" l="1"/>
  <c r="H13" s="1"/>
  <c r="G12"/>
  <c r="G11"/>
  <c r="G10"/>
  <c r="G9"/>
  <c r="G8"/>
  <c r="G7"/>
  <c r="G6"/>
  <c r="J7"/>
  <c r="D139" i="8" l="1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P16" i="6" l="1"/>
  <c r="F13" i="10" l="1"/>
  <c r="F12"/>
  <c r="F11"/>
  <c r="F10"/>
  <c r="F9"/>
  <c r="F8"/>
  <c r="F7"/>
  <c r="F6"/>
  <c r="F4"/>
  <c r="F3"/>
  <c r="F2"/>
  <c r="AT3" i="20"/>
  <c r="L127" i="8" l="1"/>
  <c r="P14" i="6" l="1"/>
  <c r="AO14"/>
  <c r="AU14"/>
  <c r="D14"/>
  <c r="M125" i="8" l="1"/>
  <c r="M124"/>
  <c r="G14" i="20"/>
  <c r="H14" s="1"/>
  <c r="G13"/>
  <c r="H13" s="1"/>
  <c r="G12"/>
  <c r="H12" s="1"/>
  <c r="G11"/>
  <c r="H11" s="1"/>
  <c r="G10"/>
  <c r="H10" s="1"/>
  <c r="G6"/>
  <c r="H6" s="1"/>
  <c r="G5"/>
  <c r="H5" s="1"/>
  <c r="G4"/>
  <c r="H4" s="1"/>
  <c r="G3"/>
  <c r="H3" s="1"/>
  <c r="M169" i="1"/>
  <c r="M171" s="1"/>
  <c r="E14" i="6"/>
  <c r="X14"/>
  <c r="O114" i="8"/>
  <c r="N114"/>
  <c r="W7" i="6"/>
  <c r="AJ7"/>
  <c r="AM7"/>
  <c r="AR7"/>
  <c r="D1" i="20" l="1"/>
  <c r="D130" i="8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J22" i="2" l="1"/>
  <c r="K22" s="1"/>
  <c r="L22" s="1"/>
  <c r="O22" s="1"/>
  <c r="I22"/>
  <c r="AK14" i="6" l="1"/>
  <c r="D121" i="8" l="1"/>
  <c r="C121"/>
  <c r="K4" i="1"/>
  <c r="J4"/>
  <c r="L3"/>
  <c r="I3"/>
  <c r="J4" i="10"/>
  <c r="P5"/>
  <c r="M3"/>
  <c r="J5"/>
  <c r="M5" l="1"/>
  <c r="F5"/>
  <c r="D120" i="8"/>
  <c r="C120"/>
  <c r="D119"/>
  <c r="C119"/>
  <c r="D118"/>
  <c r="C118"/>
  <c r="D117"/>
  <c r="C117"/>
  <c r="D116"/>
  <c r="C116"/>
  <c r="J2" i="10" l="1"/>
  <c r="AG14" i="6" l="1"/>
  <c r="M2" i="10"/>
  <c r="D115" i="8" l="1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V3" i="10" l="1"/>
  <c r="S3"/>
  <c r="G2" l="1"/>
  <c r="J3"/>
  <c r="BJ1" i="6"/>
  <c r="BI1"/>
  <c r="BH1"/>
  <c r="BG1"/>
  <c r="BF1"/>
  <c r="BE1"/>
  <c r="BD1"/>
  <c r="BC1"/>
  <c r="BB1"/>
  <c r="AZ1"/>
  <c r="AY1"/>
  <c r="AX1"/>
  <c r="AW1"/>
  <c r="AV1"/>
  <c r="AU1"/>
  <c r="AT1"/>
  <c r="AS1"/>
  <c r="AQ1"/>
  <c r="AP1"/>
  <c r="AN1"/>
  <c r="AL1"/>
  <c r="AI1"/>
  <c r="AH1"/>
  <c r="AF1"/>
  <c r="AE1"/>
  <c r="AD1"/>
  <c r="AC1"/>
  <c r="AB1"/>
  <c r="AA1"/>
  <c r="Z1"/>
  <c r="Y1"/>
  <c r="V1"/>
  <c r="U1"/>
  <c r="T1"/>
  <c r="S1"/>
  <c r="Q1"/>
  <c r="O1"/>
  <c r="N1"/>
  <c r="M1"/>
  <c r="L1"/>
  <c r="K1"/>
  <c r="J1"/>
  <c r="I1"/>
  <c r="H1"/>
  <c r="G1"/>
  <c r="P3" i="10"/>
  <c r="G3" l="1"/>
  <c r="J8" i="2"/>
  <c r="J20"/>
  <c r="J14"/>
  <c r="J13"/>
  <c r="J11"/>
  <c r="AK1" i="6" l="1"/>
  <c r="AO1"/>
  <c r="J15" i="2" l="1"/>
  <c r="E16" i="6" l="1"/>
  <c r="F16" s="1"/>
  <c r="E15"/>
  <c r="F15" s="1"/>
  <c r="E13"/>
  <c r="F13" s="1"/>
  <c r="E10"/>
  <c r="E9"/>
  <c r="E8"/>
  <c r="E4"/>
  <c r="E3"/>
  <c r="F10"/>
  <c r="F3"/>
  <c r="F9"/>
  <c r="X1" l="1"/>
  <c r="D103" i="8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J7" i="2" l="1"/>
  <c r="D93" i="8"/>
  <c r="C93"/>
  <c r="D92"/>
  <c r="C92"/>
  <c r="D91"/>
  <c r="C91"/>
  <c r="D90"/>
  <c r="C90"/>
  <c r="D89"/>
  <c r="C89"/>
  <c r="D88" l="1"/>
  <c r="C88"/>
  <c r="D87"/>
  <c r="C87"/>
  <c r="D86"/>
  <c r="C86"/>
  <c r="D85"/>
  <c r="C85"/>
  <c r="D84"/>
  <c r="C84"/>
  <c r="D83"/>
  <c r="C83"/>
  <c r="X11" i="10" l="1"/>
  <c r="X10"/>
  <c r="X9"/>
  <c r="X8"/>
  <c r="X7"/>
  <c r="X6"/>
  <c r="X5"/>
  <c r="X4"/>
  <c r="X3"/>
  <c r="Z3" s="1"/>
  <c r="X2"/>
  <c r="R11" i="6"/>
  <c r="AR1"/>
  <c r="AM1"/>
  <c r="G5" i="10"/>
  <c r="G4"/>
  <c r="AJ1" i="6" l="1"/>
  <c r="E11"/>
  <c r="F11" s="1"/>
  <c r="AG1"/>
  <c r="J21" i="2" l="1"/>
  <c r="BA7" i="6" l="1"/>
  <c r="BA1" l="1"/>
  <c r="E7"/>
  <c r="F7" s="1"/>
  <c r="J10" i="2"/>
  <c r="J9"/>
  <c r="M9" s="1"/>
  <c r="H21" l="1"/>
  <c r="G21"/>
  <c r="K21"/>
  <c r="L21" l="1"/>
  <c r="O21" s="1"/>
  <c r="F14" i="6" l="1"/>
  <c r="P12" l="1"/>
  <c r="P1" l="1"/>
  <c r="E12"/>
  <c r="F12" s="1"/>
  <c r="C75" i="8"/>
  <c r="D82" l="1"/>
  <c r="C82"/>
  <c r="D81"/>
  <c r="C81"/>
  <c r="D80"/>
  <c r="C80"/>
  <c r="D79"/>
  <c r="C79"/>
  <c r="D78"/>
  <c r="C78"/>
  <c r="D77"/>
  <c r="C77"/>
  <c r="D76"/>
  <c r="C76"/>
  <c r="D75"/>
  <c r="D74"/>
  <c r="C74"/>
  <c r="D73"/>
  <c r="C73"/>
  <c r="D72"/>
  <c r="C72"/>
  <c r="D71"/>
  <c r="C71"/>
  <c r="D70"/>
  <c r="C70"/>
  <c r="D69"/>
  <c r="C69"/>
  <c r="H3" i="10" l="1"/>
  <c r="H12"/>
  <c r="H11"/>
  <c r="H10"/>
  <c r="H9"/>
  <c r="H8"/>
  <c r="H7"/>
  <c r="H6"/>
  <c r="H5"/>
  <c r="H4"/>
  <c r="H2"/>
  <c r="Y4" l="1"/>
  <c r="Y7"/>
  <c r="Y11"/>
  <c r="Y8"/>
  <c r="Y3"/>
  <c r="Y5"/>
  <c r="Y9"/>
  <c r="Y6"/>
  <c r="Y10"/>
  <c r="Y2"/>
  <c r="W5" i="6"/>
  <c r="F4"/>
  <c r="W1" l="1"/>
  <c r="E5"/>
  <c r="F5" s="1"/>
  <c r="I20" i="2" l="1"/>
  <c r="K20"/>
  <c r="L20" l="1"/>
  <c r="O20" s="1"/>
  <c r="J19"/>
  <c r="K19" s="1"/>
  <c r="I19"/>
  <c r="L19" l="1"/>
  <c r="O19" s="1"/>
  <c r="D68" i="8"/>
  <c r="C68"/>
  <c r="D67"/>
  <c r="C67"/>
  <c r="D66" l="1"/>
  <c r="C66"/>
  <c r="D65"/>
  <c r="C65"/>
  <c r="D64"/>
  <c r="C64"/>
  <c r="D63"/>
  <c r="C63"/>
  <c r="D62"/>
  <c r="C62"/>
  <c r="D61"/>
  <c r="C61"/>
  <c r="K18" i="2" l="1"/>
  <c r="L18" s="1"/>
  <c r="O18" s="1"/>
  <c r="I17" l="1"/>
  <c r="J17"/>
  <c r="K17" s="1"/>
  <c r="L17" l="1"/>
  <c r="O17" s="1"/>
  <c r="D60" i="8"/>
  <c r="C60"/>
  <c r="D59"/>
  <c r="C59"/>
  <c r="D58"/>
  <c r="C58"/>
  <c r="D57"/>
  <c r="C57"/>
  <c r="D56"/>
  <c r="C56"/>
  <c r="I16" i="2" l="1"/>
  <c r="K16"/>
  <c r="L16" l="1"/>
  <c r="O16" s="1"/>
  <c r="J6"/>
  <c r="D8" i="6" l="1"/>
  <c r="F8" s="1"/>
  <c r="C52" i="8" l="1"/>
  <c r="D55"/>
  <c r="C55"/>
  <c r="D54"/>
  <c r="C54"/>
  <c r="D53"/>
  <c r="C53"/>
  <c r="D52"/>
  <c r="D51"/>
  <c r="C51"/>
  <c r="D50"/>
  <c r="C50"/>
  <c r="D49"/>
  <c r="C49"/>
  <c r="D48"/>
  <c r="C48"/>
  <c r="D47"/>
  <c r="C47"/>
  <c r="C44" l="1"/>
  <c r="D46"/>
  <c r="C46"/>
  <c r="D45"/>
  <c r="C45"/>
  <c r="D44"/>
  <c r="D43"/>
  <c r="C43"/>
  <c r="D42"/>
  <c r="C42"/>
  <c r="D41"/>
  <c r="C41"/>
  <c r="D40"/>
  <c r="C40"/>
  <c r="D35" l="1"/>
  <c r="R6" i="6" l="1"/>
  <c r="R1" l="1"/>
  <c r="E6"/>
  <c r="F6" s="1"/>
  <c r="H15" i="2"/>
  <c r="G15"/>
  <c r="K15"/>
  <c r="L15" l="1"/>
  <c r="O15" s="1"/>
  <c r="D12" i="8"/>
  <c r="C12"/>
  <c r="D13"/>
  <c r="C13"/>
  <c r="D14"/>
  <c r="C14"/>
  <c r="D15"/>
  <c r="C15"/>
  <c r="D16"/>
  <c r="C16"/>
  <c r="D17"/>
  <c r="C17"/>
  <c r="D18"/>
  <c r="C18"/>
  <c r="D19"/>
  <c r="C19"/>
  <c r="D20"/>
  <c r="C20"/>
  <c r="D21"/>
  <c r="C21"/>
  <c r="D22"/>
  <c r="C22"/>
  <c r="D23"/>
  <c r="C23"/>
  <c r="D24"/>
  <c r="C24"/>
  <c r="D25"/>
  <c r="C25"/>
  <c r="D26"/>
  <c r="C26"/>
  <c r="D27"/>
  <c r="C27"/>
  <c r="D28"/>
  <c r="C28"/>
  <c r="D29"/>
  <c r="C29"/>
  <c r="D30"/>
  <c r="C30"/>
  <c r="D31"/>
  <c r="C31"/>
  <c r="D32"/>
  <c r="C32"/>
  <c r="D33"/>
  <c r="C33"/>
  <c r="D34"/>
  <c r="C34"/>
  <c r="C35"/>
  <c r="D36"/>
  <c r="C36"/>
  <c r="D37"/>
  <c r="C37"/>
  <c r="D38"/>
  <c r="C38"/>
  <c r="D39"/>
  <c r="C39"/>
  <c r="A9"/>
  <c r="A5"/>
  <c r="F4"/>
  <c r="A4"/>
  <c r="F3"/>
  <c r="A3"/>
  <c r="J4" i="2" l="1"/>
  <c r="I14" l="1"/>
  <c r="K14"/>
  <c r="I13"/>
  <c r="K13"/>
  <c r="L13" s="1"/>
  <c r="O13" s="1"/>
  <c r="I12"/>
  <c r="J12"/>
  <c r="K12" s="1"/>
  <c r="L12" s="1"/>
  <c r="O12" s="1"/>
  <c r="I11"/>
  <c r="K11"/>
  <c r="L11" l="1"/>
  <c r="O11" s="1"/>
  <c r="L14"/>
  <c r="O14" s="1"/>
  <c r="H10" l="1"/>
  <c r="G10"/>
  <c r="K10"/>
  <c r="H9"/>
  <c r="G9"/>
  <c r="K9"/>
  <c r="L10" l="1"/>
  <c r="O10" s="1"/>
  <c r="L9"/>
  <c r="O9" s="1"/>
  <c r="I8" l="1"/>
  <c r="K8"/>
  <c r="L8" s="1"/>
  <c r="O8" s="1"/>
  <c r="K7" l="1"/>
  <c r="I7"/>
  <c r="L7" l="1"/>
  <c r="O7" s="1"/>
  <c r="J5"/>
  <c r="I6" l="1"/>
  <c r="K6"/>
  <c r="K5"/>
  <c r="I5"/>
  <c r="L5" l="1"/>
  <c r="O5" s="1"/>
  <c r="L6"/>
  <c r="O6" s="1"/>
  <c r="K4"/>
  <c r="I4"/>
  <c r="L4" l="1"/>
  <c r="O4" s="1"/>
  <c r="J3"/>
  <c r="K3" s="1"/>
  <c r="I3"/>
  <c r="G14" i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L3" i="2" l="1"/>
  <c r="O3" s="1"/>
</calcChain>
</file>

<file path=xl/comments1.xml><?xml version="1.0" encoding="utf-8"?>
<comments xmlns="http://schemas.openxmlformats.org/spreadsheetml/2006/main">
  <authors>
    <author>rt</author>
  </authors>
  <commentList>
    <comment ref="AB8" authorId="0">
      <text>
        <r>
          <rPr>
            <b/>
            <sz val="9"/>
            <color indexed="81"/>
            <rFont val="Tahoma"/>
            <family val="2"/>
          </rPr>
          <t>rt:G C Pant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rt:</t>
        </r>
        <r>
          <rPr>
            <sz val="9"/>
            <color indexed="81"/>
            <rFont val="Tahoma"/>
            <family val="2"/>
          </rPr>
          <t xml:space="preserve">
Loan to New company expense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rt:TDS certificate fees
GST JULY MONTH rs.3000/-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rt:IDFC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rt:IDFC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rt:</t>
        </r>
        <r>
          <rPr>
            <sz val="9"/>
            <color indexed="81"/>
            <rFont val="Tahoma"/>
            <family val="2"/>
          </rPr>
          <t>IDFC Bank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rt:IDFC Bank</t>
        </r>
      </text>
    </comment>
  </commentList>
</comments>
</file>

<file path=xl/comments2.xml><?xml version="1.0" encoding="utf-8"?>
<comments xmlns="http://schemas.openxmlformats.org/spreadsheetml/2006/main">
  <authors>
    <author>rt</author>
  </authors>
  <commentList>
    <comment ref="X8" authorId="0">
      <text>
        <r>
          <rPr>
            <b/>
            <sz val="9"/>
            <color indexed="81"/>
            <rFont val="Tahoma"/>
            <family val="2"/>
          </rPr>
          <t>rt:G C Pant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rt:16th July 9000/-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rt:TDS certificate fees
GST JULY MONTH rs.3000/-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rt:</t>
        </r>
        <r>
          <rPr>
            <sz val="9"/>
            <color indexed="81"/>
            <rFont val="Tahoma"/>
            <family val="2"/>
          </rPr>
          <t xml:space="preserve">
Account to Account (Kotak to Kotak)Pankaj</t>
        </r>
      </text>
    </comment>
  </commentList>
</comments>
</file>

<file path=xl/comments3.xml><?xml version="1.0" encoding="utf-8"?>
<comments xmlns="http://schemas.openxmlformats.org/spreadsheetml/2006/main">
  <authors>
    <author>rt</author>
  </authors>
  <commentList>
    <comment ref="AD9" authorId="0">
      <text>
        <r>
          <rPr>
            <b/>
            <sz val="9"/>
            <color indexed="81"/>
            <rFont val="Tahoma"/>
            <family val="2"/>
          </rPr>
          <t>rt:G C Pant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rt:TDS certificate fees
GST JULY MONTH rs.3000/-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rt:IDFC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rt:IDFC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rt:</t>
        </r>
        <r>
          <rPr>
            <sz val="9"/>
            <color indexed="81"/>
            <rFont val="Tahoma"/>
            <family val="2"/>
          </rPr>
          <t>IDFC Bank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rt:IDFC Bank</t>
        </r>
      </text>
    </comment>
  </commentList>
</comments>
</file>

<file path=xl/comments4.xml><?xml version="1.0" encoding="utf-8"?>
<comments xmlns="http://schemas.openxmlformats.org/spreadsheetml/2006/main">
  <authors>
    <author>rt</author>
  </authors>
  <commentList>
    <comment ref="AC8" authorId="0">
      <text>
        <r>
          <rPr>
            <b/>
            <sz val="9"/>
            <color indexed="81"/>
            <rFont val="Tahoma"/>
            <family val="2"/>
          </rPr>
          <t>rt:G C Pant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>rt:TDS certificate fees
GST JULY MONTH rs.3000/-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rt:IDFC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rt:IDFC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rt:</t>
        </r>
        <r>
          <rPr>
            <sz val="9"/>
            <color indexed="81"/>
            <rFont val="Tahoma"/>
            <family val="2"/>
          </rPr>
          <t>IDFC Bank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rt:IDFC Bank</t>
        </r>
      </text>
    </comment>
  </commentList>
</comments>
</file>

<file path=xl/comments5.xml><?xml version="1.0" encoding="utf-8"?>
<comments xmlns="http://schemas.openxmlformats.org/spreadsheetml/2006/main">
  <authors>
    <author>rt</author>
  </authors>
  <commentList>
    <comment ref="AD9" authorId="0">
      <text>
        <r>
          <rPr>
            <b/>
            <sz val="9"/>
            <color indexed="81"/>
            <rFont val="Tahoma"/>
            <family val="2"/>
          </rPr>
          <t>rt:G C Pant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rt:TDS certificate fees
GST JULY MONTH rs.3000/-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rt:IDFC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rt:IDFC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rt:</t>
        </r>
        <r>
          <rPr>
            <sz val="9"/>
            <color indexed="81"/>
            <rFont val="Tahoma"/>
            <family val="2"/>
          </rPr>
          <t>IDFC Bank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rt:IDFC Bank</t>
        </r>
      </text>
    </comment>
  </commentList>
</comments>
</file>

<file path=xl/sharedStrings.xml><?xml version="1.0" encoding="utf-8"?>
<sst xmlns="http://schemas.openxmlformats.org/spreadsheetml/2006/main" count="3966" uniqueCount="1180">
  <si>
    <t>Account No</t>
  </si>
  <si>
    <t>10029742684</t>
  </si>
  <si>
    <t/>
  </si>
  <si>
    <t>Statement Date</t>
  </si>
  <si>
    <t>Account Type</t>
  </si>
  <si>
    <t>Dynamic Business Account</t>
  </si>
  <si>
    <t>Date Of opening</t>
  </si>
  <si>
    <t>Customer No</t>
  </si>
  <si>
    <t>1044447279</t>
  </si>
  <si>
    <t>Customer Name</t>
  </si>
  <si>
    <t>ACUMEUS RESEARCH BUSINESS SOLUTION AND CONSULTANCY PVT LTD</t>
  </si>
  <si>
    <t>IFSC</t>
  </si>
  <si>
    <t>IDFB0020101</t>
  </si>
  <si>
    <t>MICR Code</t>
  </si>
  <si>
    <t>110751001</t>
  </si>
  <si>
    <t>CA 4 FIRST FLOOR NEEKANT APPARTMENT</t>
  </si>
  <si>
    <t>VILLAGE MOHAMADPUR MAJRI</t>
  </si>
  <si>
    <t>RAMA VIHAR</t>
  </si>
  <si>
    <t>NORTH DELHI - 110081</t>
  </si>
  <si>
    <t>Opening Balance as on 01-Apr-2019</t>
  </si>
  <si>
    <t>Transaction Date</t>
  </si>
  <si>
    <t>Value Date</t>
  </si>
  <si>
    <t>Particulars</t>
  </si>
  <si>
    <t>Cheque No.</t>
  </si>
  <si>
    <t>Debit</t>
  </si>
  <si>
    <t>Credit</t>
  </si>
  <si>
    <t>Balance</t>
  </si>
  <si>
    <t>10,000.00</t>
  </si>
  <si>
    <t>Project</t>
  </si>
  <si>
    <t>Vendor</t>
  </si>
  <si>
    <t>Research</t>
  </si>
  <si>
    <t>Rameshwar Tiwari</t>
  </si>
  <si>
    <t>Ashish Tiwari</t>
  </si>
  <si>
    <t>Pankaj Madan</t>
  </si>
  <si>
    <t>G C Pant</t>
  </si>
  <si>
    <t>Interest</t>
  </si>
  <si>
    <t>Salary</t>
  </si>
  <si>
    <t>Office</t>
  </si>
  <si>
    <t>Sudhanshu Berry</t>
  </si>
  <si>
    <t>Bagic</t>
  </si>
  <si>
    <t>Payment</t>
  </si>
  <si>
    <t>Pankaj</t>
  </si>
  <si>
    <t>IPSOS</t>
  </si>
  <si>
    <t>Rajindra Panikar</t>
  </si>
  <si>
    <t>Invoice No.</t>
  </si>
  <si>
    <t>Billing Amount</t>
  </si>
  <si>
    <t>Invoice Date</t>
  </si>
  <si>
    <t>Company Name</t>
  </si>
  <si>
    <t>CGST</t>
  </si>
  <si>
    <t>SGST</t>
  </si>
  <si>
    <t>IGST</t>
  </si>
  <si>
    <t>S. No.</t>
  </si>
  <si>
    <t>I3 RESEARCH</t>
  </si>
  <si>
    <t>AMOUNT RCD</t>
  </si>
  <si>
    <t>DATE</t>
  </si>
  <si>
    <t>TDS</t>
  </si>
  <si>
    <t>BALANCE</t>
  </si>
  <si>
    <t>AMOUNT</t>
  </si>
  <si>
    <t>GAP</t>
  </si>
  <si>
    <t>Project Name</t>
  </si>
  <si>
    <t>Date</t>
  </si>
  <si>
    <t>LIQUIDHUB</t>
  </si>
  <si>
    <t>RAMESHWAR TIWARI</t>
  </si>
  <si>
    <t>SUBRAT ROUT</t>
  </si>
  <si>
    <t>VAISHNAVI</t>
  </si>
  <si>
    <t>PUMP</t>
  </si>
  <si>
    <t>WORD VISION</t>
  </si>
  <si>
    <t>RENT</t>
  </si>
  <si>
    <t>06-Apr-2020</t>
  </si>
  <si>
    <t>NEFT/SIN20550Q0445944/M/S WORLD VISION IND/SCBL003</t>
  </si>
  <si>
    <t>08-Apr-2020</t>
  </si>
  <si>
    <t>NEFT/IDFBH20099730920/Jitendra Singh/PYTM0123456/Bagic</t>
  </si>
  <si>
    <t>13-Apr-2020</t>
  </si>
  <si>
    <t>NEFT/HSBCN20102386431/IPSOS RESEARCH PRIVATE LIMIT</t>
  </si>
  <si>
    <t>NEFT/IDFBH20104793982/Anita Tiwari/INDB0000012/Ashish Kisht</t>
  </si>
  <si>
    <t>NEFT/IDFBH20104793987/Gaytri Chandra Pant/KKBK0000198/Salary</t>
  </si>
  <si>
    <t>NEFT/IDFBH20104794055/Sudhanshu Berry/ICIC0000396/Salary</t>
  </si>
  <si>
    <t>NEFT/IDFBH20104794063/CITI CREDIT CARD/CITI0000006/Pankaj Salary</t>
  </si>
  <si>
    <t>NEFT/IDFBH20104794111/Rameshwar Tiwari/ICIC0000225/Salary</t>
  </si>
  <si>
    <t>NEFT/IDFBH20104794193/ASHISH TIWARI/VIJB0006058/Salary</t>
  </si>
  <si>
    <t>15-Apr-2020</t>
  </si>
  <si>
    <t>BB/CHQ DEP/040119/RESEARCH CONSULTANTS/I.C.I.C.I.B</t>
  </si>
  <si>
    <t>040119</t>
  </si>
  <si>
    <t>BB/CHQ DEP/040118/RESEARCH CONSULTANTS/I.C.I.C.I.B</t>
  </si>
  <si>
    <t>040118</t>
  </si>
  <si>
    <t>14-Apr-2020</t>
  </si>
  <si>
    <t>NEFT/IDFBH20105823390/Anita Tiwari/INDB0000012/Pump</t>
  </si>
  <si>
    <t>NEFT/IDFBH20105823395/Sudhanshu Berry/ICIC0000396/Salary</t>
  </si>
  <si>
    <t>CHQ Deposit Bounce/040119/Insufficient Fund</t>
  </si>
  <si>
    <t>CHQ Deposit Bounce/040118/Insufficient Fund</t>
  </si>
  <si>
    <t>17-Apr-2020</t>
  </si>
  <si>
    <t>NEFT/IDFBH20108868474/Rajinder panikar/UBIN0563781/Salary</t>
  </si>
  <si>
    <t>22-Apr-2020</t>
  </si>
  <si>
    <t>IMPS-MOB/Fund Trf/011311644298/ROHITCHURAMANIN/ToARBpmt</t>
  </si>
  <si>
    <t>NEFT/1971815180/ROHIT CHURAMANI/ICIC0SF0002</t>
  </si>
  <si>
    <t>NEFT/IDFBH20113943973/Gaytri Chandra Pant/KKBK0000198/Salary</t>
  </si>
  <si>
    <t>NEFT/IDFBH20113943974/Pankaj Madan/KKBK0000198/Salary</t>
  </si>
  <si>
    <t>NEFT/IDFBH20113943978/Nitin Sharma/KKBK0004608/Flash</t>
  </si>
  <si>
    <t>NEFT/IDFBH20113944063/ASHISH TIWARI/VIJB0006058/Salary</t>
  </si>
  <si>
    <t>23-Apr-2020</t>
  </si>
  <si>
    <t>NEFT/IDFBH20114953858/Vaishnavi/IBKL0000191/Flash</t>
  </si>
  <si>
    <t>27-Apr-2020</t>
  </si>
  <si>
    <t>NEFT/CITIN20059854251/LIQUIDHUB ANALYTICS PRIVATE</t>
  </si>
  <si>
    <t>NEFT/IDFBH20118984480/Jitendra Singh/PYTM0123456/Flash</t>
  </si>
  <si>
    <t>29-Apr-2020</t>
  </si>
  <si>
    <t>NEFT/IDFBH20120014767/Clint/ICIC0001160/Flash</t>
  </si>
  <si>
    <t>NEFT/IDFBH20120014773/ASHISH TIWARI/VIJB0006058/4400</t>
  </si>
  <si>
    <t>30-Apr-2020</t>
  </si>
  <si>
    <t>NEFT/IDFBH20121033998/Sangeeta Masson/PUNB0099200/Office Rent</t>
  </si>
  <si>
    <t>02-May-2020</t>
  </si>
  <si>
    <t>NEFT/IDFBH20123064058/Parmeshwari Beriya/UBIN0534943/Salary</t>
  </si>
  <si>
    <t>NEFT/IDFBH20123064080/Rajinder panikar/UBIN0563781/Salary</t>
  </si>
  <si>
    <t>Tools</t>
  </si>
  <si>
    <t>advance</t>
  </si>
  <si>
    <t>ipsos</t>
  </si>
  <si>
    <t>ashish kist</t>
  </si>
  <si>
    <t>kist</t>
  </si>
  <si>
    <t>bonce</t>
  </si>
  <si>
    <t>blank</t>
  </si>
  <si>
    <t>11-May-2020</t>
  </si>
  <si>
    <t>NEFT/HSBCN20132213534/IPSOS RESEARCH PRIVATE LIMIT</t>
  </si>
  <si>
    <t>NEFT/IDFBH20132270244/Gaytri Chandra Pant/KKBK0000198/Salary</t>
  </si>
  <si>
    <t>17,000.00</t>
  </si>
  <si>
    <t>NEFT/IDFBH20132270219/ASHISH TIWARI/VIJB0006058/Salary</t>
  </si>
  <si>
    <t>NEFT/IDFBH20132270261/Rameshwar Tiwari/ICIC0000225/Salary</t>
  </si>
  <si>
    <t>13,000.00</t>
  </si>
  <si>
    <t>12-May-2020</t>
  </si>
  <si>
    <t>CASH WITHDRAWAL: CHEQUE NO. 000090/self withdrawal</t>
  </si>
  <si>
    <t>000090</t>
  </si>
  <si>
    <t>56,050.00</t>
  </si>
  <si>
    <t>NEFT/IDFBH20133291631/Subrat Rout/SBIN0003219/Salary</t>
  </si>
  <si>
    <t>7,000.00</t>
  </si>
  <si>
    <t>NEFT/IDFBH20133291654/Amit Kumar Shukla/BKID0006800/Flash</t>
  </si>
  <si>
    <t>18-May-2020</t>
  </si>
  <si>
    <t>NEFT/IDFBH20139405016/Subrat Rout/SBIN0003219/Salary</t>
  </si>
  <si>
    <t>ROHIT CHURAMANI</t>
  </si>
  <si>
    <t>FLASH</t>
  </si>
  <si>
    <t>NITIN SHARMA</t>
  </si>
  <si>
    <t>MANAGING PRIMARY DATA</t>
  </si>
  <si>
    <t>CLIENT</t>
  </si>
  <si>
    <t>KISHT</t>
  </si>
  <si>
    <t>SANGEETA</t>
  </si>
  <si>
    <t>PARMESHWARI</t>
  </si>
  <si>
    <t xml:space="preserve">INTEREST </t>
  </si>
  <si>
    <t>JANUARY</t>
  </si>
  <si>
    <t>AMIT KUMAR SHUKLA</t>
  </si>
  <si>
    <t>19/05/2020</t>
  </si>
  <si>
    <t>NIELSEN INDIA PRIVATE LIMITED</t>
  </si>
  <si>
    <t>BAGIC</t>
  </si>
  <si>
    <t>INTELLECTUAL RESEARCH SERVICES</t>
  </si>
  <si>
    <t>TORPEDO</t>
  </si>
  <si>
    <t>BUZZWORKS BUSINESS SERVICES</t>
  </si>
  <si>
    <t>ARBSC/001/20-21</t>
  </si>
  <si>
    <t>ARBSC/002/20-21</t>
  </si>
  <si>
    <t>ARBSC/003/20-21</t>
  </si>
  <si>
    <t>ARBSC/004/20-21</t>
  </si>
  <si>
    <t>JEDI</t>
  </si>
  <si>
    <t>Old</t>
  </si>
  <si>
    <t>Kotak</t>
  </si>
  <si>
    <t>Total Amount</t>
  </si>
  <si>
    <t>Hope</t>
  </si>
  <si>
    <t>28-May-2020</t>
  </si>
  <si>
    <t>NEFT/IDFBH20149579086/ASHISH TIWARI/VIJB0006058/Kist</t>
  </si>
  <si>
    <t>4,400.00</t>
  </si>
  <si>
    <t>8,815.79</t>
  </si>
  <si>
    <t>NEFT/IDFBH20149579095/Rajnish Kumar jha/CNRB0001445/Flash</t>
  </si>
  <si>
    <t>1,500.00</t>
  </si>
  <si>
    <t>7,315.79</t>
  </si>
  <si>
    <t>NEFT/IDFBH20149579128/Rajinder panikar/UBIN0563781/Flash</t>
  </si>
  <si>
    <t>5,815.79</t>
  </si>
  <si>
    <t>30-May-2020</t>
  </si>
  <si>
    <t>NEFT/000087747122/I3 RESEARCH CONSULTANTS/ICIC0006</t>
  </si>
  <si>
    <t>5,196.00</t>
  </si>
  <si>
    <t>11,011.79</t>
  </si>
  <si>
    <t>NEFT/000087746938/I3 RESEARCH CONSULTANTS/ICIC0006</t>
  </si>
  <si>
    <t>1,00,000.00</t>
  </si>
  <si>
    <t>1,11,011.79</t>
  </si>
  <si>
    <t>01-Jun-2020</t>
  </si>
  <si>
    <t>NEFT/IDFBH20153656596/Ghanshyam Madan/CNRB0002881/Dexture</t>
  </si>
  <si>
    <t>06-Jun-2020</t>
  </si>
  <si>
    <t>NEFT/IDFBH20158797081/Parmeshwari Beriya/UBIN0534943/Salary</t>
  </si>
  <si>
    <t>11,000.00</t>
  </si>
  <si>
    <t>11.79</t>
  </si>
  <si>
    <t>08-Jun-2020</t>
  </si>
  <si>
    <t>CASH DEPOSIT</t>
  </si>
  <si>
    <t>40,500.00</t>
  </si>
  <si>
    <t>40,511.79</t>
  </si>
  <si>
    <t>NEFT/IDFBH20160849987/Sangeeta Masson/PUNB0099200/Office Rent</t>
  </si>
  <si>
    <t>27,511.79</t>
  </si>
  <si>
    <t>NEFT/IDFBH20160849994/CITI CREDIT CARD/CITI0000006/Flash</t>
  </si>
  <si>
    <t>27,300.00</t>
  </si>
  <si>
    <t>211.79</t>
  </si>
  <si>
    <t>13-Jun-2020</t>
  </si>
  <si>
    <t>NEFT/HSBCN20165706560/NIELSEN (INDIA) PRIVATE LIMI</t>
  </si>
  <si>
    <t>43,200.00</t>
  </si>
  <si>
    <t>43,411.79</t>
  </si>
  <si>
    <t>NEFT/HSBCN20165706451/NIELSEN (INDIA) PRIVATE LIMI</t>
  </si>
  <si>
    <t>70,146.00</t>
  </si>
  <si>
    <t>1,13,557.79</t>
  </si>
  <si>
    <t>NEFT/HSBCN20165706706/NIELSEN (INDIA) PRIVATE LIMI</t>
  </si>
  <si>
    <t>97,200.00</t>
  </si>
  <si>
    <t>2,10,757.79</t>
  </si>
  <si>
    <t>NEFT/IDFBH20165008186/ICICI Credit Card/ICIC0000103</t>
  </si>
  <si>
    <t>51,235.00</t>
  </si>
  <si>
    <t>1,59,522.79</t>
  </si>
  <si>
    <t>15-Jun-2020</t>
  </si>
  <si>
    <t>NEFT/HSBCN20167724568/NIELSEN (INDIA) PRIVATE LIMITED/HSBC0400002</t>
  </si>
  <si>
    <t>3,92,256.00</t>
  </si>
  <si>
    <t>5,51,778.79</t>
  </si>
  <si>
    <t>NEFT/CITIN20082025483/PRICEWATERHOUSECOOPERS PVT L</t>
  </si>
  <si>
    <t>52,785.00</t>
  </si>
  <si>
    <t>6,04,563.79</t>
  </si>
  <si>
    <t>NEFT/IDFBH20167027183/Pankaj Madan/KKBK0000198/Salary</t>
  </si>
  <si>
    <t>20,000.00</t>
  </si>
  <si>
    <t>5,84,563.79</t>
  </si>
  <si>
    <t>NEFT/IDFBH20167027192/Sudhanshu Berry/ICIC0000396/Salary</t>
  </si>
  <si>
    <t>25,000.00</t>
  </si>
  <si>
    <t>5,59,563.79</t>
  </si>
  <si>
    <t>NEFT/IDFBH20167027202/Rameshwar Tiwari/KKBK0000198/Salary</t>
  </si>
  <si>
    <t>50,000.00</t>
  </si>
  <si>
    <t>5,09,563.79</t>
  </si>
  <si>
    <t>NEFT/IDFBH20167027208/Gaytri Chandra Pant/KKBK0000198/Salary</t>
  </si>
  <si>
    <t>4,59,563.79</t>
  </si>
  <si>
    <t>NEFT/IDFBH20167027218/Tiwari Bakers/BARB0KHALIL/Gryffindor</t>
  </si>
  <si>
    <t>3,59,563.79</t>
  </si>
  <si>
    <t>NEFT/IDFBH20167027222/Hira Lal Sharma/SBIN0001278/CAFee</t>
  </si>
  <si>
    <t>15,000.00</t>
  </si>
  <si>
    <t>3,44,563.79</t>
  </si>
  <si>
    <t>NEFT/IDFBH20167027180/Jitendra Singh/PYTM0123456/Gryffindor</t>
  </si>
  <si>
    <t>1,000.00</t>
  </si>
  <si>
    <t>3,43,563.79</t>
  </si>
  <si>
    <t>NEFT/IDFBH20167027249/Rajinder panikar/UBIN0563781/Gryffindor</t>
  </si>
  <si>
    <t>3,42,563.79</t>
  </si>
  <si>
    <t>16-Jun-2020</t>
  </si>
  <si>
    <t>NEFT/IDFBH20168055385/GST/RBIS0GSTPMT/MPDC61GST</t>
  </si>
  <si>
    <t>3,474.00</t>
  </si>
  <si>
    <t>3,39,089.79</t>
  </si>
  <si>
    <t>NEFT/IDFBH20168055392/GST/RBIS0GSTPMT/CMA60GST</t>
  </si>
  <si>
    <t>8,797.00</t>
  </si>
  <si>
    <t>3,30,292.79</t>
  </si>
  <si>
    <t>NEFT/IDFBH20168055413/GST/RBIS0GSTPMT/MOBILEAPP56GST</t>
  </si>
  <si>
    <t>2,250.00</t>
  </si>
  <si>
    <t>3,28,042.79</t>
  </si>
  <si>
    <t>NEFT/IDFBH20168055427/GST/RBIS0GSTPMT/ZIPPY55GST</t>
  </si>
  <si>
    <t>7,200.00</t>
  </si>
  <si>
    <t>3,20,842.79</t>
  </si>
  <si>
    <t>NEFT/IDFBH20168055432/GST/RBIS0GSTPMT/ZIPPY54GST</t>
  </si>
  <si>
    <t>11,691.00</t>
  </si>
  <si>
    <t>3,09,151.79</t>
  </si>
  <si>
    <t>NEFT/IDFBH20168055415/Rajnish Kumar jha/CNRB0001445/Gryffindor</t>
  </si>
  <si>
    <t>3,08,151.79</t>
  </si>
  <si>
    <t>NEFT/IDFBH20168062597/GST/RBIS0GSTPMT/AutoExpo53GST</t>
  </si>
  <si>
    <t>65,376.00</t>
  </si>
  <si>
    <t>2,42,775.79</t>
  </si>
  <si>
    <t>NEFT/IDFBH20168064505/GST/RBIS0GSTPMT/SIMPLE57GST</t>
  </si>
  <si>
    <t>16,200.00</t>
  </si>
  <si>
    <t>2,26,575.79</t>
  </si>
  <si>
    <t>NEFT/IDFBH20168064512/GST/RBIS0GSTPMT/TOOLTRANSLATION59GST</t>
  </si>
  <si>
    <t>2,24,325.79</t>
  </si>
  <si>
    <t>19-Jun-2020</t>
  </si>
  <si>
    <t>NEFT/IDFBH20171139633/ASHISH TIWARI/VIJB0006058/Salary</t>
  </si>
  <si>
    <t>1,74,325.79</t>
  </si>
  <si>
    <t>25-Jun-2020</t>
  </si>
  <si>
    <t>NEFT/IDFBH20177294144/GST/RBIS0GSTPMT/GSTJEDI004</t>
  </si>
  <si>
    <t>3,141.00</t>
  </si>
  <si>
    <t>1,71,184.79</t>
  </si>
  <si>
    <t>NEFT/IDFBH20177294191/GST/RBIS0GSTPMT/GSTTORPEDO003</t>
  </si>
  <si>
    <t>6,156.00</t>
  </si>
  <si>
    <t>1,65,028.79</t>
  </si>
  <si>
    <t>NEFT/IDFBH20177294257/GST/RBIS0GSTPMT/GSTFLASH001</t>
  </si>
  <si>
    <t>16,650.00</t>
  </si>
  <si>
    <t>1,48,378.79</t>
  </si>
  <si>
    <t>RAJNISH KUMAR JHA</t>
  </si>
  <si>
    <t>HEALTH</t>
  </si>
  <si>
    <t>LOAN RETURN</t>
  </si>
  <si>
    <t>GHANSHYAM MADAN</t>
  </si>
  <si>
    <t>CASH</t>
  </si>
  <si>
    <t>CITI CREDIT CARD</t>
  </si>
  <si>
    <t>CITI</t>
  </si>
  <si>
    <t>ZIPPY</t>
  </si>
  <si>
    <t>NIELSEN</t>
  </si>
  <si>
    <t>SIMPLE</t>
  </si>
  <si>
    <t>AUTO EXPO</t>
  </si>
  <si>
    <t>PWC</t>
  </si>
  <si>
    <t>ANSHU</t>
  </si>
  <si>
    <t>CA FEES</t>
  </si>
  <si>
    <t>HIRA LAL SHARMA</t>
  </si>
  <si>
    <t>GRYFFINDOR</t>
  </si>
  <si>
    <t xml:space="preserve">Jitendra </t>
  </si>
  <si>
    <t>GST</t>
  </si>
  <si>
    <t>ARBSC/005/20-21</t>
  </si>
  <si>
    <t>CMA SOUTH ZONE SURVEY</t>
  </si>
  <si>
    <t>ARBSC/006/20-21</t>
  </si>
  <si>
    <t>Flash 2</t>
  </si>
  <si>
    <t>Roshan</t>
  </si>
  <si>
    <t>Amukh Tiwari</t>
  </si>
  <si>
    <t>Hold</t>
  </si>
  <si>
    <t>ARBSC/007/20-21</t>
  </si>
  <si>
    <t>ASCENT</t>
  </si>
  <si>
    <t>IPSOS INDIA PVT. LTD</t>
  </si>
  <si>
    <t>ARBSC/008/20-21</t>
  </si>
  <si>
    <t>FOG</t>
  </si>
  <si>
    <t>PARTNER</t>
  </si>
  <si>
    <t>AMOUNT RECEIVED</t>
  </si>
  <si>
    <t>PANKAJ</t>
  </si>
  <si>
    <t>JITENDRA</t>
  </si>
  <si>
    <t xml:space="preserve">RAMESHWAR </t>
  </si>
  <si>
    <t>MANJUNATH</t>
  </si>
  <si>
    <t>YASH</t>
  </si>
  <si>
    <t>IN ACCOUNT</t>
  </si>
  <si>
    <t>RELIABLE</t>
  </si>
  <si>
    <t>Ratan</t>
  </si>
  <si>
    <t>Asha</t>
  </si>
  <si>
    <t>Actual Project</t>
  </si>
  <si>
    <t>Kananiya</t>
  </si>
  <si>
    <t>ARBSC/009/20-21</t>
  </si>
  <si>
    <t>ARBSC/010/20-21</t>
  </si>
  <si>
    <t>HOPE</t>
  </si>
  <si>
    <t>ARBSC/011/20-21</t>
  </si>
  <si>
    <t>ARBSC/012/20-21</t>
  </si>
  <si>
    <t>COMFORT</t>
  </si>
  <si>
    <t>I3RC</t>
  </si>
  <si>
    <t>PAWAN SINGH</t>
  </si>
  <si>
    <t>ANANDITA</t>
  </si>
  <si>
    <t>Munmun</t>
  </si>
  <si>
    <t>Fast</t>
  </si>
  <si>
    <t>Harish Krishnamurthy</t>
  </si>
  <si>
    <t>Comfort</t>
  </si>
  <si>
    <t>Preeti Tiwari</t>
  </si>
  <si>
    <t>Subrat</t>
  </si>
  <si>
    <t>Anita Tiwari</t>
  </si>
  <si>
    <t>Alok Majumdar</t>
  </si>
  <si>
    <t>B M Subramanya</t>
  </si>
  <si>
    <t>Old Company</t>
  </si>
  <si>
    <t>Sangeeta Massion</t>
  </si>
  <si>
    <t>Other Expenses</t>
  </si>
  <si>
    <t>Ashok Iyer</t>
  </si>
  <si>
    <t>Hira Lal</t>
  </si>
  <si>
    <t xml:space="preserve"> CA Fees</t>
  </si>
  <si>
    <t>Account Statement</t>
  </si>
  <si>
    <t xml:space="preserve">ACUMEUS RESEARCH BUSINESS SOLUTION AND CONSULTANCY PRIVATE LIMITED              </t>
  </si>
  <si>
    <t>Cust. Reln. No.</t>
  </si>
  <si>
    <t>Account No.</t>
  </si>
  <si>
    <t>Period</t>
  </si>
  <si>
    <t>From 01/04/2020 To 17/07/2020</t>
  </si>
  <si>
    <t>Delhi</t>
  </si>
  <si>
    <t>Currency</t>
  </si>
  <si>
    <t>INR</t>
  </si>
  <si>
    <t>DELHI</t>
  </si>
  <si>
    <t>Branch</t>
  </si>
  <si>
    <t>NEW DELHI - LAJPAT NAGAR</t>
  </si>
  <si>
    <t>INDIA</t>
  </si>
  <si>
    <t>Nomination Regd</t>
  </si>
  <si>
    <t>N</t>
  </si>
  <si>
    <t>Nominee Name</t>
  </si>
  <si>
    <t>Sl. No.</t>
  </si>
  <si>
    <t>Description</t>
  </si>
  <si>
    <t>Chq / Ref number</t>
  </si>
  <si>
    <t>Amount</t>
  </si>
  <si>
    <t>Dr / Cr</t>
  </si>
  <si>
    <t>bIll</t>
  </si>
  <si>
    <t>16/07/2020</t>
  </si>
  <si>
    <t>DR</t>
  </si>
  <si>
    <t>CR</t>
  </si>
  <si>
    <t>15/07/2020</t>
  </si>
  <si>
    <t>Jitendra</t>
  </si>
  <si>
    <t>Harish</t>
  </si>
  <si>
    <t>NEFT Return</t>
  </si>
  <si>
    <t>Chandra Shekhar Tiwari</t>
  </si>
  <si>
    <t>14/07/2020</t>
  </si>
  <si>
    <t>Varun</t>
  </si>
  <si>
    <t>13/07/2020</t>
  </si>
  <si>
    <t>Intellacual Research</t>
  </si>
  <si>
    <t>Subrat Rout</t>
  </si>
  <si>
    <t>Reliable</t>
  </si>
  <si>
    <t>Loan</t>
  </si>
  <si>
    <t>CMA4</t>
  </si>
  <si>
    <t>Bala</t>
  </si>
  <si>
    <t>Cash</t>
  </si>
  <si>
    <t>25/06/2020</t>
  </si>
  <si>
    <t>NEFT Charge</t>
  </si>
  <si>
    <t>24/06/2020</t>
  </si>
  <si>
    <t>Manhunath</t>
  </si>
  <si>
    <t>Check</t>
  </si>
  <si>
    <t>29-Jun-2020</t>
  </si>
  <si>
    <t>NEFT/IDFBH20181355239/Jitendra Singh/PYTM0123456/Gryffindor</t>
  </si>
  <si>
    <t>1,47,378.79</t>
  </si>
  <si>
    <t>NEFT/IDFBH20181355242/Rajinder panikar/UBIN0563781/Gryffindor</t>
  </si>
  <si>
    <t>1,46,378.79</t>
  </si>
  <si>
    <t>02-Jul-2020</t>
  </si>
  <si>
    <t>NEFT/IDFBH20184446139/Rameshwar Tiwari/ICIC0000225/Salary</t>
  </si>
  <si>
    <t>96,378.79</t>
  </si>
  <si>
    <t>NEFT/IDFBH20184446143/ASHISH TIWARI/VIJB0006058/Salary</t>
  </si>
  <si>
    <t>46,378.79</t>
  </si>
  <si>
    <t>04-Jul-2020</t>
  </si>
  <si>
    <t>NEFT/IDFBH20186507291/Nalin Sharma/YESB0000604/AppDevelopment</t>
  </si>
  <si>
    <t>9,500.00</t>
  </si>
  <si>
    <t>36,878.79</t>
  </si>
  <si>
    <t>App Development</t>
  </si>
  <si>
    <t>Nalin Sharma</t>
  </si>
  <si>
    <t>NEFT/IDFBH20186516858/Parmeshwari Beriya/UBIN0534943/Salary</t>
  </si>
  <si>
    <t>25,878.79</t>
  </si>
  <si>
    <t>NEFT/IDFBH20186516882/Sangeeta Masson/PUNB0099200/Office Rent</t>
  </si>
  <si>
    <t>12,878.79</t>
  </si>
  <si>
    <t>NEFT/IDFBH20186516904/Yash International/ORBC0100144/Courier</t>
  </si>
  <si>
    <t>3,424.00</t>
  </si>
  <si>
    <t>9,454.79</t>
  </si>
  <si>
    <t>Courier</t>
  </si>
  <si>
    <t>Yash International</t>
  </si>
  <si>
    <t>NEFT/IDFBH20186516909/CITI CREDIT CARD/CITI0000006/Electricity</t>
  </si>
  <si>
    <t>7,430.00</t>
  </si>
  <si>
    <t>2,024.79</t>
  </si>
  <si>
    <t>Office Expenses</t>
  </si>
  <si>
    <t>NEFT/IDFBH20186516917/Manjunath B S/ICIC0001418/Courier Charges</t>
  </si>
  <si>
    <t>1,135.00</t>
  </si>
  <si>
    <t>889.79</t>
  </si>
  <si>
    <t>Manjunath</t>
  </si>
  <si>
    <t>07-Jul-2020</t>
  </si>
  <si>
    <t>CHQ Paid/000091/TOTALINKSOLUTIONS/CANARA BANK.BANK</t>
  </si>
  <si>
    <t>000091</t>
  </si>
  <si>
    <t>500.00</t>
  </si>
  <si>
    <t>389.79</t>
  </si>
  <si>
    <t>Printer</t>
  </si>
  <si>
    <t>Total Link Solution</t>
  </si>
  <si>
    <t>13-Jul-2020</t>
  </si>
  <si>
    <t>NEFT/HSBCN20195058924/NIELSEN (INDIA) PRIVATE LIMI</t>
  </si>
  <si>
    <t>99,900.00</t>
  </si>
  <si>
    <t>1,00,289.79</t>
  </si>
  <si>
    <t>NEFT/IDFBH20195786141/GST/RBIS0GSTPMT/GSTBagic002</t>
  </si>
  <si>
    <t>71,280.00</t>
  </si>
  <si>
    <t>29,009.79</t>
  </si>
  <si>
    <t>Rupali Sarkar</t>
  </si>
  <si>
    <t>Veenu Berry</t>
  </si>
  <si>
    <t>17/07/2020</t>
  </si>
  <si>
    <t>ARBSC/013/20-21</t>
  </si>
  <si>
    <t>FAST</t>
  </si>
  <si>
    <t>20/04/2020</t>
  </si>
  <si>
    <t>Traveller</t>
  </si>
  <si>
    <t>Pramod Gupta</t>
  </si>
  <si>
    <t>MADHUKER YELAGONDA</t>
  </si>
  <si>
    <t xml:space="preserve">THIRD VISION </t>
  </si>
  <si>
    <t>18/07/2020</t>
  </si>
  <si>
    <t>CA Fees</t>
  </si>
  <si>
    <t>Hira Lal Sharma</t>
  </si>
  <si>
    <t>Sunitha</t>
  </si>
  <si>
    <t>OLD</t>
  </si>
  <si>
    <t>NEW</t>
  </si>
  <si>
    <t>Kalpana Ragvendra</t>
  </si>
  <si>
    <t>RT</t>
  </si>
  <si>
    <t>AT</t>
  </si>
  <si>
    <t>SB</t>
  </si>
  <si>
    <t>GCP</t>
  </si>
  <si>
    <t>PM</t>
  </si>
  <si>
    <t>DR. IRFAN BASSIR</t>
  </si>
  <si>
    <t>SIDDESH LKO</t>
  </si>
  <si>
    <t>DR. JATIN</t>
  </si>
  <si>
    <t>VAISNAVI</t>
  </si>
  <si>
    <t>Pooja Purohit</t>
  </si>
  <si>
    <t>20/07/2020</t>
  </si>
  <si>
    <t>21/07/2020</t>
  </si>
  <si>
    <t>22/07/2020</t>
  </si>
  <si>
    <t>23/07/2020</t>
  </si>
  <si>
    <t>Gryffindor</t>
  </si>
  <si>
    <t>Ragvendra</t>
  </si>
  <si>
    <t>Siddhesh</t>
  </si>
  <si>
    <t>Fog</t>
  </si>
  <si>
    <t>Dr. Irfan Bassir</t>
  </si>
  <si>
    <t>Jatin Shah</t>
  </si>
  <si>
    <t>Aditi Madan</t>
  </si>
  <si>
    <t>Sheetal Kanse</t>
  </si>
  <si>
    <t>28/07/2020</t>
  </si>
  <si>
    <t>ARBSC/014/20-21</t>
  </si>
  <si>
    <t>24/07/2020</t>
  </si>
  <si>
    <t>27/07/2020</t>
  </si>
  <si>
    <t>Ram Chander Yadav</t>
  </si>
  <si>
    <t>Printing</t>
  </si>
  <si>
    <t>Clint</t>
  </si>
  <si>
    <t>Bond</t>
  </si>
  <si>
    <t>K K Panchal</t>
  </si>
  <si>
    <t>ARBSC/015/20-21</t>
  </si>
  <si>
    <t>Arun Bangalore</t>
  </si>
  <si>
    <t>Isuzu</t>
  </si>
  <si>
    <t>Dr. Vinayak</t>
  </si>
  <si>
    <t>Dr. Inderneel Gosh</t>
  </si>
  <si>
    <t>Ashwin Arun Kumar Bangalore</t>
  </si>
  <si>
    <t>Citi Credit Card</t>
  </si>
  <si>
    <t>Dr. Inderneel Ghosh</t>
  </si>
  <si>
    <t>Rent</t>
  </si>
  <si>
    <t>Sangeeta Masson</t>
  </si>
  <si>
    <t>Flash</t>
  </si>
  <si>
    <t>Vijay Kumar Singh</t>
  </si>
  <si>
    <t>ARBSC/016/20-21</t>
  </si>
  <si>
    <t>Optimus</t>
  </si>
  <si>
    <t>13/08/2020</t>
  </si>
  <si>
    <t>OPTIMUS</t>
  </si>
  <si>
    <t>New</t>
  </si>
  <si>
    <t>Total</t>
  </si>
  <si>
    <t>GST DATE</t>
  </si>
  <si>
    <t>CPIN NO</t>
  </si>
  <si>
    <t>CREDIT FUND USED</t>
  </si>
  <si>
    <t>Women Entrepreneur</t>
  </si>
  <si>
    <t>Rajnish Kumar Jha</t>
  </si>
  <si>
    <t>LOAN</t>
  </si>
  <si>
    <t>Sadanand</t>
  </si>
  <si>
    <t xml:space="preserve">Amount </t>
  </si>
  <si>
    <t>Loan Receiving Date</t>
  </si>
  <si>
    <t>Final Paid</t>
  </si>
  <si>
    <t>Loan From</t>
  </si>
  <si>
    <t>fog</t>
  </si>
  <si>
    <t>21-Jul-2020</t>
  </si>
  <si>
    <t>NEFT/HSBCN20203603094/IPSOS RESEARCH PRIVATE LIMIT</t>
  </si>
  <si>
    <t>27,313.00</t>
  </si>
  <si>
    <t>56,322.79</t>
  </si>
  <si>
    <t>25-Jul-2020</t>
  </si>
  <si>
    <t>NEFT/HSBCN20207902557/NIELSEN (INDIA) PRIVATE LIMI</t>
  </si>
  <si>
    <t>19,282.25</t>
  </si>
  <si>
    <t>75,605.04</t>
  </si>
  <si>
    <t>14-Aug-2020</t>
  </si>
  <si>
    <t>IMPS-INET/Fund Trf/022714058590/SUDHANSHUBERRY/039601509205/</t>
  </si>
  <si>
    <t>1,25,605.04</t>
  </si>
  <si>
    <t>NEFT/IDFBH20227747122/GST/RBIS0GSTPMT/GSTARBSC006</t>
  </si>
  <si>
    <t>5,872.00</t>
  </si>
  <si>
    <t>1,19,733.04</t>
  </si>
  <si>
    <t>NEFT/IDFBH20227752136/GST/RBIS0GSTPMT/GSTOptimas431920</t>
  </si>
  <si>
    <t>37,872.00</t>
  </si>
  <si>
    <t>81,861.04</t>
  </si>
  <si>
    <t>NEFT/IDFBH20227752020/GST/RBIS0GSTPMT/GSTCMA14</t>
  </si>
  <si>
    <t>67,419.00</t>
  </si>
  <si>
    <t>14,442.04</t>
  </si>
  <si>
    <t>UPI/MOB/022716337212/UPI</t>
  </si>
  <si>
    <t>5,000.00</t>
  </si>
  <si>
    <t>19,442.04</t>
  </si>
  <si>
    <t>16-Aug-2020</t>
  </si>
  <si>
    <t>UPI/MOB/022911542758/Payment from PhonePe</t>
  </si>
  <si>
    <t>44,442.04</t>
  </si>
  <si>
    <t>UPI/MOB/022936268897/Payment from PhonePe</t>
  </si>
  <si>
    <t>69,442.04</t>
  </si>
  <si>
    <t>UPI/MOB/022948177279/Payment from PhonePe</t>
  </si>
  <si>
    <t>94,442.04</t>
  </si>
  <si>
    <t>UPI/MOB/022924240039/Payment from PhonePe</t>
  </si>
  <si>
    <t>1,19,442.04</t>
  </si>
  <si>
    <t>17-Aug-2020</t>
  </si>
  <si>
    <t>cash deposit</t>
  </si>
  <si>
    <t>70,000.00</t>
  </si>
  <si>
    <t>1,89,442.04</t>
  </si>
  <si>
    <t>NEFT/IDFBH20230797798/GST/RBIS0GSTPMT</t>
  </si>
  <si>
    <t>10,278.00</t>
  </si>
  <si>
    <t>1,79,164.04</t>
  </si>
  <si>
    <t>NEFT/IDFBH20230797889/GST/RBIS0GSTPMT/GSTFast13</t>
  </si>
  <si>
    <t>7,722.00</t>
  </si>
  <si>
    <t>1,71,442.04</t>
  </si>
  <si>
    <t>NEFT/IDFBH20230797903/GST/RBIS0GSTPMT/GSTFog8</t>
  </si>
  <si>
    <t>9,000.00</t>
  </si>
  <si>
    <t>1,62,442.04</t>
  </si>
  <si>
    <t>NEFT/IDFBH20230797882/GST/RBIS0GSTPMT/GSTGryffindor9</t>
  </si>
  <si>
    <t>24,498.00</t>
  </si>
  <si>
    <t>1,37,944.04</t>
  </si>
  <si>
    <t>NEFT/IDFBH20230797931/GST/RBIS0GSTPMT/GSTHope11</t>
  </si>
  <si>
    <t>22,113.00</t>
  </si>
  <si>
    <t>1,15,831.04</t>
  </si>
  <si>
    <t>NEFT/IDFBH20230797953/GST/RBIS0GSTPMT/GSTHope12</t>
  </si>
  <si>
    <t>99,631.04</t>
  </si>
  <si>
    <t>IMPS-MOB/Fund Trf/023015858340/RAMESHWARTIWARI/004601557739/Office</t>
  </si>
  <si>
    <t>40,000.00</t>
  </si>
  <si>
    <t>1,39,631.04</t>
  </si>
  <si>
    <t>NEFT/IDFBH20230806586/GST/RBIS0GSTPMT/Gstarbsc5</t>
  </si>
  <si>
    <t>1,34,839.00</t>
  </si>
  <si>
    <t>4,792.04</t>
  </si>
  <si>
    <t>IMPS-MOB/Fund Trf/023017416283/PANKAJMADAN/0512675277/MBSENTTOacum10029742684IMPS</t>
  </si>
  <si>
    <t>14,792.04</t>
  </si>
  <si>
    <t>NEFT/IDFBH20230816244/GST/RBIS0GSTPMT/GSTAscent7</t>
  </si>
  <si>
    <t>8,370.00</t>
  </si>
  <si>
    <t>6,422.04</t>
  </si>
  <si>
    <t>21-Aug-2020</t>
  </si>
  <si>
    <t>NEFT/IDFBH20234949410/Tiwari Bakers/BARB0KHALIL/balancepank</t>
  </si>
  <si>
    <t>6,000.00</t>
  </si>
  <si>
    <t>422.04</t>
  </si>
  <si>
    <t>INV/49/2019-2020</t>
  </si>
  <si>
    <t>Beat</t>
  </si>
  <si>
    <t>Jedi</t>
  </si>
  <si>
    <t>CMA</t>
  </si>
  <si>
    <t>G C PANT</t>
  </si>
  <si>
    <t>RAMESHWAR</t>
  </si>
  <si>
    <t xml:space="preserve">LOAN  </t>
  </si>
  <si>
    <t>14/08/2020</t>
  </si>
  <si>
    <t>15/08/2020</t>
  </si>
  <si>
    <t>17/08/2020</t>
  </si>
  <si>
    <t>18/08/2020</t>
  </si>
  <si>
    <t>20/08/2020</t>
  </si>
  <si>
    <t xml:space="preserve">PARMESHWARI </t>
  </si>
  <si>
    <t>KANANIYA</t>
  </si>
  <si>
    <t>TDS FEES</t>
  </si>
  <si>
    <t>KOTAK</t>
  </si>
  <si>
    <t>IDFC</t>
  </si>
  <si>
    <t>SADANAND SHARMA</t>
  </si>
  <si>
    <t>SHITAL KUMAR MISHRA</t>
  </si>
  <si>
    <t>ARBSC/018/20-21</t>
  </si>
  <si>
    <t>ARBSC/017/20-21</t>
  </si>
  <si>
    <t>Landscaping Research Study on Women Enterpreneurs</t>
  </si>
  <si>
    <t>IMPACT PSD PRIVATE LIMITED</t>
  </si>
  <si>
    <t>IDFC BANK</t>
  </si>
  <si>
    <t>Loan Paid</t>
  </si>
  <si>
    <t>Pant</t>
  </si>
  <si>
    <t>Hussain Mulla</t>
  </si>
  <si>
    <t>24/08/2020</t>
  </si>
  <si>
    <t>27/08/2020</t>
  </si>
  <si>
    <t>29/08/2020</t>
  </si>
  <si>
    <t>31/08/2020</t>
  </si>
  <si>
    <t>03-Sep-2020</t>
  </si>
  <si>
    <t>NEFT/HSBCN20247744829/IPSOS RESEARCH PRIVATE LIMITED/HSBC0400002</t>
  </si>
  <si>
    <t>89,262.50</t>
  </si>
  <si>
    <t>89,684.54</t>
  </si>
  <si>
    <t>NEFT/IDFBH20247366735/Acumeus Research Business Solution/KKBK0000198/Project Fog</t>
  </si>
  <si>
    <t>46,250.00</t>
  </si>
  <si>
    <t>43,434.54</t>
  </si>
  <si>
    <t>04-Sep-2020</t>
  </si>
  <si>
    <t>NEFT/CITIN20126073465/PRICEWATERHOUSECOOPERS PVT LTD/CITI0000002</t>
  </si>
  <si>
    <t>8,27,761.00</t>
  </si>
  <si>
    <t>8,71,195.54</t>
  </si>
  <si>
    <t>NEFT/IDFBH20248408342/Vaishnavi/IBKL0000191/CMA</t>
  </si>
  <si>
    <t>35,000.00</t>
  </si>
  <si>
    <t>8,36,195.54</t>
  </si>
  <si>
    <t>NEFT/IDFBH20248408329/Varun Uplkash/KKBK0004629/CMA</t>
  </si>
  <si>
    <t>7,96,195.54</t>
  </si>
  <si>
    <t>NEFT/IDFBH20248408331/Sudhanshu Berry/ICIC0000396/Salary</t>
  </si>
  <si>
    <t>7,46,195.54</t>
  </si>
  <si>
    <t>NEFT/IDFBH20248408333/Rameshwar Tiwari/ICIC0000225/Salary</t>
  </si>
  <si>
    <t>6,96,195.54</t>
  </si>
  <si>
    <t>NEFT/IDFBH20248408347/Gaytri Chandra Pant/KKBK0000198/Salary</t>
  </si>
  <si>
    <t>6,46,195.54</t>
  </si>
  <si>
    <t>NEFT/IDFBH20248408339/Pankaj Madan/KKBK0000198/Salary</t>
  </si>
  <si>
    <t>6,21,195.54</t>
  </si>
  <si>
    <t>NEFT/IDFBH20248408340/Aditi Madan/KKBK0004589/CMA</t>
  </si>
  <si>
    <t>45,000.00</t>
  </si>
  <si>
    <t>5,76,195.54</t>
  </si>
  <si>
    <t>FOG &amp; Ascent</t>
  </si>
  <si>
    <t>ARBSC/007/20-21 / ARBSC/008/20-21</t>
  </si>
  <si>
    <t>Ascent Old/Fog New</t>
  </si>
  <si>
    <t>Account to Account</t>
  </si>
  <si>
    <t>Varun Uplkash</t>
  </si>
  <si>
    <t>TDS Fees</t>
  </si>
  <si>
    <t>return</t>
  </si>
  <si>
    <t>Total link Solution</t>
  </si>
  <si>
    <t>GC Pant</t>
  </si>
  <si>
    <t>Tea expenses</t>
  </si>
  <si>
    <t>Hussain Mullah</t>
  </si>
  <si>
    <t>05-Sep-2020</t>
  </si>
  <si>
    <t>NEFT/IDFBH20249426899/Vaishnavi/IBKL0000191/Gryffindor</t>
  </si>
  <si>
    <t>28,980.00</t>
  </si>
  <si>
    <t>5,47,215.54</t>
  </si>
  <si>
    <t>NEFT/IDFBH20249426919/Manjunath B S/ICIC0001418/Bond</t>
  </si>
  <si>
    <t>3,465.00</t>
  </si>
  <si>
    <t>5,43,750.54</t>
  </si>
  <si>
    <t>NEFT/IDFBH20249426941/Manjunath B S/ICIC0001418/Bagic</t>
  </si>
  <si>
    <t>4,720.00</t>
  </si>
  <si>
    <t>5,39,030.54</t>
  </si>
  <si>
    <t>NEFT/IDFBH20249426969/Yogesh Gupta/HDFC0000006/Bagic</t>
  </si>
  <si>
    <t>3,136.00</t>
  </si>
  <si>
    <t>5,35,894.54</t>
  </si>
  <si>
    <t>NEFT/IDFBH20249427195/Clint/ICIC0001160/Flash</t>
  </si>
  <si>
    <t>7,500.00</t>
  </si>
  <si>
    <t>5,28,394.54</t>
  </si>
  <si>
    <t>NEFT/IDFBH20249427199/Jaideep Srivastava/UTIB0002975/Bagic</t>
  </si>
  <si>
    <t>6,336.00</t>
  </si>
  <si>
    <t>5,22,058.54</t>
  </si>
  <si>
    <t>NEFT/IDFBH20249427221/RUPALI Sarkar/PYTM0123456/Bagic</t>
  </si>
  <si>
    <t>5,18,922.54</t>
  </si>
  <si>
    <t>NEFT/IDFBH20249427211/sheetal kaluRam kanse/IBKL0000676/Bagic</t>
  </si>
  <si>
    <t>5,15,786.54</t>
  </si>
  <si>
    <t>NEFT/IDFBH20249427242/sheetal kaluRam kanse/IBKL0000676/Breeze</t>
  </si>
  <si>
    <t>2,574.00</t>
  </si>
  <si>
    <t>5,13,212.54</t>
  </si>
  <si>
    <t>IFT/10022473332/INSIGHT MARKET RESEA/2118928/Bond</t>
  </si>
  <si>
    <t>2,970.00</t>
  </si>
  <si>
    <t>5,10,242.54</t>
  </si>
  <si>
    <t>NEFT/IDFBH20249427369/Sadanand Sharma/HDFC0002798/Flash2</t>
  </si>
  <si>
    <t>4,950.00</t>
  </si>
  <si>
    <t>5,05,292.54</t>
  </si>
  <si>
    <t>NEFT/IDFBH20249427490/Amit Kumar Shukla/BKID0006800/Flash</t>
  </si>
  <si>
    <t>4,850.00</t>
  </si>
  <si>
    <t>5,00,442.54</t>
  </si>
  <si>
    <t>NEFT/IDFBH20249427229/Labani Das/UTBI0SPR250/Ascent</t>
  </si>
  <si>
    <t>4,97,472.54</t>
  </si>
  <si>
    <t>NEFT/IDFBH20249427232/Aditi Madan/KKBK0004589/TorpedoSancky</t>
  </si>
  <si>
    <t>28,800.00</t>
  </si>
  <si>
    <t>4,68,672.54</t>
  </si>
  <si>
    <t>NEFT/IDFBH20249427508/Madhuker Y/SBIN0012917/Pump</t>
  </si>
  <si>
    <t>8,245.00</t>
  </si>
  <si>
    <t>4,60,427.54</t>
  </si>
  <si>
    <t>IFT/10022473332/INSIGHT MARKET RESEA/2125675/Ascent</t>
  </si>
  <si>
    <t>4,500.00</t>
  </si>
  <si>
    <t>4,55,927.54</t>
  </si>
  <si>
    <t>IFT/10022473332/INSIGHT MARKET RESEA/2141615/Flash2</t>
  </si>
  <si>
    <t>7,920.00</t>
  </si>
  <si>
    <t>4,48,007.54</t>
  </si>
  <si>
    <t>NEFT/IDFBH20249427550/HARPREET SINGH BHAHRAH/BKID0000046/Relief</t>
  </si>
  <si>
    <t>14,600.00</t>
  </si>
  <si>
    <t>4,33,407.54</t>
  </si>
  <si>
    <t>NEFT/IDFBH20249443009/Veenu Berry/KKBK0000198/CMA</t>
  </si>
  <si>
    <t>28,000.00</t>
  </si>
  <si>
    <t>4,05,407.54</t>
  </si>
  <si>
    <t>NEFT/IDFBH20249443012/Suman/KKBK0000198/CMA</t>
  </si>
  <si>
    <t>28,050.00</t>
  </si>
  <si>
    <t>3,77,357.54</t>
  </si>
  <si>
    <t>NEFT/IDFBH20249443015/CITI CREDIT CARD/CITI0000006/CCBill</t>
  </si>
  <si>
    <t>32,845.00</t>
  </si>
  <si>
    <t>3,44,512.54</t>
  </si>
  <si>
    <t>BOND</t>
  </si>
  <si>
    <t>YOGESH GUPTA</t>
  </si>
  <si>
    <t>JAIDEEP SRIVASTAVA</t>
  </si>
  <si>
    <t>RUPALI SARKAR</t>
  </si>
  <si>
    <t>SHEETAL KALU RAM KANSE</t>
  </si>
  <si>
    <t>BREEZE</t>
  </si>
  <si>
    <t>INSIGHT MARKET RESEARCH</t>
  </si>
  <si>
    <t>FLASH 2</t>
  </si>
  <si>
    <t>SADANAND</t>
  </si>
  <si>
    <t>LABANI DAS</t>
  </si>
  <si>
    <t>TORPEDOSANCKY</t>
  </si>
  <si>
    <t>PANKAJ MADAN</t>
  </si>
  <si>
    <t>MADHUKER</t>
  </si>
  <si>
    <t>RELEIF</t>
  </si>
  <si>
    <t>HARPREET SINGH</t>
  </si>
  <si>
    <t>VENNU BERRY</t>
  </si>
  <si>
    <t>SUMAN</t>
  </si>
  <si>
    <t xml:space="preserve">CITI CREDIT </t>
  </si>
  <si>
    <t>INTEREST</t>
  </si>
  <si>
    <t>Gitanjali</t>
  </si>
  <si>
    <t>GST PENDING</t>
  </si>
  <si>
    <t>Sheetal Mishra</t>
  </si>
  <si>
    <t>Ritz</t>
  </si>
  <si>
    <t>Cash Withdrawal</t>
  </si>
  <si>
    <t>Sharma Ashish</t>
  </si>
  <si>
    <t>Email id</t>
  </si>
  <si>
    <t>salary</t>
  </si>
  <si>
    <t>payment</t>
  </si>
  <si>
    <t>company</t>
  </si>
  <si>
    <t>VIKASH MISHRA</t>
  </si>
  <si>
    <t>14/09/2020</t>
  </si>
  <si>
    <t>Vikas Mishra</t>
  </si>
  <si>
    <t>08-Sep-2020</t>
  </si>
  <si>
    <t>NEFT/IDFBH20252537887/Santosh Kumar/SBIN0012598/CMA</t>
  </si>
  <si>
    <t>3,31,512.54</t>
  </si>
  <si>
    <t>NEFT/IDFBH20252537897/Kalpana Sharma/PUNB0423500/CMA</t>
  </si>
  <si>
    <t>14,000.00</t>
  </si>
  <si>
    <t>3,17,512.54</t>
  </si>
  <si>
    <t>NEFT/IDFBH20252538003/Pankaj Madan/KKBK0000198/Salary</t>
  </si>
  <si>
    <t>30,000.00</t>
  </si>
  <si>
    <t>2,87,512.54</t>
  </si>
  <si>
    <t>NEFT/IDFBH20252538038/Rameshwar Tiwari/ICIC0000225/Salary</t>
  </si>
  <si>
    <t>2,37,512.54</t>
  </si>
  <si>
    <t>NEFT/IDFBH20252538070/Gaytri Chandra Pant/KKBK0000198/Salary</t>
  </si>
  <si>
    <t>1,87,512.54</t>
  </si>
  <si>
    <t>NEFT/IDFBH20252538084/Akshay Kumar/SBIN0070817/CMA</t>
  </si>
  <si>
    <t>1,59,512.54</t>
  </si>
  <si>
    <t>NEFT/IDFBH20252538109/Sudhanshu Berry/ICIC0000396/Salary</t>
  </si>
  <si>
    <t>1,19,512.54</t>
  </si>
  <si>
    <t>10-Sep-2020</t>
  </si>
  <si>
    <t>NEFT/HSBCN20254504522/IPSOS RESEARCH PRIVATE LIMITED/HSBC0400002</t>
  </si>
  <si>
    <t>39,682.50</t>
  </si>
  <si>
    <t>1,59,195.04</t>
  </si>
  <si>
    <t>NEFT_DELAY_INT_HSBCN20167724568</t>
  </si>
  <si>
    <t>64.48</t>
  </si>
  <si>
    <t>1,59,259.52</t>
  </si>
  <si>
    <t>11-Sep-2020</t>
  </si>
  <si>
    <t>NEFT/HSBCN20255641403/NIELSEN (INDIA) PRIVATE LIMITED/HSBC0400002</t>
  </si>
  <si>
    <t>99,450.00</t>
  </si>
  <si>
    <t>2,58,709.52</t>
  </si>
  <si>
    <t>NEFT/HSBCN20255641358/NIELSEN (INDIA) PRIVATE LIMITED/HSBC0400002</t>
  </si>
  <si>
    <t>36,051.00</t>
  </si>
  <si>
    <t>2,94,760.52</t>
  </si>
  <si>
    <t>NEFT/HSBCN20255641401/NIELSEN (INDIA) PRIVATE LIMITED/HSBC0400002</t>
  </si>
  <si>
    <t>1,35,749.25</t>
  </si>
  <si>
    <t>4,30,509.77</t>
  </si>
  <si>
    <t>NEFT/HSBCN20255641367/NIELSEN (INDIA) PRIVATE LIMITED/HSBC0400002</t>
  </si>
  <si>
    <t>1,50,391.00</t>
  </si>
  <si>
    <t>5,80,900.77</t>
  </si>
  <si>
    <t>12-Sep-2020</t>
  </si>
  <si>
    <t>NEFT/IDFBH20256843636/Veenu Berry/KKBK0000198/Women Entrepreneurs</t>
  </si>
  <si>
    <t>5,52,900.77</t>
  </si>
  <si>
    <t>NEFT/IDFBH20256843639/Preeti Tiwari/PUNB0786100/Women Entrepreneurs</t>
  </si>
  <si>
    <t>29,500.00</t>
  </si>
  <si>
    <t>5,23,400.77</t>
  </si>
  <si>
    <t>NEFT/IDFBH20256843642/Anita Tiwari/INDB0000012/Women Entrepreneurs</t>
  </si>
  <si>
    <t>4,93,900.77</t>
  </si>
  <si>
    <t>NEFT/IDFBH20256843645/Sudhanshu Berry/ICIC0000396/Salary</t>
  </si>
  <si>
    <t>4,43,900.77</t>
  </si>
  <si>
    <t>NEFT/IDFBH20256843647/Gitanjali Kumari/BKID0006075/Women Entrepreneurs</t>
  </si>
  <si>
    <t>4,18,900.77</t>
  </si>
  <si>
    <t>NEFT/IDFBH20256843651/Acumeus Research Business Solution/KKBK0000198/ACtoAC</t>
  </si>
  <si>
    <t>2,00,000.00</t>
  </si>
  <si>
    <t>2,18,900.77</t>
  </si>
  <si>
    <t>14-Sep-2020</t>
  </si>
  <si>
    <t>NEFT/IDFBH20258887120/Amit Kumar Tripathi/SBIN0016106/Bond</t>
  </si>
  <si>
    <t>10,195.00</t>
  </si>
  <si>
    <t>2,08,705.77</t>
  </si>
  <si>
    <t>15-Sep-2020</t>
  </si>
  <si>
    <t>NEFT/IDFBH20259927672/Anita Tiwari/INDB0000012/Fast</t>
  </si>
  <si>
    <t>26,305.00</t>
  </si>
  <si>
    <t>1,82,400.77</t>
  </si>
  <si>
    <t>Santosh Kumar</t>
  </si>
  <si>
    <t>Kalpana Sharma</t>
  </si>
  <si>
    <t>Akshay Kumar</t>
  </si>
  <si>
    <t>acumeus</t>
  </si>
  <si>
    <t>Company</t>
  </si>
  <si>
    <t>Amit kumar Tripathi</t>
  </si>
  <si>
    <t>15/09/2020</t>
  </si>
  <si>
    <t>kotak</t>
  </si>
  <si>
    <t>optimus</t>
  </si>
  <si>
    <t>Parmeshwari</t>
  </si>
  <si>
    <t>18/9/2020</t>
  </si>
  <si>
    <t>ARBSC/019/20-21</t>
  </si>
  <si>
    <t>RECALL</t>
  </si>
  <si>
    <t>16/09/2020</t>
  </si>
  <si>
    <t>17/09/2020</t>
  </si>
  <si>
    <t>18/09/2020</t>
  </si>
  <si>
    <t>17-Sep-2020</t>
  </si>
  <si>
    <t>NEFT/IDFBH20261992791/GST/RBIS0GSTPMT/GSTCOMFORTARBSC15</t>
  </si>
  <si>
    <t>8,028.00</t>
  </si>
  <si>
    <t>1,74,372.77</t>
  </si>
  <si>
    <t>NEFT/IDFBH20261992818/GST/RBIS0GSTPMT/GSTOPTIMUS ARBSC17</t>
  </si>
  <si>
    <t>4,444.00</t>
  </si>
  <si>
    <t>1,69,928.77</t>
  </si>
  <si>
    <t>NEFT/IDFBH20261009542/GST/RBIS0GSTPMT/GSTCMAARBSC16</t>
  </si>
  <si>
    <t>35,089.77</t>
  </si>
  <si>
    <t>18-Sep-2020</t>
  </si>
  <si>
    <t>IMPS-MOB/Fund Trf/026215904669/PANKAJMADAN/0512675277/MBSENTTOacum10029742684IMPS</t>
  </si>
  <si>
    <t>8,000.00</t>
  </si>
  <si>
    <t>43,089.77</t>
  </si>
  <si>
    <t>NEFT/IDFBH20262036521/Acumeus Research Business Solution/KKBK0000198/ACtoAC</t>
  </si>
  <si>
    <t>8,089.77</t>
  </si>
  <si>
    <t>NEFT/IDFBH20262042288/Acumeus Research Business Solution/KKBK0000198/ACtoAC</t>
  </si>
  <si>
    <t>1,089.77</t>
  </si>
  <si>
    <t>Bank to Bank</t>
  </si>
  <si>
    <t>Recall</t>
  </si>
  <si>
    <t>Women Entrepreneur Maharashtra</t>
  </si>
  <si>
    <t>Crystal</t>
  </si>
  <si>
    <t>All Star Manjunath</t>
  </si>
  <si>
    <t>Ratan R Gaud</t>
  </si>
  <si>
    <t>Insight Market Research</t>
  </si>
  <si>
    <t>Hemant Arora</t>
  </si>
  <si>
    <t>Ultimate</t>
  </si>
  <si>
    <t>21/09/2020</t>
  </si>
  <si>
    <t>22/09/2020</t>
  </si>
  <si>
    <t>23/09/2020</t>
  </si>
  <si>
    <t>24/09/2020</t>
  </si>
  <si>
    <t>Company Fund</t>
  </si>
  <si>
    <t>All Star Solution</t>
  </si>
  <si>
    <t>Ratan Gaud</t>
  </si>
  <si>
    <t>Journey</t>
  </si>
  <si>
    <t>cash</t>
  </si>
  <si>
    <t>Search</t>
  </si>
  <si>
    <t>Dinesh Chimba Ji</t>
  </si>
  <si>
    <t>In Bank Balance</t>
  </si>
  <si>
    <t>Women Entrepreneur Tamilnadu</t>
  </si>
  <si>
    <t>Benign</t>
  </si>
  <si>
    <t>Tea</t>
  </si>
  <si>
    <t xml:space="preserve">Loan to New </t>
  </si>
  <si>
    <t>Abhipsa Mohanty</t>
  </si>
  <si>
    <t>SIDDHESH LKO</t>
  </si>
  <si>
    <t>03-Oct-2020</t>
  </si>
  <si>
    <t>NEFT/CITIN20141663949/PRICEWATERHOUSECOOPERS PVT LTD/CITI0000002</t>
  </si>
  <si>
    <t>4,13,881.50</t>
  </si>
  <si>
    <t>4,14,971.27</t>
  </si>
  <si>
    <t>NEFT/IDFBH20277592290/Parmeshwari Beriya/UBIN0534943/Salary</t>
  </si>
  <si>
    <t>3,94,971.27</t>
  </si>
  <si>
    <t>NEFT/IDFBH20277592218/Gaytri Chandra Pant/KKBK0000198/Salary</t>
  </si>
  <si>
    <t>3,54,971.27</t>
  </si>
  <si>
    <t>NEFT/IDFBH20277592393/Pankaj Madan/KKBK0000198/Salary</t>
  </si>
  <si>
    <t>3,14,971.27</t>
  </si>
  <si>
    <t>NEFT/IDFBH20277592491/Sudhanshu Berry/ICIC0000396/Salary</t>
  </si>
  <si>
    <t>2,74,971.27</t>
  </si>
  <si>
    <t>NEFT/IDFBH20277592699/Rameshwar Tiwari/KKBK0000198/Salary</t>
  </si>
  <si>
    <t>2,34,971.27</t>
  </si>
  <si>
    <t>NEFT/IDFBH20277600879/CITI CREDIT CARD/CITI0000006/CC Payment</t>
  </si>
  <si>
    <t>59,292.00</t>
  </si>
  <si>
    <t>1,75,679.27</t>
  </si>
  <si>
    <t>NEFT/IDFBH20277601002/Akshay Kumar/SBIN0070817/CMA</t>
  </si>
  <si>
    <t>18,000.00</t>
  </si>
  <si>
    <t>1,57,679.27</t>
  </si>
  <si>
    <t>NEFT/IDFBH20277601026/Suman/KKBK0000198/CMA</t>
  </si>
  <si>
    <t>22,000.00</t>
  </si>
  <si>
    <t>1,35,679.27</t>
  </si>
  <si>
    <t>NEFT/IDFBH20277601031/Balram Tiwari/UBIN0560421/CMA</t>
  </si>
  <si>
    <t>1,07,679.27</t>
  </si>
  <si>
    <t>05-Oct-2020</t>
  </si>
  <si>
    <t>NEFT/IDFBH20279670189/Acumeus Research Business Solution/KKBK0000198/AC to AC</t>
  </si>
  <si>
    <t>90,000.00</t>
  </si>
  <si>
    <t>17,679.27</t>
  </si>
  <si>
    <t>07-Oct-2020</t>
  </si>
  <si>
    <t>NEFT/IDFBH20281814272/Sangeeta Masson/PUNB0099200/Rent</t>
  </si>
  <si>
    <t>4,679.27</t>
  </si>
  <si>
    <t>09-Oct-2020</t>
  </si>
  <si>
    <t>NEFT/CITIN20145764066/PRICEWATERHOUSECOOPERS PVT LTD/CITI0000002</t>
  </si>
  <si>
    <t>8,32,440.27</t>
  </si>
  <si>
    <t xml:space="preserve">loan  </t>
  </si>
  <si>
    <t>28/09/2020</t>
  </si>
  <si>
    <t>29/09/2020</t>
  </si>
  <si>
    <t>30/09/2020</t>
  </si>
  <si>
    <t>Rakesh Kumar Sah</t>
  </si>
  <si>
    <t>Chandra Rekha Sahni</t>
  </si>
  <si>
    <t>13/10/2020</t>
  </si>
  <si>
    <t>ARBSC/022/20-21</t>
  </si>
  <si>
    <t>CRYSTAL</t>
  </si>
  <si>
    <t>ARBSC/023/20-21</t>
  </si>
  <si>
    <t>BIG BLUE BANYAN PRIVATE LIMITED</t>
  </si>
  <si>
    <t>ARBSC/021/20-21</t>
  </si>
  <si>
    <t>ARBSC/024/20-21</t>
  </si>
  <si>
    <t>Banign</t>
  </si>
  <si>
    <t>ICICI Credit Card</t>
  </si>
  <si>
    <t>Wellness</t>
  </si>
  <si>
    <t>15/10/2020</t>
  </si>
  <si>
    <t>16/10/2020</t>
  </si>
  <si>
    <t>NEFT/IDFBH20283933249/Rajnish Kumar jha/CNRB0001445/CMA</t>
  </si>
  <si>
    <t>29,000.00</t>
  </si>
  <si>
    <t>8,03,440.27</t>
  </si>
  <si>
    <t>NEFT/IDFBH20283933233/Preeti Tiwari/PUNB0786100/CMA</t>
  </si>
  <si>
    <t>20,182.00</t>
  </si>
  <si>
    <t>7,83,258.27</t>
  </si>
  <si>
    <t>NEFT/IDFBH20283933252/Gitanjali Kumari/BKID0006075/CMA</t>
  </si>
  <si>
    <t>7,58,258.27</t>
  </si>
  <si>
    <t>NEFT/IDFBH20283933253/Balram Tiwari/UBIN0560421/CMA</t>
  </si>
  <si>
    <t>7,29,258.27</t>
  </si>
  <si>
    <t>10-Oct-2020</t>
  </si>
  <si>
    <t>NEFT/IDFBH20284943730/Vikash Kumar Mishra/ICIC0001578/CMA</t>
  </si>
  <si>
    <t>7,04,258.27</t>
  </si>
  <si>
    <t>NEFT/IDFBH20284943734/Sushil Kumar Shukla/KKBK0000205/CMA</t>
  </si>
  <si>
    <t>6,75,258.27</t>
  </si>
  <si>
    <t>NEFT/IDFBH20284943739/Saila Bala Rout/UBIN0556874/CMA</t>
  </si>
  <si>
    <t>6,50,258.27</t>
  </si>
  <si>
    <t>NEFT/IDFBH20284943762/ICICI Credit Card/ICIC0000103/Credit Card Expense</t>
  </si>
  <si>
    <t>36,000.00</t>
  </si>
  <si>
    <t>6,14,258.27</t>
  </si>
  <si>
    <t>NEFT/IDFBH20284943765/Rameshwar Tiwari/RATN0CRCARD/Credit Card Expense</t>
  </si>
  <si>
    <t>18,818.00</t>
  </si>
  <si>
    <t>5,95,440.27</t>
  </si>
  <si>
    <t>12-Oct-2020</t>
  </si>
  <si>
    <t>NEFT/IDFBH20286962618/Pankaj Madan/KKBK0000198/Salary</t>
  </si>
  <si>
    <t>5,85,440.27</t>
  </si>
  <si>
    <t>NEFT/IDFBH20286962984/Varun Uplkash/KKBK0004629/CMA</t>
  </si>
  <si>
    <t>5,77,440.27</t>
  </si>
  <si>
    <t>NEFT/HSBCN20286550934/NIELSEN (INDIA) PRIVATE LIMITED/HSBC0400002</t>
  </si>
  <si>
    <t>3,63,804.37</t>
  </si>
  <si>
    <t>9,41,244.64</t>
  </si>
  <si>
    <t>NEFT/IDFBH20286988453/Dharmendra Kumar/SBIN0012473/CMA</t>
  </si>
  <si>
    <t>9,12,244.64</t>
  </si>
  <si>
    <t>NEFT/IDFBH20286988575/Anil Kumar/IBKL0000901/CMA</t>
  </si>
  <si>
    <t>27,000.00</t>
  </si>
  <si>
    <t>8,85,244.64</t>
  </si>
  <si>
    <t>13-Oct-2020</t>
  </si>
  <si>
    <t>NEFT/IDFBH20287013559/Santosh Kumar/CORP0003045/CMA</t>
  </si>
  <si>
    <t>8,56,244.64</t>
  </si>
  <si>
    <t>14-Oct-2020</t>
  </si>
  <si>
    <t>NEFT/IDFBH20288082195/GST/RBIS0GSTPMT/GSTINV11LYMPH</t>
  </si>
  <si>
    <t>23,400.00</t>
  </si>
  <si>
    <t>8,32,844.64</t>
  </si>
  <si>
    <t>NEFT/IDFBH20288082217/GST/RBIS0GSTPMT/GSTINV13BOI</t>
  </si>
  <si>
    <t>7,047.00</t>
  </si>
  <si>
    <t>8,25,797.64</t>
  </si>
  <si>
    <t>NEFT/IDFBH20288082516/GST/RBIS0GSTPMT/GSTARBSC19WE</t>
  </si>
  <si>
    <t>22,932.00</t>
  </si>
  <si>
    <t>8,02,865.64</t>
  </si>
  <si>
    <t>NEFT/IDFBH20288086579/GST/RBIS0GSTPMT/GSTARBSC18WE</t>
  </si>
  <si>
    <t>32,998.00</t>
  </si>
  <si>
    <t>7,69,867.64</t>
  </si>
  <si>
    <t>NEFT/IDFBH20288086740/GST/RBIS0GSTPMT/GSTINV14Bravo</t>
  </si>
  <si>
    <t>1,98,752.00</t>
  </si>
  <si>
    <t>5,71,115.64</t>
  </si>
  <si>
    <t>16-Oct-2020</t>
  </si>
  <si>
    <t>CHQ Paid/000013/ASHISH TIWARI/BANK OF BARODANK OF</t>
  </si>
  <si>
    <t>000013</t>
  </si>
  <si>
    <t>5,21,115.64</t>
  </si>
  <si>
    <t>NEFT/IDFBH20290199217/Acumeus Research Business Solution/KKBK0000198</t>
  </si>
  <si>
    <t>5,07,115.64</t>
  </si>
  <si>
    <t>ICICI</t>
  </si>
  <si>
    <t>RBL</t>
  </si>
  <si>
    <t>LYMPH</t>
  </si>
  <si>
    <t>INV/11/19-20</t>
  </si>
  <si>
    <t>BOI</t>
  </si>
  <si>
    <t>INV/13/19-20</t>
  </si>
  <si>
    <t>PST</t>
  </si>
  <si>
    <t>Bravo</t>
  </si>
  <si>
    <t>INV/14/19-20</t>
  </si>
  <si>
    <t>Acumeus</t>
  </si>
  <si>
    <t>citi card</t>
  </si>
  <si>
    <t xml:space="preserve">Credit card </t>
  </si>
  <si>
    <t>credit card</t>
  </si>
  <si>
    <t>Saila Bala</t>
  </si>
  <si>
    <t>Sushil Shukla</t>
  </si>
  <si>
    <t>Vikash Mishra</t>
  </si>
  <si>
    <t>Balram Tiwari</t>
  </si>
  <si>
    <t>Dharmendra</t>
  </si>
  <si>
    <t>Anil Kumar</t>
  </si>
  <si>
    <t>I 3 RC</t>
  </si>
  <si>
    <t>Punita Chawla</t>
  </si>
  <si>
    <t>17-Oct-2020</t>
  </si>
  <si>
    <t>NEFT/IDFBH20291243770/Manjunath B S/ICIC0001418/CMA4</t>
  </si>
  <si>
    <t>19,600.00</t>
  </si>
  <si>
    <t>4,87,515.64</t>
  </si>
  <si>
    <t>IFT/10022473332/INSIGHT MARKET RESEA/3738815/Simple</t>
  </si>
  <si>
    <t>17,280.00</t>
  </si>
  <si>
    <t>4,70,235.64</t>
  </si>
  <si>
    <t>NEFT/IDFBH20291243832/sheetal kaluRam kanse/IBKL0000676/CMA4</t>
  </si>
  <si>
    <t>14,656.00</t>
  </si>
  <si>
    <t>4,55,579.64</t>
  </si>
  <si>
    <t>NEFT/IDFBH20291244052/Abhishek Kumar Rai/SBIN0006143/CMA4</t>
  </si>
  <si>
    <t>3,425.00</t>
  </si>
  <si>
    <t>4,52,154.64</t>
  </si>
  <si>
    <t>NEFT/IDFBH20291248957/sheetal kaluRam kanse/IBKL0000676/Comfort</t>
  </si>
  <si>
    <t>4,752.00</t>
  </si>
  <si>
    <t>4,47,402.64</t>
  </si>
  <si>
    <t>NEFT/IDFBH20291248959/Awadhesh Mahendra Thakur/SBIN0013265/CMA</t>
  </si>
  <si>
    <t>2,000.00</t>
  </si>
  <si>
    <t>4,45,402.64</t>
  </si>
  <si>
    <t>NEFT/IDFBH20291248981/All Star Solution/ICIC0000269/CMA</t>
  </si>
  <si>
    <t>4,43,402.64</t>
  </si>
  <si>
    <t>NEFT/IDFBH20291248974/R V Research Technologies/UTIB0002559/CMA</t>
  </si>
  <si>
    <t>4,41,402.64</t>
  </si>
  <si>
    <t>NEFT/IDFBH20291248985/Alok Majumder/BKID0004046/CMA</t>
  </si>
  <si>
    <t>4,39,402.64</t>
  </si>
  <si>
    <t>NEFT/IDFBH20291248976/Ashutosh Chanda/ICIC0006343/CMA</t>
  </si>
  <si>
    <t>4,37,402.64</t>
  </si>
  <si>
    <t>NEFT/IDFBH20291248987/Abhipsa Mohanty/CBIN0283087/Recall</t>
  </si>
  <si>
    <t>18,600.00</t>
  </si>
  <si>
    <t>4,18,802.64</t>
  </si>
  <si>
    <t>NEFT/IDFBH20291249001/Gitanjali Kumari/BKID0006075/CMA</t>
  </si>
  <si>
    <t>4,16,802.64</t>
  </si>
  <si>
    <t>19-Oct-2020</t>
  </si>
  <si>
    <t>NEFT/IDFBH20293291581/Acumeus Research Business Solution/KKBK0000198</t>
  </si>
  <si>
    <t>65,000.00</t>
  </si>
  <si>
    <t>3,51,802.64</t>
  </si>
  <si>
    <t>Flaunt</t>
  </si>
  <si>
    <t>Torpedo</t>
  </si>
  <si>
    <t>Upasana</t>
  </si>
  <si>
    <t>IKMR</t>
  </si>
  <si>
    <t>17/10/2020</t>
  </si>
  <si>
    <t>19/10/2020</t>
  </si>
  <si>
    <t>20/10/2020</t>
  </si>
  <si>
    <t>21/10/2020</t>
  </si>
  <si>
    <t>Pankaj Personal</t>
  </si>
  <si>
    <t>27/10/2020</t>
  </si>
  <si>
    <t>28/10/2020</t>
  </si>
  <si>
    <t>30/10/2020</t>
  </si>
  <si>
    <t>credo</t>
  </si>
  <si>
    <t>pinki tyagi</t>
  </si>
  <si>
    <t>Sunil</t>
  </si>
  <si>
    <t>Lata gandhi</t>
  </si>
  <si>
    <t>Lubricant Study</t>
  </si>
  <si>
    <t>Shipper Study</t>
  </si>
  <si>
    <t>Search 2</t>
  </si>
  <si>
    <t>22-Oct-2020</t>
  </si>
  <si>
    <t>NEFT/IDFBH20296440586/Chandra shekhar tiwari/PSIB0021325/CMA</t>
  </si>
  <si>
    <t>3,22,802.64</t>
  </si>
  <si>
    <t>NEFT/IDFBH20296440594/Aarti/KKBK0004617/CMA</t>
  </si>
  <si>
    <t>29,900.00</t>
  </si>
  <si>
    <t>2,92,902.64</t>
  </si>
  <si>
    <t>NEFT/IDFBH20296440635/Aman Kumar/SBIN0012997/CMA</t>
  </si>
  <si>
    <t>28,500.00</t>
  </si>
  <si>
    <t>2,64,402.64</t>
  </si>
  <si>
    <t>23-Oct-2020</t>
  </si>
  <si>
    <t>NEFT/HSBCN20297607317/NIELSEN (INDIA) PRIVATE LIMITED/HSBC0400002</t>
  </si>
  <si>
    <t>27,280.00</t>
  </si>
  <si>
    <t>2,91,682.64</t>
  </si>
  <si>
    <t>27-Oct-2020</t>
  </si>
  <si>
    <t>NEFT/IDFBH20301565355/Acumeus Research Business Solution/KKBK0000198</t>
  </si>
  <si>
    <t>1,91,682.64</t>
  </si>
  <si>
    <t>02-Nov-2020</t>
  </si>
  <si>
    <t>NEFT/IDFBH20307865267/Gaytri Chandra Pant/KKBK0000198/Salary</t>
  </si>
  <si>
    <t>1,51,682.64</t>
  </si>
  <si>
    <t>NEFT/IDFBH20307865276/Rameshwar Tiwari/ICIC0000225/Salary</t>
  </si>
  <si>
    <t>1,11,682.64</t>
  </si>
  <si>
    <t>Loan Return</t>
  </si>
  <si>
    <t>Women Entrepreneur Madhya Pradesh</t>
  </si>
  <si>
    <t>Raj Mangal Sharma</t>
  </si>
  <si>
    <t>Sobid</t>
  </si>
  <si>
    <t>Dr. Pallav</t>
  </si>
  <si>
    <t>Pankaj Kumar Jha</t>
  </si>
  <si>
    <t>Krishan Kumar Jha</t>
  </si>
  <si>
    <t>17/11/2020</t>
  </si>
  <si>
    <t>ARBSC/027/20-21</t>
  </si>
  <si>
    <t>NPS STUDY TRACKER 2020-21</t>
  </si>
  <si>
    <t>I RESEARCH SERVICES PVT. LTD.</t>
  </si>
  <si>
    <t>ARBSC/028/20-21</t>
  </si>
  <si>
    <t>BREATHE</t>
  </si>
  <si>
    <t>ARBSC/029/20-21</t>
  </si>
  <si>
    <t>WELLNESS 360</t>
  </si>
  <si>
    <t>ARBSC/030/20-21</t>
  </si>
  <si>
    <t>RAISE</t>
  </si>
  <si>
    <t>ARBSC/031/20-21</t>
  </si>
  <si>
    <t>FLAUNT</t>
  </si>
  <si>
    <t>Raise</t>
  </si>
  <si>
    <t>Vipin</t>
  </si>
  <si>
    <t>Opening Balance</t>
  </si>
  <si>
    <t>IDFC Bank</t>
  </si>
  <si>
    <t>Kotak Bank</t>
  </si>
  <si>
    <t>ARBSC/026/20-21</t>
  </si>
  <si>
    <t>14/10/2020</t>
  </si>
  <si>
    <t>ARBSC/025/20-21</t>
  </si>
  <si>
    <t>PRIMA</t>
  </si>
  <si>
    <t>Zoom</t>
  </si>
  <si>
    <t>ARBSC/020/20-21</t>
  </si>
  <si>
    <t>DATA COLLECTION</t>
  </si>
  <si>
    <t>LIQUIB HUB</t>
  </si>
  <si>
    <t>Ashok Iyear</t>
  </si>
  <si>
    <t>Subhadeep Banarjee</t>
  </si>
  <si>
    <t>Aradhana Singh</t>
  </si>
  <si>
    <t>Sadanand Sharma</t>
  </si>
  <si>
    <t>Sandeep Mishra</t>
  </si>
  <si>
    <t>Citi credit card</t>
  </si>
  <si>
    <t>Land scap</t>
  </si>
  <si>
    <t>Wellness 360</t>
  </si>
  <si>
    <t>Fluant Wave2</t>
  </si>
  <si>
    <t>Nebula</t>
  </si>
  <si>
    <t>Rare</t>
  </si>
  <si>
    <t>RT_Loan</t>
  </si>
  <si>
    <t>24/11/2020</t>
  </si>
  <si>
    <t>ARBSC/032/20-21</t>
  </si>
  <si>
    <t>Dinesh Chimaji</t>
  </si>
  <si>
    <t>Karan</t>
  </si>
  <si>
    <t>K K PANCHAL</t>
  </si>
  <si>
    <t>Rare (MCL)</t>
  </si>
  <si>
    <t>ARBSC/033/20-21</t>
  </si>
  <si>
    <t>AMP (IC EXPENSES)</t>
  </si>
  <si>
    <t>ARBSC/034/20-21</t>
  </si>
  <si>
    <t>CREDO</t>
  </si>
  <si>
    <t>Train Ticket</t>
  </si>
  <si>
    <t>Axis Card</t>
  </si>
  <si>
    <t>Rahul</t>
  </si>
  <si>
    <t>CA</t>
  </si>
  <si>
    <t>Vendor Quote</t>
  </si>
  <si>
    <t>Abhipsa</t>
  </si>
  <si>
    <t>Sample Size</t>
  </si>
  <si>
    <t>Quote</t>
  </si>
  <si>
    <t>TG</t>
  </si>
  <si>
    <t>CP</t>
  </si>
  <si>
    <t>Cardio</t>
  </si>
  <si>
    <t>Recall 2</t>
  </si>
  <si>
    <t>Subhadeep Banerjee</t>
  </si>
  <si>
    <t>Nishant</t>
  </si>
  <si>
    <t>Amit</t>
  </si>
  <si>
    <t>Hearsh</t>
  </si>
  <si>
    <t>AWC BASELINE SURVEY</t>
  </si>
  <si>
    <t>RAJINDER PANIKAR</t>
  </si>
  <si>
    <t>HARISH</t>
  </si>
  <si>
    <t xml:space="preserve">DAS TELECOM </t>
  </si>
  <si>
    <t>BHAVESH TULSIRAM</t>
  </si>
  <si>
    <t>AMANDEEP SINGH</t>
  </si>
  <si>
    <t>VELOCITY</t>
  </si>
  <si>
    <t>SANTOSH</t>
  </si>
  <si>
    <t>Dhananjay Kumar</t>
  </si>
  <si>
    <t>Fettle</t>
  </si>
  <si>
    <t>Aradhana</t>
  </si>
  <si>
    <t>Fluant Wave 2</t>
  </si>
  <si>
    <t>IKMR SERVICES</t>
  </si>
  <si>
    <t>Sangeeta</t>
  </si>
  <si>
    <t>Sudhanshu</t>
  </si>
  <si>
    <t>Including Pankaj</t>
  </si>
  <si>
    <t>Account Balance</t>
  </si>
  <si>
    <t>13/11/2020</t>
  </si>
  <si>
    <t>19/11/2020</t>
  </si>
  <si>
    <t>21/11/2020</t>
  </si>
  <si>
    <t>23/11/2020</t>
  </si>
  <si>
    <t>26/11/2020</t>
  </si>
  <si>
    <t>27/11/2020</t>
  </si>
  <si>
    <t>OK</t>
  </si>
  <si>
    <t>Harisha</t>
  </si>
  <si>
    <t>Subhadeep</t>
  </si>
  <si>
    <t>Journey Quant</t>
  </si>
  <si>
    <t>Nishant Raj</t>
  </si>
  <si>
    <t>Amit Kumar Tripathi</t>
  </si>
  <si>
    <t>Hemant</t>
  </si>
  <si>
    <t>Pankaj Kumar Gupta</t>
  </si>
  <si>
    <t>Journey Qual</t>
  </si>
  <si>
    <t>Office Expense</t>
  </si>
  <si>
    <t>FW End Date</t>
  </si>
  <si>
    <t>ARBSC/036/20-21</t>
  </si>
  <si>
    <t>CSAM BASELINE EVALUTION</t>
  </si>
  <si>
    <t>ARBSC/037/20-21</t>
  </si>
  <si>
    <t>NEBULA</t>
  </si>
  <si>
    <t>FETTLE</t>
  </si>
  <si>
    <t>Rajnikant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</si>
</sst>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0;[Red]0.00"/>
    <numFmt numFmtId="166" formatCode="0;[Red]0"/>
  </numFmts>
  <fonts count="16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rgb="FF337AB7"/>
      <name val="Verdana"/>
      <family val="2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65">
    <xf numFmtId="0" fontId="0" fillId="0" borderId="0" xfId="0"/>
    <xf numFmtId="0" fontId="4" fillId="0" borderId="1" xfId="0" applyFont="1" applyBorder="1"/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16" fontId="0" fillId="0" borderId="1" xfId="0" applyNumberFormat="1" applyBorder="1" applyAlignment="1">
      <alignment horizontal="center"/>
    </xf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4" fontId="0" fillId="0" borderId="1" xfId="0" applyNumberFormat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0" fillId="0" borderId="0" xfId="0" applyNumberFormat="1"/>
    <xf numFmtId="0" fontId="0" fillId="2" borderId="1" xfId="0" applyFill="1" applyBorder="1"/>
    <xf numFmtId="0" fontId="0" fillId="0" borderId="3" xfId="0" applyFill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5" fontId="0" fillId="3" borderId="1" xfId="0" applyNumberFormat="1" applyFill="1" applyBorder="1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0" xfId="0" applyFill="1"/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0" borderId="0" xfId="0" applyNumberFormat="1" applyProtection="1">
      <protection locked="0"/>
    </xf>
    <xf numFmtId="166" fontId="4" fillId="0" borderId="1" xfId="0" applyNumberFormat="1" applyFont="1" applyBorder="1" applyProtection="1">
      <protection locked="0"/>
    </xf>
    <xf numFmtId="14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 vertical="center"/>
    </xf>
    <xf numFmtId="14" fontId="0" fillId="2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2" borderId="0" xfId="0" applyNumberFormat="1" applyFill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0" fontId="0" fillId="0" borderId="2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" fontId="0" fillId="0" borderId="0" xfId="0" applyNumberFormat="1"/>
    <xf numFmtId="0" fontId="0" fillId="0" borderId="0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0" borderId="2" xfId="0" applyFill="1" applyBorder="1" applyAlignment="1">
      <alignment horizontal="center"/>
    </xf>
    <xf numFmtId="0" fontId="0" fillId="0" borderId="7" xfId="0" applyBorder="1" applyAlignment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0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/>
    <xf numFmtId="4" fontId="0" fillId="3" borderId="0" xfId="0" applyNumberFormat="1" applyFill="1"/>
    <xf numFmtId="4" fontId="0" fillId="5" borderId="0" xfId="0" applyNumberFormat="1" applyFill="1"/>
    <xf numFmtId="4" fontId="0" fillId="6" borderId="0" xfId="0" applyNumberFormat="1" applyFill="1"/>
    <xf numFmtId="0" fontId="0" fillId="5" borderId="1" xfId="0" applyFill="1" applyBorder="1" applyAlignment="1">
      <alignment wrapText="1"/>
    </xf>
    <xf numFmtId="0" fontId="0" fillId="7" borderId="0" xfId="0" applyFill="1" applyAlignment="1">
      <alignment horizontal="center"/>
    </xf>
    <xf numFmtId="0" fontId="0" fillId="7" borderId="0" xfId="0" applyFill="1"/>
    <xf numFmtId="4" fontId="0" fillId="7" borderId="0" xfId="0" applyNumberFormat="1" applyFill="1"/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10" borderId="6" xfId="0" applyFill="1" applyBorder="1" applyAlignment="1">
      <alignment wrapText="1"/>
    </xf>
    <xf numFmtId="0" fontId="0" fillId="10" borderId="8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0" fillId="9" borderId="7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5" xfId="0" applyFill="1" applyBorder="1" applyAlignment="1" applyProtection="1">
      <alignment horizontal="center" wrapText="1"/>
      <protection locked="0"/>
    </xf>
    <xf numFmtId="0" fontId="9" fillId="8" borderId="7" xfId="0" applyFont="1" applyFill="1" applyBorder="1" applyAlignment="1" applyProtection="1">
      <alignment horizontal="center" wrapText="1"/>
      <protection locked="0"/>
    </xf>
    <xf numFmtId="0" fontId="0" fillId="4" borderId="1" xfId="0" applyFill="1" applyBorder="1" applyAlignment="1" applyProtection="1">
      <alignment horizontal="center" wrapText="1"/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0" borderId="1" xfId="0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10" borderId="1" xfId="0" applyFill="1" applyBorder="1" applyAlignment="1">
      <alignment horizontal="center" wrapText="1"/>
    </xf>
    <xf numFmtId="0" fontId="11" fillId="10" borderId="5" xfId="0" applyFont="1" applyFill="1" applyBorder="1" applyAlignment="1">
      <alignment horizontal="center" vertical="center" wrapText="1"/>
    </xf>
    <xf numFmtId="166" fontId="12" fillId="0" borderId="0" xfId="0" applyNumberFormat="1" applyFont="1"/>
    <xf numFmtId="0" fontId="0" fillId="12" borderId="1" xfId="0" applyFill="1" applyBorder="1"/>
    <xf numFmtId="0" fontId="0" fillId="3" borderId="9" xfId="0" applyFill="1" applyBorder="1"/>
    <xf numFmtId="0" fontId="13" fillId="7" borderId="7" xfId="0" applyFont="1" applyFill="1" applyBorder="1" applyAlignment="1" applyProtection="1">
      <alignment horizontal="center" vertical="center" wrapText="1"/>
      <protection locked="0"/>
    </xf>
    <xf numFmtId="16" fontId="0" fillId="2" borderId="0" xfId="0" applyNumberFormat="1" applyFill="1"/>
    <xf numFmtId="0" fontId="0" fillId="13" borderId="1" xfId="0" applyFill="1" applyBorder="1" applyAlignment="1">
      <alignment horizontal="center"/>
    </xf>
    <xf numFmtId="0" fontId="9" fillId="8" borderId="7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9" xfId="0" applyFill="1" applyBorder="1"/>
    <xf numFmtId="0" fontId="0" fillId="12" borderId="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16" fontId="0" fillId="12" borderId="1" xfId="0" applyNumberFormat="1" applyFill="1" applyBorder="1" applyAlignment="1">
      <alignment horizontal="center"/>
    </xf>
    <xf numFmtId="0" fontId="0" fillId="12" borderId="0" xfId="0" applyFill="1"/>
    <xf numFmtId="0" fontId="0" fillId="12" borderId="1" xfId="0" applyFill="1" applyBorder="1" applyAlignment="1">
      <alignment horizontal="center" vertical="center"/>
    </xf>
    <xf numFmtId="0" fontId="0" fillId="12" borderId="9" xfId="0" applyFill="1" applyBorder="1"/>
    <xf numFmtId="0" fontId="5" fillId="12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 applyProtection="1">
      <alignment horizontal="center"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14" fillId="8" borderId="7" xfId="0" applyFont="1" applyFill="1" applyBorder="1" applyAlignment="1" applyProtection="1">
      <alignment horizontal="center" vertical="center" wrapText="1"/>
      <protection locked="0"/>
    </xf>
    <xf numFmtId="0" fontId="0" fillId="15" borderId="6" xfId="0" applyFill="1" applyBorder="1" applyAlignment="1" applyProtection="1">
      <alignment horizontal="center" wrapText="1"/>
      <protection locked="0"/>
    </xf>
    <xf numFmtId="0" fontId="0" fillId="15" borderId="1" xfId="0" applyFill="1" applyBorder="1" applyAlignment="1" applyProtection="1">
      <alignment horizontal="center"/>
    </xf>
    <xf numFmtId="0" fontId="15" fillId="15" borderId="7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7"/>
  <sheetViews>
    <sheetView workbookViewId="0">
      <pane ySplit="13" topLeftCell="A230" activePane="bottomLeft" state="frozen"/>
      <selection activeCell="A13" sqref="A13"/>
      <selection pane="bottomLeft" activeCell="C226" sqref="C226"/>
    </sheetView>
  </sheetViews>
  <sheetFormatPr defaultRowHeight="15"/>
  <cols>
    <col min="1" max="1" width="18.42578125" customWidth="1"/>
    <col min="2" max="2" width="15.28515625" customWidth="1"/>
    <col min="3" max="3" width="40.85546875" customWidth="1"/>
    <col min="4" max="4" width="13.85546875" bestFit="1" customWidth="1"/>
    <col min="5" max="5" width="15.5703125" style="48" bestFit="1" customWidth="1"/>
    <col min="6" max="6" width="11.85546875" customWidth="1"/>
    <col min="7" max="7" width="12.5703125" customWidth="1"/>
    <col min="8" max="8" width="13" customWidth="1"/>
    <col min="9" max="9" width="19.28515625" customWidth="1"/>
    <col min="10" max="10" width="15.42578125" customWidth="1"/>
  </cols>
  <sheetData>
    <row r="1" spans="1:12">
      <c r="A1" t="s">
        <v>0</v>
      </c>
      <c r="B1" t="s">
        <v>1</v>
      </c>
      <c r="C1" t="s">
        <v>2</v>
      </c>
      <c r="D1" t="s">
        <v>2</v>
      </c>
      <c r="E1" s="48" t="s">
        <v>3</v>
      </c>
    </row>
    <row r="2" spans="1:12">
      <c r="A2" t="s">
        <v>4</v>
      </c>
      <c r="B2" t="s">
        <v>5</v>
      </c>
      <c r="C2" t="s">
        <v>2</v>
      </c>
      <c r="D2" t="s">
        <v>2</v>
      </c>
      <c r="E2" s="48" t="s">
        <v>6</v>
      </c>
      <c r="F2" s="29">
        <v>43834</v>
      </c>
    </row>
    <row r="3" spans="1:12">
      <c r="A3" t="s">
        <v>7</v>
      </c>
      <c r="B3" t="s">
        <v>8</v>
      </c>
      <c r="C3" t="s">
        <v>2</v>
      </c>
      <c r="D3" t="s">
        <v>2</v>
      </c>
      <c r="E3" s="48" t="s">
        <v>2</v>
      </c>
      <c r="F3" t="s">
        <v>2</v>
      </c>
      <c r="I3">
        <f>47868+220000+36051</f>
        <v>303919</v>
      </c>
      <c r="J3">
        <v>50000</v>
      </c>
      <c r="K3">
        <v>10195</v>
      </c>
      <c r="L3">
        <f>I3-J3-K3</f>
        <v>243724</v>
      </c>
    </row>
    <row r="4" spans="1:12">
      <c r="A4" t="s">
        <v>9</v>
      </c>
      <c r="B4" t="s">
        <v>10</v>
      </c>
      <c r="C4" t="s">
        <v>2</v>
      </c>
      <c r="D4" t="s">
        <v>2</v>
      </c>
      <c r="E4" s="48" t="s">
        <v>2</v>
      </c>
      <c r="F4" t="s">
        <v>2</v>
      </c>
      <c r="J4">
        <f>113129+182400</f>
        <v>295529</v>
      </c>
      <c r="K4">
        <f>J4-L3</f>
        <v>51805</v>
      </c>
    </row>
    <row r="5" spans="1:12" hidden="1">
      <c r="A5" t="s">
        <v>11</v>
      </c>
      <c r="B5" t="s">
        <v>12</v>
      </c>
      <c r="C5" t="s">
        <v>2</v>
      </c>
      <c r="D5" t="s">
        <v>2</v>
      </c>
      <c r="E5" s="48" t="s">
        <v>2</v>
      </c>
      <c r="F5" t="s">
        <v>2</v>
      </c>
    </row>
    <row r="6" spans="1:12" hidden="1">
      <c r="A6" t="s">
        <v>13</v>
      </c>
      <c r="B6" t="s">
        <v>14</v>
      </c>
      <c r="C6" t="s">
        <v>2</v>
      </c>
      <c r="D6" t="s">
        <v>2</v>
      </c>
      <c r="E6" s="48" t="s">
        <v>2</v>
      </c>
      <c r="F6" t="s">
        <v>2</v>
      </c>
    </row>
    <row r="7" spans="1:12" hidden="1">
      <c r="A7" t="s">
        <v>15</v>
      </c>
      <c r="B7" t="s">
        <v>2</v>
      </c>
      <c r="C7" t="s">
        <v>2</v>
      </c>
      <c r="D7" t="s">
        <v>2</v>
      </c>
      <c r="E7" s="48" t="s">
        <v>2</v>
      </c>
      <c r="F7" t="s">
        <v>2</v>
      </c>
    </row>
    <row r="8" spans="1:12" ht="15" hidden="1" customHeight="1">
      <c r="A8" t="s">
        <v>16</v>
      </c>
      <c r="B8" t="s">
        <v>2</v>
      </c>
      <c r="C8" t="s">
        <v>2</v>
      </c>
      <c r="D8" t="s">
        <v>2</v>
      </c>
      <c r="E8" s="48" t="s">
        <v>2</v>
      </c>
      <c r="F8" t="s">
        <v>2</v>
      </c>
    </row>
    <row r="9" spans="1:12" ht="15" hidden="1" customHeight="1">
      <c r="A9" t="s">
        <v>17</v>
      </c>
      <c r="B9" t="s">
        <v>2</v>
      </c>
      <c r="C9" t="s">
        <v>2</v>
      </c>
      <c r="D9" t="s">
        <v>2</v>
      </c>
      <c r="E9" s="48" t="s">
        <v>2</v>
      </c>
      <c r="F9" t="s">
        <v>2</v>
      </c>
    </row>
    <row r="10" spans="1:12" hidden="1">
      <c r="A10" t="s">
        <v>18</v>
      </c>
      <c r="B10" t="s">
        <v>2</v>
      </c>
      <c r="C10" t="s">
        <v>2</v>
      </c>
      <c r="D10" t="s">
        <v>2</v>
      </c>
      <c r="E10" s="48" t="s">
        <v>2</v>
      </c>
      <c r="F10" t="s">
        <v>2</v>
      </c>
    </row>
    <row r="11" spans="1:12">
      <c r="A11" t="s">
        <v>2</v>
      </c>
      <c r="B11" t="s">
        <v>2</v>
      </c>
      <c r="C11" t="s">
        <v>2</v>
      </c>
      <c r="D11" t="s">
        <v>2</v>
      </c>
      <c r="E11" s="48" t="s">
        <v>2</v>
      </c>
      <c r="F11" t="s">
        <v>2</v>
      </c>
    </row>
    <row r="12" spans="1:12">
      <c r="A12" t="s">
        <v>2</v>
      </c>
      <c r="B12" t="s">
        <v>19</v>
      </c>
      <c r="C12" t="s">
        <v>2</v>
      </c>
      <c r="D12">
        <v>2045.79</v>
      </c>
      <c r="E12" s="48" t="s">
        <v>2</v>
      </c>
      <c r="F12" t="s">
        <v>2</v>
      </c>
    </row>
    <row r="13" spans="1:12" ht="15" customHeight="1">
      <c r="A13" s="1" t="s">
        <v>20</v>
      </c>
      <c r="B13" s="1" t="s">
        <v>21</v>
      </c>
      <c r="C13" s="1" t="s">
        <v>22</v>
      </c>
      <c r="D13" s="1" t="s">
        <v>23</v>
      </c>
      <c r="E13" s="49" t="s">
        <v>24</v>
      </c>
      <c r="F13" s="1" t="s">
        <v>25</v>
      </c>
      <c r="G13" s="1" t="s">
        <v>26</v>
      </c>
      <c r="H13" s="8" t="s">
        <v>28</v>
      </c>
      <c r="I13" s="8" t="s">
        <v>29</v>
      </c>
      <c r="J13" s="8" t="s">
        <v>30</v>
      </c>
    </row>
    <row r="14" spans="1:12" ht="30">
      <c r="A14" s="4" t="s">
        <v>68</v>
      </c>
      <c r="B14" s="36">
        <v>43927</v>
      </c>
      <c r="C14" s="4" t="s">
        <v>69</v>
      </c>
      <c r="D14" s="2"/>
      <c r="E14" s="37">
        <v>0</v>
      </c>
      <c r="F14" s="11">
        <v>13500</v>
      </c>
      <c r="G14" s="3">
        <f>D12+F14-E14</f>
        <v>15545.79</v>
      </c>
      <c r="H14" s="12" t="s">
        <v>112</v>
      </c>
      <c r="I14" s="12" t="s">
        <v>66</v>
      </c>
      <c r="J14" s="31" t="s">
        <v>40</v>
      </c>
    </row>
    <row r="15" spans="1:12" ht="30">
      <c r="A15" s="4" t="s">
        <v>70</v>
      </c>
      <c r="B15" s="4" t="s">
        <v>70</v>
      </c>
      <c r="C15" s="4" t="s">
        <v>71</v>
      </c>
      <c r="D15" s="2"/>
      <c r="E15" s="35">
        <v>3000</v>
      </c>
      <c r="F15" s="2">
        <v>0</v>
      </c>
      <c r="G15" s="3">
        <f t="shared" ref="G15:G51" si="0">G14+F15-E15</f>
        <v>12545.79</v>
      </c>
      <c r="H15" s="12" t="s">
        <v>39</v>
      </c>
      <c r="I15" s="12" t="s">
        <v>288</v>
      </c>
      <c r="J15" s="31" t="s">
        <v>113</v>
      </c>
    </row>
    <row r="16" spans="1:12" ht="30">
      <c r="A16" s="4" t="s">
        <v>72</v>
      </c>
      <c r="B16" s="4" t="s">
        <v>72</v>
      </c>
      <c r="C16" s="4" t="s">
        <v>73</v>
      </c>
      <c r="D16" s="2"/>
      <c r="E16" s="37">
        <v>0</v>
      </c>
      <c r="F16" s="10">
        <v>163080</v>
      </c>
      <c r="G16" s="3">
        <f t="shared" si="0"/>
        <v>175625.79</v>
      </c>
      <c r="H16" s="12" t="s">
        <v>114</v>
      </c>
      <c r="I16" s="12" t="s">
        <v>42</v>
      </c>
      <c r="J16" s="31" t="s">
        <v>40</v>
      </c>
    </row>
    <row r="17" spans="1:10" ht="30">
      <c r="A17" s="4" t="s">
        <v>72</v>
      </c>
      <c r="B17" s="4" t="s">
        <v>72</v>
      </c>
      <c r="C17" s="4" t="s">
        <v>74</v>
      </c>
      <c r="D17" s="2"/>
      <c r="E17" s="35">
        <v>4400</v>
      </c>
      <c r="F17" s="2">
        <v>0</v>
      </c>
      <c r="G17" s="3">
        <f t="shared" si="0"/>
        <v>171225.79</v>
      </c>
      <c r="H17" s="12" t="s">
        <v>115</v>
      </c>
      <c r="I17" s="12" t="s">
        <v>32</v>
      </c>
      <c r="J17" s="31" t="s">
        <v>116</v>
      </c>
    </row>
    <row r="18" spans="1:10" ht="30">
      <c r="A18" s="4" t="s">
        <v>72</v>
      </c>
      <c r="B18" s="4" t="s">
        <v>72</v>
      </c>
      <c r="C18" s="4" t="s">
        <v>75</v>
      </c>
      <c r="D18" s="2"/>
      <c r="E18" s="35">
        <v>30000</v>
      </c>
      <c r="F18" s="2">
        <v>0</v>
      </c>
      <c r="G18" s="3">
        <f t="shared" si="0"/>
        <v>141225.79</v>
      </c>
      <c r="H18" s="12" t="s">
        <v>36</v>
      </c>
      <c r="I18" s="12" t="s">
        <v>34</v>
      </c>
      <c r="J18" s="31" t="s">
        <v>37</v>
      </c>
    </row>
    <row r="19" spans="1:10" ht="30">
      <c r="A19" s="4" t="s">
        <v>72</v>
      </c>
      <c r="B19" s="4" t="s">
        <v>72</v>
      </c>
      <c r="C19" s="4" t="s">
        <v>76</v>
      </c>
      <c r="D19" s="2"/>
      <c r="E19" s="35">
        <v>30000</v>
      </c>
      <c r="F19" s="2">
        <v>0</v>
      </c>
      <c r="G19" s="3">
        <f t="shared" si="0"/>
        <v>111225.79000000001</v>
      </c>
      <c r="H19" s="12" t="s">
        <v>36</v>
      </c>
      <c r="I19" s="12" t="s">
        <v>38</v>
      </c>
      <c r="J19" s="31" t="s">
        <v>37</v>
      </c>
    </row>
    <row r="20" spans="1:10" ht="30">
      <c r="A20" s="4" t="s">
        <v>72</v>
      </c>
      <c r="B20" s="4" t="s">
        <v>72</v>
      </c>
      <c r="C20" s="4" t="s">
        <v>77</v>
      </c>
      <c r="D20" s="2"/>
      <c r="E20" s="35">
        <v>30000</v>
      </c>
      <c r="F20" s="2">
        <v>0</v>
      </c>
      <c r="G20" s="3">
        <f t="shared" si="0"/>
        <v>81225.790000000008</v>
      </c>
      <c r="H20" s="12" t="s">
        <v>36</v>
      </c>
      <c r="I20" s="12" t="s">
        <v>33</v>
      </c>
      <c r="J20" s="31" t="s">
        <v>37</v>
      </c>
    </row>
    <row r="21" spans="1:10" ht="30">
      <c r="A21" s="4" t="s">
        <v>72</v>
      </c>
      <c r="B21" s="4" t="s">
        <v>72</v>
      </c>
      <c r="C21" s="4" t="s">
        <v>78</v>
      </c>
      <c r="D21" s="2"/>
      <c r="E21" s="35">
        <v>30000</v>
      </c>
      <c r="F21" s="2">
        <v>0</v>
      </c>
      <c r="G21" s="3">
        <f t="shared" si="0"/>
        <v>51225.790000000008</v>
      </c>
      <c r="H21" s="12" t="s">
        <v>36</v>
      </c>
      <c r="I21" s="12" t="s">
        <v>31</v>
      </c>
      <c r="J21" s="31" t="s">
        <v>37</v>
      </c>
    </row>
    <row r="22" spans="1:10" ht="30">
      <c r="A22" s="4" t="s">
        <v>72</v>
      </c>
      <c r="B22" s="4" t="s">
        <v>72</v>
      </c>
      <c r="C22" s="4" t="s">
        <v>79</v>
      </c>
      <c r="D22" s="2"/>
      <c r="E22" s="35">
        <v>30000</v>
      </c>
      <c r="F22" s="2">
        <v>0</v>
      </c>
      <c r="G22" s="3">
        <f t="shared" si="0"/>
        <v>21225.790000000008</v>
      </c>
      <c r="H22" s="12" t="s">
        <v>36</v>
      </c>
      <c r="I22" s="12" t="s">
        <v>32</v>
      </c>
      <c r="J22" s="31" t="s">
        <v>37</v>
      </c>
    </row>
    <row r="23" spans="1:10" ht="30">
      <c r="A23" s="4" t="s">
        <v>72</v>
      </c>
      <c r="B23" s="4" t="s">
        <v>80</v>
      </c>
      <c r="C23" s="4" t="s">
        <v>81</v>
      </c>
      <c r="D23" s="2" t="s">
        <v>82</v>
      </c>
      <c r="E23" s="37">
        <v>0</v>
      </c>
      <c r="F23" s="35">
        <v>259416</v>
      </c>
      <c r="G23" s="3">
        <f t="shared" si="0"/>
        <v>280641.79000000004</v>
      </c>
      <c r="H23" s="12" t="s">
        <v>117</v>
      </c>
      <c r="I23" s="12" t="s">
        <v>118</v>
      </c>
      <c r="J23" s="31" t="s">
        <v>118</v>
      </c>
    </row>
    <row r="24" spans="1:10" ht="30">
      <c r="A24" s="4" t="s">
        <v>72</v>
      </c>
      <c r="B24" s="4" t="s">
        <v>80</v>
      </c>
      <c r="C24" s="4" t="s">
        <v>83</v>
      </c>
      <c r="D24" s="2" t="s">
        <v>84</v>
      </c>
      <c r="E24" s="37">
        <v>0</v>
      </c>
      <c r="F24" s="11">
        <v>55196</v>
      </c>
      <c r="G24" s="3">
        <f t="shared" si="0"/>
        <v>335837.79000000004</v>
      </c>
      <c r="H24" s="12" t="s">
        <v>117</v>
      </c>
      <c r="I24" s="12" t="s">
        <v>118</v>
      </c>
      <c r="J24" s="31" t="s">
        <v>118</v>
      </c>
    </row>
    <row r="25" spans="1:10" ht="30">
      <c r="A25" s="4" t="s">
        <v>85</v>
      </c>
      <c r="B25" s="4" t="s">
        <v>85</v>
      </c>
      <c r="C25" s="4" t="s">
        <v>86</v>
      </c>
      <c r="D25" s="2"/>
      <c r="E25" s="35">
        <v>13000</v>
      </c>
      <c r="F25" s="2">
        <v>0</v>
      </c>
      <c r="G25" s="3">
        <f t="shared" si="0"/>
        <v>322837.79000000004</v>
      </c>
      <c r="H25" s="12" t="s">
        <v>65</v>
      </c>
      <c r="I25" s="12" t="s">
        <v>31</v>
      </c>
      <c r="J25" s="31" t="s">
        <v>37</v>
      </c>
    </row>
    <row r="26" spans="1:10" ht="30">
      <c r="A26" s="4" t="s">
        <v>85</v>
      </c>
      <c r="B26" s="4" t="s">
        <v>85</v>
      </c>
      <c r="C26" s="4" t="s">
        <v>87</v>
      </c>
      <c r="D26" s="2"/>
      <c r="E26" s="35">
        <v>7000</v>
      </c>
      <c r="F26" s="2">
        <v>0</v>
      </c>
      <c r="G26" s="3">
        <f t="shared" si="0"/>
        <v>315837.79000000004</v>
      </c>
      <c r="H26" s="12" t="s">
        <v>36</v>
      </c>
      <c r="I26" s="12" t="s">
        <v>38</v>
      </c>
      <c r="J26" s="31" t="s">
        <v>37</v>
      </c>
    </row>
    <row r="27" spans="1:10" ht="30">
      <c r="A27" s="4" t="s">
        <v>80</v>
      </c>
      <c r="B27" s="4" t="s">
        <v>80</v>
      </c>
      <c r="C27" s="4" t="s">
        <v>88</v>
      </c>
      <c r="D27" s="2" t="s">
        <v>82</v>
      </c>
      <c r="E27" s="35">
        <v>259416</v>
      </c>
      <c r="F27" s="2">
        <v>0</v>
      </c>
      <c r="G27" s="3">
        <f t="shared" si="0"/>
        <v>56421.790000000037</v>
      </c>
      <c r="H27" s="12" t="s">
        <v>117</v>
      </c>
      <c r="I27" s="12" t="s">
        <v>118</v>
      </c>
      <c r="J27" s="31" t="s">
        <v>118</v>
      </c>
    </row>
    <row r="28" spans="1:10" ht="30">
      <c r="A28" s="4" t="s">
        <v>80</v>
      </c>
      <c r="B28" s="4" t="s">
        <v>80</v>
      </c>
      <c r="C28" s="4" t="s">
        <v>89</v>
      </c>
      <c r="D28" s="2" t="s">
        <v>84</v>
      </c>
      <c r="E28" s="35">
        <v>55196</v>
      </c>
      <c r="F28" s="2">
        <v>0</v>
      </c>
      <c r="G28" s="3">
        <f t="shared" si="0"/>
        <v>1225.7900000000373</v>
      </c>
      <c r="H28" s="12" t="s">
        <v>117</v>
      </c>
      <c r="I28" s="12" t="s">
        <v>118</v>
      </c>
      <c r="J28" s="31" t="s">
        <v>118</v>
      </c>
    </row>
    <row r="29" spans="1:10" ht="30">
      <c r="A29" s="4" t="s">
        <v>90</v>
      </c>
      <c r="B29" s="4" t="s">
        <v>90</v>
      </c>
      <c r="C29" s="4" t="s">
        <v>91</v>
      </c>
      <c r="D29" s="2"/>
      <c r="E29" s="35">
        <v>1000</v>
      </c>
      <c r="F29" s="2">
        <v>0</v>
      </c>
      <c r="G29" s="3">
        <f t="shared" si="0"/>
        <v>225.79000000003725</v>
      </c>
      <c r="H29" s="12" t="s">
        <v>36</v>
      </c>
      <c r="I29" s="12" t="s">
        <v>43</v>
      </c>
      <c r="J29" s="31" t="s">
        <v>37</v>
      </c>
    </row>
    <row r="30" spans="1:10" ht="45">
      <c r="A30" s="4" t="s">
        <v>92</v>
      </c>
      <c r="B30" s="4" t="s">
        <v>92</v>
      </c>
      <c r="C30" s="4" t="s">
        <v>93</v>
      </c>
      <c r="D30" s="2"/>
      <c r="E30" s="37">
        <v>0</v>
      </c>
      <c r="F30" s="11">
        <v>5000</v>
      </c>
      <c r="G30" s="3">
        <f t="shared" si="0"/>
        <v>5225.7900000000373</v>
      </c>
      <c r="H30" s="12" t="s">
        <v>135</v>
      </c>
      <c r="I30" s="12" t="s">
        <v>52</v>
      </c>
      <c r="J30" s="31" t="s">
        <v>40</v>
      </c>
    </row>
    <row r="31" spans="1:10" ht="30">
      <c r="A31" s="4" t="s">
        <v>92</v>
      </c>
      <c r="B31" s="4" t="s">
        <v>92</v>
      </c>
      <c r="C31" s="4" t="s">
        <v>94</v>
      </c>
      <c r="D31" s="2"/>
      <c r="E31" s="37">
        <v>0</v>
      </c>
      <c r="F31" s="11">
        <v>45000</v>
      </c>
      <c r="G31" s="3">
        <f t="shared" si="0"/>
        <v>50225.790000000037</v>
      </c>
      <c r="H31" s="12" t="s">
        <v>135</v>
      </c>
      <c r="I31" s="12" t="s">
        <v>52</v>
      </c>
      <c r="J31" s="31" t="s">
        <v>40</v>
      </c>
    </row>
    <row r="32" spans="1:10" ht="30">
      <c r="A32" s="4" t="s">
        <v>92</v>
      </c>
      <c r="B32" s="4" t="s">
        <v>92</v>
      </c>
      <c r="C32" s="4" t="s">
        <v>95</v>
      </c>
      <c r="D32" s="2"/>
      <c r="E32" s="35">
        <v>7000</v>
      </c>
      <c r="F32" s="2">
        <v>0</v>
      </c>
      <c r="G32" s="3">
        <f t="shared" si="0"/>
        <v>43225.790000000037</v>
      </c>
      <c r="H32" s="12" t="s">
        <v>36</v>
      </c>
      <c r="I32" s="12" t="s">
        <v>34</v>
      </c>
      <c r="J32" s="31" t="s">
        <v>37</v>
      </c>
    </row>
    <row r="33" spans="1:10" ht="30">
      <c r="A33" s="4" t="s">
        <v>92</v>
      </c>
      <c r="B33" s="4" t="s">
        <v>92</v>
      </c>
      <c r="C33" s="4" t="s">
        <v>96</v>
      </c>
      <c r="D33" s="2"/>
      <c r="E33" s="35">
        <v>7000</v>
      </c>
      <c r="F33" s="2">
        <v>0</v>
      </c>
      <c r="G33" s="3">
        <f t="shared" si="0"/>
        <v>36225.790000000037</v>
      </c>
      <c r="H33" s="12" t="s">
        <v>36</v>
      </c>
      <c r="I33" s="12" t="s">
        <v>34</v>
      </c>
      <c r="J33" s="31" t="s">
        <v>37</v>
      </c>
    </row>
    <row r="34" spans="1:10" ht="30">
      <c r="A34" s="4" t="s">
        <v>92</v>
      </c>
      <c r="B34" s="4" t="s">
        <v>92</v>
      </c>
      <c r="C34" s="4" t="s">
        <v>97</v>
      </c>
      <c r="D34" s="2"/>
      <c r="E34" s="35">
        <v>2970</v>
      </c>
      <c r="F34" s="2">
        <v>0</v>
      </c>
      <c r="G34" s="3">
        <f t="shared" si="0"/>
        <v>33255.790000000037</v>
      </c>
      <c r="H34" s="12" t="s">
        <v>136</v>
      </c>
      <c r="I34" s="12" t="s">
        <v>137</v>
      </c>
      <c r="J34" s="31" t="s">
        <v>62</v>
      </c>
    </row>
    <row r="35" spans="1:10" ht="30">
      <c r="A35" s="4" t="s">
        <v>92</v>
      </c>
      <c r="B35" s="4" t="s">
        <v>92</v>
      </c>
      <c r="C35" s="4" t="s">
        <v>98</v>
      </c>
      <c r="D35" s="2"/>
      <c r="E35" s="35">
        <v>7000</v>
      </c>
      <c r="F35" s="2">
        <v>0</v>
      </c>
      <c r="G35" s="3">
        <f t="shared" si="0"/>
        <v>26255.790000000037</v>
      </c>
      <c r="H35" s="12" t="s">
        <v>36</v>
      </c>
      <c r="I35" s="12" t="s">
        <v>32</v>
      </c>
      <c r="J35" s="31" t="s">
        <v>37</v>
      </c>
    </row>
    <row r="36" spans="1:10" ht="30">
      <c r="A36" s="4" t="s">
        <v>99</v>
      </c>
      <c r="B36" s="4" t="s">
        <v>99</v>
      </c>
      <c r="C36" s="4" t="s">
        <v>100</v>
      </c>
      <c r="D36" s="2"/>
      <c r="E36" s="35">
        <v>4000</v>
      </c>
      <c r="F36" s="2">
        <v>0</v>
      </c>
      <c r="G36" s="3">
        <f t="shared" si="0"/>
        <v>22255.790000000037</v>
      </c>
      <c r="H36" s="12" t="s">
        <v>136</v>
      </c>
      <c r="I36" s="12" t="s">
        <v>64</v>
      </c>
      <c r="J36" s="31" t="s">
        <v>62</v>
      </c>
    </row>
    <row r="37" spans="1:10" ht="45">
      <c r="A37" s="4" t="s">
        <v>101</v>
      </c>
      <c r="B37" s="4" t="s">
        <v>101</v>
      </c>
      <c r="C37" s="4" t="s">
        <v>102</v>
      </c>
      <c r="D37" s="2"/>
      <c r="E37" s="37">
        <v>0</v>
      </c>
      <c r="F37" s="11">
        <v>20844</v>
      </c>
      <c r="G37" s="3">
        <f t="shared" si="0"/>
        <v>43099.790000000037</v>
      </c>
      <c r="H37" s="12" t="s">
        <v>138</v>
      </c>
      <c r="I37" s="12" t="s">
        <v>61</v>
      </c>
      <c r="J37" s="31" t="s">
        <v>40</v>
      </c>
    </row>
    <row r="38" spans="1:10" ht="30">
      <c r="A38" s="4" t="s">
        <v>101</v>
      </c>
      <c r="B38" s="4" t="s">
        <v>101</v>
      </c>
      <c r="C38" s="4" t="s">
        <v>103</v>
      </c>
      <c r="D38" s="2"/>
      <c r="E38" s="35">
        <v>2000</v>
      </c>
      <c r="F38" s="2">
        <v>0</v>
      </c>
      <c r="G38" s="3">
        <f t="shared" si="0"/>
        <v>41099.790000000037</v>
      </c>
      <c r="H38" s="12" t="s">
        <v>136</v>
      </c>
      <c r="I38" s="12" t="s">
        <v>288</v>
      </c>
      <c r="J38" s="31" t="s">
        <v>37</v>
      </c>
    </row>
    <row r="39" spans="1:10" ht="30">
      <c r="A39" s="4" t="s">
        <v>104</v>
      </c>
      <c r="B39" s="4" t="s">
        <v>104</v>
      </c>
      <c r="C39" s="4" t="s">
        <v>105</v>
      </c>
      <c r="D39" s="2"/>
      <c r="E39" s="35">
        <v>5000</v>
      </c>
      <c r="F39" s="2">
        <v>0</v>
      </c>
      <c r="G39" s="3">
        <f t="shared" si="0"/>
        <v>36099.790000000037</v>
      </c>
      <c r="H39" s="12" t="s">
        <v>136</v>
      </c>
      <c r="I39" s="12" t="s">
        <v>139</v>
      </c>
      <c r="J39" s="31" t="s">
        <v>62</v>
      </c>
    </row>
    <row r="40" spans="1:10" ht="30">
      <c r="A40" s="2" t="s">
        <v>104</v>
      </c>
      <c r="B40" s="2" t="s">
        <v>104</v>
      </c>
      <c r="C40" s="2" t="s">
        <v>106</v>
      </c>
      <c r="D40" s="2"/>
      <c r="E40" s="35">
        <v>4400</v>
      </c>
      <c r="F40" s="2">
        <v>0</v>
      </c>
      <c r="G40" s="3">
        <f t="shared" si="0"/>
        <v>31699.790000000037</v>
      </c>
      <c r="H40" s="12" t="s">
        <v>140</v>
      </c>
      <c r="I40" s="12" t="s">
        <v>32</v>
      </c>
      <c r="J40" s="31" t="s">
        <v>37</v>
      </c>
    </row>
    <row r="41" spans="1:10" ht="30">
      <c r="A41" s="2" t="s">
        <v>107</v>
      </c>
      <c r="B41" s="2" t="s">
        <v>107</v>
      </c>
      <c r="C41" s="2" t="s">
        <v>108</v>
      </c>
      <c r="D41" s="2"/>
      <c r="E41" s="35">
        <v>13000</v>
      </c>
      <c r="F41" s="2">
        <v>0</v>
      </c>
      <c r="G41" s="3">
        <f t="shared" si="0"/>
        <v>18699.790000000037</v>
      </c>
      <c r="H41" s="12" t="s">
        <v>67</v>
      </c>
      <c r="I41" s="12" t="s">
        <v>141</v>
      </c>
      <c r="J41" s="31" t="s">
        <v>37</v>
      </c>
    </row>
    <row r="42" spans="1:10" ht="30">
      <c r="A42" s="2" t="s">
        <v>109</v>
      </c>
      <c r="B42" s="2" t="s">
        <v>109</v>
      </c>
      <c r="C42" s="2" t="s">
        <v>110</v>
      </c>
      <c r="D42" s="2"/>
      <c r="E42" s="35">
        <v>11000</v>
      </c>
      <c r="F42" s="2">
        <v>0</v>
      </c>
      <c r="G42" s="3">
        <f t="shared" si="0"/>
        <v>7699.7900000000373</v>
      </c>
      <c r="H42" s="12" t="s">
        <v>36</v>
      </c>
      <c r="I42" s="12" t="s">
        <v>142</v>
      </c>
      <c r="J42" s="31" t="s">
        <v>37</v>
      </c>
    </row>
    <row r="43" spans="1:10" ht="30">
      <c r="A43" s="2" t="s">
        <v>109</v>
      </c>
      <c r="B43" s="2" t="s">
        <v>109</v>
      </c>
      <c r="C43" s="2" t="s">
        <v>111</v>
      </c>
      <c r="D43" s="2"/>
      <c r="E43" s="35">
        <v>4000</v>
      </c>
      <c r="F43" s="2">
        <v>0</v>
      </c>
      <c r="G43" s="3">
        <f t="shared" si="0"/>
        <v>3699.7900000000373</v>
      </c>
      <c r="H43" s="12" t="s">
        <v>36</v>
      </c>
      <c r="I43" s="12" t="s">
        <v>43</v>
      </c>
      <c r="J43" s="31" t="s">
        <v>37</v>
      </c>
    </row>
    <row r="44" spans="1:10" ht="30">
      <c r="A44" s="2" t="s">
        <v>119</v>
      </c>
      <c r="B44" s="2" t="s">
        <v>119</v>
      </c>
      <c r="C44" s="2" t="s">
        <v>120</v>
      </c>
      <c r="D44" s="2"/>
      <c r="E44" s="2">
        <v>0</v>
      </c>
      <c r="F44" s="2">
        <v>136566</v>
      </c>
      <c r="G44" s="3">
        <f t="shared" si="0"/>
        <v>140265.79000000004</v>
      </c>
      <c r="H44" s="12" t="s">
        <v>114</v>
      </c>
      <c r="I44" s="12" t="s">
        <v>42</v>
      </c>
      <c r="J44" s="31" t="s">
        <v>40</v>
      </c>
    </row>
    <row r="45" spans="1:10" ht="30">
      <c r="A45" s="2" t="s">
        <v>119</v>
      </c>
      <c r="B45" s="2" t="s">
        <v>119</v>
      </c>
      <c r="C45" s="2" t="s">
        <v>121</v>
      </c>
      <c r="D45" s="2"/>
      <c r="E45" s="3">
        <v>17000</v>
      </c>
      <c r="F45" s="2">
        <v>0</v>
      </c>
      <c r="G45" s="3">
        <f t="shared" si="0"/>
        <v>123265.79000000004</v>
      </c>
      <c r="H45" s="12" t="s">
        <v>36</v>
      </c>
      <c r="I45" s="12" t="s">
        <v>34</v>
      </c>
      <c r="J45" s="31" t="s">
        <v>37</v>
      </c>
    </row>
    <row r="46" spans="1:10" ht="30">
      <c r="A46" s="2" t="s">
        <v>119</v>
      </c>
      <c r="B46" s="2" t="s">
        <v>119</v>
      </c>
      <c r="C46" s="2" t="s">
        <v>123</v>
      </c>
      <c r="D46" s="2"/>
      <c r="E46" s="2" t="s">
        <v>122</v>
      </c>
      <c r="F46" s="2">
        <v>0</v>
      </c>
      <c r="G46" s="3">
        <f t="shared" si="0"/>
        <v>106265.79000000004</v>
      </c>
      <c r="H46" s="12" t="s">
        <v>36</v>
      </c>
      <c r="I46" s="12" t="s">
        <v>32</v>
      </c>
      <c r="J46" s="31" t="s">
        <v>37</v>
      </c>
    </row>
    <row r="47" spans="1:10" ht="30">
      <c r="A47" s="2" t="s">
        <v>119</v>
      </c>
      <c r="B47" s="2" t="s">
        <v>119</v>
      </c>
      <c r="C47" s="2" t="s">
        <v>124</v>
      </c>
      <c r="D47" s="2"/>
      <c r="E47" s="2" t="s">
        <v>125</v>
      </c>
      <c r="F47" s="2">
        <v>0</v>
      </c>
      <c r="G47" s="3">
        <f t="shared" si="0"/>
        <v>93265.790000000037</v>
      </c>
      <c r="H47" s="12" t="s">
        <v>36</v>
      </c>
      <c r="I47" s="12" t="s">
        <v>31</v>
      </c>
      <c r="J47" s="31" t="s">
        <v>37</v>
      </c>
    </row>
    <row r="48" spans="1:10" ht="30">
      <c r="A48" s="2" t="s">
        <v>126</v>
      </c>
      <c r="B48" s="2" t="s">
        <v>126</v>
      </c>
      <c r="C48" s="2" t="s">
        <v>127</v>
      </c>
      <c r="D48" s="2" t="s">
        <v>128</v>
      </c>
      <c r="E48" s="2" t="s">
        <v>129</v>
      </c>
      <c r="F48" s="2">
        <v>0</v>
      </c>
      <c r="G48" s="3">
        <f t="shared" si="0"/>
        <v>37215.790000000037</v>
      </c>
      <c r="H48" s="12" t="s">
        <v>143</v>
      </c>
      <c r="I48" s="12" t="s">
        <v>144</v>
      </c>
      <c r="J48" s="31" t="s">
        <v>37</v>
      </c>
    </row>
    <row r="49" spans="1:10" ht="30">
      <c r="A49" s="2" t="s">
        <v>126</v>
      </c>
      <c r="B49" s="2" t="s">
        <v>126</v>
      </c>
      <c r="C49" s="2" t="s">
        <v>130</v>
      </c>
      <c r="D49" s="2"/>
      <c r="E49" s="2" t="s">
        <v>131</v>
      </c>
      <c r="F49" s="2">
        <v>0</v>
      </c>
      <c r="G49" s="3">
        <f t="shared" si="0"/>
        <v>30215.790000000037</v>
      </c>
      <c r="H49" s="12" t="s">
        <v>36</v>
      </c>
      <c r="I49" s="12" t="s">
        <v>63</v>
      </c>
      <c r="J49" s="31" t="s">
        <v>37</v>
      </c>
    </row>
    <row r="50" spans="1:10" ht="30">
      <c r="A50" s="2" t="s">
        <v>126</v>
      </c>
      <c r="B50" s="2" t="s">
        <v>126</v>
      </c>
      <c r="C50" s="2" t="s">
        <v>132</v>
      </c>
      <c r="D50" s="2"/>
      <c r="E50" s="2" t="s">
        <v>27</v>
      </c>
      <c r="F50" s="2">
        <v>0</v>
      </c>
      <c r="G50" s="3">
        <f t="shared" si="0"/>
        <v>20215.790000000037</v>
      </c>
      <c r="H50" s="12" t="s">
        <v>136</v>
      </c>
      <c r="I50" s="12" t="s">
        <v>145</v>
      </c>
      <c r="J50" s="31" t="s">
        <v>62</v>
      </c>
    </row>
    <row r="51" spans="1:10" ht="30">
      <c r="A51" s="2" t="s">
        <v>133</v>
      </c>
      <c r="B51" s="2" t="s">
        <v>133</v>
      </c>
      <c r="C51" s="2" t="s">
        <v>134</v>
      </c>
      <c r="D51" s="2"/>
      <c r="E51" s="2" t="s">
        <v>131</v>
      </c>
      <c r="F51" s="2">
        <v>0</v>
      </c>
      <c r="G51" s="3">
        <f t="shared" si="0"/>
        <v>13215.790000000037</v>
      </c>
      <c r="H51" s="12" t="s">
        <v>36</v>
      </c>
      <c r="I51" s="12" t="s">
        <v>63</v>
      </c>
      <c r="J51" s="31" t="s">
        <v>136</v>
      </c>
    </row>
    <row r="52" spans="1:10" ht="30">
      <c r="A52" s="2" t="s">
        <v>161</v>
      </c>
      <c r="B52" s="2" t="s">
        <v>161</v>
      </c>
      <c r="C52" s="2" t="s">
        <v>162</v>
      </c>
      <c r="D52" s="2"/>
      <c r="E52" s="2" t="s">
        <v>163</v>
      </c>
      <c r="F52" s="2" t="s">
        <v>2</v>
      </c>
      <c r="G52" s="2" t="s">
        <v>164</v>
      </c>
      <c r="H52" s="12" t="s">
        <v>140</v>
      </c>
      <c r="I52" s="12" t="s">
        <v>32</v>
      </c>
      <c r="J52" s="31" t="s">
        <v>37</v>
      </c>
    </row>
    <row r="53" spans="1:10" ht="30">
      <c r="A53" s="2" t="s">
        <v>161</v>
      </c>
      <c r="B53" s="2" t="s">
        <v>161</v>
      </c>
      <c r="C53" s="2" t="s">
        <v>165</v>
      </c>
      <c r="D53" s="2"/>
      <c r="E53" s="2" t="s">
        <v>166</v>
      </c>
      <c r="F53" s="2" t="s">
        <v>2</v>
      </c>
      <c r="G53" s="2" t="s">
        <v>167</v>
      </c>
      <c r="H53" s="12" t="s">
        <v>136</v>
      </c>
      <c r="I53" s="12" t="s">
        <v>272</v>
      </c>
      <c r="J53" s="31" t="s">
        <v>37</v>
      </c>
    </row>
    <row r="54" spans="1:10" ht="30">
      <c r="A54" s="2" t="s">
        <v>161</v>
      </c>
      <c r="B54" s="2" t="s">
        <v>161</v>
      </c>
      <c r="C54" s="2" t="s">
        <v>168</v>
      </c>
      <c r="D54" s="2"/>
      <c r="E54" s="2" t="s">
        <v>166</v>
      </c>
      <c r="F54" s="2" t="s">
        <v>2</v>
      </c>
      <c r="G54" s="2" t="s">
        <v>169</v>
      </c>
      <c r="H54" s="12" t="s">
        <v>136</v>
      </c>
      <c r="I54" s="12" t="s">
        <v>43</v>
      </c>
      <c r="J54" s="31" t="s">
        <v>37</v>
      </c>
    </row>
    <row r="55" spans="1:10" ht="30">
      <c r="A55" s="2" t="s">
        <v>170</v>
      </c>
      <c r="B55" s="2" t="s">
        <v>170</v>
      </c>
      <c r="C55" s="2" t="s">
        <v>171</v>
      </c>
      <c r="D55" s="2"/>
      <c r="E55" s="2" t="s">
        <v>2</v>
      </c>
      <c r="F55" s="2" t="s">
        <v>172</v>
      </c>
      <c r="G55" s="2" t="s">
        <v>173</v>
      </c>
      <c r="H55" s="12" t="s">
        <v>273</v>
      </c>
      <c r="I55" s="12" t="s">
        <v>52</v>
      </c>
      <c r="J55" s="31" t="s">
        <v>40</v>
      </c>
    </row>
    <row r="56" spans="1:10" ht="30">
      <c r="A56" s="2" t="s">
        <v>170</v>
      </c>
      <c r="B56" s="2" t="s">
        <v>170</v>
      </c>
      <c r="C56" s="2" t="s">
        <v>174</v>
      </c>
      <c r="D56" s="2"/>
      <c r="E56" s="2" t="s">
        <v>2</v>
      </c>
      <c r="F56" s="2" t="s">
        <v>175</v>
      </c>
      <c r="G56" s="2" t="s">
        <v>176</v>
      </c>
      <c r="H56" s="12" t="s">
        <v>273</v>
      </c>
      <c r="I56" s="12" t="s">
        <v>52</v>
      </c>
      <c r="J56" s="31" t="s">
        <v>40</v>
      </c>
    </row>
    <row r="57" spans="1:10" ht="30">
      <c r="A57" s="2" t="s">
        <v>177</v>
      </c>
      <c r="B57" s="2" t="s">
        <v>177</v>
      </c>
      <c r="C57" s="2" t="s">
        <v>178</v>
      </c>
      <c r="D57" s="2"/>
      <c r="E57" s="2" t="s">
        <v>175</v>
      </c>
      <c r="F57" s="2" t="s">
        <v>2</v>
      </c>
      <c r="G57" s="2" t="s">
        <v>173</v>
      </c>
      <c r="H57" s="12" t="s">
        <v>274</v>
      </c>
      <c r="I57" s="12" t="s">
        <v>275</v>
      </c>
      <c r="J57" s="31" t="s">
        <v>274</v>
      </c>
    </row>
    <row r="58" spans="1:10" ht="30">
      <c r="A58" s="2" t="s">
        <v>179</v>
      </c>
      <c r="B58" s="2" t="s">
        <v>179</v>
      </c>
      <c r="C58" s="2" t="s">
        <v>180</v>
      </c>
      <c r="D58" s="2"/>
      <c r="E58" s="2" t="s">
        <v>181</v>
      </c>
      <c r="F58" s="2" t="s">
        <v>2</v>
      </c>
      <c r="G58" s="2" t="s">
        <v>182</v>
      </c>
      <c r="H58" s="12" t="s">
        <v>36</v>
      </c>
      <c r="I58" s="12" t="s">
        <v>142</v>
      </c>
      <c r="J58" s="31" t="s">
        <v>37</v>
      </c>
    </row>
    <row r="59" spans="1:10">
      <c r="A59" s="2" t="s">
        <v>183</v>
      </c>
      <c r="B59" s="2" t="s">
        <v>183</v>
      </c>
      <c r="C59" s="2" t="s">
        <v>184</v>
      </c>
      <c r="D59" s="2"/>
      <c r="E59" s="2" t="s">
        <v>2</v>
      </c>
      <c r="F59" s="2" t="s">
        <v>185</v>
      </c>
      <c r="G59" s="2" t="s">
        <v>186</v>
      </c>
      <c r="H59" s="12" t="s">
        <v>276</v>
      </c>
      <c r="I59" s="12" t="s">
        <v>276</v>
      </c>
    </row>
    <row r="60" spans="1:10" ht="30">
      <c r="A60" s="2" t="s">
        <v>183</v>
      </c>
      <c r="B60" s="2" t="s">
        <v>183</v>
      </c>
      <c r="C60" s="2" t="s">
        <v>187</v>
      </c>
      <c r="D60" s="2"/>
      <c r="E60" s="2" t="s">
        <v>125</v>
      </c>
      <c r="F60" s="2" t="s">
        <v>2</v>
      </c>
      <c r="G60" s="2" t="s">
        <v>188</v>
      </c>
      <c r="H60" s="12" t="s">
        <v>67</v>
      </c>
      <c r="I60" s="12" t="s">
        <v>141</v>
      </c>
      <c r="J60" s="31" t="s">
        <v>37</v>
      </c>
    </row>
    <row r="61" spans="1:10" ht="30">
      <c r="A61" s="2" t="s">
        <v>183</v>
      </c>
      <c r="B61" s="2" t="s">
        <v>183</v>
      </c>
      <c r="C61" s="2" t="s">
        <v>189</v>
      </c>
      <c r="D61" s="2"/>
      <c r="E61" s="2" t="s">
        <v>190</v>
      </c>
      <c r="F61" s="2" t="s">
        <v>2</v>
      </c>
      <c r="G61" s="2" t="s">
        <v>191</v>
      </c>
      <c r="H61" s="12" t="s">
        <v>136</v>
      </c>
      <c r="I61" s="12" t="s">
        <v>277</v>
      </c>
      <c r="J61" s="31" t="s">
        <v>278</v>
      </c>
    </row>
    <row r="62" spans="1:10" ht="30">
      <c r="A62" s="2" t="s">
        <v>192</v>
      </c>
      <c r="B62" s="2" t="s">
        <v>192</v>
      </c>
      <c r="C62" s="2" t="s">
        <v>193</v>
      </c>
      <c r="D62" s="2"/>
      <c r="E62" s="2" t="s">
        <v>2</v>
      </c>
      <c r="F62" s="2" t="s">
        <v>194</v>
      </c>
      <c r="G62" s="2" t="s">
        <v>195</v>
      </c>
      <c r="H62" s="12" t="s">
        <v>279</v>
      </c>
      <c r="I62" s="12" t="s">
        <v>280</v>
      </c>
      <c r="J62" s="31" t="s">
        <v>40</v>
      </c>
    </row>
    <row r="63" spans="1:10" ht="30">
      <c r="A63" s="2" t="s">
        <v>192</v>
      </c>
      <c r="B63" s="2" t="s">
        <v>192</v>
      </c>
      <c r="C63" s="2" t="s">
        <v>196</v>
      </c>
      <c r="D63" s="2"/>
      <c r="E63" s="2" t="s">
        <v>2</v>
      </c>
      <c r="F63" s="2" t="s">
        <v>197</v>
      </c>
      <c r="G63" s="2" t="s">
        <v>198</v>
      </c>
      <c r="H63" s="12" t="s">
        <v>279</v>
      </c>
      <c r="I63" s="12" t="s">
        <v>280</v>
      </c>
      <c r="J63" s="31" t="s">
        <v>40</v>
      </c>
    </row>
    <row r="64" spans="1:10" ht="30">
      <c r="A64" s="2" t="s">
        <v>192</v>
      </c>
      <c r="B64" s="2" t="s">
        <v>192</v>
      </c>
      <c r="C64" s="2" t="s">
        <v>199</v>
      </c>
      <c r="D64" s="2"/>
      <c r="E64" s="2" t="s">
        <v>2</v>
      </c>
      <c r="F64" s="2" t="s">
        <v>200</v>
      </c>
      <c r="G64" s="2" t="s">
        <v>201</v>
      </c>
      <c r="H64" s="12" t="s">
        <v>281</v>
      </c>
      <c r="I64" s="12" t="s">
        <v>280</v>
      </c>
      <c r="J64" s="31" t="s">
        <v>40</v>
      </c>
    </row>
    <row r="65" spans="1:10" ht="30">
      <c r="A65" s="2" t="s">
        <v>192</v>
      </c>
      <c r="B65" s="2" t="s">
        <v>192</v>
      </c>
      <c r="C65" s="2" t="s">
        <v>202</v>
      </c>
      <c r="D65" s="2"/>
      <c r="E65" s="2" t="s">
        <v>203</v>
      </c>
      <c r="F65" s="2" t="s">
        <v>2</v>
      </c>
      <c r="G65" s="2" t="s">
        <v>204</v>
      </c>
      <c r="H65" s="12" t="s">
        <v>274</v>
      </c>
      <c r="I65" s="12" t="s">
        <v>275</v>
      </c>
      <c r="J65" s="31" t="s">
        <v>274</v>
      </c>
    </row>
    <row r="66" spans="1:10" ht="30">
      <c r="A66" s="2" t="s">
        <v>205</v>
      </c>
      <c r="B66" s="2" t="s">
        <v>205</v>
      </c>
      <c r="C66" s="2" t="s">
        <v>206</v>
      </c>
      <c r="D66" s="2"/>
      <c r="E66" s="2" t="s">
        <v>2</v>
      </c>
      <c r="F66" s="2" t="s">
        <v>207</v>
      </c>
      <c r="G66" s="2" t="s">
        <v>208</v>
      </c>
      <c r="H66" s="12" t="s">
        <v>282</v>
      </c>
      <c r="I66" s="12" t="s">
        <v>280</v>
      </c>
      <c r="J66" s="31" t="s">
        <v>40</v>
      </c>
    </row>
    <row r="67" spans="1:10" ht="30">
      <c r="A67" s="2" t="s">
        <v>205</v>
      </c>
      <c r="B67" s="2" t="s">
        <v>205</v>
      </c>
      <c r="C67" s="2" t="s">
        <v>209</v>
      </c>
      <c r="D67" s="2"/>
      <c r="E67" s="2" t="s">
        <v>2</v>
      </c>
      <c r="F67" s="2" t="s">
        <v>210</v>
      </c>
      <c r="G67" s="2" t="s">
        <v>211</v>
      </c>
      <c r="H67" s="12" t="s">
        <v>283</v>
      </c>
      <c r="I67" s="12" t="s">
        <v>283</v>
      </c>
      <c r="J67" s="31" t="s">
        <v>40</v>
      </c>
    </row>
    <row r="68" spans="1:10" ht="30">
      <c r="A68" s="2" t="s">
        <v>205</v>
      </c>
      <c r="B68" s="2" t="s">
        <v>205</v>
      </c>
      <c r="C68" s="2" t="s">
        <v>212</v>
      </c>
      <c r="D68" s="2"/>
      <c r="E68" s="2" t="s">
        <v>213</v>
      </c>
      <c r="F68" s="2" t="s">
        <v>2</v>
      </c>
      <c r="G68" s="2" t="s">
        <v>214</v>
      </c>
      <c r="H68" s="12" t="s">
        <v>36</v>
      </c>
      <c r="I68" s="12" t="s">
        <v>33</v>
      </c>
      <c r="J68" s="31" t="s">
        <v>37</v>
      </c>
    </row>
    <row r="69" spans="1:10" ht="30">
      <c r="A69" s="2" t="s">
        <v>205</v>
      </c>
      <c r="B69" s="2" t="s">
        <v>205</v>
      </c>
      <c r="C69" s="2" t="s">
        <v>215</v>
      </c>
      <c r="D69" s="2"/>
      <c r="E69" s="2" t="s">
        <v>216</v>
      </c>
      <c r="F69" s="2" t="s">
        <v>2</v>
      </c>
      <c r="G69" s="2" t="s">
        <v>217</v>
      </c>
      <c r="H69" s="12" t="s">
        <v>36</v>
      </c>
      <c r="I69" s="12" t="s">
        <v>38</v>
      </c>
      <c r="J69" s="31" t="s">
        <v>37</v>
      </c>
    </row>
    <row r="70" spans="1:10" ht="30">
      <c r="A70" s="2" t="s">
        <v>205</v>
      </c>
      <c r="B70" s="2" t="s">
        <v>205</v>
      </c>
      <c r="C70" s="2" t="s">
        <v>218</v>
      </c>
      <c r="D70" s="2"/>
      <c r="E70" s="2" t="s">
        <v>219</v>
      </c>
      <c r="F70" s="2" t="s">
        <v>2</v>
      </c>
      <c r="G70" s="2" t="s">
        <v>220</v>
      </c>
      <c r="H70" s="12" t="s">
        <v>36</v>
      </c>
      <c r="I70" s="12" t="s">
        <v>31</v>
      </c>
      <c r="J70" s="31" t="s">
        <v>37</v>
      </c>
    </row>
    <row r="71" spans="1:10" ht="30">
      <c r="A71" s="2" t="s">
        <v>205</v>
      </c>
      <c r="B71" s="2" t="s">
        <v>205</v>
      </c>
      <c r="C71" s="2" t="s">
        <v>221</v>
      </c>
      <c r="D71" s="2"/>
      <c r="E71" s="2" t="s">
        <v>219</v>
      </c>
      <c r="F71" s="2" t="s">
        <v>2</v>
      </c>
      <c r="G71" s="2" t="s">
        <v>222</v>
      </c>
      <c r="H71" s="12" t="s">
        <v>36</v>
      </c>
      <c r="I71" s="12" t="s">
        <v>34</v>
      </c>
      <c r="J71" s="31" t="s">
        <v>37</v>
      </c>
    </row>
    <row r="72" spans="1:10" ht="30">
      <c r="A72" s="2" t="s">
        <v>205</v>
      </c>
      <c r="B72" s="2" t="s">
        <v>205</v>
      </c>
      <c r="C72" s="2" t="s">
        <v>223</v>
      </c>
      <c r="D72" s="2"/>
      <c r="E72" s="2" t="s">
        <v>175</v>
      </c>
      <c r="F72" s="2" t="s">
        <v>2</v>
      </c>
      <c r="G72" s="2" t="s">
        <v>224</v>
      </c>
      <c r="H72" s="12" t="s">
        <v>274</v>
      </c>
      <c r="I72" s="12" t="s">
        <v>284</v>
      </c>
      <c r="J72" s="31" t="s">
        <v>274</v>
      </c>
    </row>
    <row r="73" spans="1:10" ht="30">
      <c r="A73" s="2" t="s">
        <v>205</v>
      </c>
      <c r="B73" s="2" t="s">
        <v>205</v>
      </c>
      <c r="C73" s="2" t="s">
        <v>225</v>
      </c>
      <c r="D73" s="2"/>
      <c r="E73" s="2" t="s">
        <v>226</v>
      </c>
      <c r="F73" s="2" t="s">
        <v>2</v>
      </c>
      <c r="G73" s="2" t="s">
        <v>227</v>
      </c>
      <c r="H73" s="12" t="s">
        <v>285</v>
      </c>
      <c r="I73" s="12" t="s">
        <v>286</v>
      </c>
      <c r="J73" s="31" t="s">
        <v>37</v>
      </c>
    </row>
    <row r="74" spans="1:10" ht="30">
      <c r="A74" s="2" t="s">
        <v>205</v>
      </c>
      <c r="B74" s="2" t="s">
        <v>205</v>
      </c>
      <c r="C74" s="2" t="s">
        <v>228</v>
      </c>
      <c r="D74" s="2"/>
      <c r="E74" s="2" t="s">
        <v>229</v>
      </c>
      <c r="F74" s="2" t="s">
        <v>2</v>
      </c>
      <c r="G74" s="2" t="s">
        <v>230</v>
      </c>
      <c r="H74" s="12" t="s">
        <v>287</v>
      </c>
      <c r="I74" s="12" t="s">
        <v>288</v>
      </c>
      <c r="J74" s="31" t="s">
        <v>37</v>
      </c>
    </row>
    <row r="75" spans="1:10" ht="30">
      <c r="A75" s="2" t="s">
        <v>205</v>
      </c>
      <c r="B75" s="2" t="s">
        <v>205</v>
      </c>
      <c r="C75" s="2" t="s">
        <v>231</v>
      </c>
      <c r="D75" s="2"/>
      <c r="E75" s="2" t="s">
        <v>229</v>
      </c>
      <c r="F75" s="2" t="s">
        <v>2</v>
      </c>
      <c r="G75" s="2" t="s">
        <v>232</v>
      </c>
      <c r="H75" s="12" t="s">
        <v>287</v>
      </c>
      <c r="I75" s="12" t="s">
        <v>43</v>
      </c>
      <c r="J75" s="31" t="s">
        <v>37</v>
      </c>
    </row>
    <row r="76" spans="1:10" ht="30">
      <c r="A76" s="2" t="s">
        <v>233</v>
      </c>
      <c r="B76" s="2" t="s">
        <v>233</v>
      </c>
      <c r="C76" s="2" t="s">
        <v>234</v>
      </c>
      <c r="D76" s="2"/>
      <c r="E76" s="2" t="s">
        <v>235</v>
      </c>
      <c r="F76" s="2" t="s">
        <v>2</v>
      </c>
      <c r="G76" s="2" t="s">
        <v>236</v>
      </c>
      <c r="H76" s="12" t="s">
        <v>289</v>
      </c>
      <c r="I76" s="12" t="s">
        <v>289</v>
      </c>
      <c r="J76" s="31" t="s">
        <v>37</v>
      </c>
    </row>
    <row r="77" spans="1:10" ht="30">
      <c r="A77" s="2" t="s">
        <v>233</v>
      </c>
      <c r="B77" s="2" t="s">
        <v>233</v>
      </c>
      <c r="C77" s="2" t="s">
        <v>237</v>
      </c>
      <c r="D77" s="2"/>
      <c r="E77" s="2" t="s">
        <v>238</v>
      </c>
      <c r="F77" s="2" t="s">
        <v>2</v>
      </c>
      <c r="G77" s="2" t="s">
        <v>239</v>
      </c>
      <c r="H77" s="12" t="s">
        <v>289</v>
      </c>
      <c r="I77" s="12" t="s">
        <v>289</v>
      </c>
      <c r="J77" s="31" t="s">
        <v>37</v>
      </c>
    </row>
    <row r="78" spans="1:10" ht="30">
      <c r="A78" s="2" t="s">
        <v>233</v>
      </c>
      <c r="B78" s="2" t="s">
        <v>233</v>
      </c>
      <c r="C78" s="2" t="s">
        <v>240</v>
      </c>
      <c r="D78" s="2"/>
      <c r="E78" s="2" t="s">
        <v>241</v>
      </c>
      <c r="F78" s="2" t="s">
        <v>2</v>
      </c>
      <c r="G78" s="2" t="s">
        <v>242</v>
      </c>
      <c r="H78" s="12" t="s">
        <v>289</v>
      </c>
      <c r="I78" s="12" t="s">
        <v>289</v>
      </c>
      <c r="J78" s="31" t="s">
        <v>37</v>
      </c>
    </row>
    <row r="79" spans="1:10" ht="30">
      <c r="A79" s="2" t="s">
        <v>233</v>
      </c>
      <c r="B79" s="2" t="s">
        <v>233</v>
      </c>
      <c r="C79" s="2" t="s">
        <v>243</v>
      </c>
      <c r="D79" s="2"/>
      <c r="E79" s="2" t="s">
        <v>244</v>
      </c>
      <c r="F79" s="2" t="s">
        <v>2</v>
      </c>
      <c r="G79" s="2" t="s">
        <v>245</v>
      </c>
      <c r="H79" s="12" t="s">
        <v>289</v>
      </c>
      <c r="I79" s="12" t="s">
        <v>289</v>
      </c>
      <c r="J79" s="31" t="s">
        <v>37</v>
      </c>
    </row>
    <row r="80" spans="1:10" ht="30">
      <c r="A80" s="2" t="s">
        <v>233</v>
      </c>
      <c r="B80" s="2" t="s">
        <v>233</v>
      </c>
      <c r="C80" s="2" t="s">
        <v>246</v>
      </c>
      <c r="D80" s="2"/>
      <c r="E80" s="2" t="s">
        <v>247</v>
      </c>
      <c r="F80" s="2" t="s">
        <v>2</v>
      </c>
      <c r="G80" s="2" t="s">
        <v>248</v>
      </c>
      <c r="H80" s="12" t="s">
        <v>289</v>
      </c>
      <c r="I80" s="12" t="s">
        <v>289</v>
      </c>
      <c r="J80" s="31" t="s">
        <v>37</v>
      </c>
    </row>
    <row r="81" spans="1:10" ht="30">
      <c r="A81" s="2" t="s">
        <v>233</v>
      </c>
      <c r="B81" s="2" t="s">
        <v>233</v>
      </c>
      <c r="C81" s="2" t="s">
        <v>249</v>
      </c>
      <c r="D81" s="2"/>
      <c r="E81" s="2" t="s">
        <v>229</v>
      </c>
      <c r="F81" s="2" t="s">
        <v>2</v>
      </c>
      <c r="G81" s="2" t="s">
        <v>250</v>
      </c>
      <c r="H81" s="12" t="s">
        <v>289</v>
      </c>
      <c r="I81" s="12" t="s">
        <v>289</v>
      </c>
      <c r="J81" s="31" t="s">
        <v>37</v>
      </c>
    </row>
    <row r="82" spans="1:10" ht="30">
      <c r="A82" s="2" t="s">
        <v>233</v>
      </c>
      <c r="B82" s="2" t="s">
        <v>233</v>
      </c>
      <c r="C82" s="2" t="s">
        <v>251</v>
      </c>
      <c r="D82" s="2"/>
      <c r="E82" s="2" t="s">
        <v>252</v>
      </c>
      <c r="F82" s="2" t="s">
        <v>2</v>
      </c>
      <c r="G82" s="2" t="s">
        <v>253</v>
      </c>
      <c r="H82" s="12" t="s">
        <v>289</v>
      </c>
      <c r="I82" s="12" t="s">
        <v>289</v>
      </c>
      <c r="J82" s="31" t="s">
        <v>37</v>
      </c>
    </row>
    <row r="83" spans="1:10" ht="30">
      <c r="A83" s="2" t="s">
        <v>233</v>
      </c>
      <c r="B83" s="2" t="s">
        <v>233</v>
      </c>
      <c r="C83" s="2" t="s">
        <v>254</v>
      </c>
      <c r="D83" s="2"/>
      <c r="E83" s="2" t="s">
        <v>255</v>
      </c>
      <c r="F83" s="2" t="s">
        <v>2</v>
      </c>
      <c r="G83" s="2" t="s">
        <v>256</v>
      </c>
      <c r="H83" s="12" t="s">
        <v>289</v>
      </c>
      <c r="I83" s="12" t="s">
        <v>289</v>
      </c>
      <c r="J83" s="31" t="s">
        <v>37</v>
      </c>
    </row>
    <row r="84" spans="1:10" ht="30">
      <c r="A84" s="2" t="s">
        <v>233</v>
      </c>
      <c r="B84" s="2" t="s">
        <v>233</v>
      </c>
      <c r="C84" s="2" t="s">
        <v>257</v>
      </c>
      <c r="D84" s="2"/>
      <c r="E84" s="2" t="s">
        <v>241</v>
      </c>
      <c r="F84" s="2" t="s">
        <v>2</v>
      </c>
      <c r="G84" s="2" t="s">
        <v>258</v>
      </c>
      <c r="H84" s="12" t="s">
        <v>289</v>
      </c>
      <c r="I84" s="12" t="s">
        <v>289</v>
      </c>
      <c r="J84" s="31" t="s">
        <v>37</v>
      </c>
    </row>
    <row r="85" spans="1:10" ht="30">
      <c r="A85" s="2" t="s">
        <v>259</v>
      </c>
      <c r="B85" s="2" t="s">
        <v>259</v>
      </c>
      <c r="C85" s="2" t="s">
        <v>260</v>
      </c>
      <c r="D85" s="2"/>
      <c r="E85" s="2" t="s">
        <v>219</v>
      </c>
      <c r="F85" s="2" t="s">
        <v>2</v>
      </c>
      <c r="G85" s="2" t="s">
        <v>261</v>
      </c>
      <c r="H85" s="12" t="s">
        <v>36</v>
      </c>
      <c r="I85" s="12" t="s">
        <v>32</v>
      </c>
      <c r="J85" s="31" t="s">
        <v>37</v>
      </c>
    </row>
    <row r="86" spans="1:10" ht="30">
      <c r="A86" s="2" t="s">
        <v>262</v>
      </c>
      <c r="B86" s="2" t="s">
        <v>262</v>
      </c>
      <c r="C86" s="2" t="s">
        <v>263</v>
      </c>
      <c r="D86" s="2"/>
      <c r="E86" s="2" t="s">
        <v>264</v>
      </c>
      <c r="F86" s="2" t="s">
        <v>2</v>
      </c>
      <c r="G86" s="2" t="s">
        <v>265</v>
      </c>
      <c r="H86" s="12" t="s">
        <v>289</v>
      </c>
      <c r="I86" s="12" t="s">
        <v>289</v>
      </c>
      <c r="J86" s="31" t="s">
        <v>37</v>
      </c>
    </row>
    <row r="87" spans="1:10" ht="30">
      <c r="A87" s="2" t="s">
        <v>262</v>
      </c>
      <c r="B87" s="2" t="s">
        <v>262</v>
      </c>
      <c r="C87" s="2" t="s">
        <v>266</v>
      </c>
      <c r="D87" s="2"/>
      <c r="E87" s="2" t="s">
        <v>267</v>
      </c>
      <c r="F87" s="2" t="s">
        <v>2</v>
      </c>
      <c r="G87" s="2" t="s">
        <v>268</v>
      </c>
      <c r="H87" s="12" t="s">
        <v>289</v>
      </c>
      <c r="I87" s="12" t="s">
        <v>289</v>
      </c>
      <c r="J87" s="31" t="s">
        <v>37</v>
      </c>
    </row>
    <row r="88" spans="1:10" ht="30">
      <c r="A88" s="2" t="s">
        <v>262</v>
      </c>
      <c r="B88" s="2" t="s">
        <v>262</v>
      </c>
      <c r="C88" s="2" t="s">
        <v>269</v>
      </c>
      <c r="D88" s="2"/>
      <c r="E88" s="2" t="s">
        <v>270</v>
      </c>
      <c r="F88" s="2" t="s">
        <v>2</v>
      </c>
      <c r="G88" s="2" t="s">
        <v>271</v>
      </c>
      <c r="H88" s="12" t="s">
        <v>289</v>
      </c>
      <c r="I88" s="12" t="s">
        <v>289</v>
      </c>
      <c r="J88" s="31" t="s">
        <v>37</v>
      </c>
    </row>
    <row r="89" spans="1:10" ht="30">
      <c r="A89" s="2" t="s">
        <v>384</v>
      </c>
      <c r="B89" s="2" t="s">
        <v>384</v>
      </c>
      <c r="C89" s="2" t="s">
        <v>385</v>
      </c>
      <c r="D89" s="2"/>
      <c r="E89" s="2" t="s">
        <v>229</v>
      </c>
      <c r="F89" s="2" t="s">
        <v>2</v>
      </c>
      <c r="G89" s="2" t="s">
        <v>386</v>
      </c>
      <c r="H89" s="12" t="s">
        <v>287</v>
      </c>
      <c r="I89" s="12" t="s">
        <v>288</v>
      </c>
      <c r="J89" s="31" t="s">
        <v>37</v>
      </c>
    </row>
    <row r="90" spans="1:10" ht="30">
      <c r="A90" s="2" t="s">
        <v>384</v>
      </c>
      <c r="B90" s="2" t="s">
        <v>384</v>
      </c>
      <c r="C90" s="2" t="s">
        <v>387</v>
      </c>
      <c r="D90" s="2"/>
      <c r="E90" s="2" t="s">
        <v>229</v>
      </c>
      <c r="F90" s="2" t="s">
        <v>2</v>
      </c>
      <c r="G90" s="2" t="s">
        <v>388</v>
      </c>
      <c r="H90" s="12" t="s">
        <v>287</v>
      </c>
      <c r="I90" s="12" t="s">
        <v>43</v>
      </c>
      <c r="J90" s="31" t="s">
        <v>37</v>
      </c>
    </row>
    <row r="91" spans="1:10" ht="30">
      <c r="A91" s="2" t="s">
        <v>389</v>
      </c>
      <c r="B91" s="2" t="s">
        <v>389</v>
      </c>
      <c r="C91" s="2" t="s">
        <v>390</v>
      </c>
      <c r="D91" s="2"/>
      <c r="E91" s="2" t="s">
        <v>219</v>
      </c>
      <c r="F91" s="2" t="s">
        <v>2</v>
      </c>
      <c r="G91" s="2" t="s">
        <v>391</v>
      </c>
      <c r="H91" s="12" t="s">
        <v>36</v>
      </c>
      <c r="I91" s="12" t="s">
        <v>31</v>
      </c>
      <c r="J91" s="31" t="s">
        <v>39</v>
      </c>
    </row>
    <row r="92" spans="1:10" ht="30">
      <c r="A92" s="2" t="s">
        <v>389</v>
      </c>
      <c r="B92" s="2" t="s">
        <v>389</v>
      </c>
      <c r="C92" s="2" t="s">
        <v>392</v>
      </c>
      <c r="D92" s="2"/>
      <c r="E92" s="2" t="s">
        <v>219</v>
      </c>
      <c r="F92" s="2" t="s">
        <v>2</v>
      </c>
      <c r="G92" s="2" t="s">
        <v>393</v>
      </c>
      <c r="H92" s="12" t="s">
        <v>36</v>
      </c>
      <c r="I92" s="12" t="s">
        <v>32</v>
      </c>
      <c r="J92" s="31" t="s">
        <v>39</v>
      </c>
    </row>
    <row r="93" spans="1:10" ht="45">
      <c r="A93" s="2" t="s">
        <v>394</v>
      </c>
      <c r="B93" s="2" t="s">
        <v>394</v>
      </c>
      <c r="C93" s="2" t="s">
        <v>395</v>
      </c>
      <c r="D93" s="2"/>
      <c r="E93" s="2" t="s">
        <v>396</v>
      </c>
      <c r="F93" s="2" t="s">
        <v>2</v>
      </c>
      <c r="G93" s="2" t="s">
        <v>397</v>
      </c>
      <c r="H93" s="12" t="s">
        <v>398</v>
      </c>
      <c r="I93" s="12" t="s">
        <v>399</v>
      </c>
      <c r="J93" s="31" t="s">
        <v>32</v>
      </c>
    </row>
    <row r="94" spans="1:10" ht="30">
      <c r="A94" s="2" t="s">
        <v>394</v>
      </c>
      <c r="B94" s="2" t="s">
        <v>394</v>
      </c>
      <c r="C94" s="2" t="s">
        <v>400</v>
      </c>
      <c r="D94" s="2"/>
      <c r="E94" s="2" t="s">
        <v>181</v>
      </c>
      <c r="F94" s="2" t="s">
        <v>2</v>
      </c>
      <c r="G94" s="2" t="s">
        <v>401</v>
      </c>
      <c r="H94" s="12" t="s">
        <v>36</v>
      </c>
      <c r="I94" s="12" t="s">
        <v>142</v>
      </c>
      <c r="J94" s="31" t="s">
        <v>37</v>
      </c>
    </row>
    <row r="95" spans="1:10" ht="30">
      <c r="A95" s="2" t="s">
        <v>394</v>
      </c>
      <c r="B95" s="2" t="s">
        <v>394</v>
      </c>
      <c r="C95" s="2" t="s">
        <v>402</v>
      </c>
      <c r="D95" s="2"/>
      <c r="E95" s="2" t="s">
        <v>125</v>
      </c>
      <c r="F95" s="2" t="s">
        <v>2</v>
      </c>
      <c r="G95" s="2" t="s">
        <v>403</v>
      </c>
      <c r="H95" s="12" t="s">
        <v>67</v>
      </c>
      <c r="I95" s="12" t="s">
        <v>141</v>
      </c>
      <c r="J95" s="31" t="s">
        <v>37</v>
      </c>
    </row>
    <row r="96" spans="1:10" ht="30">
      <c r="A96" s="2" t="s">
        <v>394</v>
      </c>
      <c r="B96" s="2" t="s">
        <v>394</v>
      </c>
      <c r="C96" s="2" t="s">
        <v>404</v>
      </c>
      <c r="D96" s="2"/>
      <c r="E96" s="2" t="s">
        <v>405</v>
      </c>
      <c r="F96" s="2" t="s">
        <v>2</v>
      </c>
      <c r="G96" s="2" t="s">
        <v>406</v>
      </c>
      <c r="H96" s="12" t="s">
        <v>407</v>
      </c>
      <c r="I96" s="12" t="s">
        <v>408</v>
      </c>
      <c r="J96" s="31" t="s">
        <v>37</v>
      </c>
    </row>
    <row r="97" spans="1:12" ht="30">
      <c r="A97" s="2" t="s">
        <v>394</v>
      </c>
      <c r="B97" s="2" t="s">
        <v>394</v>
      </c>
      <c r="C97" s="2" t="s">
        <v>409</v>
      </c>
      <c r="D97" s="2"/>
      <c r="E97" s="2" t="s">
        <v>410</v>
      </c>
      <c r="F97" s="2" t="s">
        <v>2</v>
      </c>
      <c r="G97" s="2" t="s">
        <v>411</v>
      </c>
      <c r="H97" s="12" t="s">
        <v>412</v>
      </c>
      <c r="I97" s="12" t="s">
        <v>277</v>
      </c>
      <c r="J97" s="31" t="s">
        <v>37</v>
      </c>
    </row>
    <row r="98" spans="1:12" ht="30">
      <c r="A98" s="2" t="s">
        <v>394</v>
      </c>
      <c r="B98" s="2" t="s">
        <v>394</v>
      </c>
      <c r="C98" s="2" t="s">
        <v>413</v>
      </c>
      <c r="D98" s="2"/>
      <c r="E98" s="2" t="s">
        <v>414</v>
      </c>
      <c r="F98" s="2" t="s">
        <v>2</v>
      </c>
      <c r="G98" s="2" t="s">
        <v>415</v>
      </c>
      <c r="H98" s="12" t="s">
        <v>407</v>
      </c>
      <c r="I98" s="12" t="s">
        <v>416</v>
      </c>
      <c r="J98" s="31" t="s">
        <v>62</v>
      </c>
    </row>
    <row r="99" spans="1:12" ht="45">
      <c r="A99" s="2" t="s">
        <v>417</v>
      </c>
      <c r="B99" s="2" t="s">
        <v>417</v>
      </c>
      <c r="C99" s="2" t="s">
        <v>418</v>
      </c>
      <c r="D99" s="2" t="s">
        <v>419</v>
      </c>
      <c r="E99" s="2" t="s">
        <v>420</v>
      </c>
      <c r="F99" s="2" t="s">
        <v>2</v>
      </c>
      <c r="G99" s="2" t="s">
        <v>421</v>
      </c>
      <c r="H99" s="12" t="s">
        <v>422</v>
      </c>
      <c r="I99" s="12" t="s">
        <v>423</v>
      </c>
      <c r="J99" s="31" t="s">
        <v>37</v>
      </c>
    </row>
    <row r="100" spans="1:12" ht="30">
      <c r="A100" s="2" t="s">
        <v>424</v>
      </c>
      <c r="B100" s="2" t="s">
        <v>424</v>
      </c>
      <c r="C100" s="2" t="s">
        <v>425</v>
      </c>
      <c r="D100" s="2"/>
      <c r="E100" s="2" t="s">
        <v>2</v>
      </c>
      <c r="F100" s="2" t="s">
        <v>426</v>
      </c>
      <c r="G100" s="2" t="s">
        <v>427</v>
      </c>
      <c r="H100" s="12" t="s">
        <v>136</v>
      </c>
      <c r="I100" s="12" t="s">
        <v>280</v>
      </c>
      <c r="J100" s="31" t="s">
        <v>40</v>
      </c>
    </row>
    <row r="101" spans="1:12" ht="30">
      <c r="A101" s="2" t="s">
        <v>424</v>
      </c>
      <c r="B101" s="2" t="s">
        <v>424</v>
      </c>
      <c r="C101" s="2" t="s">
        <v>428</v>
      </c>
      <c r="D101" s="2"/>
      <c r="E101" s="2" t="s">
        <v>429</v>
      </c>
      <c r="F101" s="2" t="s">
        <v>2</v>
      </c>
      <c r="G101" s="2" t="s">
        <v>430</v>
      </c>
      <c r="H101" s="12" t="s">
        <v>39</v>
      </c>
      <c r="I101" s="12" t="s">
        <v>289</v>
      </c>
      <c r="J101" s="31" t="s">
        <v>37</v>
      </c>
    </row>
    <row r="102" spans="1:12" ht="30">
      <c r="A102" s="2" t="s">
        <v>509</v>
      </c>
      <c r="B102" s="2" t="s">
        <v>509</v>
      </c>
      <c r="C102" s="2" t="s">
        <v>510</v>
      </c>
      <c r="D102" s="2"/>
      <c r="E102" s="2" t="s">
        <v>2</v>
      </c>
      <c r="F102" s="2" t="s">
        <v>511</v>
      </c>
      <c r="G102" s="2" t="s">
        <v>512</v>
      </c>
      <c r="H102" s="12" t="s">
        <v>578</v>
      </c>
      <c r="I102" s="12" t="s">
        <v>42</v>
      </c>
      <c r="J102" s="31" t="s">
        <v>62</v>
      </c>
      <c r="K102" t="s">
        <v>577</v>
      </c>
      <c r="L102" s="81" t="s">
        <v>157</v>
      </c>
    </row>
    <row r="103" spans="1:12" ht="30">
      <c r="A103" s="2" t="s">
        <v>513</v>
      </c>
      <c r="B103" s="2" t="s">
        <v>513</v>
      </c>
      <c r="C103" s="2" t="s">
        <v>514</v>
      </c>
      <c r="D103" s="2"/>
      <c r="E103" s="2" t="s">
        <v>2</v>
      </c>
      <c r="F103" s="2" t="s">
        <v>515</v>
      </c>
      <c r="G103" s="2" t="s">
        <v>516</v>
      </c>
      <c r="H103" s="12" t="s">
        <v>579</v>
      </c>
      <c r="I103" s="12" t="s">
        <v>280</v>
      </c>
      <c r="J103" s="31" t="s">
        <v>62</v>
      </c>
      <c r="K103" t="s">
        <v>155</v>
      </c>
      <c r="L103" s="81" t="s">
        <v>157</v>
      </c>
    </row>
    <row r="104" spans="1:12" ht="45">
      <c r="A104" s="2" t="s">
        <v>517</v>
      </c>
      <c r="B104" s="2" t="s">
        <v>517</v>
      </c>
      <c r="C104" s="2" t="s">
        <v>518</v>
      </c>
      <c r="D104" s="2"/>
      <c r="E104" s="2" t="s">
        <v>2</v>
      </c>
      <c r="F104" s="2" t="s">
        <v>219</v>
      </c>
      <c r="G104" s="2" t="s">
        <v>519</v>
      </c>
      <c r="I104" s="12" t="s">
        <v>38</v>
      </c>
      <c r="J104" s="31" t="s">
        <v>38</v>
      </c>
      <c r="L104" s="81" t="s">
        <v>157</v>
      </c>
    </row>
    <row r="105" spans="1:12" ht="30">
      <c r="A105" s="2" t="s">
        <v>517</v>
      </c>
      <c r="B105" s="2" t="s">
        <v>517</v>
      </c>
      <c r="C105" s="2" t="s">
        <v>520</v>
      </c>
      <c r="D105" s="2"/>
      <c r="E105" s="2" t="s">
        <v>521</v>
      </c>
      <c r="F105" s="2" t="s">
        <v>2</v>
      </c>
      <c r="G105" s="2" t="s">
        <v>522</v>
      </c>
      <c r="H105" s="12" t="s">
        <v>293</v>
      </c>
      <c r="I105" s="12" t="s">
        <v>289</v>
      </c>
      <c r="J105" s="31" t="s">
        <v>62</v>
      </c>
      <c r="K105" t="s">
        <v>292</v>
      </c>
      <c r="L105" s="81" t="s">
        <v>157</v>
      </c>
    </row>
    <row r="106" spans="1:12" ht="30">
      <c r="A106" s="2" t="s">
        <v>517</v>
      </c>
      <c r="B106" s="2" t="s">
        <v>517</v>
      </c>
      <c r="C106" s="2" t="s">
        <v>523</v>
      </c>
      <c r="D106" s="2"/>
      <c r="E106" s="2" t="s">
        <v>524</v>
      </c>
      <c r="F106" s="2" t="s">
        <v>2</v>
      </c>
      <c r="G106" s="2" t="s">
        <v>525</v>
      </c>
      <c r="H106" s="12" t="s">
        <v>492</v>
      </c>
      <c r="I106" s="12" t="s">
        <v>289</v>
      </c>
      <c r="J106" s="31" t="s">
        <v>62</v>
      </c>
      <c r="L106" s="81" t="s">
        <v>157</v>
      </c>
    </row>
    <row r="107" spans="1:12" ht="30">
      <c r="A107" s="2" t="s">
        <v>517</v>
      </c>
      <c r="B107" s="2" t="s">
        <v>517</v>
      </c>
      <c r="C107" s="2" t="s">
        <v>526</v>
      </c>
      <c r="D107" s="2"/>
      <c r="E107" s="2" t="s">
        <v>527</v>
      </c>
      <c r="F107" s="2" t="s">
        <v>2</v>
      </c>
      <c r="G107" s="2" t="s">
        <v>528</v>
      </c>
      <c r="H107" s="12" t="s">
        <v>580</v>
      </c>
      <c r="I107" s="12" t="s">
        <v>289</v>
      </c>
      <c r="J107" s="31" t="s">
        <v>581</v>
      </c>
      <c r="K107" s="31" t="s">
        <v>471</v>
      </c>
      <c r="L107" s="81" t="s">
        <v>157</v>
      </c>
    </row>
    <row r="108" spans="1:12">
      <c r="A108" s="2" t="s">
        <v>517</v>
      </c>
      <c r="B108" s="2" t="s">
        <v>517</v>
      </c>
      <c r="C108" s="2" t="s">
        <v>529</v>
      </c>
      <c r="D108" s="2"/>
      <c r="E108" s="2" t="s">
        <v>2</v>
      </c>
      <c r="F108" s="2" t="s">
        <v>530</v>
      </c>
      <c r="G108" s="2" t="s">
        <v>531</v>
      </c>
      <c r="H108" s="12" t="s">
        <v>304</v>
      </c>
      <c r="I108" s="12" t="s">
        <v>33</v>
      </c>
      <c r="J108" s="31" t="s">
        <v>40</v>
      </c>
      <c r="L108" s="81" t="s">
        <v>157</v>
      </c>
    </row>
    <row r="109" spans="1:12" ht="30">
      <c r="A109" s="2" t="s">
        <v>532</v>
      </c>
      <c r="B109" s="2" t="s">
        <v>532</v>
      </c>
      <c r="C109" s="2" t="s">
        <v>533</v>
      </c>
      <c r="D109" s="2"/>
      <c r="E109" s="2" t="s">
        <v>2</v>
      </c>
      <c r="F109" s="2" t="s">
        <v>216</v>
      </c>
      <c r="G109" s="2" t="s">
        <v>534</v>
      </c>
      <c r="H109" s="12" t="s">
        <v>304</v>
      </c>
      <c r="I109" s="12" t="s">
        <v>33</v>
      </c>
      <c r="J109" s="31" t="s">
        <v>40</v>
      </c>
      <c r="L109" s="81" t="s">
        <v>157</v>
      </c>
    </row>
    <row r="110" spans="1:12" ht="30">
      <c r="A110" s="2" t="s">
        <v>532</v>
      </c>
      <c r="B110" s="2" t="s">
        <v>532</v>
      </c>
      <c r="C110" s="2" t="s">
        <v>535</v>
      </c>
      <c r="D110" s="2"/>
      <c r="E110" s="2" t="s">
        <v>2</v>
      </c>
      <c r="F110" s="2" t="s">
        <v>216</v>
      </c>
      <c r="G110" s="2" t="s">
        <v>536</v>
      </c>
      <c r="H110" s="12" t="s">
        <v>304</v>
      </c>
      <c r="I110" s="12" t="s">
        <v>33</v>
      </c>
      <c r="J110" s="31" t="s">
        <v>40</v>
      </c>
      <c r="L110" s="81" t="s">
        <v>157</v>
      </c>
    </row>
    <row r="111" spans="1:12" ht="30">
      <c r="A111" s="2" t="s">
        <v>532</v>
      </c>
      <c r="B111" s="2" t="s">
        <v>532</v>
      </c>
      <c r="C111" s="2" t="s">
        <v>537</v>
      </c>
      <c r="D111" s="2"/>
      <c r="E111" s="2" t="s">
        <v>2</v>
      </c>
      <c r="F111" s="2" t="s">
        <v>216</v>
      </c>
      <c r="G111" s="2" t="s">
        <v>538</v>
      </c>
      <c r="H111" s="12" t="s">
        <v>304</v>
      </c>
      <c r="I111" s="12" t="s">
        <v>33</v>
      </c>
      <c r="J111" s="31" t="s">
        <v>40</v>
      </c>
      <c r="L111" s="81" t="s">
        <v>157</v>
      </c>
    </row>
    <row r="112" spans="1:12" ht="30">
      <c r="A112" s="2" t="s">
        <v>532</v>
      </c>
      <c r="B112" s="2" t="s">
        <v>532</v>
      </c>
      <c r="C112" s="2" t="s">
        <v>539</v>
      </c>
      <c r="D112" s="2"/>
      <c r="E112" s="2" t="s">
        <v>2</v>
      </c>
      <c r="F112" s="2" t="s">
        <v>216</v>
      </c>
      <c r="G112" s="2" t="s">
        <v>540</v>
      </c>
      <c r="H112" s="12" t="s">
        <v>304</v>
      </c>
      <c r="I112" s="12" t="s">
        <v>33</v>
      </c>
      <c r="J112" s="31" t="s">
        <v>40</v>
      </c>
      <c r="L112" s="81" t="s">
        <v>157</v>
      </c>
    </row>
    <row r="113" spans="1:13">
      <c r="A113" s="2" t="s">
        <v>541</v>
      </c>
      <c r="B113" s="2" t="s">
        <v>541</v>
      </c>
      <c r="C113" s="2" t="s">
        <v>542</v>
      </c>
      <c r="D113" s="2"/>
      <c r="E113" s="2" t="s">
        <v>2</v>
      </c>
      <c r="F113" s="2" t="s">
        <v>543</v>
      </c>
      <c r="G113" s="2" t="s">
        <v>544</v>
      </c>
      <c r="H113" s="12" t="s">
        <v>582</v>
      </c>
      <c r="I113" s="12" t="s">
        <v>31</v>
      </c>
      <c r="J113" s="31" t="s">
        <v>583</v>
      </c>
      <c r="L113" s="81" t="s">
        <v>446</v>
      </c>
    </row>
    <row r="114" spans="1:13">
      <c r="A114" s="2" t="s">
        <v>541</v>
      </c>
      <c r="B114" s="2" t="s">
        <v>541</v>
      </c>
      <c r="C114" s="2" t="s">
        <v>545</v>
      </c>
      <c r="D114" s="2"/>
      <c r="E114" s="2" t="s">
        <v>546</v>
      </c>
      <c r="F114" s="2" t="s">
        <v>2</v>
      </c>
      <c r="G114" s="2" t="s">
        <v>547</v>
      </c>
      <c r="H114" s="12" t="s">
        <v>320</v>
      </c>
      <c r="I114" s="12" t="s">
        <v>289</v>
      </c>
      <c r="J114" s="31" t="s">
        <v>32</v>
      </c>
      <c r="K114" t="s">
        <v>316</v>
      </c>
      <c r="L114" s="81" t="s">
        <v>446</v>
      </c>
    </row>
    <row r="115" spans="1:13" ht="30">
      <c r="A115" s="2" t="s">
        <v>541</v>
      </c>
      <c r="B115" s="2" t="s">
        <v>541</v>
      </c>
      <c r="C115" s="2" t="s">
        <v>548</v>
      </c>
      <c r="D115" s="2"/>
      <c r="E115" s="2" t="s">
        <v>549</v>
      </c>
      <c r="F115" s="2" t="s">
        <v>2</v>
      </c>
      <c r="G115" s="2" t="s">
        <v>550</v>
      </c>
      <c r="H115" s="12" t="s">
        <v>435</v>
      </c>
      <c r="I115" s="12" t="s">
        <v>289</v>
      </c>
      <c r="J115" s="31" t="s">
        <v>62</v>
      </c>
      <c r="K115" t="s">
        <v>434</v>
      </c>
      <c r="L115" s="81" t="s">
        <v>446</v>
      </c>
    </row>
    <row r="116" spans="1:13" ht="30">
      <c r="A116" s="2" t="s">
        <v>541</v>
      </c>
      <c r="B116" s="2" t="s">
        <v>541</v>
      </c>
      <c r="C116" s="2" t="s">
        <v>551</v>
      </c>
      <c r="D116" s="2"/>
      <c r="E116" s="2" t="s">
        <v>552</v>
      </c>
      <c r="F116" s="2" t="s">
        <v>2</v>
      </c>
      <c r="G116" s="2" t="s">
        <v>553</v>
      </c>
      <c r="H116" s="12" t="s">
        <v>301</v>
      </c>
      <c r="I116" s="12" t="s">
        <v>289</v>
      </c>
      <c r="J116" s="31" t="s">
        <v>62</v>
      </c>
      <c r="K116" s="31" t="s">
        <v>300</v>
      </c>
      <c r="L116" s="81" t="s">
        <v>446</v>
      </c>
    </row>
    <row r="117" spans="1:13" ht="30">
      <c r="A117" s="2" t="s">
        <v>541</v>
      </c>
      <c r="B117" s="2" t="s">
        <v>541</v>
      </c>
      <c r="C117" s="2" t="s">
        <v>554</v>
      </c>
      <c r="D117" s="2"/>
      <c r="E117" s="2" t="s">
        <v>555</v>
      </c>
      <c r="F117" s="2" t="s">
        <v>2</v>
      </c>
      <c r="G117" s="2" t="s">
        <v>556</v>
      </c>
      <c r="H117" s="12" t="s">
        <v>287</v>
      </c>
      <c r="I117" s="12" t="s">
        <v>289</v>
      </c>
      <c r="J117" s="31" t="s">
        <v>62</v>
      </c>
      <c r="K117" t="s">
        <v>315</v>
      </c>
      <c r="L117" s="81" t="s">
        <v>446</v>
      </c>
    </row>
    <row r="118" spans="1:13" ht="30">
      <c r="A118" s="2" t="s">
        <v>541</v>
      </c>
      <c r="B118" s="2" t="s">
        <v>541</v>
      </c>
      <c r="C118" s="2" t="s">
        <v>557</v>
      </c>
      <c r="D118" s="2"/>
      <c r="E118" s="2" t="s">
        <v>558</v>
      </c>
      <c r="F118" s="2" t="s">
        <v>2</v>
      </c>
      <c r="G118" s="2" t="s">
        <v>559</v>
      </c>
      <c r="H118" s="12" t="s">
        <v>317</v>
      </c>
      <c r="I118" s="12" t="s">
        <v>289</v>
      </c>
      <c r="J118" s="31" t="s">
        <v>62</v>
      </c>
      <c r="K118" s="31" t="s">
        <v>318</v>
      </c>
      <c r="L118" s="81" t="s">
        <v>446</v>
      </c>
    </row>
    <row r="119" spans="1:13" ht="30">
      <c r="A119" s="2" t="s">
        <v>541</v>
      </c>
      <c r="B119" s="2" t="s">
        <v>541</v>
      </c>
      <c r="C119" s="2" t="s">
        <v>560</v>
      </c>
      <c r="D119" s="2"/>
      <c r="E119" s="2" t="s">
        <v>255</v>
      </c>
      <c r="F119" s="2" t="s">
        <v>2</v>
      </c>
      <c r="G119" s="2" t="s">
        <v>561</v>
      </c>
      <c r="H119" s="12" t="s">
        <v>317</v>
      </c>
      <c r="I119" s="12" t="s">
        <v>289</v>
      </c>
      <c r="J119" s="31" t="s">
        <v>62</v>
      </c>
      <c r="K119" t="s">
        <v>319</v>
      </c>
      <c r="L119" s="81" t="s">
        <v>446</v>
      </c>
    </row>
    <row r="120" spans="1:13" ht="45">
      <c r="A120" s="2" t="s">
        <v>541</v>
      </c>
      <c r="B120" s="2" t="s">
        <v>541</v>
      </c>
      <c r="C120" s="2" t="s">
        <v>562</v>
      </c>
      <c r="D120" s="2"/>
      <c r="E120" s="2" t="s">
        <v>2</v>
      </c>
      <c r="F120" s="2" t="s">
        <v>563</v>
      </c>
      <c r="G120" s="2" t="s">
        <v>564</v>
      </c>
      <c r="H120" s="12" t="s">
        <v>304</v>
      </c>
      <c r="I120" s="12" t="s">
        <v>33</v>
      </c>
      <c r="J120" s="31" t="s">
        <v>40</v>
      </c>
    </row>
    <row r="121" spans="1:13" ht="30">
      <c r="A121" s="2" t="s">
        <v>541</v>
      </c>
      <c r="B121" s="2" t="s">
        <v>541</v>
      </c>
      <c r="C121" s="2" t="s">
        <v>565</v>
      </c>
      <c r="D121" s="2"/>
      <c r="E121" s="2" t="s">
        <v>566</v>
      </c>
      <c r="F121" s="2" t="s">
        <v>2</v>
      </c>
      <c r="G121" s="2" t="s">
        <v>567</v>
      </c>
      <c r="H121" s="12" t="s">
        <v>580</v>
      </c>
      <c r="I121" s="12" t="s">
        <v>289</v>
      </c>
      <c r="J121" s="31" t="s">
        <v>581</v>
      </c>
      <c r="K121" t="s">
        <v>290</v>
      </c>
      <c r="L121" s="81" t="s">
        <v>157</v>
      </c>
    </row>
    <row r="122" spans="1:13" ht="45">
      <c r="A122" s="2" t="s">
        <v>541</v>
      </c>
      <c r="B122" s="2" t="s">
        <v>541</v>
      </c>
      <c r="C122" s="2" t="s">
        <v>568</v>
      </c>
      <c r="D122" s="2"/>
      <c r="E122" s="2" t="s">
        <v>2</v>
      </c>
      <c r="F122" s="2" t="s">
        <v>27</v>
      </c>
      <c r="G122" s="2" t="s">
        <v>569</v>
      </c>
      <c r="H122" s="12" t="s">
        <v>304</v>
      </c>
      <c r="I122" s="12" t="s">
        <v>33</v>
      </c>
      <c r="J122" s="31" t="s">
        <v>40</v>
      </c>
    </row>
    <row r="123" spans="1:13" ht="30">
      <c r="A123" s="2" t="s">
        <v>541</v>
      </c>
      <c r="B123" s="2" t="s">
        <v>541</v>
      </c>
      <c r="C123" s="2" t="s">
        <v>570</v>
      </c>
      <c r="D123" s="2"/>
      <c r="E123" s="2" t="s">
        <v>571</v>
      </c>
      <c r="F123" s="2" t="s">
        <v>2</v>
      </c>
      <c r="G123" s="2" t="s">
        <v>572</v>
      </c>
      <c r="H123" s="12" t="s">
        <v>298</v>
      </c>
      <c r="I123" s="12" t="s">
        <v>289</v>
      </c>
      <c r="J123" s="31" t="s">
        <v>62</v>
      </c>
      <c r="K123" s="31" t="s">
        <v>297</v>
      </c>
      <c r="L123" s="81" t="s">
        <v>157</v>
      </c>
    </row>
    <row r="124" spans="1:13" ht="30">
      <c r="A124" s="2" t="s">
        <v>573</v>
      </c>
      <c r="B124" s="2" t="s">
        <v>573</v>
      </c>
      <c r="C124" s="2" t="s">
        <v>574</v>
      </c>
      <c r="D124" s="2"/>
      <c r="E124" s="2" t="s">
        <v>575</v>
      </c>
      <c r="F124" s="2" t="s">
        <v>2</v>
      </c>
      <c r="G124" s="2" t="s">
        <v>576</v>
      </c>
      <c r="H124" s="12" t="s">
        <v>304</v>
      </c>
      <c r="I124" s="12" t="s">
        <v>284</v>
      </c>
      <c r="J124" s="31" t="s">
        <v>40</v>
      </c>
      <c r="L124" s="81" t="s">
        <v>157</v>
      </c>
      <c r="M124">
        <v>422</v>
      </c>
    </row>
    <row r="125" spans="1:13" ht="75">
      <c r="A125" s="2" t="s">
        <v>608</v>
      </c>
      <c r="B125" s="2" t="s">
        <v>608</v>
      </c>
      <c r="C125" s="2" t="s">
        <v>609</v>
      </c>
      <c r="D125" s="2"/>
      <c r="E125" s="2" t="s">
        <v>2</v>
      </c>
      <c r="F125" s="2" t="s">
        <v>610</v>
      </c>
      <c r="G125" s="2" t="s">
        <v>611</v>
      </c>
      <c r="H125" s="12" t="s">
        <v>635</v>
      </c>
      <c r="I125" s="12" t="s">
        <v>42</v>
      </c>
      <c r="J125" s="31" t="s">
        <v>40</v>
      </c>
      <c r="K125" s="31" t="s">
        <v>636</v>
      </c>
      <c r="L125" s="81" t="s">
        <v>637</v>
      </c>
      <c r="M125">
        <v>43012.5</v>
      </c>
    </row>
    <row r="126" spans="1:13" ht="45">
      <c r="A126" s="2" t="s">
        <v>608</v>
      </c>
      <c r="B126" s="2" t="s">
        <v>608</v>
      </c>
      <c r="C126" s="2" t="s">
        <v>612</v>
      </c>
      <c r="D126" s="2"/>
      <c r="E126" s="2" t="s">
        <v>613</v>
      </c>
      <c r="F126" s="2" t="s">
        <v>2</v>
      </c>
      <c r="G126" s="2" t="s">
        <v>614</v>
      </c>
      <c r="H126" s="12" t="s">
        <v>465</v>
      </c>
      <c r="I126" s="12" t="s">
        <v>638</v>
      </c>
      <c r="J126" s="31" t="s">
        <v>40</v>
      </c>
      <c r="K126" s="31" t="s">
        <v>300</v>
      </c>
      <c r="L126" s="81" t="s">
        <v>446</v>
      </c>
    </row>
    <row r="127" spans="1:13" ht="30">
      <c r="A127" s="2" t="s">
        <v>615</v>
      </c>
      <c r="B127" s="2" t="s">
        <v>615</v>
      </c>
      <c r="C127" s="2" t="s">
        <v>616</v>
      </c>
      <c r="D127" s="2"/>
      <c r="E127" s="2" t="s">
        <v>2</v>
      </c>
      <c r="F127" s="2" t="s">
        <v>617</v>
      </c>
      <c r="G127" s="2" t="s">
        <v>618</v>
      </c>
      <c r="H127" s="12" t="s">
        <v>580</v>
      </c>
      <c r="I127" s="12" t="s">
        <v>283</v>
      </c>
      <c r="J127" s="31" t="s">
        <v>40</v>
      </c>
      <c r="K127" s="81" t="s">
        <v>290</v>
      </c>
      <c r="L127" s="81" t="s">
        <v>157</v>
      </c>
    </row>
    <row r="128" spans="1:13" ht="30">
      <c r="A128" s="2" t="s">
        <v>615</v>
      </c>
      <c r="B128" s="2" t="s">
        <v>615</v>
      </c>
      <c r="C128" s="2" t="s">
        <v>619</v>
      </c>
      <c r="D128" s="2"/>
      <c r="E128" s="2" t="s">
        <v>620</v>
      </c>
      <c r="F128" s="2" t="s">
        <v>2</v>
      </c>
      <c r="G128" s="2" t="s">
        <v>621</v>
      </c>
      <c r="H128" s="12" t="s">
        <v>580</v>
      </c>
      <c r="I128" s="12" t="s">
        <v>64</v>
      </c>
      <c r="J128" s="31" t="s">
        <v>581</v>
      </c>
      <c r="L128" s="81" t="s">
        <v>157</v>
      </c>
    </row>
    <row r="129" spans="1:12" ht="30">
      <c r="A129" s="2" t="s">
        <v>615</v>
      </c>
      <c r="B129" s="2" t="s">
        <v>615</v>
      </c>
      <c r="C129" s="2" t="s">
        <v>622</v>
      </c>
      <c r="D129" s="2"/>
      <c r="E129" s="2" t="s">
        <v>563</v>
      </c>
      <c r="F129" s="2" t="s">
        <v>2</v>
      </c>
      <c r="G129" s="2" t="s">
        <v>623</v>
      </c>
      <c r="H129" s="12" t="s">
        <v>580</v>
      </c>
      <c r="I129" s="12" t="s">
        <v>639</v>
      </c>
      <c r="J129" s="31" t="s">
        <v>581</v>
      </c>
      <c r="L129" s="81" t="s">
        <v>157</v>
      </c>
    </row>
    <row r="130" spans="1:12" ht="30">
      <c r="A130" s="2" t="s">
        <v>615</v>
      </c>
      <c r="B130" s="2" t="s">
        <v>615</v>
      </c>
      <c r="C130" s="2" t="s">
        <v>624</v>
      </c>
      <c r="D130" s="2"/>
      <c r="E130" s="2" t="s">
        <v>219</v>
      </c>
      <c r="F130" s="2" t="s">
        <v>2</v>
      </c>
      <c r="G130" s="2" t="s">
        <v>625</v>
      </c>
      <c r="H130" s="12" t="s">
        <v>36</v>
      </c>
      <c r="I130" s="12" t="s">
        <v>38</v>
      </c>
      <c r="J130" s="31" t="s">
        <v>37</v>
      </c>
      <c r="L130" s="81" t="s">
        <v>157</v>
      </c>
    </row>
    <row r="131" spans="1:12" ht="30">
      <c r="A131" s="2" t="s">
        <v>615</v>
      </c>
      <c r="B131" s="2" t="s">
        <v>615</v>
      </c>
      <c r="C131" s="2" t="s">
        <v>626</v>
      </c>
      <c r="D131" s="2"/>
      <c r="E131" s="2" t="s">
        <v>219</v>
      </c>
      <c r="F131" s="2" t="s">
        <v>2</v>
      </c>
      <c r="G131" s="2" t="s">
        <v>627</v>
      </c>
      <c r="H131" s="12" t="s">
        <v>36</v>
      </c>
      <c r="I131" s="12" t="s">
        <v>31</v>
      </c>
      <c r="J131" s="31" t="s">
        <v>37</v>
      </c>
      <c r="L131" s="81" t="s">
        <v>157</v>
      </c>
    </row>
    <row r="132" spans="1:12" ht="30">
      <c r="A132" s="2" t="s">
        <v>615</v>
      </c>
      <c r="B132" s="2" t="s">
        <v>615</v>
      </c>
      <c r="C132" s="2" t="s">
        <v>628</v>
      </c>
      <c r="D132" s="2"/>
      <c r="E132" s="2" t="s">
        <v>219</v>
      </c>
      <c r="F132" s="2" t="s">
        <v>2</v>
      </c>
      <c r="G132" s="2" t="s">
        <v>629</v>
      </c>
      <c r="H132" s="12" t="s">
        <v>36</v>
      </c>
      <c r="I132" s="12" t="s">
        <v>34</v>
      </c>
      <c r="J132" s="31" t="s">
        <v>37</v>
      </c>
      <c r="L132" s="81" t="s">
        <v>157</v>
      </c>
    </row>
    <row r="133" spans="1:12" ht="30">
      <c r="A133" s="2" t="s">
        <v>615</v>
      </c>
      <c r="B133" s="2" t="s">
        <v>615</v>
      </c>
      <c r="C133" s="2" t="s">
        <v>630</v>
      </c>
      <c r="D133" s="2"/>
      <c r="E133" s="2" t="s">
        <v>216</v>
      </c>
      <c r="F133" s="2" t="s">
        <v>2</v>
      </c>
      <c r="G133" s="2" t="s">
        <v>631</v>
      </c>
      <c r="H133" s="12" t="s">
        <v>36</v>
      </c>
      <c r="I133" s="12" t="s">
        <v>33</v>
      </c>
      <c r="J133" s="31" t="s">
        <v>37</v>
      </c>
      <c r="L133" s="81" t="s">
        <v>157</v>
      </c>
    </row>
    <row r="134" spans="1:12" ht="30">
      <c r="A134" s="2" t="s">
        <v>615</v>
      </c>
      <c r="B134" s="2" t="s">
        <v>615</v>
      </c>
      <c r="C134" s="2" t="s">
        <v>632</v>
      </c>
      <c r="D134" s="2"/>
      <c r="E134" s="2" t="s">
        <v>633</v>
      </c>
      <c r="F134" s="2" t="s">
        <v>2</v>
      </c>
      <c r="G134" s="2" t="s">
        <v>634</v>
      </c>
      <c r="H134" s="12" t="s">
        <v>580</v>
      </c>
      <c r="I134" s="12" t="s">
        <v>468</v>
      </c>
      <c r="J134" s="31" t="s">
        <v>37</v>
      </c>
      <c r="L134" s="81" t="s">
        <v>157</v>
      </c>
    </row>
    <row r="135" spans="1:12" ht="30">
      <c r="A135" s="2" t="s">
        <v>646</v>
      </c>
      <c r="B135" s="2" t="s">
        <v>646</v>
      </c>
      <c r="C135" s="2" t="s">
        <v>647</v>
      </c>
      <c r="D135" s="2"/>
      <c r="E135" s="2" t="s">
        <v>648</v>
      </c>
      <c r="F135" s="2" t="s">
        <v>2</v>
      </c>
      <c r="G135" s="2" t="s">
        <v>649</v>
      </c>
      <c r="H135" s="12" t="s">
        <v>287</v>
      </c>
      <c r="I135" s="12" t="s">
        <v>64</v>
      </c>
      <c r="J135" s="31" t="s">
        <v>62</v>
      </c>
      <c r="L135" s="81" t="s">
        <v>157</v>
      </c>
    </row>
    <row r="136" spans="1:12" ht="30">
      <c r="A136" s="2" t="s">
        <v>646</v>
      </c>
      <c r="B136" s="2" t="s">
        <v>646</v>
      </c>
      <c r="C136" s="2" t="s">
        <v>650</v>
      </c>
      <c r="D136" s="2"/>
      <c r="E136" s="2" t="s">
        <v>651</v>
      </c>
      <c r="F136" s="2" t="s">
        <v>2</v>
      </c>
      <c r="G136" s="2" t="s">
        <v>652</v>
      </c>
      <c r="H136" s="12" t="s">
        <v>707</v>
      </c>
      <c r="I136" s="12" t="s">
        <v>416</v>
      </c>
      <c r="J136" s="31" t="s">
        <v>38</v>
      </c>
      <c r="L136" s="81" t="s">
        <v>157</v>
      </c>
    </row>
    <row r="137" spans="1:12" ht="30">
      <c r="A137" s="2" t="s">
        <v>646</v>
      </c>
      <c r="B137" s="2" t="s">
        <v>646</v>
      </c>
      <c r="C137" s="2" t="s">
        <v>653</v>
      </c>
      <c r="D137" s="2"/>
      <c r="E137" s="2" t="s">
        <v>654</v>
      </c>
      <c r="F137" s="2" t="s">
        <v>2</v>
      </c>
      <c r="G137" s="2" t="s">
        <v>655</v>
      </c>
      <c r="H137" s="12" t="s">
        <v>39</v>
      </c>
      <c r="I137" s="12" t="s">
        <v>416</v>
      </c>
      <c r="J137" s="31" t="s">
        <v>581</v>
      </c>
      <c r="L137" s="81" t="s">
        <v>157</v>
      </c>
    </row>
    <row r="138" spans="1:12" ht="30">
      <c r="A138" s="2" t="s">
        <v>646</v>
      </c>
      <c r="B138" s="2" t="s">
        <v>646</v>
      </c>
      <c r="C138" s="2" t="s">
        <v>656</v>
      </c>
      <c r="D138" s="2"/>
      <c r="E138" s="2" t="s">
        <v>657</v>
      </c>
      <c r="F138" s="2" t="s">
        <v>2</v>
      </c>
      <c r="G138" s="2" t="s">
        <v>658</v>
      </c>
      <c r="H138" s="12" t="s">
        <v>39</v>
      </c>
      <c r="I138" s="12" t="s">
        <v>708</v>
      </c>
      <c r="J138" s="31" t="s">
        <v>62</v>
      </c>
      <c r="L138" s="81" t="s">
        <v>157</v>
      </c>
    </row>
    <row r="139" spans="1:12" ht="30">
      <c r="A139" s="2" t="s">
        <v>646</v>
      </c>
      <c r="B139" s="2" t="s">
        <v>646</v>
      </c>
      <c r="C139" s="2" t="s">
        <v>659</v>
      </c>
      <c r="D139" s="2"/>
      <c r="E139" s="2" t="s">
        <v>660</v>
      </c>
      <c r="F139" s="2" t="s">
        <v>2</v>
      </c>
      <c r="G139" s="2" t="s">
        <v>661</v>
      </c>
      <c r="H139" s="12" t="s">
        <v>136</v>
      </c>
      <c r="I139" s="12" t="s">
        <v>139</v>
      </c>
      <c r="J139" s="31" t="s">
        <v>62</v>
      </c>
      <c r="L139" s="81" t="s">
        <v>157</v>
      </c>
    </row>
    <row r="140" spans="1:12" ht="30">
      <c r="A140" s="2" t="s">
        <v>646</v>
      </c>
      <c r="B140" s="2" t="s">
        <v>646</v>
      </c>
      <c r="C140" s="2" t="s">
        <v>662</v>
      </c>
      <c r="D140" s="2"/>
      <c r="E140" s="2" t="s">
        <v>663</v>
      </c>
      <c r="F140" s="2" t="s">
        <v>2</v>
      </c>
      <c r="G140" s="2" t="s">
        <v>664</v>
      </c>
      <c r="H140" s="12" t="s">
        <v>39</v>
      </c>
      <c r="I140" s="12" t="s">
        <v>709</v>
      </c>
      <c r="J140" s="31" t="s">
        <v>38</v>
      </c>
      <c r="L140" s="81" t="s">
        <v>157</v>
      </c>
    </row>
    <row r="141" spans="1:12" ht="30">
      <c r="A141" s="2" t="s">
        <v>646</v>
      </c>
      <c r="B141" s="2" t="s">
        <v>646</v>
      </c>
      <c r="C141" s="2" t="s">
        <v>665</v>
      </c>
      <c r="D141" s="2"/>
      <c r="E141" s="2" t="s">
        <v>657</v>
      </c>
      <c r="F141" s="2" t="s">
        <v>2</v>
      </c>
      <c r="G141" s="2" t="s">
        <v>666</v>
      </c>
      <c r="H141" s="12" t="s">
        <v>39</v>
      </c>
      <c r="I141" s="12" t="s">
        <v>710</v>
      </c>
      <c r="J141" s="31" t="s">
        <v>62</v>
      </c>
      <c r="L141" s="81" t="s">
        <v>157</v>
      </c>
    </row>
    <row r="142" spans="1:12" ht="30">
      <c r="A142" s="2" t="s">
        <v>646</v>
      </c>
      <c r="B142" s="2" t="s">
        <v>646</v>
      </c>
      <c r="C142" s="2" t="s">
        <v>667</v>
      </c>
      <c r="D142" s="2"/>
      <c r="E142" s="2" t="s">
        <v>657</v>
      </c>
      <c r="F142" s="2" t="s">
        <v>2</v>
      </c>
      <c r="G142" s="2" t="s">
        <v>668</v>
      </c>
      <c r="H142" s="12" t="s">
        <v>39</v>
      </c>
      <c r="I142" s="12" t="s">
        <v>711</v>
      </c>
      <c r="J142" s="31" t="s">
        <v>62</v>
      </c>
      <c r="L142" s="81" t="s">
        <v>157</v>
      </c>
    </row>
    <row r="143" spans="1:12" ht="30">
      <c r="A143" s="2" t="s">
        <v>646</v>
      </c>
      <c r="B143" s="2" t="s">
        <v>646</v>
      </c>
      <c r="C143" s="2" t="s">
        <v>669</v>
      </c>
      <c r="D143" s="2"/>
      <c r="E143" s="2" t="s">
        <v>670</v>
      </c>
      <c r="F143" s="2" t="s">
        <v>2</v>
      </c>
      <c r="G143" s="2" t="s">
        <v>671</v>
      </c>
      <c r="H143" s="12" t="s">
        <v>712</v>
      </c>
      <c r="I143" s="12" t="s">
        <v>711</v>
      </c>
      <c r="J143" s="31" t="s">
        <v>62</v>
      </c>
      <c r="L143" s="81" t="s">
        <v>157</v>
      </c>
    </row>
    <row r="144" spans="1:12" ht="30">
      <c r="A144" s="2" t="s">
        <v>646</v>
      </c>
      <c r="B144" s="2" t="s">
        <v>646</v>
      </c>
      <c r="C144" s="2" t="s">
        <v>672</v>
      </c>
      <c r="D144" s="2"/>
      <c r="E144" s="2" t="s">
        <v>673</v>
      </c>
      <c r="F144" s="2" t="s">
        <v>2</v>
      </c>
      <c r="G144" s="2" t="s">
        <v>674</v>
      </c>
      <c r="H144" s="12" t="s">
        <v>707</v>
      </c>
      <c r="I144" s="12" t="s">
        <v>713</v>
      </c>
      <c r="J144" s="31" t="s">
        <v>38</v>
      </c>
      <c r="L144" s="81" t="s">
        <v>157</v>
      </c>
    </row>
    <row r="145" spans="1:12" ht="30">
      <c r="A145" s="2" t="s">
        <v>646</v>
      </c>
      <c r="B145" s="2" t="s">
        <v>646</v>
      </c>
      <c r="C145" s="2" t="s">
        <v>675</v>
      </c>
      <c r="D145" s="2"/>
      <c r="E145" s="2" t="s">
        <v>676</v>
      </c>
      <c r="F145" s="2" t="s">
        <v>2</v>
      </c>
      <c r="G145" s="2" t="s">
        <v>677</v>
      </c>
      <c r="H145" s="12" t="s">
        <v>714</v>
      </c>
      <c r="I145" s="12" t="s">
        <v>715</v>
      </c>
      <c r="J145" s="31" t="s">
        <v>62</v>
      </c>
      <c r="L145" s="81" t="s">
        <v>157</v>
      </c>
    </row>
    <row r="146" spans="1:12" ht="30">
      <c r="A146" s="2" t="s">
        <v>646</v>
      </c>
      <c r="B146" s="2" t="s">
        <v>646</v>
      </c>
      <c r="C146" s="2" t="s">
        <v>678</v>
      </c>
      <c r="D146" s="2"/>
      <c r="E146" s="2" t="s">
        <v>679</v>
      </c>
      <c r="F146" s="2" t="s">
        <v>2</v>
      </c>
      <c r="G146" s="2" t="s">
        <v>680</v>
      </c>
      <c r="H146" s="12" t="s">
        <v>293</v>
      </c>
      <c r="I146" s="12" t="s">
        <v>145</v>
      </c>
      <c r="J146" s="31" t="s">
        <v>62</v>
      </c>
      <c r="L146" s="81" t="s">
        <v>157</v>
      </c>
    </row>
    <row r="147" spans="1:12" ht="30">
      <c r="A147" s="2" t="s">
        <v>646</v>
      </c>
      <c r="B147" s="2" t="s">
        <v>646</v>
      </c>
      <c r="C147" s="2" t="s">
        <v>681</v>
      </c>
      <c r="D147" s="2"/>
      <c r="E147" s="2" t="s">
        <v>673</v>
      </c>
      <c r="F147" s="2" t="s">
        <v>2</v>
      </c>
      <c r="G147" s="2" t="s">
        <v>682</v>
      </c>
      <c r="H147" s="12" t="s">
        <v>298</v>
      </c>
      <c r="I147" s="12" t="s">
        <v>716</v>
      </c>
      <c r="J147" s="31" t="s">
        <v>62</v>
      </c>
      <c r="L147" s="81" t="s">
        <v>157</v>
      </c>
    </row>
    <row r="148" spans="1:12" ht="30">
      <c r="A148" s="2" t="s">
        <v>646</v>
      </c>
      <c r="B148" s="2" t="s">
        <v>646</v>
      </c>
      <c r="C148" s="2" t="s">
        <v>683</v>
      </c>
      <c r="D148" s="2"/>
      <c r="E148" s="2" t="s">
        <v>684</v>
      </c>
      <c r="F148" s="2" t="s">
        <v>2</v>
      </c>
      <c r="G148" s="2" t="s">
        <v>685</v>
      </c>
      <c r="H148" s="12" t="s">
        <v>717</v>
      </c>
      <c r="I148" s="12" t="s">
        <v>468</v>
      </c>
      <c r="J148" s="31" t="s">
        <v>718</v>
      </c>
      <c r="L148" s="81" t="s">
        <v>157</v>
      </c>
    </row>
    <row r="149" spans="1:12" ht="30">
      <c r="A149" s="2" t="s">
        <v>646</v>
      </c>
      <c r="B149" s="2" t="s">
        <v>646</v>
      </c>
      <c r="C149" s="2" t="s">
        <v>686</v>
      </c>
      <c r="D149" s="2"/>
      <c r="E149" s="2" t="s">
        <v>687</v>
      </c>
      <c r="F149" s="2" t="s">
        <v>2</v>
      </c>
      <c r="G149" s="2" t="s">
        <v>688</v>
      </c>
      <c r="H149" s="12" t="s">
        <v>65</v>
      </c>
      <c r="I149" s="12" t="s">
        <v>719</v>
      </c>
      <c r="J149" s="31" t="s">
        <v>62</v>
      </c>
      <c r="L149" s="81" t="s">
        <v>157</v>
      </c>
    </row>
    <row r="150" spans="1:12" ht="30">
      <c r="A150" s="2" t="s">
        <v>646</v>
      </c>
      <c r="B150" s="2" t="s">
        <v>646</v>
      </c>
      <c r="C150" s="2" t="s">
        <v>689</v>
      </c>
      <c r="D150" s="2"/>
      <c r="E150" s="2" t="s">
        <v>690</v>
      </c>
      <c r="F150" s="2" t="s">
        <v>2</v>
      </c>
      <c r="G150" s="2" t="s">
        <v>691</v>
      </c>
      <c r="H150" s="12" t="s">
        <v>298</v>
      </c>
      <c r="I150" s="12" t="s">
        <v>713</v>
      </c>
      <c r="J150" s="31" t="s">
        <v>62</v>
      </c>
      <c r="L150" s="81" t="s">
        <v>157</v>
      </c>
    </row>
    <row r="151" spans="1:12" ht="30">
      <c r="A151" s="2" t="s">
        <v>646</v>
      </c>
      <c r="B151" s="2" t="s">
        <v>646</v>
      </c>
      <c r="C151" s="2" t="s">
        <v>692</v>
      </c>
      <c r="D151" s="2"/>
      <c r="E151" s="2" t="s">
        <v>693</v>
      </c>
      <c r="F151" s="2" t="s">
        <v>2</v>
      </c>
      <c r="G151" s="2" t="s">
        <v>694</v>
      </c>
      <c r="H151" s="12" t="s">
        <v>293</v>
      </c>
      <c r="I151" s="12" t="s">
        <v>713</v>
      </c>
      <c r="J151" s="31" t="s">
        <v>62</v>
      </c>
      <c r="L151" s="81" t="s">
        <v>157</v>
      </c>
    </row>
    <row r="152" spans="1:12" ht="30">
      <c r="A152" s="2" t="s">
        <v>646</v>
      </c>
      <c r="B152" s="2" t="s">
        <v>646</v>
      </c>
      <c r="C152" s="2" t="s">
        <v>695</v>
      </c>
      <c r="D152" s="2"/>
      <c r="E152" s="2" t="s">
        <v>696</v>
      </c>
      <c r="F152" s="2" t="s">
        <v>2</v>
      </c>
      <c r="G152" s="2" t="s">
        <v>697</v>
      </c>
      <c r="H152" s="12" t="s">
        <v>720</v>
      </c>
      <c r="I152" s="12" t="s">
        <v>721</v>
      </c>
      <c r="J152" s="31" t="s">
        <v>62</v>
      </c>
      <c r="L152" s="81" t="s">
        <v>157</v>
      </c>
    </row>
    <row r="153" spans="1:12" ht="30">
      <c r="A153" s="2" t="s">
        <v>646</v>
      </c>
      <c r="B153" s="2" t="s">
        <v>646</v>
      </c>
      <c r="C153" s="2" t="s">
        <v>698</v>
      </c>
      <c r="D153" s="2"/>
      <c r="E153" s="2" t="s">
        <v>699</v>
      </c>
      <c r="F153" s="2" t="s">
        <v>2</v>
      </c>
      <c r="G153" s="2" t="s">
        <v>700</v>
      </c>
      <c r="H153" s="12" t="s">
        <v>580</v>
      </c>
      <c r="I153" s="12" t="s">
        <v>722</v>
      </c>
      <c r="J153" s="31" t="s">
        <v>581</v>
      </c>
      <c r="L153" s="81" t="s">
        <v>157</v>
      </c>
    </row>
    <row r="154" spans="1:12" ht="30">
      <c r="A154" s="2" t="s">
        <v>646</v>
      </c>
      <c r="B154" s="2" t="s">
        <v>646</v>
      </c>
      <c r="C154" s="2" t="s">
        <v>701</v>
      </c>
      <c r="D154" s="2"/>
      <c r="E154" s="2" t="s">
        <v>702</v>
      </c>
      <c r="F154" s="2" t="s">
        <v>2</v>
      </c>
      <c r="G154" s="2" t="s">
        <v>703</v>
      </c>
      <c r="H154" s="12" t="s">
        <v>580</v>
      </c>
      <c r="I154" s="12" t="s">
        <v>723</v>
      </c>
      <c r="J154" s="31" t="s">
        <v>581</v>
      </c>
      <c r="L154" s="81" t="s">
        <v>157</v>
      </c>
    </row>
    <row r="155" spans="1:12" ht="30">
      <c r="A155" s="2" t="s">
        <v>646</v>
      </c>
      <c r="B155" s="2" t="s">
        <v>646</v>
      </c>
      <c r="C155" s="2" t="s">
        <v>704</v>
      </c>
      <c r="D155" s="2"/>
      <c r="E155" s="2" t="s">
        <v>705</v>
      </c>
      <c r="F155" s="2" t="s">
        <v>2</v>
      </c>
      <c r="G155" s="2" t="s">
        <v>706</v>
      </c>
      <c r="H155" s="12" t="s">
        <v>724</v>
      </c>
      <c r="I155" s="12" t="s">
        <v>277</v>
      </c>
      <c r="J155" s="31" t="s">
        <v>718</v>
      </c>
      <c r="L155" s="81" t="s">
        <v>157</v>
      </c>
    </row>
    <row r="156" spans="1:12" ht="30">
      <c r="A156" s="2" t="s">
        <v>739</v>
      </c>
      <c r="B156" s="2" t="s">
        <v>739</v>
      </c>
      <c r="C156" s="2" t="s">
        <v>740</v>
      </c>
      <c r="D156" s="2"/>
      <c r="E156" s="2" t="s">
        <v>125</v>
      </c>
      <c r="F156" s="2" t="s">
        <v>2</v>
      </c>
      <c r="G156" s="2" t="s">
        <v>741</v>
      </c>
      <c r="H156" s="12" t="s">
        <v>580</v>
      </c>
      <c r="I156" s="12" t="s">
        <v>799</v>
      </c>
      <c r="J156" s="31" t="s">
        <v>581</v>
      </c>
      <c r="L156" s="81" t="s">
        <v>157</v>
      </c>
    </row>
    <row r="157" spans="1:12" ht="30">
      <c r="A157" s="2" t="s">
        <v>739</v>
      </c>
      <c r="B157" s="2" t="s">
        <v>739</v>
      </c>
      <c r="C157" s="2" t="s">
        <v>742</v>
      </c>
      <c r="D157" s="2"/>
      <c r="E157" s="2" t="s">
        <v>743</v>
      </c>
      <c r="F157" s="2" t="s">
        <v>2</v>
      </c>
      <c r="G157" s="2" t="s">
        <v>744</v>
      </c>
      <c r="H157" s="12" t="s">
        <v>580</v>
      </c>
      <c r="I157" s="12" t="s">
        <v>800</v>
      </c>
      <c r="J157" s="31" t="s">
        <v>581</v>
      </c>
      <c r="L157" s="81" t="s">
        <v>157</v>
      </c>
    </row>
    <row r="158" spans="1:12" ht="30">
      <c r="A158" s="2" t="s">
        <v>739</v>
      </c>
      <c r="B158" s="2" t="s">
        <v>739</v>
      </c>
      <c r="C158" s="2" t="s">
        <v>745</v>
      </c>
      <c r="D158" s="2"/>
      <c r="E158" s="2" t="s">
        <v>746</v>
      </c>
      <c r="F158" s="2" t="s">
        <v>2</v>
      </c>
      <c r="G158" s="2" t="s">
        <v>747</v>
      </c>
      <c r="H158" s="12" t="s">
        <v>36</v>
      </c>
      <c r="I158" s="12" t="s">
        <v>33</v>
      </c>
      <c r="J158" s="31" t="s">
        <v>37</v>
      </c>
      <c r="L158" s="81" t="s">
        <v>157</v>
      </c>
    </row>
    <row r="159" spans="1:12" ht="30">
      <c r="A159" s="2" t="s">
        <v>739</v>
      </c>
      <c r="B159" s="2" t="s">
        <v>739</v>
      </c>
      <c r="C159" s="2" t="s">
        <v>748</v>
      </c>
      <c r="D159" s="2"/>
      <c r="E159" s="2" t="s">
        <v>219</v>
      </c>
      <c r="F159" s="2" t="s">
        <v>2</v>
      </c>
      <c r="G159" s="2" t="s">
        <v>749</v>
      </c>
      <c r="H159" s="12" t="s">
        <v>36</v>
      </c>
      <c r="I159" s="12" t="s">
        <v>31</v>
      </c>
      <c r="J159" s="31" t="s">
        <v>37</v>
      </c>
      <c r="L159" s="81" t="s">
        <v>157</v>
      </c>
    </row>
    <row r="160" spans="1:12" ht="30">
      <c r="A160" s="2" t="s">
        <v>739</v>
      </c>
      <c r="B160" s="2" t="s">
        <v>739</v>
      </c>
      <c r="C160" s="2" t="s">
        <v>750</v>
      </c>
      <c r="D160" s="2"/>
      <c r="E160" s="2" t="s">
        <v>219</v>
      </c>
      <c r="F160" s="2" t="s">
        <v>2</v>
      </c>
      <c r="G160" s="2" t="s">
        <v>751</v>
      </c>
      <c r="H160" s="12" t="s">
        <v>36</v>
      </c>
      <c r="I160" s="12" t="s">
        <v>34</v>
      </c>
      <c r="J160" s="31" t="s">
        <v>37</v>
      </c>
      <c r="L160" s="81" t="s">
        <v>157</v>
      </c>
    </row>
    <row r="161" spans="1:13" ht="30">
      <c r="A161" s="2" t="s">
        <v>739</v>
      </c>
      <c r="B161" s="2" t="s">
        <v>739</v>
      </c>
      <c r="C161" s="2" t="s">
        <v>752</v>
      </c>
      <c r="D161" s="2"/>
      <c r="E161" s="2" t="s">
        <v>699</v>
      </c>
      <c r="F161" s="2" t="s">
        <v>2</v>
      </c>
      <c r="G161" s="2" t="s">
        <v>753</v>
      </c>
      <c r="H161" s="12" t="s">
        <v>580</v>
      </c>
      <c r="I161" s="12" t="s">
        <v>801</v>
      </c>
      <c r="J161" s="31" t="s">
        <v>37</v>
      </c>
      <c r="L161" s="81" t="s">
        <v>157</v>
      </c>
    </row>
    <row r="162" spans="1:13" ht="30">
      <c r="A162" s="2" t="s">
        <v>739</v>
      </c>
      <c r="B162" s="2" t="s">
        <v>739</v>
      </c>
      <c r="C162" s="2" t="s">
        <v>754</v>
      </c>
      <c r="D162" s="2"/>
      <c r="E162" s="2" t="s">
        <v>563</v>
      </c>
      <c r="F162" s="2" t="s">
        <v>2</v>
      </c>
      <c r="G162" s="100" t="s">
        <v>755</v>
      </c>
      <c r="H162" s="12" t="s">
        <v>36</v>
      </c>
      <c r="I162" s="12" t="s">
        <v>38</v>
      </c>
      <c r="J162" s="31" t="s">
        <v>37</v>
      </c>
      <c r="L162" s="81" t="s">
        <v>157</v>
      </c>
    </row>
    <row r="163" spans="1:13" ht="30">
      <c r="A163" s="2" t="s">
        <v>756</v>
      </c>
      <c r="B163" s="2" t="s">
        <v>756</v>
      </c>
      <c r="C163" s="2" t="s">
        <v>757</v>
      </c>
      <c r="D163" s="2"/>
      <c r="E163" s="2" t="s">
        <v>2</v>
      </c>
      <c r="F163" s="2" t="s">
        <v>758</v>
      </c>
      <c r="G163" s="2" t="s">
        <v>759</v>
      </c>
      <c r="H163" s="12" t="s">
        <v>435</v>
      </c>
      <c r="I163" s="12" t="s">
        <v>42</v>
      </c>
      <c r="J163" s="31" t="s">
        <v>40</v>
      </c>
      <c r="K163" s="31" t="s">
        <v>434</v>
      </c>
      <c r="L163" s="81" t="s">
        <v>446</v>
      </c>
      <c r="M163">
        <v>39682</v>
      </c>
    </row>
    <row r="164" spans="1:13">
      <c r="A164" s="2" t="s">
        <v>756</v>
      </c>
      <c r="B164" s="2" t="s">
        <v>756</v>
      </c>
      <c r="C164" s="2" t="s">
        <v>760</v>
      </c>
      <c r="D164" s="2"/>
      <c r="E164" s="2" t="s">
        <v>2</v>
      </c>
      <c r="F164" s="2" t="s">
        <v>761</v>
      </c>
      <c r="G164" s="2" t="s">
        <v>762</v>
      </c>
    </row>
    <row r="165" spans="1:13" ht="30">
      <c r="A165" s="2" t="s">
        <v>763</v>
      </c>
      <c r="B165" s="2" t="s">
        <v>763</v>
      </c>
      <c r="C165" s="2" t="s">
        <v>764</v>
      </c>
      <c r="D165" s="2"/>
      <c r="E165" s="2" t="s">
        <v>2</v>
      </c>
      <c r="F165" s="2" t="s">
        <v>765</v>
      </c>
      <c r="G165" s="2" t="s">
        <v>766</v>
      </c>
      <c r="H165" s="31" t="s">
        <v>317</v>
      </c>
      <c r="I165" s="81" t="s">
        <v>280</v>
      </c>
      <c r="J165" s="81" t="s">
        <v>40</v>
      </c>
      <c r="K165" t="s">
        <v>319</v>
      </c>
      <c r="L165" s="81" t="s">
        <v>446</v>
      </c>
      <c r="M165">
        <v>99450</v>
      </c>
    </row>
    <row r="166" spans="1:13" ht="30">
      <c r="A166" s="2" t="s">
        <v>763</v>
      </c>
      <c r="B166" s="2" t="s">
        <v>763</v>
      </c>
      <c r="C166" s="2" t="s">
        <v>767</v>
      </c>
      <c r="D166" s="2"/>
      <c r="E166" s="2" t="s">
        <v>2</v>
      </c>
      <c r="F166" s="2" t="s">
        <v>768</v>
      </c>
      <c r="G166" s="2" t="s">
        <v>769</v>
      </c>
      <c r="H166" s="31" t="s">
        <v>293</v>
      </c>
      <c r="I166" s="81" t="s">
        <v>280</v>
      </c>
      <c r="J166" s="81" t="s">
        <v>40</v>
      </c>
      <c r="K166" t="s">
        <v>292</v>
      </c>
      <c r="L166" s="81" t="s">
        <v>157</v>
      </c>
    </row>
    <row r="167" spans="1:13" ht="30">
      <c r="A167" s="2" t="s">
        <v>763</v>
      </c>
      <c r="B167" s="2" t="s">
        <v>763</v>
      </c>
      <c r="C167" s="2" t="s">
        <v>770</v>
      </c>
      <c r="D167" s="2"/>
      <c r="E167" s="2" t="s">
        <v>2</v>
      </c>
      <c r="F167" s="2" t="s">
        <v>771</v>
      </c>
      <c r="G167" s="2" t="s">
        <v>772</v>
      </c>
      <c r="H167" s="31" t="s">
        <v>317</v>
      </c>
      <c r="I167" s="81" t="s">
        <v>280</v>
      </c>
      <c r="J167" s="81" t="s">
        <v>40</v>
      </c>
      <c r="K167" s="81" t="s">
        <v>318</v>
      </c>
      <c r="L167" s="81" t="s">
        <v>446</v>
      </c>
      <c r="M167">
        <v>135749</v>
      </c>
    </row>
    <row r="168" spans="1:13" ht="30">
      <c r="A168" s="2" t="s">
        <v>763</v>
      </c>
      <c r="B168" s="2" t="s">
        <v>763</v>
      </c>
      <c r="C168" s="2" t="s">
        <v>773</v>
      </c>
      <c r="D168" s="2"/>
      <c r="E168" s="2" t="s">
        <v>2</v>
      </c>
      <c r="F168" s="2" t="s">
        <v>774</v>
      </c>
      <c r="G168" s="2" t="s">
        <v>775</v>
      </c>
      <c r="H168" s="31" t="s">
        <v>287</v>
      </c>
      <c r="I168" s="81" t="s">
        <v>280</v>
      </c>
      <c r="J168" s="81" t="s">
        <v>40</v>
      </c>
      <c r="K168" s="81" t="s">
        <v>315</v>
      </c>
      <c r="L168" s="81" t="s">
        <v>446</v>
      </c>
      <c r="M168">
        <v>150391</v>
      </c>
    </row>
    <row r="169" spans="1:13" ht="30">
      <c r="A169" s="2" t="s">
        <v>776</v>
      </c>
      <c r="B169" s="2" t="s">
        <v>776</v>
      </c>
      <c r="C169" s="2" t="s">
        <v>777</v>
      </c>
      <c r="D169" s="2"/>
      <c r="E169" s="2" t="s">
        <v>699</v>
      </c>
      <c r="F169" s="2" t="s">
        <v>2</v>
      </c>
      <c r="G169" s="2" t="s">
        <v>778</v>
      </c>
      <c r="H169" s="31" t="s">
        <v>500</v>
      </c>
      <c r="I169" s="81" t="s">
        <v>722</v>
      </c>
      <c r="J169" s="81" t="s">
        <v>581</v>
      </c>
      <c r="L169" s="81" t="s">
        <v>446</v>
      </c>
      <c r="M169">
        <f>SUM(M163:M168)</f>
        <v>425272</v>
      </c>
    </row>
    <row r="170" spans="1:13" ht="45">
      <c r="A170" s="2" t="s">
        <v>776</v>
      </c>
      <c r="B170" s="2" t="s">
        <v>776</v>
      </c>
      <c r="C170" s="2" t="s">
        <v>779</v>
      </c>
      <c r="D170" s="2"/>
      <c r="E170" s="2" t="s">
        <v>780</v>
      </c>
      <c r="F170" s="2" t="s">
        <v>2</v>
      </c>
      <c r="G170" s="2" t="s">
        <v>781</v>
      </c>
      <c r="H170" s="31" t="s">
        <v>500</v>
      </c>
      <c r="I170" s="81" t="s">
        <v>328</v>
      </c>
      <c r="J170" s="81" t="s">
        <v>581</v>
      </c>
      <c r="L170" s="81" t="s">
        <v>446</v>
      </c>
      <c r="M170">
        <v>-200000</v>
      </c>
    </row>
    <row r="171" spans="1:13" ht="30">
      <c r="A171" s="2" t="s">
        <v>776</v>
      </c>
      <c r="B171" s="2" t="s">
        <v>776</v>
      </c>
      <c r="C171" s="2" t="s">
        <v>782</v>
      </c>
      <c r="D171" s="2"/>
      <c r="E171" s="2" t="s">
        <v>780</v>
      </c>
      <c r="F171" s="2" t="s">
        <v>2</v>
      </c>
      <c r="G171" s="2" t="s">
        <v>783</v>
      </c>
      <c r="H171" s="31" t="s">
        <v>500</v>
      </c>
      <c r="I171" s="81" t="s">
        <v>330</v>
      </c>
      <c r="J171" s="81" t="s">
        <v>581</v>
      </c>
      <c r="L171" s="81" t="s">
        <v>446</v>
      </c>
      <c r="M171">
        <f>SUM(M169:M170)</f>
        <v>225272</v>
      </c>
    </row>
    <row r="172" spans="1:13" ht="30">
      <c r="A172" s="2" t="s">
        <v>776</v>
      </c>
      <c r="B172" s="2" t="s">
        <v>776</v>
      </c>
      <c r="C172" s="2" t="s">
        <v>784</v>
      </c>
      <c r="D172" s="2"/>
      <c r="E172" s="2" t="s">
        <v>219</v>
      </c>
      <c r="F172" s="2" t="s">
        <v>2</v>
      </c>
      <c r="G172" s="2" t="s">
        <v>785</v>
      </c>
      <c r="H172" s="31" t="s">
        <v>36</v>
      </c>
      <c r="I172" s="81" t="s">
        <v>38</v>
      </c>
      <c r="J172" s="81" t="s">
        <v>37</v>
      </c>
      <c r="L172" s="81" t="s">
        <v>446</v>
      </c>
    </row>
    <row r="173" spans="1:13" ht="45">
      <c r="A173" s="2" t="s">
        <v>776</v>
      </c>
      <c r="B173" s="2" t="s">
        <v>776</v>
      </c>
      <c r="C173" s="2" t="s">
        <v>786</v>
      </c>
      <c r="D173" s="2"/>
      <c r="E173" s="2" t="s">
        <v>216</v>
      </c>
      <c r="F173" s="2" t="s">
        <v>2</v>
      </c>
      <c r="G173" s="2" t="s">
        <v>787</v>
      </c>
      <c r="H173" s="31" t="s">
        <v>500</v>
      </c>
      <c r="I173" s="81" t="s">
        <v>726</v>
      </c>
      <c r="J173" s="81" t="s">
        <v>581</v>
      </c>
      <c r="L173" s="81" t="s">
        <v>157</v>
      </c>
    </row>
    <row r="174" spans="1:13" ht="45">
      <c r="A174" s="2" t="s">
        <v>776</v>
      </c>
      <c r="B174" s="2" t="s">
        <v>776</v>
      </c>
      <c r="C174" s="2" t="s">
        <v>788</v>
      </c>
      <c r="D174" s="2"/>
      <c r="E174" s="2" t="s">
        <v>789</v>
      </c>
      <c r="F174" s="2" t="s">
        <v>2</v>
      </c>
      <c r="G174" s="2" t="s">
        <v>790</v>
      </c>
      <c r="H174" s="31" t="s">
        <v>802</v>
      </c>
      <c r="I174" s="81" t="s">
        <v>803</v>
      </c>
      <c r="J174" s="81" t="s">
        <v>803</v>
      </c>
    </row>
    <row r="175" spans="1:13" ht="30">
      <c r="A175" s="2" t="s">
        <v>791</v>
      </c>
      <c r="B175" s="2" t="s">
        <v>791</v>
      </c>
      <c r="C175" s="2" t="s">
        <v>792</v>
      </c>
      <c r="D175" s="2"/>
      <c r="E175" s="2" t="s">
        <v>793</v>
      </c>
      <c r="F175" s="2" t="s">
        <v>2</v>
      </c>
      <c r="G175" s="2" t="s">
        <v>794</v>
      </c>
      <c r="H175" s="31" t="s">
        <v>477</v>
      </c>
      <c r="I175" s="81" t="s">
        <v>804</v>
      </c>
      <c r="J175" s="81" t="s">
        <v>38</v>
      </c>
      <c r="L175" s="81" t="s">
        <v>157</v>
      </c>
    </row>
    <row r="176" spans="1:13" ht="30">
      <c r="A176" s="2" t="s">
        <v>795</v>
      </c>
      <c r="B176" s="2" t="s">
        <v>795</v>
      </c>
      <c r="C176" s="2" t="s">
        <v>796</v>
      </c>
      <c r="D176" s="2"/>
      <c r="E176" s="2" t="s">
        <v>797</v>
      </c>
      <c r="F176" s="2" t="s">
        <v>2</v>
      </c>
      <c r="G176" s="2" t="s">
        <v>798</v>
      </c>
      <c r="H176" s="31" t="s">
        <v>274</v>
      </c>
      <c r="I176" s="81" t="s">
        <v>330</v>
      </c>
      <c r="J176" s="81" t="s">
        <v>325</v>
      </c>
      <c r="L176" s="81" t="s">
        <v>495</v>
      </c>
    </row>
    <row r="177" spans="1:13" ht="30">
      <c r="A177" s="2" t="s">
        <v>815</v>
      </c>
      <c r="B177" s="2" t="s">
        <v>815</v>
      </c>
      <c r="C177" s="2" t="s">
        <v>816</v>
      </c>
      <c r="D177" s="2"/>
      <c r="E177" s="2" t="s">
        <v>817</v>
      </c>
      <c r="F177" s="2" t="s">
        <v>2</v>
      </c>
      <c r="G177" s="2" t="s">
        <v>818</v>
      </c>
      <c r="H177" s="31" t="s">
        <v>320</v>
      </c>
      <c r="I177" s="81" t="s">
        <v>289</v>
      </c>
      <c r="J177" s="81" t="s">
        <v>32</v>
      </c>
      <c r="L177" s="81" t="s">
        <v>495</v>
      </c>
    </row>
    <row r="178" spans="1:13" ht="30">
      <c r="A178" s="2" t="s">
        <v>815</v>
      </c>
      <c r="B178" s="2" t="s">
        <v>815</v>
      </c>
      <c r="C178" s="2" t="s">
        <v>819</v>
      </c>
      <c r="D178" s="2"/>
      <c r="E178" s="2" t="s">
        <v>820</v>
      </c>
      <c r="F178" s="2" t="s">
        <v>2</v>
      </c>
      <c r="G178" s="2" t="s">
        <v>821</v>
      </c>
      <c r="H178" s="31" t="s">
        <v>492</v>
      </c>
      <c r="I178" s="81" t="s">
        <v>289</v>
      </c>
      <c r="J178" s="81" t="s">
        <v>62</v>
      </c>
      <c r="L178" s="81" t="s">
        <v>495</v>
      </c>
    </row>
    <row r="179" spans="1:13" ht="30">
      <c r="A179" s="2" t="s">
        <v>815</v>
      </c>
      <c r="B179" s="2" t="s">
        <v>815</v>
      </c>
      <c r="C179" s="2" t="s">
        <v>822</v>
      </c>
      <c r="D179" s="2"/>
      <c r="E179" s="2" t="s">
        <v>566</v>
      </c>
      <c r="F179" s="2" t="s">
        <v>2</v>
      </c>
      <c r="G179" s="2" t="s">
        <v>823</v>
      </c>
      <c r="H179" s="31" t="s">
        <v>580</v>
      </c>
      <c r="I179" s="81" t="s">
        <v>289</v>
      </c>
      <c r="J179" s="81" t="s">
        <v>581</v>
      </c>
      <c r="L179" s="81" t="s">
        <v>157</v>
      </c>
    </row>
    <row r="180" spans="1:13" ht="45">
      <c r="A180" s="2" t="s">
        <v>824</v>
      </c>
      <c r="B180" s="2" t="s">
        <v>824</v>
      </c>
      <c r="C180" s="2" t="s">
        <v>825</v>
      </c>
      <c r="D180" s="2"/>
      <c r="E180" s="2" t="s">
        <v>2</v>
      </c>
      <c r="F180" s="2" t="s">
        <v>826</v>
      </c>
      <c r="G180" s="2" t="s">
        <v>827</v>
      </c>
      <c r="H180" s="31" t="s">
        <v>304</v>
      </c>
      <c r="I180" s="81" t="s">
        <v>33</v>
      </c>
      <c r="J180" s="81" t="s">
        <v>718</v>
      </c>
      <c r="L180" s="81" t="s">
        <v>157</v>
      </c>
    </row>
    <row r="181" spans="1:13" ht="45">
      <c r="A181" s="2" t="s">
        <v>824</v>
      </c>
      <c r="B181" s="2" t="s">
        <v>824</v>
      </c>
      <c r="C181" s="2" t="s">
        <v>828</v>
      </c>
      <c r="D181" s="2"/>
      <c r="E181" s="2" t="s">
        <v>620</v>
      </c>
      <c r="F181" s="2" t="s">
        <v>2</v>
      </c>
      <c r="G181" s="2" t="s">
        <v>829</v>
      </c>
      <c r="H181" s="31" t="s">
        <v>806</v>
      </c>
      <c r="I181" s="81" t="s">
        <v>832</v>
      </c>
      <c r="J181" s="81" t="s">
        <v>37</v>
      </c>
      <c r="L181" s="81" t="s">
        <v>375</v>
      </c>
      <c r="M181" s="81" t="s">
        <v>602</v>
      </c>
    </row>
    <row r="182" spans="1:13" ht="45">
      <c r="A182" s="2" t="s">
        <v>824</v>
      </c>
      <c r="B182" s="2" t="s">
        <v>824</v>
      </c>
      <c r="C182" s="2" t="s">
        <v>830</v>
      </c>
      <c r="D182" s="2"/>
      <c r="E182" s="2" t="s">
        <v>131</v>
      </c>
      <c r="F182" s="2" t="s">
        <v>2</v>
      </c>
      <c r="G182" s="2" t="s">
        <v>831</v>
      </c>
      <c r="H182" s="31" t="s">
        <v>806</v>
      </c>
      <c r="I182" s="81" t="s">
        <v>832</v>
      </c>
      <c r="J182" s="81" t="s">
        <v>37</v>
      </c>
      <c r="L182" s="81" t="s">
        <v>375</v>
      </c>
      <c r="M182" s="81" t="s">
        <v>602</v>
      </c>
    </row>
    <row r="183" spans="1:13" ht="30">
      <c r="A183" s="2" t="s">
        <v>859</v>
      </c>
      <c r="B183" s="2" t="s">
        <v>859</v>
      </c>
      <c r="C183" s="2" t="s">
        <v>860</v>
      </c>
      <c r="D183" s="2"/>
      <c r="E183" s="2" t="s">
        <v>2</v>
      </c>
      <c r="F183" s="2" t="s">
        <v>861</v>
      </c>
      <c r="G183" s="2" t="s">
        <v>862</v>
      </c>
      <c r="H183" s="31" t="s">
        <v>580</v>
      </c>
      <c r="I183" s="81" t="s">
        <v>283</v>
      </c>
      <c r="J183" s="81" t="s">
        <v>40</v>
      </c>
    </row>
    <row r="184" spans="1:13" ht="30">
      <c r="A184" s="2" t="s">
        <v>859</v>
      </c>
      <c r="B184" s="2" t="s">
        <v>859</v>
      </c>
      <c r="C184" s="2" t="s">
        <v>863</v>
      </c>
      <c r="D184" s="2"/>
      <c r="E184" s="2" t="s">
        <v>213</v>
      </c>
      <c r="F184" s="2" t="s">
        <v>2</v>
      </c>
      <c r="G184" s="2" t="s">
        <v>864</v>
      </c>
      <c r="H184" s="31" t="s">
        <v>36</v>
      </c>
      <c r="I184" s="81" t="s">
        <v>142</v>
      </c>
      <c r="J184" s="81" t="s">
        <v>37</v>
      </c>
    </row>
    <row r="185" spans="1:13" ht="30">
      <c r="A185" s="2" t="s">
        <v>859</v>
      </c>
      <c r="B185" s="2" t="s">
        <v>859</v>
      </c>
      <c r="C185" s="2" t="s">
        <v>865</v>
      </c>
      <c r="D185" s="2"/>
      <c r="E185" s="2" t="s">
        <v>563</v>
      </c>
      <c r="F185" s="2" t="s">
        <v>2</v>
      </c>
      <c r="G185" s="2" t="s">
        <v>866</v>
      </c>
      <c r="H185" s="31" t="s">
        <v>36</v>
      </c>
      <c r="I185" s="81" t="s">
        <v>34</v>
      </c>
      <c r="J185" s="81" t="s">
        <v>37</v>
      </c>
    </row>
    <row r="186" spans="1:13" ht="30">
      <c r="A186" s="2" t="s">
        <v>859</v>
      </c>
      <c r="B186" s="2" t="s">
        <v>859</v>
      </c>
      <c r="C186" s="2" t="s">
        <v>867</v>
      </c>
      <c r="D186" s="2"/>
      <c r="E186" s="2" t="s">
        <v>563</v>
      </c>
      <c r="F186" s="2" t="s">
        <v>2</v>
      </c>
      <c r="G186" s="2" t="s">
        <v>868</v>
      </c>
      <c r="H186" s="31" t="s">
        <v>36</v>
      </c>
      <c r="I186" s="81" t="s">
        <v>33</v>
      </c>
      <c r="J186" s="81" t="s">
        <v>37</v>
      </c>
    </row>
    <row r="187" spans="1:13" ht="30">
      <c r="A187" s="2" t="s">
        <v>859</v>
      </c>
      <c r="B187" s="2" t="s">
        <v>859</v>
      </c>
      <c r="C187" s="2" t="s">
        <v>869</v>
      </c>
      <c r="D187" s="2"/>
      <c r="E187" s="2" t="s">
        <v>563</v>
      </c>
      <c r="F187" s="2" t="s">
        <v>2</v>
      </c>
      <c r="G187" s="2" t="s">
        <v>870</v>
      </c>
      <c r="H187" s="31" t="s">
        <v>36</v>
      </c>
      <c r="I187" s="81" t="s">
        <v>38</v>
      </c>
      <c r="J187" s="81" t="s">
        <v>37</v>
      </c>
    </row>
    <row r="188" spans="1:13" ht="30">
      <c r="A188" s="2" t="s">
        <v>859</v>
      </c>
      <c r="B188" s="2" t="s">
        <v>859</v>
      </c>
      <c r="C188" s="2" t="s">
        <v>871</v>
      </c>
      <c r="D188" s="2"/>
      <c r="E188" s="2" t="s">
        <v>563</v>
      </c>
      <c r="F188" s="2" t="s">
        <v>2</v>
      </c>
      <c r="G188" s="2" t="s">
        <v>872</v>
      </c>
      <c r="H188" s="31" t="s">
        <v>36</v>
      </c>
      <c r="I188" s="81" t="s">
        <v>31</v>
      </c>
      <c r="J188" s="81" t="s">
        <v>37</v>
      </c>
    </row>
    <row r="189" spans="1:13" ht="30">
      <c r="A189" s="2" t="s">
        <v>859</v>
      </c>
      <c r="B189" s="2" t="s">
        <v>859</v>
      </c>
      <c r="C189" s="2" t="s">
        <v>873</v>
      </c>
      <c r="D189" s="2"/>
      <c r="E189" s="2" t="s">
        <v>874</v>
      </c>
      <c r="F189" s="2" t="s">
        <v>2</v>
      </c>
      <c r="G189" s="2" t="s">
        <v>875</v>
      </c>
      <c r="H189" s="31" t="s">
        <v>724</v>
      </c>
      <c r="I189" s="81" t="s">
        <v>734</v>
      </c>
      <c r="J189" s="81" t="s">
        <v>983</v>
      </c>
    </row>
    <row r="190" spans="1:13" ht="30">
      <c r="A190" s="2" t="s">
        <v>859</v>
      </c>
      <c r="B190" s="2" t="s">
        <v>859</v>
      </c>
      <c r="C190" s="2" t="s">
        <v>876</v>
      </c>
      <c r="D190" s="2"/>
      <c r="E190" s="2" t="s">
        <v>877</v>
      </c>
      <c r="F190" s="2" t="s">
        <v>2</v>
      </c>
      <c r="G190" s="2" t="s">
        <v>878</v>
      </c>
      <c r="H190" s="12" t="s">
        <v>274</v>
      </c>
      <c r="I190" s="12" t="s">
        <v>33</v>
      </c>
      <c r="J190" s="12" t="s">
        <v>718</v>
      </c>
    </row>
    <row r="191" spans="1:13" ht="30">
      <c r="A191" s="2" t="s">
        <v>859</v>
      </c>
      <c r="B191" s="2" t="s">
        <v>859</v>
      </c>
      <c r="C191" s="2" t="s">
        <v>879</v>
      </c>
      <c r="D191" s="2"/>
      <c r="E191" s="2" t="s">
        <v>880</v>
      </c>
      <c r="F191" s="2" t="s">
        <v>2</v>
      </c>
      <c r="G191" s="2" t="s">
        <v>881</v>
      </c>
      <c r="H191" s="12" t="s">
        <v>274</v>
      </c>
      <c r="I191" s="12" t="s">
        <v>33</v>
      </c>
      <c r="J191" s="12" t="s">
        <v>718</v>
      </c>
    </row>
    <row r="192" spans="1:13" ht="30">
      <c r="A192" s="2" t="s">
        <v>859</v>
      </c>
      <c r="B192" s="2" t="s">
        <v>859</v>
      </c>
      <c r="C192" s="2" t="s">
        <v>882</v>
      </c>
      <c r="D192" s="2"/>
      <c r="E192" s="2" t="s">
        <v>699</v>
      </c>
      <c r="F192" s="2" t="s">
        <v>2</v>
      </c>
      <c r="G192" s="2" t="s">
        <v>883</v>
      </c>
      <c r="H192" s="12" t="s">
        <v>274</v>
      </c>
      <c r="I192" s="12" t="s">
        <v>33</v>
      </c>
      <c r="J192" s="12" t="s">
        <v>718</v>
      </c>
    </row>
    <row r="193" spans="1:11" ht="45">
      <c r="A193" s="2" t="s">
        <v>884</v>
      </c>
      <c r="B193" s="2" t="s">
        <v>884</v>
      </c>
      <c r="C193" s="2" t="s">
        <v>885</v>
      </c>
      <c r="D193" s="2"/>
      <c r="E193" s="2" t="s">
        <v>886</v>
      </c>
      <c r="F193" s="2" t="s">
        <v>2</v>
      </c>
      <c r="G193" s="2" t="s">
        <v>887</v>
      </c>
      <c r="H193" s="12" t="s">
        <v>894</v>
      </c>
      <c r="I193" s="12" t="s">
        <v>803</v>
      </c>
      <c r="J193" s="12" t="s">
        <v>803</v>
      </c>
    </row>
    <row r="194" spans="1:11" ht="30">
      <c r="A194" s="2" t="s">
        <v>888</v>
      </c>
      <c r="B194" s="2" t="s">
        <v>888</v>
      </c>
      <c r="C194" s="2" t="s">
        <v>889</v>
      </c>
      <c r="D194" s="2"/>
      <c r="E194" s="2" t="s">
        <v>125</v>
      </c>
      <c r="F194" s="2" t="s">
        <v>2</v>
      </c>
      <c r="G194" s="2" t="s">
        <v>890</v>
      </c>
      <c r="H194" s="12" t="s">
        <v>67</v>
      </c>
      <c r="I194" s="12" t="s">
        <v>141</v>
      </c>
      <c r="J194" s="12" t="s">
        <v>37</v>
      </c>
    </row>
    <row r="195" spans="1:11" ht="30">
      <c r="A195" s="2" t="s">
        <v>891</v>
      </c>
      <c r="B195" s="2" t="s">
        <v>891</v>
      </c>
      <c r="C195" s="2" t="s">
        <v>892</v>
      </c>
      <c r="D195" s="2"/>
      <c r="E195" s="2" t="s">
        <v>2</v>
      </c>
      <c r="F195" s="2" t="s">
        <v>617</v>
      </c>
      <c r="G195" s="2" t="s">
        <v>893</v>
      </c>
      <c r="H195" s="12" t="s">
        <v>283</v>
      </c>
      <c r="I195" s="12" t="s">
        <v>283</v>
      </c>
      <c r="J195" s="12" t="s">
        <v>40</v>
      </c>
    </row>
    <row r="196" spans="1:11" ht="30">
      <c r="A196" s="2" t="s">
        <v>891</v>
      </c>
      <c r="B196" s="2" t="s">
        <v>891</v>
      </c>
      <c r="C196" s="4" t="s">
        <v>912</v>
      </c>
      <c r="D196" s="2"/>
      <c r="E196" s="2" t="s">
        <v>913</v>
      </c>
      <c r="F196" s="2" t="s">
        <v>2</v>
      </c>
      <c r="G196" s="2" t="s">
        <v>914</v>
      </c>
      <c r="H196" s="12" t="s">
        <v>580</v>
      </c>
      <c r="I196" s="12" t="s">
        <v>272</v>
      </c>
      <c r="J196" s="12" t="s">
        <v>581</v>
      </c>
      <c r="K196">
        <v>29000</v>
      </c>
    </row>
    <row r="197" spans="1:11" ht="30">
      <c r="A197" s="2" t="s">
        <v>891</v>
      </c>
      <c r="B197" s="2" t="s">
        <v>891</v>
      </c>
      <c r="C197" s="4" t="s">
        <v>915</v>
      </c>
      <c r="D197" s="2"/>
      <c r="E197" s="2" t="s">
        <v>916</v>
      </c>
      <c r="F197" s="2" t="s">
        <v>2</v>
      </c>
      <c r="G197" s="2" t="s">
        <v>917</v>
      </c>
      <c r="H197" s="12" t="s">
        <v>580</v>
      </c>
      <c r="I197" s="12" t="s">
        <v>328</v>
      </c>
      <c r="J197" s="12" t="s">
        <v>581</v>
      </c>
      <c r="K197">
        <v>20182</v>
      </c>
    </row>
    <row r="198" spans="1:11" ht="30">
      <c r="A198" s="2" t="s">
        <v>891</v>
      </c>
      <c r="B198" s="2" t="s">
        <v>891</v>
      </c>
      <c r="C198" s="4" t="s">
        <v>918</v>
      </c>
      <c r="D198" s="2"/>
      <c r="E198" s="2" t="s">
        <v>216</v>
      </c>
      <c r="F198" s="2" t="s">
        <v>2</v>
      </c>
      <c r="G198" s="2" t="s">
        <v>919</v>
      </c>
      <c r="H198" s="12" t="s">
        <v>580</v>
      </c>
      <c r="I198" s="12" t="s">
        <v>726</v>
      </c>
      <c r="J198" s="12" t="s">
        <v>581</v>
      </c>
      <c r="K198">
        <v>25000</v>
      </c>
    </row>
    <row r="199" spans="1:11" ht="30">
      <c r="A199" s="2" t="s">
        <v>891</v>
      </c>
      <c r="B199" s="2" t="s">
        <v>891</v>
      </c>
      <c r="C199" s="4" t="s">
        <v>920</v>
      </c>
      <c r="D199" s="2"/>
      <c r="E199" s="2" t="s">
        <v>913</v>
      </c>
      <c r="F199" s="2" t="s">
        <v>2</v>
      </c>
      <c r="G199" s="2" t="s">
        <v>921</v>
      </c>
      <c r="H199" s="12" t="s">
        <v>580</v>
      </c>
      <c r="I199" s="12" t="s">
        <v>989</v>
      </c>
      <c r="J199" s="12" t="s">
        <v>581</v>
      </c>
      <c r="K199">
        <v>29000</v>
      </c>
    </row>
    <row r="200" spans="1:11" ht="30">
      <c r="A200" s="2" t="s">
        <v>922</v>
      </c>
      <c r="B200" s="2" t="s">
        <v>922</v>
      </c>
      <c r="C200" s="4" t="s">
        <v>923</v>
      </c>
      <c r="D200" s="2"/>
      <c r="E200" s="2" t="s">
        <v>216</v>
      </c>
      <c r="F200" s="2" t="s">
        <v>2</v>
      </c>
      <c r="G200" s="2" t="s">
        <v>924</v>
      </c>
      <c r="H200" s="12" t="s">
        <v>580</v>
      </c>
      <c r="I200" s="12" t="s">
        <v>988</v>
      </c>
      <c r="J200" s="12" t="s">
        <v>581</v>
      </c>
      <c r="K200">
        <v>25000</v>
      </c>
    </row>
    <row r="201" spans="1:11" ht="30">
      <c r="A201" s="2" t="s">
        <v>922</v>
      </c>
      <c r="B201" s="2" t="s">
        <v>922</v>
      </c>
      <c r="C201" s="4" t="s">
        <v>925</v>
      </c>
      <c r="D201" s="2"/>
      <c r="E201" s="2" t="s">
        <v>913</v>
      </c>
      <c r="F201" s="2" t="s">
        <v>2</v>
      </c>
      <c r="G201" s="2" t="s">
        <v>926</v>
      </c>
      <c r="H201" s="12" t="s">
        <v>580</v>
      </c>
      <c r="I201" s="12" t="s">
        <v>987</v>
      </c>
      <c r="J201" s="12" t="s">
        <v>581</v>
      </c>
      <c r="K201">
        <v>29000</v>
      </c>
    </row>
    <row r="202" spans="1:11" ht="30">
      <c r="A202" s="2" t="s">
        <v>922</v>
      </c>
      <c r="B202" s="2" t="s">
        <v>922</v>
      </c>
      <c r="C202" s="4" t="s">
        <v>927</v>
      </c>
      <c r="D202" s="2"/>
      <c r="E202" s="2" t="s">
        <v>216</v>
      </c>
      <c r="F202" s="2" t="s">
        <v>2</v>
      </c>
      <c r="G202" s="2" t="s">
        <v>928</v>
      </c>
      <c r="H202" s="12" t="s">
        <v>580</v>
      </c>
      <c r="I202" s="12" t="s">
        <v>986</v>
      </c>
      <c r="J202" s="12" t="s">
        <v>581</v>
      </c>
      <c r="K202">
        <v>25000</v>
      </c>
    </row>
    <row r="203" spans="1:11" ht="30">
      <c r="A203" s="2" t="s">
        <v>922</v>
      </c>
      <c r="B203" s="2" t="s">
        <v>922</v>
      </c>
      <c r="C203" s="4" t="s">
        <v>929</v>
      </c>
      <c r="D203" s="2"/>
      <c r="E203" s="2" t="s">
        <v>930</v>
      </c>
      <c r="F203" s="2" t="s">
        <v>2</v>
      </c>
      <c r="G203" s="2" t="s">
        <v>931</v>
      </c>
      <c r="H203" s="12" t="s">
        <v>973</v>
      </c>
      <c r="I203" s="12" t="s">
        <v>985</v>
      </c>
      <c r="J203" s="12" t="s">
        <v>984</v>
      </c>
      <c r="K203">
        <v>36000</v>
      </c>
    </row>
    <row r="204" spans="1:11" ht="30">
      <c r="A204" s="2" t="s">
        <v>922</v>
      </c>
      <c r="B204" s="2" t="s">
        <v>922</v>
      </c>
      <c r="C204" s="4" t="s">
        <v>932</v>
      </c>
      <c r="D204" s="2"/>
      <c r="E204" s="2" t="s">
        <v>933</v>
      </c>
      <c r="F204" s="2" t="s">
        <v>2</v>
      </c>
      <c r="G204" s="2" t="s">
        <v>934</v>
      </c>
      <c r="H204" s="12" t="s">
        <v>974</v>
      </c>
      <c r="I204" s="12" t="s">
        <v>985</v>
      </c>
      <c r="J204" s="12" t="s">
        <v>984</v>
      </c>
      <c r="K204">
        <v>18818</v>
      </c>
    </row>
    <row r="205" spans="1:11" ht="30">
      <c r="A205" s="2" t="s">
        <v>935</v>
      </c>
      <c r="B205" s="2" t="s">
        <v>935</v>
      </c>
      <c r="C205" s="2" t="s">
        <v>936</v>
      </c>
      <c r="D205" s="2"/>
      <c r="E205" s="2" t="s">
        <v>27</v>
      </c>
      <c r="F205" s="2" t="s">
        <v>2</v>
      </c>
      <c r="G205" s="2" t="s">
        <v>937</v>
      </c>
      <c r="H205" s="12" t="s">
        <v>36</v>
      </c>
      <c r="I205" s="12" t="s">
        <v>33</v>
      </c>
      <c r="J205" s="12" t="s">
        <v>37</v>
      </c>
    </row>
    <row r="206" spans="1:11" ht="30">
      <c r="A206" s="2" t="s">
        <v>935</v>
      </c>
      <c r="B206" s="2" t="s">
        <v>935</v>
      </c>
      <c r="C206" s="4" t="s">
        <v>938</v>
      </c>
      <c r="D206" s="2"/>
      <c r="E206" s="2" t="s">
        <v>826</v>
      </c>
      <c r="F206" s="2" t="s">
        <v>2</v>
      </c>
      <c r="G206" s="2" t="s">
        <v>939</v>
      </c>
      <c r="H206" s="12" t="s">
        <v>580</v>
      </c>
      <c r="I206" s="12" t="s">
        <v>639</v>
      </c>
      <c r="J206" s="12" t="s">
        <v>581</v>
      </c>
      <c r="K206">
        <v>8000</v>
      </c>
    </row>
    <row r="207" spans="1:11" ht="30">
      <c r="A207" s="2" t="s">
        <v>935</v>
      </c>
      <c r="B207" s="2" t="s">
        <v>935</v>
      </c>
      <c r="C207" s="2" t="s">
        <v>940</v>
      </c>
      <c r="D207" s="2"/>
      <c r="E207" s="2" t="s">
        <v>2</v>
      </c>
      <c r="F207" s="2" t="s">
        <v>941</v>
      </c>
      <c r="G207" s="2" t="s">
        <v>942</v>
      </c>
      <c r="H207" s="12" t="s">
        <v>712</v>
      </c>
      <c r="I207" s="12" t="s">
        <v>280</v>
      </c>
      <c r="J207" s="12" t="s">
        <v>40</v>
      </c>
    </row>
    <row r="208" spans="1:11" ht="30">
      <c r="A208" s="2" t="s">
        <v>935</v>
      </c>
      <c r="B208" s="2" t="s">
        <v>935</v>
      </c>
      <c r="C208" s="4" t="s">
        <v>943</v>
      </c>
      <c r="D208" s="2"/>
      <c r="E208" s="2" t="s">
        <v>913</v>
      </c>
      <c r="F208" s="2" t="s">
        <v>2</v>
      </c>
      <c r="G208" s="2" t="s">
        <v>944</v>
      </c>
      <c r="H208" s="12" t="s">
        <v>580</v>
      </c>
      <c r="I208" s="12" t="s">
        <v>990</v>
      </c>
      <c r="J208" s="12" t="s">
        <v>581</v>
      </c>
      <c r="K208">
        <v>29000</v>
      </c>
    </row>
    <row r="209" spans="1:11" ht="30">
      <c r="A209" s="2" t="s">
        <v>935</v>
      </c>
      <c r="B209" s="2" t="s">
        <v>935</v>
      </c>
      <c r="C209" s="4" t="s">
        <v>945</v>
      </c>
      <c r="D209" s="2"/>
      <c r="E209" s="2" t="s">
        <v>946</v>
      </c>
      <c r="F209" s="2" t="s">
        <v>2</v>
      </c>
      <c r="G209" s="2" t="s">
        <v>947</v>
      </c>
      <c r="H209" s="12" t="s">
        <v>580</v>
      </c>
      <c r="I209" s="12" t="s">
        <v>991</v>
      </c>
      <c r="J209" s="12" t="s">
        <v>581</v>
      </c>
      <c r="K209">
        <v>27000</v>
      </c>
    </row>
    <row r="210" spans="1:11" ht="30">
      <c r="A210" s="2" t="s">
        <v>948</v>
      </c>
      <c r="B210" s="2" t="s">
        <v>948</v>
      </c>
      <c r="C210" s="4" t="s">
        <v>949</v>
      </c>
      <c r="D210" s="2"/>
      <c r="E210" s="2" t="s">
        <v>913</v>
      </c>
      <c r="F210" s="2" t="s">
        <v>2</v>
      </c>
      <c r="G210" s="2" t="s">
        <v>950</v>
      </c>
      <c r="H210" s="12" t="s">
        <v>580</v>
      </c>
      <c r="I210" s="12" t="s">
        <v>799</v>
      </c>
      <c r="J210" s="12" t="s">
        <v>581</v>
      </c>
      <c r="K210">
        <v>29000</v>
      </c>
    </row>
    <row r="211" spans="1:11" ht="30">
      <c r="A211" s="2" t="s">
        <v>951</v>
      </c>
      <c r="B211" s="2" t="s">
        <v>951</v>
      </c>
      <c r="C211" s="2" t="s">
        <v>952</v>
      </c>
      <c r="D211" s="2"/>
      <c r="E211" s="2" t="s">
        <v>953</v>
      </c>
      <c r="F211" s="2" t="s">
        <v>2</v>
      </c>
      <c r="G211" s="2" t="s">
        <v>954</v>
      </c>
      <c r="H211" s="12" t="s">
        <v>289</v>
      </c>
      <c r="I211" s="12" t="s">
        <v>289</v>
      </c>
      <c r="J211" s="12" t="s">
        <v>975</v>
      </c>
      <c r="K211" s="12" t="s">
        <v>976</v>
      </c>
    </row>
    <row r="212" spans="1:11" ht="30">
      <c r="A212" s="2" t="s">
        <v>951</v>
      </c>
      <c r="B212" s="2" t="s">
        <v>951</v>
      </c>
      <c r="C212" s="2" t="s">
        <v>955</v>
      </c>
      <c r="D212" s="2"/>
      <c r="E212" s="2" t="s">
        <v>956</v>
      </c>
      <c r="F212" s="2" t="s">
        <v>2</v>
      </c>
      <c r="G212" s="2" t="s">
        <v>957</v>
      </c>
      <c r="H212" s="12" t="s">
        <v>289</v>
      </c>
      <c r="I212" s="12" t="s">
        <v>289</v>
      </c>
      <c r="J212" s="12" t="s">
        <v>977</v>
      </c>
      <c r="K212" s="12" t="s">
        <v>978</v>
      </c>
    </row>
    <row r="213" spans="1:11" ht="30">
      <c r="A213" s="2" t="s">
        <v>951</v>
      </c>
      <c r="B213" s="2" t="s">
        <v>951</v>
      </c>
      <c r="C213" s="2" t="s">
        <v>958</v>
      </c>
      <c r="D213" s="2"/>
      <c r="E213" s="2" t="s">
        <v>959</v>
      </c>
      <c r="F213" s="2" t="s">
        <v>2</v>
      </c>
      <c r="G213" s="2" t="s">
        <v>960</v>
      </c>
      <c r="H213" s="12" t="s">
        <v>289</v>
      </c>
      <c r="I213" s="12" t="s">
        <v>289</v>
      </c>
      <c r="J213" s="12" t="s">
        <v>833</v>
      </c>
      <c r="K213" s="12" t="s">
        <v>810</v>
      </c>
    </row>
    <row r="214" spans="1:11" ht="30">
      <c r="A214" s="2" t="s">
        <v>951</v>
      </c>
      <c r="B214" s="2" t="s">
        <v>951</v>
      </c>
      <c r="C214" s="2" t="s">
        <v>961</v>
      </c>
      <c r="D214" s="2"/>
      <c r="E214" s="2" t="s">
        <v>962</v>
      </c>
      <c r="F214" s="2" t="s">
        <v>2</v>
      </c>
      <c r="G214" s="2" t="s">
        <v>963</v>
      </c>
      <c r="H214" s="12" t="s">
        <v>289</v>
      </c>
      <c r="I214" s="31" t="s">
        <v>289</v>
      </c>
      <c r="J214" s="81" t="s">
        <v>979</v>
      </c>
      <c r="K214" s="81" t="s">
        <v>596</v>
      </c>
    </row>
    <row r="215" spans="1:11" ht="30">
      <c r="A215" s="2" t="s">
        <v>951</v>
      </c>
      <c r="B215" s="2" t="s">
        <v>951</v>
      </c>
      <c r="C215" s="2" t="s">
        <v>964</v>
      </c>
      <c r="D215" s="2"/>
      <c r="E215" s="2" t="s">
        <v>965</v>
      </c>
      <c r="F215" s="2" t="s">
        <v>2</v>
      </c>
      <c r="G215" s="2" t="s">
        <v>966</v>
      </c>
      <c r="H215" s="12" t="s">
        <v>289</v>
      </c>
      <c r="I215" s="31" t="s">
        <v>289</v>
      </c>
      <c r="J215" s="81" t="s">
        <v>980</v>
      </c>
      <c r="K215" s="81" t="s">
        <v>981</v>
      </c>
    </row>
    <row r="216" spans="1:11" ht="30">
      <c r="A216" s="2" t="s">
        <v>967</v>
      </c>
      <c r="B216" s="2" t="s">
        <v>967</v>
      </c>
      <c r="C216" s="4" t="s">
        <v>968</v>
      </c>
      <c r="D216" s="2" t="s">
        <v>969</v>
      </c>
      <c r="E216" s="2" t="s">
        <v>219</v>
      </c>
      <c r="F216" s="2" t="s">
        <v>2</v>
      </c>
      <c r="G216" s="2" t="s">
        <v>970</v>
      </c>
      <c r="H216" s="12" t="s">
        <v>36</v>
      </c>
      <c r="I216" s="31" t="s">
        <v>32</v>
      </c>
      <c r="J216" s="81" t="s">
        <v>37</v>
      </c>
      <c r="K216">
        <v>50000</v>
      </c>
    </row>
    <row r="217" spans="1:11" ht="30">
      <c r="A217" s="2" t="s">
        <v>967</v>
      </c>
      <c r="B217" s="2" t="s">
        <v>967</v>
      </c>
      <c r="C217" s="2" t="s">
        <v>971</v>
      </c>
      <c r="D217" s="2"/>
      <c r="E217" s="2" t="s">
        <v>743</v>
      </c>
      <c r="F217" s="2" t="s">
        <v>2</v>
      </c>
      <c r="G217" s="2" t="s">
        <v>972</v>
      </c>
      <c r="H217" s="12" t="s">
        <v>375</v>
      </c>
      <c r="I217" s="31" t="s">
        <v>982</v>
      </c>
      <c r="J217" s="81" t="s">
        <v>909</v>
      </c>
    </row>
    <row r="218" spans="1:11" ht="30">
      <c r="A218" s="2" t="s">
        <v>994</v>
      </c>
      <c r="B218" s="2" t="s">
        <v>994</v>
      </c>
      <c r="C218" s="2" t="s">
        <v>995</v>
      </c>
      <c r="D218" s="2"/>
      <c r="E218" s="2" t="s">
        <v>996</v>
      </c>
      <c r="F218" s="2" t="s">
        <v>2</v>
      </c>
      <c r="G218" s="2" t="s">
        <v>997</v>
      </c>
    </row>
    <row r="219" spans="1:11" ht="30">
      <c r="A219" s="2" t="s">
        <v>994</v>
      </c>
      <c r="B219" s="2" t="s">
        <v>994</v>
      </c>
      <c r="C219" s="2" t="s">
        <v>998</v>
      </c>
      <c r="D219" s="2"/>
      <c r="E219" s="2" t="s">
        <v>999</v>
      </c>
      <c r="F219" s="2" t="s">
        <v>2</v>
      </c>
      <c r="G219" s="2" t="s">
        <v>1000</v>
      </c>
    </row>
    <row r="220" spans="1:11" ht="30">
      <c r="A220" s="2" t="s">
        <v>994</v>
      </c>
      <c r="B220" s="2" t="s">
        <v>994</v>
      </c>
      <c r="C220" s="2" t="s">
        <v>1001</v>
      </c>
      <c r="D220" s="2"/>
      <c r="E220" s="2" t="s">
        <v>1002</v>
      </c>
      <c r="F220" s="2" t="s">
        <v>2</v>
      </c>
      <c r="G220" s="2" t="s">
        <v>1003</v>
      </c>
    </row>
    <row r="221" spans="1:11" ht="30">
      <c r="A221" s="2" t="s">
        <v>994</v>
      </c>
      <c r="B221" s="2" t="s">
        <v>994</v>
      </c>
      <c r="C221" s="2" t="s">
        <v>1004</v>
      </c>
      <c r="D221" s="2"/>
      <c r="E221" s="2" t="s">
        <v>1005</v>
      </c>
      <c r="F221" s="2" t="s">
        <v>2</v>
      </c>
      <c r="G221" s="2" t="s">
        <v>1006</v>
      </c>
    </row>
    <row r="222" spans="1:11" ht="30">
      <c r="A222" s="2" t="s">
        <v>994</v>
      </c>
      <c r="B222" s="2" t="s">
        <v>994</v>
      </c>
      <c r="C222" s="2" t="s">
        <v>1007</v>
      </c>
      <c r="D222" s="2"/>
      <c r="E222" s="2" t="s">
        <v>1008</v>
      </c>
      <c r="F222" s="2" t="s">
        <v>2</v>
      </c>
      <c r="G222" s="2" t="s">
        <v>1009</v>
      </c>
      <c r="K222">
        <v>4752</v>
      </c>
    </row>
    <row r="223" spans="1:11" ht="30">
      <c r="A223" s="2" t="s">
        <v>994</v>
      </c>
      <c r="B223" s="2" t="s">
        <v>994</v>
      </c>
      <c r="C223" s="2" t="s">
        <v>1010</v>
      </c>
      <c r="D223" s="2"/>
      <c r="E223" s="2" t="s">
        <v>1011</v>
      </c>
      <c r="F223" s="2" t="s">
        <v>2</v>
      </c>
      <c r="G223" s="2" t="s">
        <v>1012</v>
      </c>
      <c r="K223">
        <v>2000</v>
      </c>
    </row>
    <row r="224" spans="1:11" ht="30">
      <c r="A224" s="2" t="s">
        <v>994</v>
      </c>
      <c r="B224" s="2" t="s">
        <v>994</v>
      </c>
      <c r="C224" s="2" t="s">
        <v>1013</v>
      </c>
      <c r="D224" s="2"/>
      <c r="E224" s="2" t="s">
        <v>1011</v>
      </c>
      <c r="F224" s="2" t="s">
        <v>2</v>
      </c>
      <c r="G224" s="2" t="s">
        <v>1014</v>
      </c>
      <c r="K224">
        <v>2000</v>
      </c>
    </row>
    <row r="225" spans="1:11" ht="30">
      <c r="A225" s="2" t="s">
        <v>994</v>
      </c>
      <c r="B225" s="2" t="s">
        <v>994</v>
      </c>
      <c r="C225" s="2" t="s">
        <v>1015</v>
      </c>
      <c r="D225" s="2"/>
      <c r="E225" s="2" t="s">
        <v>1011</v>
      </c>
      <c r="F225" s="2" t="s">
        <v>2</v>
      </c>
      <c r="G225" s="2" t="s">
        <v>1016</v>
      </c>
      <c r="K225">
        <v>2000</v>
      </c>
    </row>
    <row r="226" spans="1:11" ht="30">
      <c r="A226" s="2" t="s">
        <v>994</v>
      </c>
      <c r="B226" s="2" t="s">
        <v>994</v>
      </c>
      <c r="C226" s="2" t="s">
        <v>1017</v>
      </c>
      <c r="D226" s="2"/>
      <c r="E226" s="2" t="s">
        <v>1011</v>
      </c>
      <c r="F226" s="2" t="s">
        <v>2</v>
      </c>
      <c r="G226" s="2" t="s">
        <v>1018</v>
      </c>
      <c r="K226">
        <v>2000</v>
      </c>
    </row>
    <row r="227" spans="1:11" ht="30">
      <c r="A227" s="2" t="s">
        <v>994</v>
      </c>
      <c r="B227" s="2" t="s">
        <v>994</v>
      </c>
      <c r="C227" s="2" t="s">
        <v>1019</v>
      </c>
      <c r="D227" s="2"/>
      <c r="E227" s="2" t="s">
        <v>1011</v>
      </c>
      <c r="F227" s="2" t="s">
        <v>2</v>
      </c>
      <c r="G227" s="2" t="s">
        <v>1020</v>
      </c>
      <c r="K227">
        <v>2000</v>
      </c>
    </row>
    <row r="228" spans="1:11" ht="30">
      <c r="A228" s="2" t="s">
        <v>994</v>
      </c>
      <c r="B228" s="2" t="s">
        <v>994</v>
      </c>
      <c r="C228" s="2" t="s">
        <v>1021</v>
      </c>
      <c r="D228" s="2"/>
      <c r="E228" s="2" t="s">
        <v>1022</v>
      </c>
      <c r="F228" s="2" t="s">
        <v>2</v>
      </c>
      <c r="G228" s="2" t="s">
        <v>1023</v>
      </c>
      <c r="K228">
        <v>18600</v>
      </c>
    </row>
    <row r="229" spans="1:11" ht="30">
      <c r="A229" s="2" t="s">
        <v>994</v>
      </c>
      <c r="B229" s="2" t="s">
        <v>994</v>
      </c>
      <c r="C229" s="2" t="s">
        <v>1024</v>
      </c>
      <c r="D229" s="2"/>
      <c r="E229" s="2" t="s">
        <v>1011</v>
      </c>
      <c r="F229" s="2" t="s">
        <v>2</v>
      </c>
      <c r="G229" s="2" t="s">
        <v>1025</v>
      </c>
      <c r="K229">
        <v>2000</v>
      </c>
    </row>
    <row r="230" spans="1:11" ht="30">
      <c r="A230" s="2" t="s">
        <v>1026</v>
      </c>
      <c r="B230" s="2" t="s">
        <v>1026</v>
      </c>
      <c r="C230" s="2" t="s">
        <v>1027</v>
      </c>
      <c r="D230" s="2"/>
      <c r="E230" s="2" t="s">
        <v>1028</v>
      </c>
      <c r="F230" s="2" t="s">
        <v>2</v>
      </c>
      <c r="G230" s="2" t="s">
        <v>1029</v>
      </c>
    </row>
    <row r="231" spans="1:11" ht="30">
      <c r="A231" s="2" t="s">
        <v>1049</v>
      </c>
      <c r="B231" s="2" t="s">
        <v>1049</v>
      </c>
      <c r="C231" s="2" t="s">
        <v>1050</v>
      </c>
      <c r="D231" s="2"/>
      <c r="E231" s="2" t="s">
        <v>913</v>
      </c>
      <c r="F231" s="2" t="s">
        <v>2</v>
      </c>
      <c r="G231" s="2" t="s">
        <v>1051</v>
      </c>
    </row>
    <row r="232" spans="1:11" ht="30">
      <c r="A232" s="2" t="s">
        <v>1049</v>
      </c>
      <c r="B232" s="2" t="s">
        <v>1049</v>
      </c>
      <c r="C232" s="2" t="s">
        <v>1052</v>
      </c>
      <c r="D232" s="2"/>
      <c r="E232" s="2" t="s">
        <v>1053</v>
      </c>
      <c r="F232" s="2" t="s">
        <v>2</v>
      </c>
      <c r="G232" s="2" t="s">
        <v>1054</v>
      </c>
    </row>
    <row r="233" spans="1:11" ht="30">
      <c r="A233" s="2" t="s">
        <v>1049</v>
      </c>
      <c r="B233" s="2" t="s">
        <v>1049</v>
      </c>
      <c r="C233" s="2" t="s">
        <v>1055</v>
      </c>
      <c r="D233" s="2"/>
      <c r="E233" s="2" t="s">
        <v>1056</v>
      </c>
      <c r="F233" s="2" t="s">
        <v>2</v>
      </c>
      <c r="G233" s="2" t="s">
        <v>1057</v>
      </c>
    </row>
    <row r="234" spans="1:11" ht="30">
      <c r="A234" s="2" t="s">
        <v>1058</v>
      </c>
      <c r="B234" s="2" t="s">
        <v>1058</v>
      </c>
      <c r="C234" s="2" t="s">
        <v>1059</v>
      </c>
      <c r="D234" s="2"/>
      <c r="E234" s="2" t="s">
        <v>2</v>
      </c>
      <c r="F234" s="2" t="s">
        <v>1060</v>
      </c>
      <c r="G234" s="2" t="s">
        <v>1061</v>
      </c>
    </row>
    <row r="235" spans="1:11" ht="30">
      <c r="A235" s="2" t="s">
        <v>1062</v>
      </c>
      <c r="B235" s="2" t="s">
        <v>1062</v>
      </c>
      <c r="C235" s="2" t="s">
        <v>1063</v>
      </c>
      <c r="D235" s="2"/>
      <c r="E235" s="2" t="s">
        <v>175</v>
      </c>
      <c r="F235" s="2" t="s">
        <v>2</v>
      </c>
      <c r="G235" s="2" t="s">
        <v>1064</v>
      </c>
    </row>
    <row r="236" spans="1:11" ht="30">
      <c r="A236" s="2" t="s">
        <v>1065</v>
      </c>
      <c r="B236" s="2" t="s">
        <v>1065</v>
      </c>
      <c r="C236" s="2" t="s">
        <v>1066</v>
      </c>
      <c r="D236" s="2"/>
      <c r="E236" s="2" t="s">
        <v>563</v>
      </c>
      <c r="F236" s="2" t="s">
        <v>2</v>
      </c>
      <c r="G236" s="2" t="s">
        <v>1067</v>
      </c>
    </row>
    <row r="237" spans="1:11" ht="30">
      <c r="A237" s="2" t="s">
        <v>1065</v>
      </c>
      <c r="B237" s="2" t="s">
        <v>1065</v>
      </c>
      <c r="C237" s="2" t="s">
        <v>1068</v>
      </c>
      <c r="D237" s="2"/>
      <c r="E237" s="2" t="s">
        <v>563</v>
      </c>
      <c r="F237" s="2" t="s">
        <v>2</v>
      </c>
      <c r="G237" s="2" t="s">
        <v>1069</v>
      </c>
    </row>
  </sheetData>
  <conditionalFormatting sqref="C1:C88 C102:C1048576">
    <cfRule type="duplicateValues" dxfId="92" priority="4"/>
  </conditionalFormatting>
  <conditionalFormatting sqref="C89:C101">
    <cfRule type="duplicateValues" dxfId="91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G11" sqref="G11"/>
    </sheetView>
  </sheetViews>
  <sheetFormatPr defaultRowHeight="15"/>
  <cols>
    <col min="1" max="1" width="16.140625" customWidth="1"/>
    <col min="4" max="4" width="12.42578125" customWidth="1"/>
  </cols>
  <sheetData>
    <row r="1" spans="1:13">
      <c r="A1" t="s">
        <v>1128</v>
      </c>
    </row>
    <row r="2" spans="1:13">
      <c r="A2" t="s">
        <v>51</v>
      </c>
      <c r="B2" t="s">
        <v>29</v>
      </c>
      <c r="C2" t="s">
        <v>1132</v>
      </c>
      <c r="D2" t="s">
        <v>1130</v>
      </c>
      <c r="E2" t="s">
        <v>1131</v>
      </c>
      <c r="F2" t="s">
        <v>59</v>
      </c>
    </row>
    <row r="3" spans="1:13">
      <c r="A3">
        <v>1</v>
      </c>
      <c r="B3" t="s">
        <v>1129</v>
      </c>
      <c r="C3" t="s">
        <v>1133</v>
      </c>
      <c r="D3">
        <v>2</v>
      </c>
      <c r="E3">
        <v>750</v>
      </c>
      <c r="F3" t="s">
        <v>848</v>
      </c>
      <c r="I3">
        <v>1500</v>
      </c>
      <c r="J3">
        <f>I3*60%-15</f>
        <v>885</v>
      </c>
    </row>
    <row r="4" spans="1:13">
      <c r="A4">
        <v>2</v>
      </c>
      <c r="B4" t="s">
        <v>1129</v>
      </c>
      <c r="C4" t="s">
        <v>1134</v>
      </c>
      <c r="D4">
        <v>4</v>
      </c>
      <c r="E4">
        <v>1000</v>
      </c>
      <c r="F4" t="s">
        <v>848</v>
      </c>
      <c r="I4">
        <v>4000</v>
      </c>
      <c r="J4">
        <f>I4*60%-15</f>
        <v>2385</v>
      </c>
      <c r="K4">
        <f>J4/2</f>
        <v>1192.5</v>
      </c>
    </row>
    <row r="5" spans="1:13">
      <c r="A5">
        <v>3</v>
      </c>
      <c r="B5" t="s">
        <v>1129</v>
      </c>
      <c r="D5">
        <v>10</v>
      </c>
      <c r="E5">
        <v>800</v>
      </c>
      <c r="F5" t="s">
        <v>1135</v>
      </c>
    </row>
    <row r="6" spans="1:13">
      <c r="A6">
        <v>4</v>
      </c>
      <c r="B6" t="s">
        <v>1136</v>
      </c>
      <c r="D6">
        <v>10</v>
      </c>
      <c r="E6">
        <v>850</v>
      </c>
      <c r="F6" t="s">
        <v>1135</v>
      </c>
    </row>
    <row r="7" spans="1:13">
      <c r="A7">
        <v>5</v>
      </c>
      <c r="B7" t="s">
        <v>1136</v>
      </c>
      <c r="C7" t="s">
        <v>1133</v>
      </c>
      <c r="D7">
        <v>1</v>
      </c>
      <c r="E7">
        <v>700</v>
      </c>
      <c r="F7" t="s">
        <v>848</v>
      </c>
      <c r="I7">
        <v>693</v>
      </c>
      <c r="J7">
        <f>I7*75%</f>
        <v>519.75</v>
      </c>
      <c r="K7">
        <v>1</v>
      </c>
      <c r="L7">
        <f>J7*K7</f>
        <v>519.75</v>
      </c>
      <c r="M7">
        <v>520</v>
      </c>
    </row>
    <row r="8" spans="1:13">
      <c r="A8">
        <v>6</v>
      </c>
      <c r="B8" t="s">
        <v>1136</v>
      </c>
      <c r="C8" t="s">
        <v>1134</v>
      </c>
      <c r="D8">
        <v>3</v>
      </c>
      <c r="E8">
        <v>1300</v>
      </c>
      <c r="F8" t="s">
        <v>848</v>
      </c>
      <c r="I8">
        <f>1287</f>
        <v>1287</v>
      </c>
      <c r="J8">
        <f>I8*75%</f>
        <v>965.25</v>
      </c>
      <c r="K8">
        <v>3</v>
      </c>
      <c r="L8">
        <f>J8*K8</f>
        <v>2895.75</v>
      </c>
      <c r="M8">
        <v>2895</v>
      </c>
    </row>
    <row r="9" spans="1:13">
      <c r="A9">
        <v>7</v>
      </c>
      <c r="B9" t="s">
        <v>1137</v>
      </c>
      <c r="C9" t="s">
        <v>1133</v>
      </c>
      <c r="D9">
        <v>2</v>
      </c>
      <c r="E9">
        <v>700</v>
      </c>
      <c r="F9" t="s">
        <v>848</v>
      </c>
      <c r="G9">
        <f>D9*E9</f>
        <v>1400</v>
      </c>
      <c r="M9">
        <f>SUM(M7:M8)</f>
        <v>3415</v>
      </c>
    </row>
    <row r="10" spans="1:13">
      <c r="A10">
        <v>8</v>
      </c>
      <c r="B10" t="s">
        <v>1137</v>
      </c>
      <c r="C10" t="s">
        <v>1134</v>
      </c>
      <c r="D10">
        <v>4</v>
      </c>
      <c r="E10">
        <v>1150</v>
      </c>
      <c r="F10" t="s">
        <v>848</v>
      </c>
      <c r="G10">
        <f>D10*E10</f>
        <v>4600</v>
      </c>
    </row>
    <row r="11" spans="1:13">
      <c r="A11">
        <v>9</v>
      </c>
      <c r="B11" t="s">
        <v>1138</v>
      </c>
      <c r="C11" t="s">
        <v>1133</v>
      </c>
      <c r="D11">
        <v>1</v>
      </c>
      <c r="E11">
        <v>800</v>
      </c>
      <c r="F11" t="s">
        <v>848</v>
      </c>
      <c r="G11">
        <f>SUM(G9:G10)</f>
        <v>6000</v>
      </c>
    </row>
    <row r="12" spans="1:13">
      <c r="A12">
        <v>10</v>
      </c>
      <c r="B12" t="s">
        <v>1138</v>
      </c>
      <c r="C12" t="s">
        <v>1134</v>
      </c>
      <c r="D12">
        <v>2</v>
      </c>
      <c r="E12">
        <v>1000</v>
      </c>
      <c r="F12" t="s">
        <v>848</v>
      </c>
    </row>
    <row r="13" spans="1:13">
      <c r="A13">
        <v>11</v>
      </c>
      <c r="B13" t="s">
        <v>444</v>
      </c>
      <c r="C13" t="s">
        <v>1133</v>
      </c>
      <c r="D13">
        <v>1</v>
      </c>
      <c r="E13">
        <v>1000</v>
      </c>
      <c r="F13" t="s">
        <v>848</v>
      </c>
    </row>
    <row r="14" spans="1:13">
      <c r="A14">
        <v>12</v>
      </c>
      <c r="B14" t="s">
        <v>444</v>
      </c>
      <c r="C14" t="s">
        <v>1134</v>
      </c>
      <c r="D14">
        <v>2</v>
      </c>
      <c r="E14">
        <v>1250</v>
      </c>
      <c r="F14" t="s">
        <v>848</v>
      </c>
    </row>
    <row r="15" spans="1:13">
      <c r="A15">
        <v>13</v>
      </c>
      <c r="B15" t="s">
        <v>1139</v>
      </c>
      <c r="C15" t="s">
        <v>1133</v>
      </c>
      <c r="D15">
        <v>1</v>
      </c>
      <c r="E15">
        <v>1000</v>
      </c>
      <c r="F15" t="s">
        <v>848</v>
      </c>
    </row>
    <row r="16" spans="1:13">
      <c r="A16">
        <v>14</v>
      </c>
      <c r="B16" t="s">
        <v>1139</v>
      </c>
      <c r="C16" t="s">
        <v>1134</v>
      </c>
      <c r="D16">
        <v>3</v>
      </c>
      <c r="E16">
        <v>1000</v>
      </c>
      <c r="F16" t="s">
        <v>848</v>
      </c>
    </row>
    <row r="17" spans="1:6">
      <c r="A17">
        <v>15</v>
      </c>
      <c r="B17" t="s">
        <v>1139</v>
      </c>
      <c r="D17">
        <v>5</v>
      </c>
      <c r="E17">
        <v>800</v>
      </c>
      <c r="F17" t="s">
        <v>1135</v>
      </c>
    </row>
    <row r="18" spans="1:6">
      <c r="A18">
        <v>16</v>
      </c>
      <c r="B18" t="s">
        <v>1137</v>
      </c>
      <c r="D18">
        <v>12</v>
      </c>
      <c r="E18">
        <v>900</v>
      </c>
      <c r="F18" t="s">
        <v>1135</v>
      </c>
    </row>
    <row r="19" spans="1:6">
      <c r="A19">
        <v>17</v>
      </c>
      <c r="B19" t="s">
        <v>1138</v>
      </c>
      <c r="D19">
        <v>8</v>
      </c>
      <c r="E19">
        <v>800</v>
      </c>
      <c r="F19" t="s">
        <v>1135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E1:M26"/>
  <sheetViews>
    <sheetView workbookViewId="0">
      <selection activeCell="H15" sqref="H15"/>
    </sheetView>
  </sheetViews>
  <sheetFormatPr defaultRowHeight="15"/>
  <cols>
    <col min="6" max="6" width="19" bestFit="1" customWidth="1"/>
    <col min="7" max="7" width="13.5703125" bestFit="1" customWidth="1"/>
    <col min="8" max="8" width="13.5703125" customWidth="1"/>
    <col min="9" max="9" width="9.140625" style="68"/>
  </cols>
  <sheetData>
    <row r="1" spans="5:13">
      <c r="F1" t="s">
        <v>29</v>
      </c>
      <c r="G1" t="s">
        <v>28</v>
      </c>
      <c r="H1" t="s">
        <v>1173</v>
      </c>
      <c r="I1" s="68" t="s">
        <v>358</v>
      </c>
    </row>
    <row r="2" spans="5:13">
      <c r="I2" s="68">
        <f>SUM(I3:I100)</f>
        <v>246003</v>
      </c>
    </row>
    <row r="3" spans="5:13">
      <c r="E3">
        <v>1</v>
      </c>
      <c r="F3" t="s">
        <v>1148</v>
      </c>
      <c r="G3" t="s">
        <v>1149</v>
      </c>
      <c r="I3" s="68">
        <v>15840</v>
      </c>
      <c r="J3" t="s">
        <v>1163</v>
      </c>
      <c r="K3" t="s">
        <v>495</v>
      </c>
      <c r="M3" t="s">
        <v>1163</v>
      </c>
    </row>
    <row r="4" spans="5:13">
      <c r="E4">
        <v>2</v>
      </c>
      <c r="F4" t="s">
        <v>1150</v>
      </c>
      <c r="G4" t="s">
        <v>1111</v>
      </c>
      <c r="I4" s="68">
        <v>18760</v>
      </c>
      <c r="J4" t="s">
        <v>1163</v>
      </c>
      <c r="L4" t="s">
        <v>1163</v>
      </c>
      <c r="M4" t="s">
        <v>1163</v>
      </c>
    </row>
    <row r="5" spans="5:13">
      <c r="E5">
        <v>3</v>
      </c>
      <c r="F5" t="s">
        <v>1105</v>
      </c>
      <c r="G5" t="s">
        <v>1151</v>
      </c>
      <c r="I5" s="68">
        <v>2574</v>
      </c>
      <c r="J5" t="s">
        <v>1163</v>
      </c>
      <c r="L5" t="s">
        <v>1163</v>
      </c>
      <c r="M5" t="s">
        <v>1163</v>
      </c>
    </row>
    <row r="6" spans="5:13">
      <c r="E6">
        <v>4</v>
      </c>
      <c r="F6" t="s">
        <v>1152</v>
      </c>
      <c r="G6" t="s">
        <v>1151</v>
      </c>
      <c r="I6" s="68">
        <v>5742</v>
      </c>
      <c r="J6" t="s">
        <v>1163</v>
      </c>
      <c r="L6" t="s">
        <v>1163</v>
      </c>
      <c r="M6" t="s">
        <v>1163</v>
      </c>
    </row>
    <row r="7" spans="5:13">
      <c r="E7">
        <v>5</v>
      </c>
      <c r="F7" t="s">
        <v>373</v>
      </c>
      <c r="G7" t="s">
        <v>36</v>
      </c>
      <c r="I7" s="68">
        <v>18000</v>
      </c>
      <c r="L7" t="s">
        <v>1163</v>
      </c>
      <c r="M7" t="s">
        <v>1163</v>
      </c>
    </row>
    <row r="8" spans="5:13">
      <c r="E8">
        <v>6</v>
      </c>
      <c r="F8" t="s">
        <v>1153</v>
      </c>
      <c r="G8" t="s">
        <v>487</v>
      </c>
      <c r="I8" s="68">
        <v>13000</v>
      </c>
      <c r="L8" t="s">
        <v>1163</v>
      </c>
      <c r="M8" t="s">
        <v>1163</v>
      </c>
    </row>
    <row r="9" spans="5:13">
      <c r="E9">
        <v>7</v>
      </c>
      <c r="F9" t="s">
        <v>808</v>
      </c>
      <c r="G9" t="s">
        <v>36</v>
      </c>
      <c r="I9" s="68">
        <v>11000</v>
      </c>
      <c r="L9" t="s">
        <v>1163</v>
      </c>
      <c r="M9" t="s">
        <v>1163</v>
      </c>
    </row>
    <row r="10" spans="5:13">
      <c r="E10">
        <v>8</v>
      </c>
      <c r="F10" t="s">
        <v>448</v>
      </c>
      <c r="G10" t="s">
        <v>36</v>
      </c>
      <c r="I10" s="68">
        <v>28000</v>
      </c>
      <c r="L10" t="s">
        <v>1163</v>
      </c>
      <c r="M10" t="s">
        <v>1163</v>
      </c>
    </row>
    <row r="11" spans="5:13">
      <c r="E11">
        <v>9</v>
      </c>
      <c r="F11" t="s">
        <v>41</v>
      </c>
      <c r="G11" t="s">
        <v>36</v>
      </c>
      <c r="I11" s="68">
        <v>22000</v>
      </c>
      <c r="L11" t="s">
        <v>1163</v>
      </c>
      <c r="M11" t="s">
        <v>1163</v>
      </c>
    </row>
    <row r="12" spans="5:13">
      <c r="E12">
        <v>10</v>
      </c>
      <c r="F12" t="s">
        <v>1154</v>
      </c>
      <c r="G12" t="s">
        <v>36</v>
      </c>
      <c r="I12" s="68">
        <v>22000</v>
      </c>
      <c r="L12" t="s">
        <v>1163</v>
      </c>
      <c r="M12" t="s">
        <v>1163</v>
      </c>
    </row>
    <row r="13" spans="5:13">
      <c r="E13">
        <v>11</v>
      </c>
      <c r="F13" t="s">
        <v>32</v>
      </c>
      <c r="G13" t="s">
        <v>36</v>
      </c>
      <c r="I13" s="68">
        <v>22000</v>
      </c>
      <c r="L13" t="s">
        <v>1163</v>
      </c>
      <c r="M13" t="s">
        <v>1163</v>
      </c>
    </row>
    <row r="14" spans="5:13">
      <c r="E14">
        <v>12</v>
      </c>
      <c r="F14" t="s">
        <v>34</v>
      </c>
      <c r="G14" t="s">
        <v>36</v>
      </c>
      <c r="I14" s="68">
        <v>22000</v>
      </c>
      <c r="L14" t="s">
        <v>1163</v>
      </c>
      <c r="M14" t="s">
        <v>1163</v>
      </c>
    </row>
    <row r="15" spans="5:13">
      <c r="E15">
        <v>13</v>
      </c>
      <c r="F15" t="s">
        <v>1164</v>
      </c>
      <c r="G15" t="s">
        <v>1166</v>
      </c>
      <c r="I15" s="68">
        <v>3960</v>
      </c>
      <c r="J15" t="s">
        <v>1163</v>
      </c>
      <c r="L15" t="s">
        <v>1163</v>
      </c>
    </row>
    <row r="16" spans="5:13">
      <c r="E16">
        <v>14</v>
      </c>
      <c r="F16" t="s">
        <v>1165</v>
      </c>
      <c r="G16" t="s">
        <v>1166</v>
      </c>
      <c r="I16" s="68">
        <v>3415</v>
      </c>
      <c r="J16" t="s">
        <v>1163</v>
      </c>
      <c r="L16" t="s">
        <v>1163</v>
      </c>
    </row>
    <row r="17" spans="5:13">
      <c r="E17">
        <v>15</v>
      </c>
      <c r="F17" t="s">
        <v>1165</v>
      </c>
      <c r="G17" t="s">
        <v>1135</v>
      </c>
      <c r="I17" s="68">
        <v>5940</v>
      </c>
      <c r="J17" t="s">
        <v>1163</v>
      </c>
      <c r="L17" t="s">
        <v>1163</v>
      </c>
    </row>
    <row r="18" spans="5:13">
      <c r="E18">
        <v>16</v>
      </c>
      <c r="F18" t="s">
        <v>1167</v>
      </c>
      <c r="G18" t="s">
        <v>1135</v>
      </c>
      <c r="I18" s="68">
        <v>5940</v>
      </c>
      <c r="J18" t="s">
        <v>1163</v>
      </c>
      <c r="K18" t="s">
        <v>495</v>
      </c>
    </row>
    <row r="19" spans="5:13">
      <c r="E19">
        <v>17</v>
      </c>
      <c r="F19" t="s">
        <v>1168</v>
      </c>
      <c r="G19" t="s">
        <v>1135</v>
      </c>
      <c r="I19" s="68">
        <v>4752</v>
      </c>
      <c r="J19" t="s">
        <v>1163</v>
      </c>
      <c r="L19" t="s">
        <v>1163</v>
      </c>
    </row>
    <row r="20" spans="5:13">
      <c r="E20">
        <v>18</v>
      </c>
      <c r="F20" t="s">
        <v>331</v>
      </c>
      <c r="G20" t="s">
        <v>1151</v>
      </c>
      <c r="I20" s="68">
        <v>2376</v>
      </c>
      <c r="J20" t="s">
        <v>1163</v>
      </c>
      <c r="L20" t="s">
        <v>1163</v>
      </c>
    </row>
    <row r="21" spans="5:13">
      <c r="E21">
        <v>19</v>
      </c>
      <c r="F21" t="s">
        <v>1169</v>
      </c>
      <c r="G21" t="s">
        <v>1151</v>
      </c>
      <c r="I21" s="68">
        <v>990</v>
      </c>
      <c r="J21" t="s">
        <v>1163</v>
      </c>
      <c r="L21" t="s">
        <v>1163</v>
      </c>
    </row>
    <row r="22" spans="5:13">
      <c r="E22">
        <v>20</v>
      </c>
      <c r="F22" t="s">
        <v>1170</v>
      </c>
      <c r="G22" t="s">
        <v>1151</v>
      </c>
      <c r="I22" s="68">
        <v>2376</v>
      </c>
      <c r="J22" t="s">
        <v>1163</v>
      </c>
      <c r="K22" t="s">
        <v>495</v>
      </c>
    </row>
    <row r="23" spans="5:13">
      <c r="E23">
        <v>21</v>
      </c>
      <c r="F23" t="s">
        <v>1170</v>
      </c>
      <c r="G23" t="s">
        <v>1171</v>
      </c>
      <c r="I23" s="68">
        <v>7296</v>
      </c>
      <c r="J23" t="s">
        <v>1163</v>
      </c>
      <c r="K23" t="s">
        <v>495</v>
      </c>
    </row>
    <row r="24" spans="5:13">
      <c r="E24">
        <v>22</v>
      </c>
      <c r="F24" t="s">
        <v>808</v>
      </c>
      <c r="G24" t="s">
        <v>1172</v>
      </c>
      <c r="I24" s="68">
        <v>2000</v>
      </c>
      <c r="J24" t="s">
        <v>1163</v>
      </c>
      <c r="L24" t="s">
        <v>1163</v>
      </c>
      <c r="M24" t="s">
        <v>1163</v>
      </c>
    </row>
    <row r="25" spans="5:13">
      <c r="E25">
        <v>23</v>
      </c>
      <c r="F25" t="s">
        <v>857</v>
      </c>
      <c r="G25" t="s">
        <v>1166</v>
      </c>
      <c r="I25" s="68">
        <v>3270</v>
      </c>
      <c r="L25" t="s">
        <v>1163</v>
      </c>
    </row>
    <row r="26" spans="5:13">
      <c r="E26">
        <v>24</v>
      </c>
      <c r="F26" t="s">
        <v>1116</v>
      </c>
      <c r="G26" t="s">
        <v>1151</v>
      </c>
      <c r="I26" s="68">
        <v>2772</v>
      </c>
      <c r="L26" t="s">
        <v>1163</v>
      </c>
      <c r="M26" t="s">
        <v>1163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E115"/>
  <sheetViews>
    <sheetView tabSelected="1" topLeftCell="F3" workbookViewId="0">
      <selection activeCell="M21" sqref="M21"/>
    </sheetView>
  </sheetViews>
  <sheetFormatPr defaultRowHeight="15"/>
  <cols>
    <col min="1" max="1" width="6.140625" bestFit="1" customWidth="1"/>
    <col min="2" max="2" width="16" bestFit="1" customWidth="1"/>
    <col min="3" max="3" width="9.5703125" customWidth="1"/>
    <col min="4" max="4" width="11.7109375" customWidth="1"/>
    <col min="5" max="5" width="9.42578125" style="68" customWidth="1"/>
    <col min="6" max="6" width="15.42578125" style="68" bestFit="1" customWidth="1"/>
    <col min="7" max="7" width="12.140625" bestFit="1" customWidth="1"/>
    <col min="8" max="8" width="13.7109375" style="127" customWidth="1"/>
    <col min="9" max="9" width="7.85546875" style="128" bestFit="1" customWidth="1"/>
    <col min="10" max="10" width="15.5703125" style="128" bestFit="1" customWidth="1"/>
    <col min="11" max="11" width="8.28515625" customWidth="1"/>
    <col min="12" max="12" width="10.5703125" customWidth="1"/>
    <col min="13" max="13" width="11.85546875" customWidth="1"/>
    <col min="14" max="15" width="8.85546875" customWidth="1"/>
    <col min="16" max="16" width="10" customWidth="1"/>
    <col min="17" max="17" width="10.7109375" customWidth="1"/>
    <col min="18" max="18" width="12.7109375" customWidth="1"/>
    <col min="19" max="19" width="10" customWidth="1"/>
    <col min="20" max="20" width="9.42578125" bestFit="1" customWidth="1"/>
    <col min="21" max="21" width="9.28515625" customWidth="1"/>
    <col min="22" max="22" width="7.5703125" bestFit="1" customWidth="1"/>
    <col min="23" max="23" width="8.7109375" customWidth="1"/>
    <col min="24" max="24" width="14.140625" bestFit="1" customWidth="1"/>
    <col min="25" max="25" width="9.28515625" bestFit="1" customWidth="1"/>
    <col min="26" max="26" width="9.5703125" bestFit="1" customWidth="1"/>
    <col min="27" max="27" width="8.42578125" customWidth="1"/>
    <col min="28" max="28" width="8.5703125" bestFit="1" customWidth="1"/>
    <col min="29" max="29" width="8" customWidth="1"/>
    <col min="30" max="30" width="9.5703125" bestFit="1" customWidth="1"/>
    <col min="31" max="31" width="7.140625" bestFit="1" customWidth="1"/>
    <col min="32" max="32" width="9.140625" bestFit="1" customWidth="1"/>
    <col min="33" max="33" width="18.140625" bestFit="1" customWidth="1"/>
    <col min="34" max="34" width="12.140625" customWidth="1"/>
    <col min="35" max="35" width="12.5703125" bestFit="1" customWidth="1"/>
    <col min="36" max="36" width="13.28515625" bestFit="1" customWidth="1"/>
    <col min="37" max="37" width="14.7109375" bestFit="1" customWidth="1"/>
    <col min="38" max="38" width="12.42578125" bestFit="1" customWidth="1"/>
    <col min="39" max="39" width="17.140625" bestFit="1" customWidth="1"/>
    <col min="40" max="40" width="12.7109375" bestFit="1" customWidth="1"/>
    <col min="41" max="41" width="15.7109375" customWidth="1"/>
    <col min="42" max="42" width="6.85546875" customWidth="1"/>
    <col min="43" max="43" width="12.5703125" bestFit="1" customWidth="1"/>
    <col min="44" max="44" width="9.7109375" bestFit="1" customWidth="1"/>
    <col min="45" max="45" width="9.140625" customWidth="1"/>
    <col min="46" max="46" width="12.42578125" bestFit="1" customWidth="1"/>
    <col min="47" max="47" width="17.140625" bestFit="1" customWidth="1"/>
    <col min="48" max="48" width="14.42578125" bestFit="1" customWidth="1"/>
    <col min="49" max="49" width="17.7109375" bestFit="1" customWidth="1"/>
    <col min="50" max="51" width="13.7109375" bestFit="1" customWidth="1"/>
    <col min="52" max="52" width="12.140625" bestFit="1" customWidth="1"/>
    <col min="53" max="53" width="9.85546875" bestFit="1" customWidth="1"/>
    <col min="54" max="54" width="15.28515625" bestFit="1" customWidth="1"/>
    <col min="55" max="55" width="5" bestFit="1" customWidth="1"/>
    <col min="56" max="56" width="5.7109375" bestFit="1" customWidth="1"/>
    <col min="57" max="58" width="9" bestFit="1" customWidth="1"/>
    <col min="59" max="59" width="8.7109375" customWidth="1"/>
    <col min="60" max="60" width="9.7109375" customWidth="1"/>
    <col min="61" max="61" width="7.7109375" customWidth="1"/>
    <col min="62" max="62" width="4.7109375" customWidth="1"/>
    <col min="63" max="63" width="8.42578125" bestFit="1" customWidth="1"/>
    <col min="64" max="64" width="6.5703125" customWidth="1"/>
    <col min="65" max="65" width="9.42578125" customWidth="1"/>
    <col min="66" max="66" width="6.140625" customWidth="1"/>
    <col min="67" max="67" width="6" customWidth="1"/>
    <col min="68" max="68" width="6.28515625" customWidth="1"/>
    <col min="69" max="69" width="5.28515625" customWidth="1"/>
  </cols>
  <sheetData>
    <row r="1" spans="1:83" ht="15.75" thickBot="1">
      <c r="J1" s="128" t="s">
        <v>1155</v>
      </c>
    </row>
    <row r="2" spans="1:83" s="110" customFormat="1" ht="30.75" thickBot="1">
      <c r="A2" s="119"/>
      <c r="B2" s="119"/>
      <c r="C2" s="133" t="s">
        <v>28</v>
      </c>
      <c r="D2" s="137">
        <f>SUM(D4:D101)+I2</f>
        <v>595281</v>
      </c>
      <c r="E2" s="121">
        <f>SUM(E4:E101)</f>
        <v>25000</v>
      </c>
      <c r="F2" s="121">
        <f>SUM(F4:F101)</f>
        <v>0</v>
      </c>
      <c r="G2" s="121">
        <f>SUM(G4:G101)</f>
        <v>657513</v>
      </c>
      <c r="H2" s="120" t="s">
        <v>303</v>
      </c>
      <c r="I2" s="140">
        <f>SUM(I4:I101)</f>
        <v>577513</v>
      </c>
      <c r="J2" s="158">
        <f>SUM(J4:J101)</f>
        <v>595281</v>
      </c>
      <c r="K2" s="114">
        <f>SUM(K4:K101)</f>
        <v>20000</v>
      </c>
      <c r="L2" s="114">
        <f t="shared" ref="L2:BQ2" si="0">SUM(L4:L101)</f>
        <v>0</v>
      </c>
      <c r="M2" s="114">
        <f t="shared" si="0"/>
        <v>0</v>
      </c>
      <c r="N2" s="114">
        <f t="shared" si="0"/>
        <v>0</v>
      </c>
      <c r="O2" s="114">
        <f t="shared" si="0"/>
        <v>0</v>
      </c>
      <c r="P2" s="114">
        <f t="shared" si="0"/>
        <v>0</v>
      </c>
      <c r="Q2" s="114">
        <f t="shared" si="0"/>
        <v>0</v>
      </c>
      <c r="R2" s="114">
        <f t="shared" si="0"/>
        <v>0</v>
      </c>
      <c r="S2" s="114">
        <f t="shared" si="0"/>
        <v>0</v>
      </c>
      <c r="T2" s="114">
        <f t="shared" si="0"/>
        <v>0</v>
      </c>
      <c r="U2" s="114">
        <f t="shared" si="0"/>
        <v>0</v>
      </c>
      <c r="V2" s="114">
        <f t="shared" si="0"/>
        <v>0</v>
      </c>
      <c r="W2" s="114">
        <f t="shared" si="0"/>
        <v>0</v>
      </c>
      <c r="X2" s="114">
        <f t="shared" si="0"/>
        <v>0</v>
      </c>
      <c r="Y2" s="114">
        <f t="shared" si="0"/>
        <v>0</v>
      </c>
      <c r="Z2" s="114">
        <f t="shared" si="0"/>
        <v>0</v>
      </c>
      <c r="AA2" s="114">
        <f t="shared" si="0"/>
        <v>0</v>
      </c>
      <c r="AB2" s="114">
        <f t="shared" si="0"/>
        <v>0</v>
      </c>
      <c r="AC2" s="114">
        <f t="shared" si="0"/>
        <v>0</v>
      </c>
      <c r="AD2" s="114">
        <f t="shared" si="0"/>
        <v>0</v>
      </c>
      <c r="AE2" s="114">
        <f t="shared" si="0"/>
        <v>0</v>
      </c>
      <c r="AF2" s="114">
        <f t="shared" si="0"/>
        <v>0</v>
      </c>
      <c r="AG2" s="114">
        <f t="shared" si="0"/>
        <v>0</v>
      </c>
      <c r="AH2" s="114">
        <f t="shared" si="0"/>
        <v>0</v>
      </c>
      <c r="AI2" s="114">
        <f t="shared" si="0"/>
        <v>0</v>
      </c>
      <c r="AJ2" s="114">
        <f t="shared" si="0"/>
        <v>0</v>
      </c>
      <c r="AK2" s="114">
        <f t="shared" si="0"/>
        <v>0</v>
      </c>
      <c r="AL2" s="114">
        <f t="shared" si="0"/>
        <v>0</v>
      </c>
      <c r="AM2" s="114">
        <f t="shared" si="0"/>
        <v>0</v>
      </c>
      <c r="AN2" s="114">
        <f t="shared" si="0"/>
        <v>0</v>
      </c>
      <c r="AO2" s="114">
        <f t="shared" si="0"/>
        <v>0</v>
      </c>
      <c r="AP2" s="114">
        <f t="shared" si="0"/>
        <v>0</v>
      </c>
      <c r="AQ2" s="114">
        <f t="shared" si="0"/>
        <v>0</v>
      </c>
      <c r="AR2" s="114">
        <f t="shared" si="0"/>
        <v>0</v>
      </c>
      <c r="AS2" s="114">
        <f t="shared" si="0"/>
        <v>0</v>
      </c>
      <c r="AT2" s="114">
        <f t="shared" si="0"/>
        <v>0</v>
      </c>
      <c r="AU2" s="114">
        <f t="shared" si="0"/>
        <v>0</v>
      </c>
      <c r="AV2" s="114">
        <f t="shared" si="0"/>
        <v>0</v>
      </c>
      <c r="AW2" s="114">
        <f t="shared" si="0"/>
        <v>0</v>
      </c>
      <c r="AX2" s="114">
        <f t="shared" si="0"/>
        <v>0</v>
      </c>
      <c r="AY2" s="114">
        <f t="shared" si="0"/>
        <v>0</v>
      </c>
      <c r="AZ2" s="114">
        <f t="shared" si="0"/>
        <v>0</v>
      </c>
      <c r="BA2" s="114">
        <f t="shared" si="0"/>
        <v>0</v>
      </c>
      <c r="BB2" s="114">
        <f t="shared" si="0"/>
        <v>0</v>
      </c>
      <c r="BC2" s="114">
        <f t="shared" si="0"/>
        <v>0</v>
      </c>
      <c r="BD2" s="114">
        <f t="shared" si="0"/>
        <v>0</v>
      </c>
      <c r="BE2" s="114">
        <f t="shared" si="0"/>
        <v>0</v>
      </c>
      <c r="BF2" s="114">
        <f t="shared" si="0"/>
        <v>0</v>
      </c>
      <c r="BG2" s="114">
        <f t="shared" si="0"/>
        <v>0</v>
      </c>
      <c r="BH2" s="114">
        <f t="shared" si="0"/>
        <v>0</v>
      </c>
      <c r="BI2" s="114">
        <f t="shared" si="0"/>
        <v>0</v>
      </c>
      <c r="BJ2" s="114">
        <f t="shared" si="0"/>
        <v>0</v>
      </c>
      <c r="BK2" s="114">
        <f t="shared" si="0"/>
        <v>0</v>
      </c>
      <c r="BL2" s="114">
        <f t="shared" si="0"/>
        <v>60000</v>
      </c>
      <c r="BM2" s="114">
        <f t="shared" si="0"/>
        <v>0</v>
      </c>
      <c r="BN2" s="114">
        <f t="shared" si="0"/>
        <v>0</v>
      </c>
      <c r="BO2" s="114">
        <f t="shared" si="0"/>
        <v>0</v>
      </c>
      <c r="BP2" s="114">
        <f t="shared" si="0"/>
        <v>0</v>
      </c>
      <c r="BQ2" s="114">
        <f t="shared" si="0"/>
        <v>0</v>
      </c>
      <c r="BR2" s="2"/>
    </row>
    <row r="3" spans="1:83" s="110" customFormat="1" ht="60">
      <c r="A3" s="115" t="s">
        <v>51</v>
      </c>
      <c r="B3" s="115" t="s">
        <v>302</v>
      </c>
      <c r="C3" s="116" t="s">
        <v>313</v>
      </c>
      <c r="D3" s="116" t="s">
        <v>852</v>
      </c>
      <c r="E3" s="117" t="s">
        <v>378</v>
      </c>
      <c r="F3" s="117" t="s">
        <v>1092</v>
      </c>
      <c r="G3" s="117" t="s">
        <v>1093</v>
      </c>
      <c r="H3" s="122" t="s">
        <v>496</v>
      </c>
      <c r="I3" s="123" t="s">
        <v>26</v>
      </c>
      <c r="J3" s="157"/>
      <c r="K3" s="111" t="s">
        <v>1179</v>
      </c>
      <c r="L3" s="111" t="s">
        <v>836</v>
      </c>
      <c r="M3" s="111" t="s">
        <v>857</v>
      </c>
      <c r="N3" s="111" t="s">
        <v>1103</v>
      </c>
      <c r="O3" s="111" t="s">
        <v>1104</v>
      </c>
      <c r="P3" s="111" t="s">
        <v>1105</v>
      </c>
      <c r="Q3" s="111" t="s">
        <v>1106</v>
      </c>
      <c r="R3" s="111" t="s">
        <v>593</v>
      </c>
      <c r="S3" s="111" t="s">
        <v>1090</v>
      </c>
      <c r="T3" s="111" t="s">
        <v>1107</v>
      </c>
      <c r="U3" s="111" t="s">
        <v>839</v>
      </c>
      <c r="V3" s="111" t="s">
        <v>1116</v>
      </c>
      <c r="W3" s="111" t="s">
        <v>331</v>
      </c>
      <c r="X3" s="111" t="s">
        <v>1117</v>
      </c>
      <c r="Y3" s="111" t="s">
        <v>1118</v>
      </c>
      <c r="Z3" s="111" t="s">
        <v>399</v>
      </c>
      <c r="AA3" s="111" t="s">
        <v>1125</v>
      </c>
      <c r="AB3" s="111" t="s">
        <v>1126</v>
      </c>
      <c r="AC3" s="111" t="s">
        <v>1124</v>
      </c>
      <c r="AD3" s="111" t="s">
        <v>1127</v>
      </c>
      <c r="AE3" s="111" t="s">
        <v>1141</v>
      </c>
      <c r="AF3" s="111" t="s">
        <v>1142</v>
      </c>
      <c r="AG3" s="111" t="s">
        <v>272</v>
      </c>
      <c r="AH3" s="111" t="s">
        <v>1143</v>
      </c>
      <c r="AI3" s="111" t="s">
        <v>1144</v>
      </c>
      <c r="AJ3" s="111" t="s">
        <v>1145</v>
      </c>
      <c r="AK3" s="111" t="s">
        <v>1147</v>
      </c>
      <c r="AL3" s="111" t="s">
        <v>1076</v>
      </c>
      <c r="AM3" s="111" t="s">
        <v>501</v>
      </c>
      <c r="AN3" s="111" t="s">
        <v>837</v>
      </c>
      <c r="AO3" s="111" t="s">
        <v>838</v>
      </c>
      <c r="AP3" s="111" t="s">
        <v>729</v>
      </c>
      <c r="AQ3" s="111" t="s">
        <v>431</v>
      </c>
      <c r="AR3" s="111" t="s">
        <v>503</v>
      </c>
      <c r="AS3" s="111" t="s">
        <v>1102</v>
      </c>
      <c r="AT3" s="111" t="s">
        <v>858</v>
      </c>
      <c r="AU3" s="111" t="s">
        <v>334</v>
      </c>
      <c r="AV3" s="111" t="s">
        <v>728</v>
      </c>
      <c r="AW3" s="111" t="s">
        <v>423</v>
      </c>
      <c r="AX3" s="111" t="s">
        <v>469</v>
      </c>
      <c r="AY3" s="111" t="s">
        <v>1072</v>
      </c>
      <c r="AZ3" s="111" t="s">
        <v>432</v>
      </c>
      <c r="BA3" s="111" t="s">
        <v>456</v>
      </c>
      <c r="BB3" s="111" t="s">
        <v>736</v>
      </c>
      <c r="BC3" s="111" t="s">
        <v>1074</v>
      </c>
      <c r="BD3" s="111" t="s">
        <v>308</v>
      </c>
      <c r="BE3" s="111" t="s">
        <v>329</v>
      </c>
      <c r="BF3" s="111" t="s">
        <v>40</v>
      </c>
      <c r="BG3" s="112" t="s">
        <v>40</v>
      </c>
      <c r="BH3" s="132" t="s">
        <v>448</v>
      </c>
      <c r="BI3" s="132" t="s">
        <v>449</v>
      </c>
      <c r="BJ3" s="132" t="s">
        <v>450</v>
      </c>
      <c r="BK3" s="132" t="s">
        <v>451</v>
      </c>
      <c r="BL3" s="132" t="s">
        <v>452</v>
      </c>
      <c r="BM3" s="113" t="s">
        <v>335</v>
      </c>
      <c r="BN3" s="113" t="s">
        <v>856</v>
      </c>
      <c r="BO3" s="113"/>
      <c r="BP3" s="113"/>
      <c r="BQ3" s="113"/>
      <c r="BR3" s="2"/>
    </row>
    <row r="4" spans="1:83">
      <c r="A4" s="38">
        <v>1</v>
      </c>
      <c r="B4" s="30" t="s">
        <v>1091</v>
      </c>
      <c r="C4" s="5"/>
      <c r="D4" s="5"/>
      <c r="E4" s="38"/>
      <c r="F4" s="38"/>
      <c r="G4" s="38">
        <v>84406</v>
      </c>
      <c r="H4" s="129">
        <f t="shared" ref="H4:H67" si="1">SUM(K4:ZH4)</f>
        <v>0</v>
      </c>
      <c r="I4" s="130">
        <f>F4+G4-H4</f>
        <v>84406</v>
      </c>
      <c r="J4" s="130">
        <f>D4+I4</f>
        <v>84406</v>
      </c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42"/>
      <c r="BH4" s="104"/>
      <c r="BI4" s="104"/>
      <c r="BJ4" s="104"/>
      <c r="BK4" s="104"/>
      <c r="BL4" s="104"/>
      <c r="BM4" s="104"/>
      <c r="BN4" s="30"/>
      <c r="BO4" s="30"/>
      <c r="BP4" s="30"/>
      <c r="BQ4" s="30"/>
      <c r="BR4" s="3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</row>
    <row r="5" spans="1:83" s="40" customFormat="1">
      <c r="A5" s="104">
        <v>2</v>
      </c>
      <c r="B5" s="30" t="s">
        <v>1038</v>
      </c>
      <c r="C5" s="30"/>
      <c r="D5" s="30">
        <f>8768+50000-G8-G9-G11</f>
        <v>17768</v>
      </c>
      <c r="E5" s="104"/>
      <c r="F5" s="104"/>
      <c r="G5" s="104"/>
      <c r="H5" s="131">
        <f t="shared" si="1"/>
        <v>10000</v>
      </c>
      <c r="I5" s="130">
        <f t="shared" ref="I5:I68" si="2">F5+G5-H5</f>
        <v>-10000</v>
      </c>
      <c r="J5" s="130">
        <f t="shared" ref="J5:J68" si="3">D5+I5</f>
        <v>7768</v>
      </c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5"/>
      <c r="BH5" s="104"/>
      <c r="BI5" s="104"/>
      <c r="BJ5" s="104"/>
      <c r="BK5" s="104"/>
      <c r="BL5" s="104">
        <v>10000</v>
      </c>
      <c r="BM5" s="104"/>
      <c r="BN5" s="30"/>
      <c r="BO5" s="30"/>
      <c r="BP5" s="30"/>
      <c r="BQ5" s="30"/>
      <c r="BR5" s="30"/>
    </row>
    <row r="6" spans="1:83">
      <c r="A6" s="38">
        <v>4</v>
      </c>
      <c r="B6" s="5" t="s">
        <v>33</v>
      </c>
      <c r="C6" s="5" t="s">
        <v>1079</v>
      </c>
      <c r="D6" s="5"/>
      <c r="E6" s="38"/>
      <c r="F6" s="38"/>
      <c r="G6" s="104">
        <f>221000</f>
        <v>221000</v>
      </c>
      <c r="H6" s="129">
        <f t="shared" si="1"/>
        <v>50000</v>
      </c>
      <c r="I6" s="130">
        <f t="shared" si="2"/>
        <v>171000</v>
      </c>
      <c r="J6" s="130">
        <f t="shared" si="3"/>
        <v>171000</v>
      </c>
      <c r="K6" s="104"/>
      <c r="L6" s="104"/>
      <c r="M6" s="104"/>
      <c r="N6" s="145"/>
      <c r="O6" s="145"/>
      <c r="P6" s="104"/>
      <c r="Q6" s="104"/>
      <c r="S6" s="145"/>
      <c r="T6" s="104"/>
      <c r="U6" s="145"/>
      <c r="V6" s="145"/>
      <c r="W6" s="104"/>
      <c r="X6" s="21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5"/>
      <c r="BH6" s="104"/>
      <c r="BI6" s="104"/>
      <c r="BJ6" s="104"/>
      <c r="BK6" s="104"/>
      <c r="BL6" s="104">
        <v>50000</v>
      </c>
      <c r="BM6" s="104"/>
      <c r="BN6" s="30"/>
      <c r="BO6" s="30"/>
      <c r="BP6" s="30"/>
      <c r="BQ6" s="30"/>
      <c r="BR6" s="3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</row>
    <row r="7" spans="1:83">
      <c r="A7" s="38">
        <v>7</v>
      </c>
      <c r="B7" s="5" t="s">
        <v>502</v>
      </c>
      <c r="C7" s="5"/>
      <c r="D7" s="38"/>
      <c r="E7" s="104"/>
      <c r="F7" s="38"/>
      <c r="G7" s="38"/>
      <c r="H7" s="129">
        <f t="shared" si="1"/>
        <v>0</v>
      </c>
      <c r="I7" s="130">
        <f t="shared" si="2"/>
        <v>0</v>
      </c>
      <c r="J7" s="130">
        <f t="shared" si="3"/>
        <v>0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5"/>
      <c r="BH7" s="104"/>
      <c r="BI7" s="104"/>
      <c r="BJ7" s="104"/>
      <c r="BK7" s="104"/>
      <c r="BL7" s="104"/>
      <c r="BM7" s="104"/>
      <c r="BN7" s="30"/>
      <c r="BO7" s="30"/>
      <c r="BP7" s="30"/>
      <c r="BQ7" s="30"/>
      <c r="BR7" s="3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</row>
    <row r="8" spans="1:83">
      <c r="A8" s="38">
        <v>5</v>
      </c>
      <c r="B8" s="5" t="s">
        <v>1113</v>
      </c>
      <c r="C8" s="5" t="s">
        <v>1109</v>
      </c>
      <c r="D8" s="5"/>
      <c r="E8" s="104"/>
      <c r="F8" s="38"/>
      <c r="G8" s="38">
        <v>21000</v>
      </c>
      <c r="H8" s="129">
        <f t="shared" si="1"/>
        <v>0</v>
      </c>
      <c r="I8" s="130">
        <f t="shared" si="2"/>
        <v>21000</v>
      </c>
      <c r="J8" s="130">
        <f t="shared" si="3"/>
        <v>21000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5"/>
      <c r="BH8" s="104"/>
      <c r="BI8" s="104"/>
      <c r="BJ8" s="104"/>
      <c r="BK8" s="104"/>
      <c r="BL8" s="104"/>
      <c r="BM8" s="104"/>
      <c r="BN8" s="30"/>
      <c r="BO8" s="30"/>
      <c r="BP8" s="30"/>
      <c r="BQ8" s="30"/>
      <c r="BR8" s="3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</row>
    <row r="9" spans="1:83">
      <c r="A9" s="38">
        <v>6</v>
      </c>
      <c r="B9" s="30" t="s">
        <v>1113</v>
      </c>
      <c r="C9" s="5" t="s">
        <v>1110</v>
      </c>
      <c r="D9" s="5"/>
      <c r="E9" s="104">
        <v>10000</v>
      </c>
      <c r="F9" s="38"/>
      <c r="G9" s="38">
        <v>10000</v>
      </c>
      <c r="H9" s="129">
        <f t="shared" si="1"/>
        <v>0</v>
      </c>
      <c r="I9" s="130">
        <f t="shared" si="2"/>
        <v>10000</v>
      </c>
      <c r="J9" s="130">
        <f t="shared" si="3"/>
        <v>10000</v>
      </c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5"/>
      <c r="BH9" s="104"/>
      <c r="BI9" s="104"/>
      <c r="BJ9" s="104"/>
      <c r="BK9" s="104"/>
      <c r="BL9" s="104"/>
      <c r="BM9" s="104"/>
      <c r="BN9" s="30"/>
      <c r="BO9" s="30"/>
      <c r="BP9" s="30"/>
      <c r="BQ9" s="30"/>
      <c r="BR9" s="3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</row>
    <row r="10" spans="1:83" s="40" customFormat="1">
      <c r="A10" s="104">
        <v>3</v>
      </c>
      <c r="B10" s="5" t="s">
        <v>1113</v>
      </c>
      <c r="C10" s="30" t="s">
        <v>1111</v>
      </c>
      <c r="D10" s="30"/>
      <c r="E10" s="104">
        <v>15000</v>
      </c>
      <c r="F10" s="104"/>
      <c r="G10" s="104"/>
      <c r="H10" s="124">
        <f t="shared" si="1"/>
        <v>0</v>
      </c>
      <c r="I10" s="130">
        <f t="shared" si="2"/>
        <v>0</v>
      </c>
      <c r="J10" s="130">
        <f t="shared" si="3"/>
        <v>0</v>
      </c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5"/>
      <c r="BH10" s="104"/>
      <c r="BI10" s="104"/>
      <c r="BJ10" s="104"/>
      <c r="BK10" s="104"/>
      <c r="BL10" s="104"/>
      <c r="BM10" s="104"/>
      <c r="BN10" s="30"/>
      <c r="BO10" s="30"/>
      <c r="BP10" s="30"/>
      <c r="BQ10" s="30"/>
      <c r="BR10" s="30"/>
    </row>
    <row r="11" spans="1:83">
      <c r="A11" s="104">
        <v>10</v>
      </c>
      <c r="B11" s="30" t="s">
        <v>1113</v>
      </c>
      <c r="C11" s="30" t="s">
        <v>1112</v>
      </c>
      <c r="D11" s="30"/>
      <c r="E11" s="104"/>
      <c r="F11" s="104"/>
      <c r="G11" s="104">
        <v>10000</v>
      </c>
      <c r="H11" s="131">
        <f t="shared" si="1"/>
        <v>0</v>
      </c>
      <c r="I11" s="130">
        <f t="shared" si="2"/>
        <v>10000</v>
      </c>
      <c r="J11" s="130">
        <f t="shared" si="3"/>
        <v>10000</v>
      </c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5"/>
      <c r="BH11" s="104"/>
      <c r="BI11" s="104"/>
      <c r="BJ11" s="104"/>
      <c r="BK11" s="104"/>
      <c r="BL11" s="104"/>
      <c r="BM11" s="104"/>
      <c r="BN11" s="30"/>
      <c r="BO11" s="30"/>
      <c r="BP11" s="30"/>
      <c r="BQ11" s="30"/>
      <c r="BR11" s="3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</row>
    <row r="12" spans="1:83">
      <c r="A12" s="104">
        <v>11</v>
      </c>
      <c r="B12" s="30" t="s">
        <v>1113</v>
      </c>
      <c r="C12" s="30" t="s">
        <v>848</v>
      </c>
      <c r="D12" s="30"/>
      <c r="E12" s="104"/>
      <c r="F12" s="104"/>
      <c r="G12" s="104"/>
      <c r="H12" s="131">
        <f t="shared" si="1"/>
        <v>0</v>
      </c>
      <c r="I12" s="130">
        <f t="shared" si="2"/>
        <v>0</v>
      </c>
      <c r="J12" s="130">
        <f t="shared" si="3"/>
        <v>0</v>
      </c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5"/>
      <c r="BH12" s="104"/>
      <c r="BI12" s="104"/>
      <c r="BJ12" s="104"/>
      <c r="BK12" s="104"/>
      <c r="BL12" s="104"/>
      <c r="BM12" s="104"/>
      <c r="BN12" s="30"/>
      <c r="BO12" s="30"/>
      <c r="BP12" s="30"/>
      <c r="BQ12" s="30"/>
      <c r="BR12" s="3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</row>
    <row r="13" spans="1:83">
      <c r="A13" s="104">
        <v>12</v>
      </c>
      <c r="B13" s="30" t="s">
        <v>1113</v>
      </c>
      <c r="C13" s="30" t="s">
        <v>1135</v>
      </c>
      <c r="D13" s="30"/>
      <c r="E13" s="104"/>
      <c r="F13" s="104"/>
      <c r="G13" s="104"/>
      <c r="H13" s="131">
        <f>SUM(K13:BQ13)</f>
        <v>0</v>
      </c>
      <c r="I13" s="130">
        <f t="shared" si="2"/>
        <v>0</v>
      </c>
      <c r="J13" s="130">
        <f t="shared" si="3"/>
        <v>0</v>
      </c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5"/>
      <c r="BH13" s="104"/>
      <c r="BI13" s="104"/>
      <c r="BJ13" s="104"/>
      <c r="BK13" s="104"/>
      <c r="BL13" s="104"/>
      <c r="BM13" s="104"/>
      <c r="BN13" s="30"/>
      <c r="BO13" s="30"/>
      <c r="BP13" s="30"/>
      <c r="BQ13" s="30"/>
      <c r="BR13" s="3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</row>
    <row r="14" spans="1:83">
      <c r="A14" s="104">
        <v>13</v>
      </c>
      <c r="B14" s="30" t="s">
        <v>581</v>
      </c>
      <c r="C14" s="30" t="s">
        <v>1140</v>
      </c>
      <c r="D14" s="30"/>
      <c r="E14" s="104"/>
      <c r="F14" s="104"/>
      <c r="G14" s="104">
        <f>25000</f>
        <v>25000</v>
      </c>
      <c r="H14" s="131">
        <f t="shared" si="1"/>
        <v>0</v>
      </c>
      <c r="I14" s="130">
        <f t="shared" si="2"/>
        <v>25000</v>
      </c>
      <c r="J14" s="130">
        <f t="shared" si="3"/>
        <v>25000</v>
      </c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5"/>
      <c r="BH14" s="104"/>
      <c r="BI14" s="104"/>
      <c r="BJ14" s="104"/>
      <c r="BK14" s="104"/>
      <c r="BL14" s="104"/>
      <c r="BM14" s="104"/>
      <c r="BN14" s="30"/>
      <c r="BO14" s="30"/>
      <c r="BP14" s="30"/>
      <c r="BQ14" s="30"/>
      <c r="BR14" s="3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</row>
    <row r="15" spans="1:83">
      <c r="A15" s="104">
        <v>14</v>
      </c>
      <c r="B15" s="30" t="s">
        <v>581</v>
      </c>
      <c r="C15" s="30" t="s">
        <v>1146</v>
      </c>
      <c r="D15" s="30"/>
      <c r="E15" s="104"/>
      <c r="F15" s="104"/>
      <c r="G15" s="104"/>
      <c r="H15" s="131">
        <f t="shared" si="1"/>
        <v>0</v>
      </c>
      <c r="I15" s="130">
        <f t="shared" si="2"/>
        <v>0</v>
      </c>
      <c r="J15" s="130">
        <f t="shared" si="3"/>
        <v>0</v>
      </c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5"/>
      <c r="BH15" s="104"/>
      <c r="BI15" s="104"/>
      <c r="BJ15" s="104"/>
      <c r="BK15" s="104"/>
      <c r="BL15" s="104"/>
      <c r="BM15" s="104"/>
      <c r="BN15" s="30"/>
      <c r="BO15" s="30"/>
      <c r="BP15" s="30"/>
      <c r="BQ15" s="30"/>
      <c r="BR15" s="3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</row>
    <row r="16" spans="1:83" s="87" customFormat="1">
      <c r="A16" s="104">
        <v>15</v>
      </c>
      <c r="B16" s="30" t="s">
        <v>581</v>
      </c>
      <c r="C16" s="30" t="s">
        <v>598</v>
      </c>
      <c r="D16" s="30"/>
      <c r="E16" s="104"/>
      <c r="F16" s="104"/>
      <c r="G16" s="104">
        <v>286107</v>
      </c>
      <c r="H16" s="131">
        <f t="shared" si="1"/>
        <v>0</v>
      </c>
      <c r="I16" s="130">
        <f t="shared" si="2"/>
        <v>286107</v>
      </c>
      <c r="J16" s="130">
        <f t="shared" si="3"/>
        <v>286107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146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</row>
    <row r="17" spans="1:83">
      <c r="A17" s="104">
        <v>16</v>
      </c>
      <c r="B17" s="30"/>
      <c r="C17" s="30"/>
      <c r="D17" s="30"/>
      <c r="E17" s="104"/>
      <c r="F17" s="104"/>
      <c r="G17" s="104"/>
      <c r="H17" s="131">
        <f t="shared" si="1"/>
        <v>20000</v>
      </c>
      <c r="I17" s="130">
        <f t="shared" si="2"/>
        <v>-20000</v>
      </c>
      <c r="J17" s="130">
        <f t="shared" si="3"/>
        <v>-20000</v>
      </c>
      <c r="K17" s="104">
        <v>20000</v>
      </c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146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</row>
    <row r="18" spans="1:83">
      <c r="A18" s="104">
        <v>17</v>
      </c>
      <c r="B18" s="30"/>
      <c r="C18" s="30"/>
      <c r="D18" s="30"/>
      <c r="E18" s="104"/>
      <c r="F18" s="104"/>
      <c r="G18" s="30"/>
      <c r="H18" s="131">
        <f t="shared" si="1"/>
        <v>0</v>
      </c>
      <c r="I18" s="130">
        <f t="shared" si="2"/>
        <v>0</v>
      </c>
      <c r="J18" s="130">
        <f t="shared" si="3"/>
        <v>0</v>
      </c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146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</row>
    <row r="19" spans="1:83">
      <c r="A19" s="104">
        <v>18</v>
      </c>
      <c r="B19" s="30"/>
      <c r="C19" s="30"/>
      <c r="D19" s="30"/>
      <c r="E19" s="104"/>
      <c r="F19" s="104"/>
      <c r="G19" s="104"/>
      <c r="H19" s="131">
        <f t="shared" si="1"/>
        <v>0</v>
      </c>
      <c r="I19" s="130">
        <f t="shared" si="2"/>
        <v>0</v>
      </c>
      <c r="J19" s="130">
        <f t="shared" si="3"/>
        <v>0</v>
      </c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146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>
      <c r="A20" s="104">
        <v>19</v>
      </c>
      <c r="B20" s="30"/>
      <c r="C20" s="30"/>
      <c r="D20" s="30"/>
      <c r="E20" s="104"/>
      <c r="F20" s="104"/>
      <c r="G20" s="104"/>
      <c r="H20" s="131">
        <f t="shared" si="1"/>
        <v>0</v>
      </c>
      <c r="I20" s="130">
        <f t="shared" si="2"/>
        <v>0</v>
      </c>
      <c r="J20" s="130">
        <f t="shared" si="3"/>
        <v>0</v>
      </c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146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>
      <c r="A21" s="104">
        <v>20</v>
      </c>
      <c r="B21" s="30"/>
      <c r="C21" s="30"/>
      <c r="D21" s="30"/>
      <c r="E21" s="104"/>
      <c r="F21" s="104"/>
      <c r="G21" s="104"/>
      <c r="H21" s="131">
        <f t="shared" si="1"/>
        <v>0</v>
      </c>
      <c r="I21" s="130">
        <f t="shared" si="2"/>
        <v>0</v>
      </c>
      <c r="J21" s="130">
        <f t="shared" si="3"/>
        <v>0</v>
      </c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146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</row>
    <row r="22" spans="1:83">
      <c r="A22" s="104">
        <v>21</v>
      </c>
      <c r="B22" s="30"/>
      <c r="C22" s="30"/>
      <c r="D22" s="30"/>
      <c r="E22" s="104"/>
      <c r="F22" s="104"/>
      <c r="G22" s="104"/>
      <c r="H22" s="131">
        <f t="shared" si="1"/>
        <v>0</v>
      </c>
      <c r="I22" s="130">
        <f t="shared" si="2"/>
        <v>0</v>
      </c>
      <c r="J22" s="130">
        <f t="shared" si="3"/>
        <v>0</v>
      </c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146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>
      <c r="A23" s="104">
        <v>22</v>
      </c>
      <c r="B23" s="30"/>
      <c r="C23" s="30"/>
      <c r="D23" s="30"/>
      <c r="E23" s="104"/>
      <c r="F23" s="104"/>
      <c r="G23" s="104"/>
      <c r="H23" s="131">
        <f t="shared" si="1"/>
        <v>0</v>
      </c>
      <c r="I23" s="130">
        <f t="shared" si="2"/>
        <v>0</v>
      </c>
      <c r="J23" s="130">
        <f t="shared" si="3"/>
        <v>0</v>
      </c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146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>
      <c r="A24" s="104">
        <v>23</v>
      </c>
      <c r="B24" s="30"/>
      <c r="C24" s="30"/>
      <c r="D24" s="30"/>
      <c r="E24" s="104"/>
      <c r="F24" s="104"/>
      <c r="G24" s="104"/>
      <c r="H24" s="131">
        <f t="shared" si="1"/>
        <v>0</v>
      </c>
      <c r="I24" s="130">
        <f t="shared" si="2"/>
        <v>0</v>
      </c>
      <c r="J24" s="130">
        <f t="shared" si="3"/>
        <v>0</v>
      </c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146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>
      <c r="A25" s="104">
        <v>24</v>
      </c>
      <c r="B25" s="30"/>
      <c r="C25" s="30"/>
      <c r="D25" s="30"/>
      <c r="E25" s="104"/>
      <c r="F25" s="104"/>
      <c r="G25" s="104"/>
      <c r="H25" s="131">
        <f t="shared" si="1"/>
        <v>0</v>
      </c>
      <c r="I25" s="130">
        <f t="shared" si="2"/>
        <v>0</v>
      </c>
      <c r="J25" s="130">
        <f t="shared" si="3"/>
        <v>0</v>
      </c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146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</row>
    <row r="26" spans="1:83">
      <c r="A26" s="104">
        <v>25</v>
      </c>
      <c r="B26" s="30"/>
      <c r="C26" s="30"/>
      <c r="D26" s="30"/>
      <c r="E26" s="104"/>
      <c r="F26" s="104"/>
      <c r="G26" s="104"/>
      <c r="H26" s="131">
        <f t="shared" si="1"/>
        <v>0</v>
      </c>
      <c r="I26" s="130">
        <f t="shared" si="2"/>
        <v>0</v>
      </c>
      <c r="J26" s="130">
        <f t="shared" si="3"/>
        <v>0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146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>
      <c r="A27" s="104">
        <v>26</v>
      </c>
      <c r="B27" s="30"/>
      <c r="C27" s="30"/>
      <c r="D27" s="30"/>
      <c r="E27" s="104"/>
      <c r="F27" s="104"/>
      <c r="G27" s="104"/>
      <c r="H27" s="131">
        <f t="shared" si="1"/>
        <v>0</v>
      </c>
      <c r="I27" s="130">
        <f t="shared" si="2"/>
        <v>0</v>
      </c>
      <c r="J27" s="130">
        <f t="shared" si="3"/>
        <v>0</v>
      </c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146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>
      <c r="A28" s="104">
        <v>27</v>
      </c>
      <c r="B28" s="30"/>
      <c r="C28" s="30"/>
      <c r="D28" s="30"/>
      <c r="E28" s="104"/>
      <c r="F28" s="104"/>
      <c r="G28" s="104"/>
      <c r="H28" s="131">
        <f t="shared" si="1"/>
        <v>0</v>
      </c>
      <c r="I28" s="130">
        <f t="shared" si="2"/>
        <v>0</v>
      </c>
      <c r="J28" s="130">
        <f t="shared" si="3"/>
        <v>0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146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</row>
    <row r="29" spans="1:83">
      <c r="A29" s="104">
        <v>28</v>
      </c>
      <c r="B29" s="30"/>
      <c r="C29" s="30"/>
      <c r="D29" s="30"/>
      <c r="E29" s="104"/>
      <c r="F29" s="104"/>
      <c r="G29" s="30"/>
      <c r="H29" s="131">
        <f t="shared" si="1"/>
        <v>0</v>
      </c>
      <c r="I29" s="130">
        <f t="shared" si="2"/>
        <v>0</v>
      </c>
      <c r="J29" s="130">
        <f t="shared" si="3"/>
        <v>0</v>
      </c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146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</row>
    <row r="30" spans="1:83">
      <c r="A30" s="104">
        <v>29</v>
      </c>
      <c r="B30" s="30"/>
      <c r="C30" s="30"/>
      <c r="D30" s="30"/>
      <c r="E30" s="104"/>
      <c r="F30" s="104"/>
      <c r="G30" s="30"/>
      <c r="H30" s="131">
        <f t="shared" si="1"/>
        <v>0</v>
      </c>
      <c r="I30" s="130">
        <f t="shared" si="2"/>
        <v>0</v>
      </c>
      <c r="J30" s="130">
        <f t="shared" si="3"/>
        <v>0</v>
      </c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146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</row>
    <row r="31" spans="1:83">
      <c r="A31" s="104">
        <v>30</v>
      </c>
      <c r="B31" s="30"/>
      <c r="C31" s="30"/>
      <c r="D31" s="30"/>
      <c r="E31" s="104"/>
      <c r="F31" s="104"/>
      <c r="G31" s="30"/>
      <c r="H31" s="131">
        <f t="shared" si="1"/>
        <v>0</v>
      </c>
      <c r="I31" s="130">
        <f t="shared" si="2"/>
        <v>0</v>
      </c>
      <c r="J31" s="130">
        <f t="shared" si="3"/>
        <v>0</v>
      </c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146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</row>
    <row r="32" spans="1:83">
      <c r="A32" s="104">
        <v>31</v>
      </c>
      <c r="B32" s="30"/>
      <c r="C32" s="30"/>
      <c r="D32" s="30"/>
      <c r="E32" s="104"/>
      <c r="F32" s="104"/>
      <c r="G32" s="30"/>
      <c r="H32" s="131">
        <f t="shared" si="1"/>
        <v>0</v>
      </c>
      <c r="I32" s="130">
        <f t="shared" si="2"/>
        <v>0</v>
      </c>
      <c r="J32" s="130">
        <f t="shared" si="3"/>
        <v>0</v>
      </c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146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</row>
    <row r="33" spans="1:83">
      <c r="A33" s="104">
        <v>32</v>
      </c>
      <c r="B33" s="30"/>
      <c r="C33" s="30"/>
      <c r="D33" s="30"/>
      <c r="E33" s="104"/>
      <c r="F33" s="104"/>
      <c r="G33" s="30"/>
      <c r="H33" s="131">
        <f t="shared" si="1"/>
        <v>0</v>
      </c>
      <c r="I33" s="130">
        <f t="shared" si="2"/>
        <v>0</v>
      </c>
      <c r="J33" s="130">
        <f t="shared" si="3"/>
        <v>0</v>
      </c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146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</row>
    <row r="34" spans="1:83">
      <c r="A34" s="104">
        <v>33</v>
      </c>
      <c r="B34" s="30"/>
      <c r="C34" s="30"/>
      <c r="D34" s="30"/>
      <c r="E34" s="104"/>
      <c r="F34" s="104"/>
      <c r="G34" s="30"/>
      <c r="H34" s="131">
        <f t="shared" si="1"/>
        <v>0</v>
      </c>
      <c r="I34" s="130">
        <f t="shared" si="2"/>
        <v>0</v>
      </c>
      <c r="J34" s="130">
        <f t="shared" si="3"/>
        <v>0</v>
      </c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146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</row>
    <row r="35" spans="1:83">
      <c r="A35" s="104">
        <v>34</v>
      </c>
      <c r="B35" s="30"/>
      <c r="C35" s="30"/>
      <c r="D35" s="30"/>
      <c r="E35" s="104"/>
      <c r="F35" s="104"/>
      <c r="G35" s="30"/>
      <c r="H35" s="131">
        <f t="shared" si="1"/>
        <v>0</v>
      </c>
      <c r="I35" s="130">
        <f t="shared" si="2"/>
        <v>0</v>
      </c>
      <c r="J35" s="130">
        <f t="shared" si="3"/>
        <v>0</v>
      </c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146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</row>
    <row r="36" spans="1:83">
      <c r="A36" s="104">
        <v>35</v>
      </c>
      <c r="B36" s="30"/>
      <c r="C36" s="30"/>
      <c r="D36" s="30"/>
      <c r="E36" s="104"/>
      <c r="F36" s="104"/>
      <c r="G36" s="30"/>
      <c r="H36" s="131">
        <f t="shared" si="1"/>
        <v>0</v>
      </c>
      <c r="I36" s="130">
        <f t="shared" si="2"/>
        <v>0</v>
      </c>
      <c r="J36" s="130">
        <f t="shared" si="3"/>
        <v>0</v>
      </c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146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</row>
    <row r="37" spans="1:83">
      <c r="A37" s="104">
        <v>36</v>
      </c>
      <c r="B37" s="30"/>
      <c r="C37" s="30"/>
      <c r="D37" s="30"/>
      <c r="E37" s="104"/>
      <c r="F37" s="104"/>
      <c r="G37" s="30"/>
      <c r="H37" s="131">
        <f t="shared" si="1"/>
        <v>0</v>
      </c>
      <c r="I37" s="130">
        <f t="shared" si="2"/>
        <v>0</v>
      </c>
      <c r="J37" s="130">
        <f t="shared" si="3"/>
        <v>0</v>
      </c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146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</row>
    <row r="38" spans="1:83">
      <c r="A38" s="21">
        <v>37</v>
      </c>
      <c r="B38" s="30"/>
      <c r="C38" s="30"/>
      <c r="D38" s="30"/>
      <c r="E38" s="104"/>
      <c r="F38" s="104"/>
      <c r="G38" s="30"/>
      <c r="H38" s="131">
        <f t="shared" si="1"/>
        <v>0</v>
      </c>
      <c r="I38" s="130">
        <f t="shared" si="2"/>
        <v>0</v>
      </c>
      <c r="J38" s="130">
        <f t="shared" si="3"/>
        <v>0</v>
      </c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146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</row>
    <row r="39" spans="1:83">
      <c r="A39" s="21">
        <v>38</v>
      </c>
      <c r="B39" s="30"/>
      <c r="C39" s="30"/>
      <c r="D39" s="30"/>
      <c r="E39" s="104"/>
      <c r="F39" s="104"/>
      <c r="G39" s="30"/>
      <c r="H39" s="131">
        <f t="shared" si="1"/>
        <v>0</v>
      </c>
      <c r="I39" s="130">
        <f t="shared" si="2"/>
        <v>0</v>
      </c>
      <c r="J39" s="130">
        <f t="shared" si="3"/>
        <v>0</v>
      </c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146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</row>
    <row r="40" spans="1:83">
      <c r="A40" s="21">
        <v>39</v>
      </c>
      <c r="B40" s="30"/>
      <c r="C40" s="30"/>
      <c r="D40" s="30"/>
      <c r="E40" s="104"/>
      <c r="F40" s="104"/>
      <c r="G40" s="30"/>
      <c r="H40" s="131">
        <f t="shared" si="1"/>
        <v>0</v>
      </c>
      <c r="I40" s="130">
        <f t="shared" si="2"/>
        <v>0</v>
      </c>
      <c r="J40" s="130">
        <f t="shared" si="3"/>
        <v>0</v>
      </c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146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</row>
    <row r="41" spans="1:83">
      <c r="A41" s="21">
        <v>40</v>
      </c>
      <c r="B41" s="30"/>
      <c r="C41" s="30"/>
      <c r="D41" s="30"/>
      <c r="E41" s="104"/>
      <c r="F41" s="104"/>
      <c r="G41" s="30"/>
      <c r="H41" s="131">
        <f t="shared" si="1"/>
        <v>0</v>
      </c>
      <c r="I41" s="130">
        <f t="shared" si="2"/>
        <v>0</v>
      </c>
      <c r="J41" s="130">
        <f t="shared" si="3"/>
        <v>0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146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1:83">
      <c r="A42" s="21">
        <v>41</v>
      </c>
      <c r="B42" s="30"/>
      <c r="C42" s="30"/>
      <c r="D42" s="30"/>
      <c r="E42" s="104"/>
      <c r="F42" s="104"/>
      <c r="G42" s="30"/>
      <c r="H42" s="131">
        <f t="shared" si="1"/>
        <v>0</v>
      </c>
      <c r="I42" s="130">
        <f t="shared" si="2"/>
        <v>0</v>
      </c>
      <c r="J42" s="130">
        <f t="shared" si="3"/>
        <v>0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146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1:83">
      <c r="A43" s="21">
        <v>42</v>
      </c>
      <c r="B43" s="141"/>
      <c r="C43" s="141"/>
      <c r="D43" s="141"/>
      <c r="E43" s="25"/>
      <c r="F43" s="25"/>
      <c r="G43" s="25"/>
      <c r="H43" s="131">
        <f t="shared" si="1"/>
        <v>0</v>
      </c>
      <c r="I43" s="130">
        <f t="shared" si="2"/>
        <v>0</v>
      </c>
      <c r="J43" s="130">
        <f t="shared" si="3"/>
        <v>0</v>
      </c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146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1:83">
      <c r="A44" s="21">
        <v>43</v>
      </c>
      <c r="B44" s="142"/>
      <c r="C44" s="142"/>
      <c r="D44" s="142"/>
      <c r="E44" s="143"/>
      <c r="F44" s="143"/>
      <c r="G44" s="143"/>
      <c r="H44" s="131">
        <f t="shared" si="1"/>
        <v>0</v>
      </c>
      <c r="I44" s="130">
        <f t="shared" si="2"/>
        <v>0</v>
      </c>
      <c r="J44" s="130">
        <f t="shared" si="3"/>
        <v>0</v>
      </c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146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1:83">
      <c r="A45" s="21">
        <v>44</v>
      </c>
      <c r="B45" s="142"/>
      <c r="C45" s="142"/>
      <c r="D45" s="142"/>
      <c r="E45" s="143"/>
      <c r="F45" s="143"/>
      <c r="G45" s="143"/>
      <c r="H45" s="131">
        <f t="shared" si="1"/>
        <v>0</v>
      </c>
      <c r="I45" s="130">
        <f t="shared" si="2"/>
        <v>0</v>
      </c>
      <c r="J45" s="130">
        <f t="shared" si="3"/>
        <v>0</v>
      </c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146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1:83">
      <c r="A46" s="21">
        <v>45</v>
      </c>
      <c r="B46" s="142"/>
      <c r="C46" s="142"/>
      <c r="D46" s="142"/>
      <c r="E46" s="143"/>
      <c r="F46" s="143"/>
      <c r="G46" s="143"/>
      <c r="H46" s="131">
        <f t="shared" si="1"/>
        <v>0</v>
      </c>
      <c r="I46" s="130">
        <f t="shared" si="2"/>
        <v>0</v>
      </c>
      <c r="J46" s="130">
        <f t="shared" si="3"/>
        <v>0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146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1:83">
      <c r="A47" s="21">
        <v>46</v>
      </c>
      <c r="B47" s="142"/>
      <c r="C47" s="142"/>
      <c r="D47" s="142"/>
      <c r="E47" s="143"/>
      <c r="F47" s="143"/>
      <c r="G47" s="143"/>
      <c r="H47" s="131">
        <f t="shared" si="1"/>
        <v>0</v>
      </c>
      <c r="I47" s="130">
        <f t="shared" si="2"/>
        <v>0</v>
      </c>
      <c r="J47" s="130">
        <f t="shared" si="3"/>
        <v>0</v>
      </c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146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</row>
    <row r="48" spans="1:83">
      <c r="A48" s="21">
        <v>47</v>
      </c>
      <c r="B48" s="142"/>
      <c r="C48" s="142"/>
      <c r="D48" s="142"/>
      <c r="E48" s="143"/>
      <c r="F48" s="143"/>
      <c r="G48" s="143"/>
      <c r="H48" s="131">
        <f t="shared" si="1"/>
        <v>0</v>
      </c>
      <c r="I48" s="130">
        <f t="shared" si="2"/>
        <v>0</v>
      </c>
      <c r="J48" s="130">
        <f t="shared" si="3"/>
        <v>0</v>
      </c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146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</row>
    <row r="49" spans="1:83">
      <c r="A49" s="21">
        <v>48</v>
      </c>
      <c r="B49" s="142"/>
      <c r="C49" s="142"/>
      <c r="D49" s="142"/>
      <c r="E49" s="143"/>
      <c r="F49" s="143"/>
      <c r="G49" s="143"/>
      <c r="H49" s="131">
        <f t="shared" si="1"/>
        <v>0</v>
      </c>
      <c r="I49" s="130">
        <f t="shared" si="2"/>
        <v>0</v>
      </c>
      <c r="J49" s="130">
        <f t="shared" si="3"/>
        <v>0</v>
      </c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146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</row>
    <row r="50" spans="1:83">
      <c r="A50" s="21">
        <v>49</v>
      </c>
      <c r="B50" s="142"/>
      <c r="C50" s="142"/>
      <c r="D50" s="142"/>
      <c r="E50" s="143"/>
      <c r="F50" s="143"/>
      <c r="G50" s="143"/>
      <c r="H50" s="131">
        <f t="shared" si="1"/>
        <v>0</v>
      </c>
      <c r="I50" s="130">
        <f t="shared" si="2"/>
        <v>0</v>
      </c>
      <c r="J50" s="130">
        <f t="shared" si="3"/>
        <v>0</v>
      </c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146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</row>
    <row r="51" spans="1:83">
      <c r="A51" s="21">
        <v>50</v>
      </c>
      <c r="B51" s="142"/>
      <c r="C51" s="142"/>
      <c r="D51" s="142"/>
      <c r="E51" s="143"/>
      <c r="F51" s="143"/>
      <c r="G51" s="143"/>
      <c r="H51" s="131">
        <f t="shared" si="1"/>
        <v>0</v>
      </c>
      <c r="I51" s="130">
        <f t="shared" si="2"/>
        <v>0</v>
      </c>
      <c r="J51" s="130">
        <f t="shared" si="3"/>
        <v>0</v>
      </c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146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</row>
    <row r="52" spans="1:83">
      <c r="A52" s="21">
        <v>51</v>
      </c>
      <c r="B52" s="142"/>
      <c r="C52" s="142"/>
      <c r="D52" s="142"/>
      <c r="E52" s="143"/>
      <c r="F52" s="143"/>
      <c r="G52" s="143"/>
      <c r="H52" s="131">
        <f t="shared" si="1"/>
        <v>0</v>
      </c>
      <c r="I52" s="130">
        <f t="shared" si="2"/>
        <v>0</v>
      </c>
      <c r="J52" s="130">
        <f t="shared" si="3"/>
        <v>0</v>
      </c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146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</row>
    <row r="53" spans="1:83">
      <c r="A53" s="21">
        <v>52</v>
      </c>
      <c r="B53" s="142"/>
      <c r="C53" s="142"/>
      <c r="D53" s="142"/>
      <c r="E53" s="143"/>
      <c r="F53" s="143"/>
      <c r="G53" s="143"/>
      <c r="H53" s="131">
        <f t="shared" si="1"/>
        <v>0</v>
      </c>
      <c r="I53" s="130">
        <f t="shared" si="2"/>
        <v>0</v>
      </c>
      <c r="J53" s="130">
        <f t="shared" si="3"/>
        <v>0</v>
      </c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146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</row>
    <row r="54" spans="1:83">
      <c r="A54" s="21">
        <v>53</v>
      </c>
      <c r="B54" s="142"/>
      <c r="C54" s="142"/>
      <c r="D54" s="142"/>
      <c r="E54" s="143"/>
      <c r="F54" s="143"/>
      <c r="G54" s="143"/>
      <c r="H54" s="131">
        <f t="shared" si="1"/>
        <v>0</v>
      </c>
      <c r="I54" s="130">
        <f t="shared" si="2"/>
        <v>0</v>
      </c>
      <c r="J54" s="130">
        <f t="shared" si="3"/>
        <v>0</v>
      </c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146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</row>
    <row r="55" spans="1:83">
      <c r="A55" s="21">
        <v>54</v>
      </c>
      <c r="B55" s="142"/>
      <c r="C55" s="142"/>
      <c r="D55" s="142"/>
      <c r="E55" s="143"/>
      <c r="F55" s="143"/>
      <c r="G55" s="143"/>
      <c r="H55" s="131">
        <f t="shared" si="1"/>
        <v>0</v>
      </c>
      <c r="I55" s="130">
        <f t="shared" si="2"/>
        <v>0</v>
      </c>
      <c r="J55" s="130">
        <f t="shared" si="3"/>
        <v>0</v>
      </c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146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</row>
    <row r="56" spans="1:83">
      <c r="A56" s="21">
        <v>55</v>
      </c>
      <c r="B56" s="142"/>
      <c r="C56" s="142"/>
      <c r="D56" s="142"/>
      <c r="E56" s="143"/>
      <c r="F56" s="143"/>
      <c r="G56" s="143"/>
      <c r="H56" s="131">
        <f t="shared" si="1"/>
        <v>0</v>
      </c>
      <c r="I56" s="130">
        <f t="shared" si="2"/>
        <v>0</v>
      </c>
      <c r="J56" s="130">
        <f t="shared" si="3"/>
        <v>0</v>
      </c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146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</row>
    <row r="57" spans="1:83">
      <c r="A57" s="21">
        <v>56</v>
      </c>
      <c r="B57" s="142"/>
      <c r="C57" s="142"/>
      <c r="D57" s="142"/>
      <c r="E57" s="143"/>
      <c r="F57" s="143"/>
      <c r="G57" s="143"/>
      <c r="H57" s="131">
        <f t="shared" si="1"/>
        <v>0</v>
      </c>
      <c r="I57" s="130">
        <f t="shared" si="2"/>
        <v>0</v>
      </c>
      <c r="J57" s="130">
        <f t="shared" si="3"/>
        <v>0</v>
      </c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146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</row>
    <row r="58" spans="1:83">
      <c r="A58" s="21">
        <v>57</v>
      </c>
      <c r="B58" s="142"/>
      <c r="C58" s="142"/>
      <c r="D58" s="142"/>
      <c r="E58" s="143"/>
      <c r="F58" s="143"/>
      <c r="G58" s="143"/>
      <c r="H58" s="131">
        <f t="shared" si="1"/>
        <v>0</v>
      </c>
      <c r="I58" s="130">
        <f t="shared" si="2"/>
        <v>0</v>
      </c>
      <c r="J58" s="130">
        <f t="shared" si="3"/>
        <v>0</v>
      </c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146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</row>
    <row r="59" spans="1:83">
      <c r="A59" s="21">
        <v>58</v>
      </c>
      <c r="B59" s="142"/>
      <c r="C59" s="142"/>
      <c r="D59" s="142"/>
      <c r="E59" s="143"/>
      <c r="F59" s="143"/>
      <c r="G59" s="143"/>
      <c r="H59" s="131">
        <f t="shared" si="1"/>
        <v>0</v>
      </c>
      <c r="I59" s="130">
        <f t="shared" si="2"/>
        <v>0</v>
      </c>
      <c r="J59" s="130">
        <f t="shared" si="3"/>
        <v>0</v>
      </c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146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</row>
    <row r="60" spans="1:83">
      <c r="A60" s="21">
        <v>59</v>
      </c>
      <c r="B60" s="142"/>
      <c r="C60" s="142"/>
      <c r="D60" s="142"/>
      <c r="E60" s="143"/>
      <c r="F60" s="143"/>
      <c r="G60" s="143"/>
      <c r="H60" s="131">
        <f t="shared" si="1"/>
        <v>0</v>
      </c>
      <c r="I60" s="130">
        <f t="shared" si="2"/>
        <v>0</v>
      </c>
      <c r="J60" s="130">
        <f t="shared" si="3"/>
        <v>0</v>
      </c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146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</row>
    <row r="61" spans="1:83">
      <c r="A61" s="21">
        <v>60</v>
      </c>
      <c r="B61" s="30"/>
      <c r="C61" s="30"/>
      <c r="D61" s="30"/>
      <c r="E61" s="104"/>
      <c r="F61" s="104"/>
      <c r="G61" s="30"/>
      <c r="H61" s="131">
        <f t="shared" si="1"/>
        <v>0</v>
      </c>
      <c r="I61" s="130">
        <f t="shared" si="2"/>
        <v>0</v>
      </c>
      <c r="J61" s="130">
        <f t="shared" si="3"/>
        <v>0</v>
      </c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146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</row>
    <row r="62" spans="1:83">
      <c r="A62" s="21">
        <v>61</v>
      </c>
      <c r="B62" s="142"/>
      <c r="C62" s="142"/>
      <c r="D62" s="142"/>
      <c r="E62" s="143"/>
      <c r="F62" s="143"/>
      <c r="G62" s="143"/>
      <c r="H62" s="131">
        <f t="shared" si="1"/>
        <v>0</v>
      </c>
      <c r="I62" s="130">
        <f t="shared" si="2"/>
        <v>0</v>
      </c>
      <c r="J62" s="130">
        <f t="shared" si="3"/>
        <v>0</v>
      </c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146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</row>
    <row r="63" spans="1:83">
      <c r="A63" s="21">
        <v>62</v>
      </c>
      <c r="B63" s="30"/>
      <c r="C63" s="30"/>
      <c r="D63" s="30"/>
      <c r="E63" s="104"/>
      <c r="F63" s="104"/>
      <c r="G63" s="143"/>
      <c r="H63" s="131">
        <f t="shared" si="1"/>
        <v>0</v>
      </c>
      <c r="I63" s="130">
        <f t="shared" si="2"/>
        <v>0</v>
      </c>
      <c r="J63" s="130">
        <f t="shared" si="3"/>
        <v>0</v>
      </c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146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</row>
    <row r="64" spans="1:83">
      <c r="A64" s="21">
        <v>63</v>
      </c>
      <c r="B64" s="142"/>
      <c r="C64" s="142"/>
      <c r="D64" s="142"/>
      <c r="E64" s="143"/>
      <c r="F64" s="143"/>
      <c r="G64" s="143"/>
      <c r="H64" s="131">
        <f t="shared" si="1"/>
        <v>0</v>
      </c>
      <c r="I64" s="130">
        <f t="shared" si="2"/>
        <v>0</v>
      </c>
      <c r="J64" s="130">
        <f t="shared" si="3"/>
        <v>0</v>
      </c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146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</row>
    <row r="65" spans="1:83">
      <c r="A65" s="21">
        <v>64</v>
      </c>
      <c r="B65" s="43"/>
      <c r="C65" s="43"/>
      <c r="D65" s="43"/>
      <c r="E65" s="144"/>
      <c r="F65" s="144"/>
      <c r="G65" s="143"/>
      <c r="H65" s="131">
        <f t="shared" si="1"/>
        <v>0</v>
      </c>
      <c r="I65" s="130">
        <f t="shared" si="2"/>
        <v>0</v>
      </c>
      <c r="J65" s="130">
        <f t="shared" si="3"/>
        <v>0</v>
      </c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146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</row>
    <row r="66" spans="1:83">
      <c r="A66" s="21">
        <v>65</v>
      </c>
      <c r="B66" s="30"/>
      <c r="C66" s="30"/>
      <c r="D66" s="30"/>
      <c r="E66" s="104"/>
      <c r="F66" s="104"/>
      <c r="G66" s="143"/>
      <c r="H66" s="131">
        <f t="shared" si="1"/>
        <v>0</v>
      </c>
      <c r="I66" s="130">
        <f t="shared" si="2"/>
        <v>0</v>
      </c>
      <c r="J66" s="130">
        <f t="shared" si="3"/>
        <v>0</v>
      </c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146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</row>
    <row r="67" spans="1:83">
      <c r="A67" s="21">
        <v>66</v>
      </c>
      <c r="B67" s="43"/>
      <c r="C67" s="43"/>
      <c r="D67" s="43"/>
      <c r="E67" s="144"/>
      <c r="F67" s="144"/>
      <c r="G67" s="143"/>
      <c r="H67" s="131">
        <f t="shared" si="1"/>
        <v>0</v>
      </c>
      <c r="I67" s="130">
        <f t="shared" si="2"/>
        <v>0</v>
      </c>
      <c r="J67" s="130">
        <f t="shared" si="3"/>
        <v>0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107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 spans="1:83">
      <c r="A68" s="21">
        <v>67</v>
      </c>
      <c r="B68" s="43"/>
      <c r="C68" s="43"/>
      <c r="D68" s="43"/>
      <c r="E68" s="144"/>
      <c r="F68" s="144"/>
      <c r="G68" s="143"/>
      <c r="H68" s="131">
        <f t="shared" ref="H68:H101" si="4">SUM(K68:ZH68)</f>
        <v>0</v>
      </c>
      <c r="I68" s="130">
        <f t="shared" si="2"/>
        <v>0</v>
      </c>
      <c r="J68" s="130">
        <f t="shared" si="3"/>
        <v>0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107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 spans="1:83">
      <c r="A69" s="21">
        <v>68</v>
      </c>
      <c r="B69" s="43"/>
      <c r="C69" s="43"/>
      <c r="D69" s="43"/>
      <c r="E69" s="144"/>
      <c r="F69" s="144"/>
      <c r="G69" s="143"/>
      <c r="H69" s="131">
        <f t="shared" si="4"/>
        <v>0</v>
      </c>
      <c r="I69" s="130">
        <f t="shared" ref="I69:I101" si="5">F69+G69-H69</f>
        <v>0</v>
      </c>
      <c r="J69" s="130">
        <f t="shared" ref="J69:J101" si="6">D69+I69</f>
        <v>0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107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 spans="1:83">
      <c r="A70" s="21">
        <v>69</v>
      </c>
      <c r="B70" s="30"/>
      <c r="C70" s="30"/>
      <c r="D70" s="30"/>
      <c r="E70" s="104"/>
      <c r="F70" s="104"/>
      <c r="G70" s="30"/>
      <c r="H70" s="131">
        <f t="shared" si="4"/>
        <v>0</v>
      </c>
      <c r="I70" s="130">
        <f t="shared" si="5"/>
        <v>0</v>
      </c>
      <c r="J70" s="130">
        <f t="shared" si="6"/>
        <v>0</v>
      </c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107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 spans="1:83">
      <c r="A71" s="21">
        <v>70</v>
      </c>
      <c r="B71" s="30"/>
      <c r="C71" s="30"/>
      <c r="D71" s="30"/>
      <c r="E71" s="104"/>
      <c r="F71" s="104"/>
      <c r="G71" s="30"/>
      <c r="H71" s="131">
        <f t="shared" si="4"/>
        <v>0</v>
      </c>
      <c r="I71" s="130">
        <f t="shared" si="5"/>
        <v>0</v>
      </c>
      <c r="J71" s="130">
        <f t="shared" si="6"/>
        <v>0</v>
      </c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107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 spans="1:83">
      <c r="A72" s="21">
        <v>71</v>
      </c>
      <c r="B72" s="30"/>
      <c r="C72" s="30"/>
      <c r="D72" s="30"/>
      <c r="E72" s="104"/>
      <c r="F72" s="104"/>
      <c r="G72" s="30"/>
      <c r="H72" s="131">
        <f t="shared" si="4"/>
        <v>0</v>
      </c>
      <c r="I72" s="130">
        <f t="shared" si="5"/>
        <v>0</v>
      </c>
      <c r="J72" s="130">
        <f t="shared" si="6"/>
        <v>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107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 spans="1:83">
      <c r="A73" s="21">
        <v>72</v>
      </c>
      <c r="B73" s="30"/>
      <c r="C73" s="30"/>
      <c r="D73" s="30"/>
      <c r="E73" s="104"/>
      <c r="F73" s="104"/>
      <c r="G73" s="30"/>
      <c r="H73" s="131">
        <f t="shared" si="4"/>
        <v>0</v>
      </c>
      <c r="I73" s="130">
        <f t="shared" si="5"/>
        <v>0</v>
      </c>
      <c r="J73" s="130">
        <f t="shared" si="6"/>
        <v>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107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 spans="1:83">
      <c r="A74" s="21">
        <v>73</v>
      </c>
      <c r="B74" s="30"/>
      <c r="C74" s="30"/>
      <c r="D74" s="30"/>
      <c r="E74" s="104"/>
      <c r="F74" s="104"/>
      <c r="G74" s="30"/>
      <c r="H74" s="131">
        <f t="shared" si="4"/>
        <v>0</v>
      </c>
      <c r="I74" s="130">
        <f t="shared" si="5"/>
        <v>0</v>
      </c>
      <c r="J74" s="130">
        <f t="shared" si="6"/>
        <v>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107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 spans="1:83">
      <c r="A75" s="21">
        <v>74</v>
      </c>
      <c r="B75" s="30"/>
      <c r="C75" s="30"/>
      <c r="D75" s="30"/>
      <c r="E75" s="104"/>
      <c r="F75" s="104"/>
      <c r="G75" s="30"/>
      <c r="H75" s="131">
        <f t="shared" si="4"/>
        <v>0</v>
      </c>
      <c r="I75" s="130">
        <f t="shared" si="5"/>
        <v>0</v>
      </c>
      <c r="J75" s="130">
        <f t="shared" si="6"/>
        <v>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107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 spans="1:83">
      <c r="A76" s="21">
        <v>75</v>
      </c>
      <c r="B76" s="30"/>
      <c r="C76" s="30"/>
      <c r="D76" s="30"/>
      <c r="E76" s="104"/>
      <c r="F76" s="104"/>
      <c r="G76" s="30"/>
      <c r="H76" s="131">
        <f t="shared" si="4"/>
        <v>0</v>
      </c>
      <c r="I76" s="130">
        <f t="shared" si="5"/>
        <v>0</v>
      </c>
      <c r="J76" s="130">
        <f t="shared" si="6"/>
        <v>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107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 spans="1:83">
      <c r="A77" s="21">
        <v>76</v>
      </c>
      <c r="B77" s="30"/>
      <c r="C77" s="30"/>
      <c r="D77" s="30"/>
      <c r="E77" s="104"/>
      <c r="F77" s="104"/>
      <c r="G77" s="30"/>
      <c r="H77" s="131">
        <f t="shared" si="4"/>
        <v>0</v>
      </c>
      <c r="I77" s="130">
        <f t="shared" si="5"/>
        <v>0</v>
      </c>
      <c r="J77" s="130">
        <f t="shared" si="6"/>
        <v>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107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 spans="1:83">
      <c r="A78" s="21">
        <v>77</v>
      </c>
      <c r="B78" s="30"/>
      <c r="C78" s="30"/>
      <c r="D78" s="30"/>
      <c r="E78" s="104"/>
      <c r="F78" s="104"/>
      <c r="G78" s="30"/>
      <c r="H78" s="131">
        <f t="shared" si="4"/>
        <v>0</v>
      </c>
      <c r="I78" s="130">
        <f t="shared" si="5"/>
        <v>0</v>
      </c>
      <c r="J78" s="130">
        <f t="shared" si="6"/>
        <v>0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107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 spans="1:83">
      <c r="A79" s="21">
        <v>78</v>
      </c>
      <c r="B79" s="30"/>
      <c r="C79" s="30"/>
      <c r="D79" s="30"/>
      <c r="E79" s="104"/>
      <c r="F79" s="104"/>
      <c r="G79" s="30"/>
      <c r="H79" s="131">
        <f t="shared" si="4"/>
        <v>0</v>
      </c>
      <c r="I79" s="130">
        <f t="shared" si="5"/>
        <v>0</v>
      </c>
      <c r="J79" s="130">
        <f t="shared" si="6"/>
        <v>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107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 spans="1:83">
      <c r="A80" s="21">
        <v>79</v>
      </c>
      <c r="B80" s="30"/>
      <c r="C80" s="30"/>
      <c r="D80" s="30"/>
      <c r="E80" s="104"/>
      <c r="F80" s="104"/>
      <c r="G80" s="30"/>
      <c r="H80" s="131">
        <f t="shared" si="4"/>
        <v>0</v>
      </c>
      <c r="I80" s="130">
        <f t="shared" si="5"/>
        <v>0</v>
      </c>
      <c r="J80" s="130">
        <f t="shared" si="6"/>
        <v>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107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 spans="1:70">
      <c r="A81" s="21">
        <v>80</v>
      </c>
      <c r="B81" s="30"/>
      <c r="C81" s="30"/>
      <c r="D81" s="30"/>
      <c r="E81" s="104"/>
      <c r="F81" s="104"/>
      <c r="G81" s="30"/>
      <c r="H81" s="131">
        <f t="shared" si="4"/>
        <v>0</v>
      </c>
      <c r="I81" s="130">
        <f t="shared" si="5"/>
        <v>0</v>
      </c>
      <c r="J81" s="130">
        <f t="shared" si="6"/>
        <v>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107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 spans="1:70">
      <c r="A82" s="21">
        <v>81</v>
      </c>
      <c r="B82" s="30"/>
      <c r="C82" s="30"/>
      <c r="D82" s="30"/>
      <c r="E82" s="104"/>
      <c r="F82" s="104"/>
      <c r="G82" s="30"/>
      <c r="H82" s="131">
        <f t="shared" si="4"/>
        <v>0</v>
      </c>
      <c r="I82" s="130">
        <f t="shared" si="5"/>
        <v>0</v>
      </c>
      <c r="J82" s="130">
        <f t="shared" si="6"/>
        <v>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107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 spans="1:70">
      <c r="A83" s="21">
        <v>82</v>
      </c>
      <c r="B83" s="30"/>
      <c r="C83" s="30"/>
      <c r="D83" s="30"/>
      <c r="E83" s="104"/>
      <c r="F83" s="104"/>
      <c r="G83" s="30"/>
      <c r="H83" s="131">
        <f t="shared" si="4"/>
        <v>0</v>
      </c>
      <c r="I83" s="130">
        <f t="shared" si="5"/>
        <v>0</v>
      </c>
      <c r="J83" s="130">
        <f t="shared" si="6"/>
        <v>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107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 spans="1:70">
      <c r="A84" s="21">
        <v>83</v>
      </c>
      <c r="B84" s="30"/>
      <c r="C84" s="30"/>
      <c r="D84" s="30"/>
      <c r="E84" s="104"/>
      <c r="F84" s="104"/>
      <c r="G84" s="30"/>
      <c r="H84" s="131">
        <f t="shared" si="4"/>
        <v>0</v>
      </c>
      <c r="I84" s="130">
        <f t="shared" si="5"/>
        <v>0</v>
      </c>
      <c r="J84" s="130">
        <f t="shared" si="6"/>
        <v>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107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 spans="1:70">
      <c r="A85" s="21">
        <v>84</v>
      </c>
      <c r="B85" s="30"/>
      <c r="C85" s="30"/>
      <c r="D85" s="30"/>
      <c r="E85" s="104"/>
      <c r="F85" s="104"/>
      <c r="G85" s="30"/>
      <c r="H85" s="131">
        <f t="shared" si="4"/>
        <v>0</v>
      </c>
      <c r="I85" s="130">
        <f t="shared" si="5"/>
        <v>0</v>
      </c>
      <c r="J85" s="130">
        <f t="shared" si="6"/>
        <v>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107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 spans="1:70">
      <c r="A86" s="21">
        <v>85</v>
      </c>
      <c r="B86" s="30"/>
      <c r="C86" s="30"/>
      <c r="D86" s="30"/>
      <c r="E86" s="104"/>
      <c r="F86" s="104"/>
      <c r="G86" s="30"/>
      <c r="H86" s="131">
        <f t="shared" si="4"/>
        <v>0</v>
      </c>
      <c r="I86" s="130">
        <f t="shared" si="5"/>
        <v>0</v>
      </c>
      <c r="J86" s="130">
        <f t="shared" si="6"/>
        <v>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107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 spans="1:70">
      <c r="A87" s="21">
        <v>86</v>
      </c>
      <c r="B87" s="30"/>
      <c r="C87" s="30"/>
      <c r="D87" s="30"/>
      <c r="E87" s="104"/>
      <c r="F87" s="104"/>
      <c r="G87" s="30"/>
      <c r="H87" s="131">
        <f t="shared" si="4"/>
        <v>0</v>
      </c>
      <c r="I87" s="130">
        <f t="shared" si="5"/>
        <v>0</v>
      </c>
      <c r="J87" s="130">
        <f t="shared" si="6"/>
        <v>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107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 spans="1:70">
      <c r="A88" s="21">
        <v>87</v>
      </c>
      <c r="B88" s="30"/>
      <c r="C88" s="30"/>
      <c r="D88" s="30"/>
      <c r="E88" s="104"/>
      <c r="F88" s="104"/>
      <c r="G88" s="30"/>
      <c r="H88" s="131">
        <f t="shared" si="4"/>
        <v>0</v>
      </c>
      <c r="I88" s="130">
        <f t="shared" si="5"/>
        <v>0</v>
      </c>
      <c r="J88" s="130">
        <f t="shared" si="6"/>
        <v>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107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 spans="1:70">
      <c r="A89" s="21">
        <v>88</v>
      </c>
      <c r="B89" s="30"/>
      <c r="C89" s="30"/>
      <c r="D89" s="30"/>
      <c r="E89" s="104"/>
      <c r="F89" s="104"/>
      <c r="G89" s="30"/>
      <c r="H89" s="131">
        <f t="shared" si="4"/>
        <v>0</v>
      </c>
      <c r="I89" s="130">
        <f t="shared" si="5"/>
        <v>0</v>
      </c>
      <c r="J89" s="130">
        <f t="shared" si="6"/>
        <v>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107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 spans="1:70">
      <c r="A90" s="21">
        <v>89</v>
      </c>
      <c r="B90" s="30"/>
      <c r="C90" s="30"/>
      <c r="D90" s="30"/>
      <c r="E90" s="104"/>
      <c r="F90" s="104"/>
      <c r="G90" s="30"/>
      <c r="H90" s="131">
        <f t="shared" si="4"/>
        <v>0</v>
      </c>
      <c r="I90" s="130">
        <f t="shared" si="5"/>
        <v>0</v>
      </c>
      <c r="J90" s="130">
        <f t="shared" si="6"/>
        <v>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107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 spans="1:70">
      <c r="A91" s="21">
        <v>90</v>
      </c>
      <c r="B91" s="30"/>
      <c r="C91" s="30"/>
      <c r="D91" s="30"/>
      <c r="E91" s="104"/>
      <c r="F91" s="104"/>
      <c r="G91" s="30"/>
      <c r="H91" s="131">
        <f t="shared" si="4"/>
        <v>0</v>
      </c>
      <c r="I91" s="130">
        <f t="shared" si="5"/>
        <v>0</v>
      </c>
      <c r="J91" s="130">
        <f t="shared" si="6"/>
        <v>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107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 spans="1:70">
      <c r="A92" s="21">
        <v>91</v>
      </c>
      <c r="B92" s="30"/>
      <c r="C92" s="30"/>
      <c r="D92" s="30"/>
      <c r="E92" s="104"/>
      <c r="F92" s="104"/>
      <c r="G92" s="30"/>
      <c r="H92" s="131">
        <f t="shared" si="4"/>
        <v>0</v>
      </c>
      <c r="I92" s="130">
        <f t="shared" si="5"/>
        <v>0</v>
      </c>
      <c r="J92" s="130">
        <f t="shared" si="6"/>
        <v>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107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 spans="1:70">
      <c r="A93" s="21">
        <v>92</v>
      </c>
      <c r="B93" s="30"/>
      <c r="C93" s="30"/>
      <c r="D93" s="30"/>
      <c r="E93" s="104"/>
      <c r="F93" s="104"/>
      <c r="G93" s="30"/>
      <c r="H93" s="131">
        <f t="shared" si="4"/>
        <v>0</v>
      </c>
      <c r="I93" s="130">
        <f t="shared" si="5"/>
        <v>0</v>
      </c>
      <c r="J93" s="130">
        <f t="shared" si="6"/>
        <v>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107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 spans="1:70">
      <c r="A94" s="21">
        <v>93</v>
      </c>
      <c r="B94" s="30"/>
      <c r="C94" s="30"/>
      <c r="D94" s="30"/>
      <c r="E94" s="104"/>
      <c r="F94" s="104"/>
      <c r="G94" s="30"/>
      <c r="H94" s="131">
        <f t="shared" si="4"/>
        <v>0</v>
      </c>
      <c r="I94" s="130">
        <f t="shared" si="5"/>
        <v>0</v>
      </c>
      <c r="J94" s="130">
        <f t="shared" si="6"/>
        <v>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107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 spans="1:70">
      <c r="A95" s="21">
        <v>94</v>
      </c>
      <c r="B95" s="30"/>
      <c r="C95" s="30"/>
      <c r="D95" s="30"/>
      <c r="E95" s="104"/>
      <c r="F95" s="104"/>
      <c r="G95" s="30"/>
      <c r="H95" s="131">
        <f t="shared" si="4"/>
        <v>0</v>
      </c>
      <c r="I95" s="130">
        <f t="shared" si="5"/>
        <v>0</v>
      </c>
      <c r="J95" s="130">
        <f t="shared" si="6"/>
        <v>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107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 spans="1:70">
      <c r="A96" s="21">
        <v>95</v>
      </c>
      <c r="B96" s="30"/>
      <c r="C96" s="30"/>
      <c r="D96" s="30"/>
      <c r="E96" s="104"/>
      <c r="F96" s="104"/>
      <c r="G96" s="30"/>
      <c r="H96" s="131">
        <f t="shared" si="4"/>
        <v>0</v>
      </c>
      <c r="I96" s="130">
        <f t="shared" si="5"/>
        <v>0</v>
      </c>
      <c r="J96" s="130">
        <f t="shared" si="6"/>
        <v>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107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 spans="1:70">
      <c r="A97" s="21">
        <v>96</v>
      </c>
      <c r="B97" s="30"/>
      <c r="C97" s="30"/>
      <c r="D97" s="30"/>
      <c r="E97" s="104"/>
      <c r="F97" s="104"/>
      <c r="G97" s="30"/>
      <c r="H97" s="131">
        <f t="shared" si="4"/>
        <v>0</v>
      </c>
      <c r="I97" s="130">
        <f t="shared" si="5"/>
        <v>0</v>
      </c>
      <c r="J97" s="130">
        <f t="shared" si="6"/>
        <v>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107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</row>
    <row r="98" spans="1:70">
      <c r="A98" s="21">
        <v>97</v>
      </c>
      <c r="B98" s="30"/>
      <c r="C98" s="30"/>
      <c r="D98" s="30"/>
      <c r="E98" s="104"/>
      <c r="F98" s="104"/>
      <c r="G98" s="30"/>
      <c r="H98" s="131">
        <f t="shared" si="4"/>
        <v>0</v>
      </c>
      <c r="I98" s="130">
        <f t="shared" si="5"/>
        <v>0</v>
      </c>
      <c r="J98" s="130">
        <f t="shared" si="6"/>
        <v>0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107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</row>
    <row r="99" spans="1:70">
      <c r="A99" s="21">
        <v>98</v>
      </c>
      <c r="B99" s="30"/>
      <c r="C99" s="30"/>
      <c r="D99" s="30"/>
      <c r="E99" s="104"/>
      <c r="F99" s="104"/>
      <c r="G99" s="30"/>
      <c r="H99" s="131">
        <f t="shared" si="4"/>
        <v>0</v>
      </c>
      <c r="I99" s="130">
        <f t="shared" si="5"/>
        <v>0</v>
      </c>
      <c r="J99" s="130">
        <f t="shared" si="6"/>
        <v>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107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</row>
    <row r="100" spans="1:70">
      <c r="A100" s="14">
        <v>99</v>
      </c>
      <c r="B100" s="5"/>
      <c r="C100" s="5"/>
      <c r="D100" s="5"/>
      <c r="E100" s="38"/>
      <c r="F100" s="38"/>
      <c r="G100" s="5"/>
      <c r="H100" s="129">
        <f t="shared" si="4"/>
        <v>0</v>
      </c>
      <c r="I100" s="130">
        <f t="shared" si="5"/>
        <v>0</v>
      </c>
      <c r="J100" s="130">
        <f t="shared" si="6"/>
        <v>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107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 spans="1:70">
      <c r="A101" s="38">
        <v>100</v>
      </c>
      <c r="B101" s="5"/>
      <c r="C101" s="5"/>
      <c r="D101" s="5"/>
      <c r="E101" s="38"/>
      <c r="F101" s="38"/>
      <c r="G101" s="5"/>
      <c r="H101" s="129">
        <f t="shared" si="4"/>
        <v>0</v>
      </c>
      <c r="I101" s="130">
        <f t="shared" si="5"/>
        <v>0</v>
      </c>
      <c r="J101" s="130">
        <f t="shared" si="6"/>
        <v>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107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 spans="1:70">
      <c r="A102" s="5"/>
      <c r="B102" s="5"/>
      <c r="C102" s="5"/>
      <c r="D102" s="5"/>
      <c r="E102" s="38"/>
      <c r="F102" s="38"/>
      <c r="G102" s="5"/>
      <c r="H102" s="125"/>
      <c r="I102" s="126"/>
      <c r="J102" s="126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70">
      <c r="A103" s="5"/>
      <c r="B103" s="5"/>
      <c r="C103" s="5"/>
      <c r="D103" s="5"/>
      <c r="E103" s="38"/>
      <c r="F103" s="38"/>
      <c r="G103" s="5"/>
      <c r="H103" s="125"/>
      <c r="I103" s="126"/>
      <c r="J103" s="126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70">
      <c r="A104" s="5"/>
      <c r="B104" s="5"/>
      <c r="C104" s="5"/>
      <c r="D104" s="5"/>
      <c r="E104" s="38"/>
      <c r="F104" s="38"/>
      <c r="G104" s="5"/>
      <c r="H104" s="125"/>
      <c r="I104" s="126"/>
      <c r="J104" s="126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70">
      <c r="A105" s="5"/>
      <c r="B105" s="5"/>
      <c r="C105" s="5"/>
      <c r="D105" s="5"/>
      <c r="E105" s="38"/>
      <c r="F105" s="38"/>
      <c r="G105" s="5"/>
      <c r="H105" s="125"/>
      <c r="I105" s="126"/>
      <c r="J105" s="126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70">
      <c r="A106" s="5"/>
      <c r="B106" s="5"/>
      <c r="C106" s="5"/>
      <c r="D106" s="5"/>
      <c r="E106" s="38"/>
      <c r="F106" s="38"/>
      <c r="G106" s="5"/>
      <c r="H106" s="125"/>
      <c r="I106" s="126"/>
      <c r="J106" s="126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70">
      <c r="A107" s="5"/>
      <c r="B107" s="5"/>
      <c r="C107" s="5"/>
      <c r="D107" s="5"/>
      <c r="E107" s="38"/>
      <c r="F107" s="38"/>
      <c r="G107" s="5"/>
      <c r="H107" s="125"/>
      <c r="I107" s="126"/>
      <c r="J107" s="126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70">
      <c r="A108" s="5"/>
      <c r="B108" s="5"/>
      <c r="C108" s="5"/>
      <c r="D108" s="5"/>
      <c r="E108" s="38"/>
      <c r="F108" s="38"/>
      <c r="G108" s="5"/>
      <c r="H108" s="125"/>
      <c r="I108" s="126"/>
      <c r="J108" s="126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70">
      <c r="A109" s="5"/>
      <c r="B109" s="5"/>
      <c r="C109" s="5"/>
      <c r="D109" s="5"/>
      <c r="E109" s="38"/>
      <c r="F109" s="38"/>
      <c r="G109" s="5"/>
      <c r="H109" s="125"/>
      <c r="I109" s="126"/>
      <c r="J109" s="126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70">
      <c r="A110" s="5"/>
      <c r="B110" s="5"/>
      <c r="C110" s="5"/>
      <c r="D110" s="5"/>
      <c r="E110" s="38"/>
      <c r="F110" s="38"/>
      <c r="G110" s="5"/>
      <c r="H110" s="125"/>
      <c r="I110" s="126"/>
      <c r="J110" s="126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70">
      <c r="A111" s="5"/>
      <c r="B111" s="5"/>
      <c r="C111" s="5"/>
      <c r="D111" s="5"/>
      <c r="E111" s="38"/>
      <c r="F111" s="38"/>
      <c r="G111" s="5"/>
      <c r="H111" s="125"/>
      <c r="I111" s="126"/>
      <c r="J111" s="126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</row>
    <row r="112" spans="1:70">
      <c r="A112" s="5"/>
      <c r="B112" s="5"/>
      <c r="C112" s="5"/>
      <c r="D112" s="5"/>
      <c r="E112" s="38"/>
      <c r="F112" s="38"/>
      <c r="G112" s="5"/>
      <c r="H112" s="125"/>
      <c r="I112" s="126"/>
      <c r="J112" s="126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</row>
    <row r="113" spans="1:37">
      <c r="A113" s="5"/>
      <c r="B113" s="5"/>
      <c r="C113" s="5"/>
      <c r="D113" s="5"/>
      <c r="E113" s="38"/>
      <c r="F113" s="38"/>
      <c r="G113" s="5"/>
      <c r="H113" s="125"/>
      <c r="I113" s="126"/>
      <c r="J113" s="126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</row>
    <row r="114" spans="1:37">
      <c r="A114" s="5"/>
      <c r="B114" s="5"/>
      <c r="C114" s="5"/>
      <c r="D114" s="5"/>
      <c r="E114" s="38"/>
      <c r="F114" s="38"/>
      <c r="G114" s="5"/>
      <c r="H114" s="125"/>
      <c r="I114" s="126"/>
      <c r="J114" s="126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</row>
    <row r="115" spans="1:37">
      <c r="A115" s="5"/>
      <c r="B115" s="5"/>
      <c r="C115" s="5"/>
      <c r="D115" s="5"/>
      <c r="E115" s="38"/>
      <c r="F115" s="38"/>
      <c r="G115" s="5"/>
      <c r="H115" s="125"/>
      <c r="I115" s="126"/>
      <c r="J115" s="126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</row>
  </sheetData>
  <conditionalFormatting sqref="C4:F4">
    <cfRule type="duplicateValues" dxfId="11" priority="6"/>
  </conditionalFormatting>
  <conditionalFormatting sqref="G17:G1048576 C3:F3 C5:F5 C7:F7 C6:D6 C11:F15">
    <cfRule type="duplicateValues" dxfId="9" priority="5"/>
  </conditionalFormatting>
  <conditionalFormatting sqref="C10:F10">
    <cfRule type="duplicateValues" dxfId="7" priority="4"/>
  </conditionalFormatting>
  <conditionalFormatting sqref="C8:D8">
    <cfRule type="duplicateValues" dxfId="5" priority="3"/>
  </conditionalFormatting>
  <conditionalFormatting sqref="C9:D9">
    <cfRule type="duplicateValues" dxfId="3" priority="2"/>
  </conditionalFormatting>
  <conditionalFormatting sqref="C24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22"/>
  <sheetViews>
    <sheetView topLeftCell="A133" workbookViewId="0">
      <selection activeCell="C150" sqref="C150"/>
    </sheetView>
  </sheetViews>
  <sheetFormatPr defaultRowHeight="15"/>
  <cols>
    <col min="2" max="2" width="15.85546875" style="63" customWidth="1"/>
    <col min="3" max="3" width="47.7109375" customWidth="1"/>
    <col min="4" max="4" width="19" customWidth="1"/>
    <col min="5" max="5" width="22.85546875" customWidth="1"/>
    <col min="6" max="6" width="16.5703125" customWidth="1"/>
    <col min="7" max="7" width="14.28515625" customWidth="1"/>
    <col min="10" max="10" width="15.5703125" customWidth="1"/>
    <col min="11" max="11" width="17.42578125" bestFit="1" customWidth="1"/>
  </cols>
  <sheetData>
    <row r="1" spans="1:12">
      <c r="C1" t="s">
        <v>339</v>
      </c>
    </row>
    <row r="2" spans="1:12">
      <c r="A2" t="s">
        <v>340</v>
      </c>
    </row>
    <row r="3" spans="1:12">
      <c r="A3" t="str">
        <f>"A-36 BASEMENT LAJPAT NAGAR-1"</f>
        <v>A-36 BASEMENT LAJPAT NAGAR-1</v>
      </c>
      <c r="E3" t="s">
        <v>341</v>
      </c>
      <c r="F3" t="str">
        <f>"355933018"</f>
        <v>355933018</v>
      </c>
    </row>
    <row r="4" spans="1:12">
      <c r="A4" t="str">
        <f>"NEW DELHI"</f>
        <v>NEW DELHI</v>
      </c>
      <c r="E4" t="s">
        <v>342</v>
      </c>
      <c r="F4" t="str">
        <f>"5513172190"</f>
        <v>5513172190</v>
      </c>
    </row>
    <row r="5" spans="1:12">
      <c r="A5" t="str">
        <f>"."</f>
        <v>.</v>
      </c>
      <c r="E5" t="s">
        <v>343</v>
      </c>
      <c r="F5" t="s">
        <v>344</v>
      </c>
    </row>
    <row r="6" spans="1:12">
      <c r="A6" t="s">
        <v>345</v>
      </c>
      <c r="E6" t="s">
        <v>346</v>
      </c>
      <c r="F6" t="s">
        <v>347</v>
      </c>
    </row>
    <row r="7" spans="1:12">
      <c r="A7" t="s">
        <v>348</v>
      </c>
      <c r="E7" t="s">
        <v>349</v>
      </c>
      <c r="F7" t="s">
        <v>350</v>
      </c>
    </row>
    <row r="8" spans="1:12">
      <c r="A8" t="s">
        <v>351</v>
      </c>
      <c r="E8" t="s">
        <v>352</v>
      </c>
      <c r="F8" t="s">
        <v>353</v>
      </c>
    </row>
    <row r="9" spans="1:12">
      <c r="A9" t="str">
        <f>"110024"</f>
        <v>110024</v>
      </c>
      <c r="E9" t="s">
        <v>354</v>
      </c>
    </row>
    <row r="11" spans="1:12">
      <c r="A11" t="s">
        <v>355</v>
      </c>
      <c r="B11" s="63" t="s">
        <v>60</v>
      </c>
      <c r="C11" t="s">
        <v>356</v>
      </c>
      <c r="D11" t="s">
        <v>357</v>
      </c>
      <c r="E11" t="s">
        <v>358</v>
      </c>
      <c r="F11" t="s">
        <v>359</v>
      </c>
      <c r="G11" t="s">
        <v>26</v>
      </c>
      <c r="H11" t="s">
        <v>359</v>
      </c>
      <c r="I11" s="8" t="s">
        <v>28</v>
      </c>
      <c r="J11" s="8" t="s">
        <v>29</v>
      </c>
      <c r="K11" s="8" t="s">
        <v>30</v>
      </c>
      <c r="L11" s="5" t="s">
        <v>360</v>
      </c>
    </row>
    <row r="12" spans="1:12">
      <c r="A12" s="68">
        <v>1</v>
      </c>
      <c r="B12" s="53">
        <v>44049</v>
      </c>
      <c r="C12" t="str">
        <f>"IB:CHECK"</f>
        <v>IB:CHECK</v>
      </c>
      <c r="D12" t="str">
        <f>"000166343833"</f>
        <v>000166343833</v>
      </c>
      <c r="E12">
        <v>100</v>
      </c>
      <c r="F12" t="s">
        <v>362</v>
      </c>
      <c r="G12">
        <v>828</v>
      </c>
      <c r="H12" t="s">
        <v>363</v>
      </c>
      <c r="J12" t="s">
        <v>383</v>
      </c>
      <c r="K12" t="s">
        <v>31</v>
      </c>
    </row>
    <row r="13" spans="1:12">
      <c r="A13" s="68">
        <v>2</v>
      </c>
      <c r="B13" s="53">
        <v>44080</v>
      </c>
      <c r="C13" t="str">
        <f>"NEFT N161201156004287 BUZZWORKS BUSINESS SERVICES"</f>
        <v>NEFT N161201156004287 BUZZWORKS BUSINESS SERVICES</v>
      </c>
      <c r="D13" t="str">
        <f>"NEFTINW-0216903663"</f>
        <v>NEFTINW-0216903663</v>
      </c>
      <c r="E13" s="64">
        <v>37680</v>
      </c>
      <c r="F13" t="s">
        <v>363</v>
      </c>
      <c r="G13" s="64">
        <v>38508</v>
      </c>
      <c r="H13" t="s">
        <v>363</v>
      </c>
      <c r="I13" t="s">
        <v>150</v>
      </c>
      <c r="J13" t="s">
        <v>151</v>
      </c>
      <c r="L13" t="s">
        <v>154</v>
      </c>
    </row>
    <row r="14" spans="1:12">
      <c r="A14" s="68">
        <v>3</v>
      </c>
      <c r="B14" s="63" t="s">
        <v>381</v>
      </c>
      <c r="C14" t="str">
        <f>"IB:HOPE"</f>
        <v>IB:HOPE</v>
      </c>
      <c r="D14" t="str">
        <f>"000168221198"</f>
        <v>000168221198</v>
      </c>
      <c r="E14" s="64">
        <v>9900</v>
      </c>
      <c r="F14" t="s">
        <v>362</v>
      </c>
      <c r="G14" s="64">
        <v>28608</v>
      </c>
      <c r="H14" t="s">
        <v>363</v>
      </c>
      <c r="I14" t="s">
        <v>160</v>
      </c>
      <c r="J14" t="s">
        <v>312</v>
      </c>
      <c r="K14" t="s">
        <v>31</v>
      </c>
    </row>
    <row r="15" spans="1:12">
      <c r="A15" s="68">
        <v>4</v>
      </c>
      <c r="B15" s="63" t="s">
        <v>381</v>
      </c>
      <c r="C15" t="str">
        <f>"IB:HOPE"</f>
        <v>IB:HOPE</v>
      </c>
      <c r="D15" t="str">
        <f>"000168221431"</f>
        <v>000168221431</v>
      </c>
      <c r="E15" s="64">
        <v>9900</v>
      </c>
      <c r="F15" t="s">
        <v>362</v>
      </c>
      <c r="G15" s="64">
        <v>18708</v>
      </c>
      <c r="H15" t="s">
        <v>363</v>
      </c>
      <c r="I15" t="s">
        <v>160</v>
      </c>
      <c r="J15" t="s">
        <v>382</v>
      </c>
      <c r="K15" t="s">
        <v>31</v>
      </c>
    </row>
    <row r="16" spans="1:12">
      <c r="A16" s="68">
        <v>5</v>
      </c>
      <c r="B16" s="63" t="s">
        <v>379</v>
      </c>
      <c r="C16" t="str">
        <f>"Chrg: Net Banking Pin Regen Chrgs for JFM 20 (Value Date:24/06/2020)"</f>
        <v>Chrg: Net Banking Pin Regen Chrgs for JFM 20 (Value Date:24/06/2020)</v>
      </c>
      <c r="D16" t="str">
        <f>"TBMS-560143914"</f>
        <v>TBMS-560143914</v>
      </c>
      <c r="E16">
        <v>59</v>
      </c>
      <c r="F16" t="s">
        <v>362</v>
      </c>
      <c r="G16" s="64">
        <v>18649</v>
      </c>
      <c r="H16" t="s">
        <v>363</v>
      </c>
      <c r="I16" t="s">
        <v>380</v>
      </c>
      <c r="J16" t="s">
        <v>158</v>
      </c>
      <c r="K16" t="s">
        <v>37</v>
      </c>
    </row>
    <row r="17" spans="1:12">
      <c r="A17" s="68">
        <v>6</v>
      </c>
      <c r="B17" s="63" t="s">
        <v>379</v>
      </c>
      <c r="C17" t="str">
        <f>"IB:HOPE"</f>
        <v>IB:HOPE</v>
      </c>
      <c r="D17" t="str">
        <f>"000168251106"</f>
        <v>000168251106</v>
      </c>
      <c r="E17" s="64">
        <v>9900</v>
      </c>
      <c r="F17" t="s">
        <v>362</v>
      </c>
      <c r="G17" s="64">
        <v>8749</v>
      </c>
      <c r="H17" t="s">
        <v>363</v>
      </c>
      <c r="I17" t="s">
        <v>160</v>
      </c>
      <c r="J17" t="s">
        <v>311</v>
      </c>
      <c r="K17" t="s">
        <v>31</v>
      </c>
    </row>
    <row r="18" spans="1:12">
      <c r="A18" s="68">
        <v>7</v>
      </c>
      <c r="B18" s="63" t="s">
        <v>379</v>
      </c>
      <c r="C18" t="str">
        <f>"Chrg: Net Banking Pin Regen Chrgs for JFM 20 (Value Date:24/06/2020)"</f>
        <v>Chrg: Net Banking Pin Regen Chrgs for JFM 20 (Value Date:24/06/2020)</v>
      </c>
      <c r="D18" t="str">
        <f>"TBMS-560143894"</f>
        <v>TBMS-560143894</v>
      </c>
      <c r="E18">
        <v>59</v>
      </c>
      <c r="F18" t="s">
        <v>362</v>
      </c>
      <c r="G18" s="64">
        <v>8690</v>
      </c>
      <c r="H18" t="s">
        <v>363</v>
      </c>
      <c r="I18" t="s">
        <v>380</v>
      </c>
      <c r="J18" t="s">
        <v>158</v>
      </c>
      <c r="K18" t="s">
        <v>37</v>
      </c>
    </row>
    <row r="19" spans="1:12">
      <c r="A19" s="68">
        <v>8</v>
      </c>
      <c r="B19" s="53">
        <v>44050</v>
      </c>
      <c r="C19" t="str">
        <f>"CASH DEPOSIT BY JITENDRA AT LAJPAT NAGAR, DELHI"</f>
        <v>CASH DEPOSIT BY JITENDRA AT LAJPAT NAGAR, DELHI</v>
      </c>
      <c r="D19" t="str">
        <f>""</f>
        <v/>
      </c>
      <c r="E19" s="64">
        <v>10000</v>
      </c>
      <c r="F19" t="s">
        <v>363</v>
      </c>
      <c r="G19" s="64">
        <v>18690</v>
      </c>
      <c r="H19" t="s">
        <v>363</v>
      </c>
      <c r="I19" t="s">
        <v>374</v>
      </c>
      <c r="J19" t="s">
        <v>377</v>
      </c>
      <c r="K19" t="s">
        <v>40</v>
      </c>
      <c r="L19" t="s">
        <v>378</v>
      </c>
    </row>
    <row r="20" spans="1:12">
      <c r="A20" s="68">
        <v>9</v>
      </c>
      <c r="B20" s="53">
        <v>44050</v>
      </c>
      <c r="C20" t="str">
        <f>"IB:CMA4"</f>
        <v>IB:CMA4</v>
      </c>
      <c r="D20" t="str">
        <f>"000169996321"</f>
        <v>000169996321</v>
      </c>
      <c r="E20" s="64">
        <v>16236</v>
      </c>
      <c r="F20" t="s">
        <v>362</v>
      </c>
      <c r="G20" s="64">
        <v>2454</v>
      </c>
      <c r="H20" t="s">
        <v>363</v>
      </c>
      <c r="I20" t="s">
        <v>376</v>
      </c>
      <c r="J20" t="s">
        <v>331</v>
      </c>
      <c r="K20" t="s">
        <v>38</v>
      </c>
    </row>
    <row r="21" spans="1:12">
      <c r="A21" s="68">
        <v>10</v>
      </c>
      <c r="B21" s="53">
        <v>44081</v>
      </c>
      <c r="C21" t="str">
        <f>"CASH DEPOSIT BY JITENDRA AT LAJPAT NAGAR, DELHI"</f>
        <v>CASH DEPOSIT BY JITENDRA AT LAJPAT NAGAR, DELHI</v>
      </c>
      <c r="D21" t="str">
        <f>""</f>
        <v/>
      </c>
      <c r="E21" s="64">
        <v>30000</v>
      </c>
      <c r="F21" t="s">
        <v>363</v>
      </c>
      <c r="G21" s="64">
        <v>32454</v>
      </c>
      <c r="H21" t="s">
        <v>363</v>
      </c>
      <c r="I21" t="s">
        <v>160</v>
      </c>
      <c r="J21" t="s">
        <v>375</v>
      </c>
      <c r="K21" t="s">
        <v>31</v>
      </c>
    </row>
    <row r="22" spans="1:12">
      <c r="A22" s="68">
        <v>11</v>
      </c>
      <c r="B22" s="53">
        <v>44081</v>
      </c>
      <c r="C22" t="str">
        <f>"IB:HOPE"</f>
        <v>IB:HOPE</v>
      </c>
      <c r="D22" t="str">
        <f>"000170178693"</f>
        <v>000170178693</v>
      </c>
      <c r="E22" s="64">
        <v>2723</v>
      </c>
      <c r="F22" t="s">
        <v>362</v>
      </c>
      <c r="G22" s="64">
        <v>29731</v>
      </c>
      <c r="H22" t="s">
        <v>363</v>
      </c>
      <c r="I22" t="s">
        <v>160</v>
      </c>
      <c r="J22" t="s">
        <v>314</v>
      </c>
      <c r="K22" t="s">
        <v>374</v>
      </c>
    </row>
    <row r="23" spans="1:12">
      <c r="A23" s="68">
        <v>12</v>
      </c>
      <c r="B23" s="53">
        <v>44081</v>
      </c>
      <c r="C23" t="str">
        <f>"IB:HOPE"</f>
        <v>IB:HOPE</v>
      </c>
      <c r="D23" t="str">
        <f>"000170178569"</f>
        <v>000170178569</v>
      </c>
      <c r="E23" s="64">
        <v>3168</v>
      </c>
      <c r="F23" t="s">
        <v>362</v>
      </c>
      <c r="G23" s="64">
        <v>26563</v>
      </c>
      <c r="H23" t="s">
        <v>363</v>
      </c>
      <c r="I23" t="s">
        <v>160</v>
      </c>
      <c r="J23" t="s">
        <v>365</v>
      </c>
      <c r="K23" t="s">
        <v>374</v>
      </c>
    </row>
    <row r="24" spans="1:12">
      <c r="A24" s="68">
        <v>13</v>
      </c>
      <c r="B24" s="53">
        <v>44111</v>
      </c>
      <c r="C24" t="str">
        <f>"IB:HOPE"</f>
        <v>IB:HOPE</v>
      </c>
      <c r="D24" t="str">
        <f>"000170345477"</f>
        <v>000170345477</v>
      </c>
      <c r="E24" s="64">
        <v>18000</v>
      </c>
      <c r="F24" t="s">
        <v>362</v>
      </c>
      <c r="G24" s="64">
        <v>8563</v>
      </c>
      <c r="H24" t="s">
        <v>363</v>
      </c>
      <c r="I24" t="s">
        <v>36</v>
      </c>
      <c r="J24" t="s">
        <v>373</v>
      </c>
      <c r="K24" t="s">
        <v>37</v>
      </c>
    </row>
    <row r="25" spans="1:12">
      <c r="A25" s="68">
        <v>14</v>
      </c>
      <c r="B25" s="53">
        <v>44142</v>
      </c>
      <c r="C25" t="str">
        <f>"Received from I3RC XX7835 IMPS ICICI Bank"</f>
        <v>Received from I3RC XX7835 IMPS ICICI Bank</v>
      </c>
      <c r="D25" t="str">
        <f>"IMPS-019316837316"</f>
        <v>IMPS-019316837316</v>
      </c>
      <c r="E25" s="64">
        <v>61665</v>
      </c>
      <c r="F25" t="s">
        <v>363</v>
      </c>
      <c r="G25" s="64">
        <v>70228</v>
      </c>
      <c r="H25" t="s">
        <v>363</v>
      </c>
      <c r="I25" t="s">
        <v>327</v>
      </c>
      <c r="J25" t="s">
        <v>321</v>
      </c>
      <c r="K25" t="s">
        <v>40</v>
      </c>
      <c r="L25" t="s">
        <v>316</v>
      </c>
    </row>
    <row r="26" spans="1:12">
      <c r="A26" s="68">
        <v>15</v>
      </c>
      <c r="B26" s="63" t="s">
        <v>371</v>
      </c>
      <c r="C26" t="str">
        <f>"RTGS ICICR22020071300873681 OP CPI ICIC0000104"</f>
        <v>RTGS ICICR22020071300873681 OP CPI ICIC0000104</v>
      </c>
      <c r="D26" t="str">
        <f>"RTGSINW-0031834109"</f>
        <v>RTGSINW-0031834109</v>
      </c>
      <c r="E26" s="64">
        <v>437580</v>
      </c>
      <c r="F26" t="s">
        <v>363</v>
      </c>
      <c r="G26" s="64">
        <v>507808</v>
      </c>
      <c r="H26" t="s">
        <v>363</v>
      </c>
      <c r="I26" t="s">
        <v>39</v>
      </c>
      <c r="J26" t="s">
        <v>372</v>
      </c>
      <c r="K26" t="s">
        <v>40</v>
      </c>
      <c r="L26" t="s">
        <v>153</v>
      </c>
    </row>
    <row r="27" spans="1:12">
      <c r="A27" s="68">
        <v>16</v>
      </c>
      <c r="B27" s="63" t="s">
        <v>371</v>
      </c>
      <c r="C27" t="str">
        <f>"IB:SALARY"</f>
        <v>IB:SALARY</v>
      </c>
      <c r="D27" t="str">
        <f>"000170558220"</f>
        <v>000170558220</v>
      </c>
      <c r="E27" s="64">
        <v>25000</v>
      </c>
      <c r="F27" t="s">
        <v>362</v>
      </c>
      <c r="G27" s="64">
        <v>482808</v>
      </c>
      <c r="H27" t="s">
        <v>363</v>
      </c>
      <c r="I27" t="s">
        <v>39</v>
      </c>
      <c r="J27" t="s">
        <v>38</v>
      </c>
      <c r="K27" t="s">
        <v>31</v>
      </c>
    </row>
    <row r="28" spans="1:12">
      <c r="A28" s="68">
        <v>17</v>
      </c>
      <c r="B28" s="63" t="s">
        <v>371</v>
      </c>
      <c r="C28" t="str">
        <f>"SALARY"</f>
        <v>SALARY</v>
      </c>
      <c r="D28" t="str">
        <f>"IB"</f>
        <v>IB</v>
      </c>
      <c r="E28" s="64">
        <v>50000</v>
      </c>
      <c r="F28" t="s">
        <v>362</v>
      </c>
      <c r="G28" s="64">
        <v>432808</v>
      </c>
      <c r="H28" t="s">
        <v>363</v>
      </c>
      <c r="I28" t="s">
        <v>39</v>
      </c>
      <c r="J28" t="s">
        <v>34</v>
      </c>
      <c r="K28" t="s">
        <v>31</v>
      </c>
    </row>
    <row r="29" spans="1:12">
      <c r="A29" s="68">
        <v>18</v>
      </c>
      <c r="B29" s="63" t="s">
        <v>371</v>
      </c>
      <c r="C29" t="str">
        <f>"SALARY"</f>
        <v>SALARY</v>
      </c>
      <c r="D29" t="str">
        <f>"IB"</f>
        <v>IB</v>
      </c>
      <c r="E29" s="64">
        <v>20000</v>
      </c>
      <c r="F29" t="s">
        <v>362</v>
      </c>
      <c r="G29" s="64">
        <v>412808</v>
      </c>
      <c r="H29" t="s">
        <v>363</v>
      </c>
      <c r="I29" t="s">
        <v>39</v>
      </c>
      <c r="J29" t="s">
        <v>33</v>
      </c>
      <c r="K29" t="s">
        <v>31</v>
      </c>
    </row>
    <row r="30" spans="1:12">
      <c r="A30" s="68">
        <v>19</v>
      </c>
      <c r="B30" s="63" t="s">
        <v>369</v>
      </c>
      <c r="C30" t="str">
        <f>"BAGIC5"</f>
        <v>BAGIC5</v>
      </c>
      <c r="D30" t="str">
        <f>"IB"</f>
        <v>IB</v>
      </c>
      <c r="E30" s="64">
        <v>43000</v>
      </c>
      <c r="F30" t="s">
        <v>362</v>
      </c>
      <c r="G30" s="64">
        <v>369808</v>
      </c>
      <c r="H30" t="s">
        <v>363</v>
      </c>
      <c r="I30" t="s">
        <v>39</v>
      </c>
      <c r="J30" t="s">
        <v>370</v>
      </c>
      <c r="K30" t="s">
        <v>31</v>
      </c>
    </row>
    <row r="31" spans="1:12">
      <c r="A31" s="68">
        <v>20</v>
      </c>
      <c r="B31" s="63" t="s">
        <v>369</v>
      </c>
      <c r="C31" t="str">
        <f>"IB:BAGIC5"</f>
        <v>IB:BAGIC5</v>
      </c>
      <c r="D31" t="str">
        <f>"000170727622"</f>
        <v>000170727622</v>
      </c>
      <c r="E31" s="64">
        <v>39600</v>
      </c>
      <c r="F31" t="s">
        <v>362</v>
      </c>
      <c r="G31" s="64">
        <v>330208</v>
      </c>
      <c r="H31" t="s">
        <v>363</v>
      </c>
      <c r="I31" t="s">
        <v>39</v>
      </c>
      <c r="J31" t="s">
        <v>368</v>
      </c>
      <c r="K31" t="s">
        <v>31</v>
      </c>
    </row>
    <row r="32" spans="1:12">
      <c r="A32" s="68">
        <v>21</v>
      </c>
      <c r="B32" s="63" t="s">
        <v>364</v>
      </c>
      <c r="C32" t="str">
        <f>"NEFT SDL65527378 PUNJAB AND SIND BANK PSIB0021325"</f>
        <v>NEFT SDL65527378 PUNJAB AND SIND BANK PSIB0021325</v>
      </c>
      <c r="D32" t="str">
        <f>"NEFTINW-0223337693"</f>
        <v>NEFTINW-0223337693</v>
      </c>
      <c r="E32" s="64">
        <v>39600</v>
      </c>
      <c r="F32" t="s">
        <v>363</v>
      </c>
      <c r="G32" s="64">
        <v>369808</v>
      </c>
      <c r="H32" t="s">
        <v>363</v>
      </c>
      <c r="I32" t="s">
        <v>367</v>
      </c>
      <c r="J32" t="s">
        <v>368</v>
      </c>
      <c r="K32" t="s">
        <v>31</v>
      </c>
    </row>
    <row r="33" spans="1:12">
      <c r="A33" s="68">
        <v>22</v>
      </c>
      <c r="B33" s="63" t="s">
        <v>364</v>
      </c>
      <c r="C33" t="str">
        <f>"IB:GRYFFINDOR"</f>
        <v>IB:GRYFFINDOR</v>
      </c>
      <c r="D33" t="str">
        <f>"000170898140"</f>
        <v>000170898140</v>
      </c>
      <c r="E33" s="64">
        <v>22000</v>
      </c>
      <c r="F33" t="s">
        <v>362</v>
      </c>
      <c r="G33" s="64">
        <v>347808</v>
      </c>
      <c r="H33" t="s">
        <v>363</v>
      </c>
      <c r="I33" t="s">
        <v>36</v>
      </c>
      <c r="J33" t="s">
        <v>328</v>
      </c>
      <c r="K33" t="s">
        <v>32</v>
      </c>
    </row>
    <row r="34" spans="1:12">
      <c r="A34" s="68">
        <v>23</v>
      </c>
      <c r="B34" s="63" t="s">
        <v>364</v>
      </c>
      <c r="C34" t="str">
        <f>"IB:FAST"</f>
        <v>IB:FAST</v>
      </c>
      <c r="D34" t="str">
        <f>"000170898362"</f>
        <v>000170898362</v>
      </c>
      <c r="E34" s="64">
        <v>6000</v>
      </c>
      <c r="F34" t="s">
        <v>362</v>
      </c>
      <c r="G34" s="64">
        <v>341808</v>
      </c>
      <c r="H34" t="s">
        <v>363</v>
      </c>
      <c r="I34" t="s">
        <v>325</v>
      </c>
      <c r="J34" t="s">
        <v>366</v>
      </c>
      <c r="K34" t="s">
        <v>31</v>
      </c>
    </row>
    <row r="35" spans="1:12">
      <c r="A35" s="68">
        <v>24</v>
      </c>
      <c r="B35" s="63" t="s">
        <v>364</v>
      </c>
      <c r="C35" t="str">
        <f>"IB:COMFORT"</f>
        <v>IB:COMFORT</v>
      </c>
      <c r="D35" t="str">
        <f>"000170898509"</f>
        <v>000170898509</v>
      </c>
      <c r="E35" s="64">
        <v>3200</v>
      </c>
      <c r="F35" t="s">
        <v>362</v>
      </c>
      <c r="G35" s="64">
        <v>338608</v>
      </c>
      <c r="H35" t="s">
        <v>363</v>
      </c>
      <c r="I35" t="s">
        <v>327</v>
      </c>
      <c r="J35" t="s">
        <v>328</v>
      </c>
      <c r="K35" t="s">
        <v>32</v>
      </c>
    </row>
    <row r="36" spans="1:12">
      <c r="A36" s="68">
        <v>25</v>
      </c>
      <c r="B36" s="63" t="s">
        <v>364</v>
      </c>
      <c r="C36" t="str">
        <f>"IB:GRYFFINDOR"</f>
        <v>IB:GRYFFINDOR</v>
      </c>
      <c r="D36" t="str">
        <f>"000170898153"</f>
        <v>000170898153</v>
      </c>
      <c r="E36" s="64">
        <v>22000</v>
      </c>
      <c r="F36" t="s">
        <v>362</v>
      </c>
      <c r="G36" s="64">
        <v>316608</v>
      </c>
      <c r="H36" t="s">
        <v>363</v>
      </c>
      <c r="I36" t="s">
        <v>36</v>
      </c>
      <c r="J36" t="s">
        <v>365</v>
      </c>
      <c r="K36" t="s">
        <v>34</v>
      </c>
    </row>
    <row r="37" spans="1:12">
      <c r="A37" s="68">
        <v>26</v>
      </c>
      <c r="B37" s="63" t="s">
        <v>361</v>
      </c>
      <c r="C37" t="str">
        <f>"IB:FAST"</f>
        <v>IB:FAST</v>
      </c>
      <c r="D37" t="str">
        <f>"000171032586"</f>
        <v>000171032586</v>
      </c>
      <c r="E37" s="64">
        <v>5544</v>
      </c>
      <c r="F37" t="s">
        <v>362</v>
      </c>
      <c r="G37" s="64">
        <v>311064</v>
      </c>
      <c r="H37" t="s">
        <v>363</v>
      </c>
      <c r="I37" t="s">
        <v>325</v>
      </c>
      <c r="J37" t="s">
        <v>331</v>
      </c>
      <c r="K37" t="s">
        <v>31</v>
      </c>
    </row>
    <row r="38" spans="1:12">
      <c r="A38" s="68">
        <v>27</v>
      </c>
      <c r="B38" s="63" t="s">
        <v>361</v>
      </c>
      <c r="C38" t="str">
        <f>"IB:COMFORT"</f>
        <v>IB:COMFORT</v>
      </c>
      <c r="D38" t="str">
        <f>"000171032596"</f>
        <v>000171032596</v>
      </c>
      <c r="E38" s="64">
        <v>4300</v>
      </c>
      <c r="F38" t="s">
        <v>362</v>
      </c>
      <c r="G38" s="64">
        <v>306764</v>
      </c>
      <c r="H38" t="s">
        <v>363</v>
      </c>
      <c r="I38" t="s">
        <v>327</v>
      </c>
      <c r="J38" t="s">
        <v>332</v>
      </c>
      <c r="K38" t="s">
        <v>32</v>
      </c>
    </row>
    <row r="39" spans="1:12">
      <c r="A39" s="68">
        <v>28</v>
      </c>
      <c r="B39" s="63" t="s">
        <v>361</v>
      </c>
      <c r="C39" t="str">
        <f>"IB:GRYFFINDOR"</f>
        <v>IB:GRYFFINDOR</v>
      </c>
      <c r="D39" t="str">
        <f>"000171032600"</f>
        <v>000171032600</v>
      </c>
      <c r="E39" s="64">
        <v>23000</v>
      </c>
      <c r="F39" t="s">
        <v>362</v>
      </c>
      <c r="G39" s="64">
        <v>283764</v>
      </c>
      <c r="H39" t="s">
        <v>363</v>
      </c>
      <c r="I39" t="s">
        <v>36</v>
      </c>
      <c r="J39" t="s">
        <v>330</v>
      </c>
      <c r="K39" t="s">
        <v>31</v>
      </c>
    </row>
    <row r="40" spans="1:12">
      <c r="A40" s="68">
        <v>29</v>
      </c>
      <c r="B40" t="s">
        <v>433</v>
      </c>
      <c r="C40" t="str">
        <f>"IB:COMFORT"</f>
        <v>IB:COMFORT</v>
      </c>
      <c r="D40" t="str">
        <f>"000171160420"</f>
        <v>000171160420</v>
      </c>
      <c r="E40" s="64">
        <v>3400</v>
      </c>
      <c r="F40" t="s">
        <v>362</v>
      </c>
      <c r="G40" s="64">
        <v>280364</v>
      </c>
      <c r="H40" t="s">
        <v>363</v>
      </c>
      <c r="I40" t="s">
        <v>327</v>
      </c>
      <c r="J40" t="s">
        <v>431</v>
      </c>
      <c r="K40" t="s">
        <v>32</v>
      </c>
    </row>
    <row r="41" spans="1:12">
      <c r="A41" s="68">
        <v>30</v>
      </c>
      <c r="B41" t="s">
        <v>433</v>
      </c>
      <c r="C41" t="str">
        <f>"IB:GRYFFINDOR"</f>
        <v>IB:GRYFFINDOR</v>
      </c>
      <c r="D41" t="str">
        <f>"000171159606"</f>
        <v>000171159606</v>
      </c>
      <c r="E41" s="64">
        <v>22000</v>
      </c>
      <c r="F41" t="s">
        <v>362</v>
      </c>
      <c r="G41" s="64">
        <v>258364</v>
      </c>
      <c r="H41" t="s">
        <v>363</v>
      </c>
      <c r="I41" t="s">
        <v>36</v>
      </c>
      <c r="J41" t="s">
        <v>38</v>
      </c>
      <c r="K41" t="s">
        <v>37</v>
      </c>
    </row>
    <row r="42" spans="1:12">
      <c r="A42" s="68">
        <v>31</v>
      </c>
      <c r="B42" t="s">
        <v>441</v>
      </c>
      <c r="C42" t="str">
        <f>" MR HIRA LAL  SHARMA STATE BANK OF IND"</f>
        <v xml:space="preserve"> MR HIRA LAL  SHARMA STATE BANK OF IND</v>
      </c>
      <c r="D42" t="str">
        <f>"19"</f>
        <v>19</v>
      </c>
      <c r="E42" s="64">
        <v>9000</v>
      </c>
      <c r="F42" t="s">
        <v>362</v>
      </c>
      <c r="G42" s="64">
        <v>249364</v>
      </c>
      <c r="H42" t="s">
        <v>363</v>
      </c>
      <c r="I42" t="s">
        <v>442</v>
      </c>
      <c r="J42" t="s">
        <v>443</v>
      </c>
      <c r="K42" t="s">
        <v>37</v>
      </c>
      <c r="L42" t="s">
        <v>446</v>
      </c>
    </row>
    <row r="43" spans="1:12">
      <c r="A43" s="68">
        <v>32</v>
      </c>
      <c r="B43" t="s">
        <v>441</v>
      </c>
      <c r="C43" t="str">
        <f>" MR HIRA LAL  SHARMA STATE BANK OF IND"</f>
        <v xml:space="preserve"> MR HIRA LAL  SHARMA STATE BANK OF IND</v>
      </c>
      <c r="D43" t="str">
        <f>"17"</f>
        <v>17</v>
      </c>
      <c r="E43" s="64">
        <v>34500</v>
      </c>
      <c r="F43" t="s">
        <v>362</v>
      </c>
      <c r="G43" s="64">
        <v>214864</v>
      </c>
      <c r="H43" t="s">
        <v>363</v>
      </c>
      <c r="I43" t="s">
        <v>442</v>
      </c>
      <c r="J43" t="s">
        <v>443</v>
      </c>
      <c r="K43" t="s">
        <v>37</v>
      </c>
      <c r="L43" t="s">
        <v>445</v>
      </c>
    </row>
    <row r="44" spans="1:12">
      <c r="A44" s="68">
        <v>33</v>
      </c>
      <c r="B44" t="s">
        <v>441</v>
      </c>
      <c r="C44" t="str">
        <f>"IB:Sent NEFT KKBKH20200844615/J44M Y/STATE BAN"</f>
        <v>IB:Sent NEFT KKBKH20200844615/J44M Y/STATE BAN</v>
      </c>
      <c r="D44" t="str">
        <f>"000171263344"</f>
        <v>000171263344</v>
      </c>
      <c r="E44" s="64">
        <v>4950</v>
      </c>
      <c r="F44" t="s">
        <v>362</v>
      </c>
      <c r="G44" s="64">
        <v>209914</v>
      </c>
      <c r="H44" t="s">
        <v>363</v>
      </c>
      <c r="I44" t="s">
        <v>325</v>
      </c>
      <c r="J44" t="s">
        <v>444</v>
      </c>
      <c r="K44" t="s">
        <v>31</v>
      </c>
    </row>
    <row r="45" spans="1:12">
      <c r="A45" s="68">
        <v>34</v>
      </c>
      <c r="B45" t="s">
        <v>441</v>
      </c>
      <c r="C45" t="str">
        <f>"IB:FAST"</f>
        <v>IB:FAST</v>
      </c>
      <c r="D45" t="str">
        <f>"000171263497"</f>
        <v>000171263497</v>
      </c>
      <c r="E45" s="64">
        <v>1920</v>
      </c>
      <c r="F45" t="s">
        <v>362</v>
      </c>
      <c r="G45" s="64">
        <v>207994</v>
      </c>
      <c r="H45" t="s">
        <v>363</v>
      </c>
      <c r="I45" t="s">
        <v>325</v>
      </c>
      <c r="J45" t="s">
        <v>366</v>
      </c>
      <c r="K45" t="s">
        <v>31</v>
      </c>
    </row>
    <row r="46" spans="1:12">
      <c r="A46" s="68">
        <v>35</v>
      </c>
      <c r="B46" t="s">
        <v>441</v>
      </c>
      <c r="C46" t="str">
        <f>"IB:COMFORT"</f>
        <v>IB:COMFORT</v>
      </c>
      <c r="D46" t="str">
        <f>"000171263501"</f>
        <v>000171263501</v>
      </c>
      <c r="E46" s="64">
        <v>7324</v>
      </c>
      <c r="F46" t="s">
        <v>362</v>
      </c>
      <c r="G46" s="64">
        <v>200670</v>
      </c>
      <c r="H46" t="s">
        <v>363</v>
      </c>
      <c r="I46" t="s">
        <v>327</v>
      </c>
      <c r="J46" t="s">
        <v>440</v>
      </c>
      <c r="K46" t="s">
        <v>32</v>
      </c>
    </row>
    <row r="47" spans="1:12">
      <c r="A47" s="68">
        <v>36</v>
      </c>
      <c r="B47" t="s">
        <v>458</v>
      </c>
      <c r="C47" t="str">
        <f>"IB:GRYFFINDOR"</f>
        <v>IB:GRYFFINDOR</v>
      </c>
      <c r="D47" t="str">
        <f>"000171422347"</f>
        <v>000171422347</v>
      </c>
      <c r="E47">
        <v>600</v>
      </c>
      <c r="F47" t="s">
        <v>362</v>
      </c>
      <c r="G47" s="64">
        <v>200070</v>
      </c>
      <c r="H47" t="s">
        <v>363</v>
      </c>
      <c r="I47" t="s">
        <v>462</v>
      </c>
      <c r="J47" t="s">
        <v>463</v>
      </c>
      <c r="K47" t="s">
        <v>31</v>
      </c>
    </row>
    <row r="48" spans="1:12">
      <c r="A48" s="68">
        <v>37</v>
      </c>
      <c r="B48" t="s">
        <v>459</v>
      </c>
      <c r="C48" t="str">
        <f>"IB:SIDDHESH LUCKNOW COMFORT"</f>
        <v>IB:SIDDHESH LUCKNOW COMFORT</v>
      </c>
      <c r="D48" t="str">
        <f>"000171551641"</f>
        <v>000171551641</v>
      </c>
      <c r="E48" s="64">
        <v>3800</v>
      </c>
      <c r="F48" t="s">
        <v>362</v>
      </c>
      <c r="G48" s="64">
        <v>196270</v>
      </c>
      <c r="H48" t="s">
        <v>363</v>
      </c>
      <c r="I48" t="s">
        <v>327</v>
      </c>
      <c r="J48" t="s">
        <v>464</v>
      </c>
      <c r="K48" t="s">
        <v>32</v>
      </c>
    </row>
    <row r="49" spans="1:12">
      <c r="A49" s="68">
        <v>38</v>
      </c>
      <c r="B49" t="s">
        <v>459</v>
      </c>
      <c r="C49" t="str">
        <f>"IB:DOCTOR IRFAN BASHIR FOG"</f>
        <v>IB:DOCTOR IRFAN BASHIR FOG</v>
      </c>
      <c r="D49" t="str">
        <f>"000171551490"</f>
        <v>000171551490</v>
      </c>
      <c r="E49" s="64">
        <v>2500</v>
      </c>
      <c r="F49" t="s">
        <v>362</v>
      </c>
      <c r="G49" s="64">
        <v>193770</v>
      </c>
      <c r="H49" t="s">
        <v>363</v>
      </c>
      <c r="I49" t="s">
        <v>465</v>
      </c>
      <c r="J49" t="s">
        <v>466</v>
      </c>
      <c r="K49" t="s">
        <v>31</v>
      </c>
    </row>
    <row r="50" spans="1:12">
      <c r="A50" s="68">
        <v>39</v>
      </c>
      <c r="B50" t="s">
        <v>460</v>
      </c>
      <c r="C50" t="str">
        <f>" MR HIRA LAL  SHARMA STATE BANK OF IND"</f>
        <v xml:space="preserve"> MR HIRA LAL  SHARMA STATE BANK OF IND</v>
      </c>
      <c r="D50" t="str">
        <f>"18"</f>
        <v>18</v>
      </c>
      <c r="E50" s="64">
        <v>25000</v>
      </c>
      <c r="F50" t="s">
        <v>362</v>
      </c>
      <c r="G50" s="64">
        <v>168770</v>
      </c>
      <c r="H50" t="s">
        <v>363</v>
      </c>
      <c r="I50" t="s">
        <v>442</v>
      </c>
      <c r="J50" t="s">
        <v>443</v>
      </c>
      <c r="K50" t="s">
        <v>37</v>
      </c>
      <c r="L50" t="s">
        <v>446</v>
      </c>
    </row>
    <row r="51" spans="1:12">
      <c r="A51" s="68">
        <v>40</v>
      </c>
      <c r="B51" t="s">
        <v>460</v>
      </c>
      <c r="C51" t="str">
        <f>"IB:Sent NEFT KKBKH20204683907/HARISHA KRISHNAMURTH"</f>
        <v>IB:Sent NEFT KKBKH20204683907/HARISHA KRISHNAMURTH</v>
      </c>
      <c r="D51" t="str">
        <f>"000171676850"</f>
        <v>000171676850</v>
      </c>
      <c r="E51" s="64">
        <v>3465</v>
      </c>
      <c r="F51" t="s">
        <v>362</v>
      </c>
      <c r="G51" s="64">
        <v>165305</v>
      </c>
      <c r="H51" t="s">
        <v>363</v>
      </c>
      <c r="I51" t="s">
        <v>465</v>
      </c>
      <c r="J51" t="s">
        <v>366</v>
      </c>
      <c r="K51" t="s">
        <v>31</v>
      </c>
    </row>
    <row r="52" spans="1:12">
      <c r="A52" s="68">
        <v>41</v>
      </c>
      <c r="B52" t="s">
        <v>460</v>
      </c>
      <c r="C52" t="str">
        <f>"IB:Sent NEFT KKBKH20204683920/VAISHNAVI/IDBI BANK"</f>
        <v>IB:Sent NEFT KKBKH20204683920/VAISHNAVI/IDBI BANK</v>
      </c>
      <c r="D52" t="str">
        <f>"000171676863"</f>
        <v>000171676863</v>
      </c>
      <c r="E52" s="64">
        <v>4000</v>
      </c>
      <c r="F52" t="s">
        <v>362</v>
      </c>
      <c r="G52" s="64">
        <v>161305</v>
      </c>
      <c r="H52" t="s">
        <v>363</v>
      </c>
      <c r="I52" t="s">
        <v>374</v>
      </c>
      <c r="J52" t="s">
        <v>64</v>
      </c>
      <c r="K52" t="s">
        <v>33</v>
      </c>
    </row>
    <row r="53" spans="1:12">
      <c r="A53" s="68">
        <v>42</v>
      </c>
      <c r="B53" t="s">
        <v>460</v>
      </c>
      <c r="C53" t="str">
        <f>"IB:Sent NEFT KKBKH20204683929/VAISHNAVI/IDBI BANK"</f>
        <v>IB:Sent NEFT KKBKH20204683929/VAISHNAVI/IDBI BANK</v>
      </c>
      <c r="D53" t="str">
        <f>"000171676872"</f>
        <v>000171676872</v>
      </c>
      <c r="E53" s="64">
        <v>5000</v>
      </c>
      <c r="F53" t="s">
        <v>362</v>
      </c>
      <c r="G53" s="64">
        <v>156305</v>
      </c>
      <c r="H53" t="s">
        <v>363</v>
      </c>
      <c r="I53" t="s">
        <v>325</v>
      </c>
      <c r="J53" t="s">
        <v>64</v>
      </c>
      <c r="K53" t="s">
        <v>31</v>
      </c>
    </row>
    <row r="54" spans="1:12">
      <c r="A54" s="68">
        <v>43</v>
      </c>
      <c r="B54" t="s">
        <v>460</v>
      </c>
      <c r="C54" t="str">
        <f>"IB: FUND TRANSFER TO SHAH  JATIN"</f>
        <v>IB: FUND TRANSFER TO SHAH  JATIN</v>
      </c>
      <c r="D54" t="str">
        <f>"IB"</f>
        <v>IB</v>
      </c>
      <c r="E54" s="64">
        <v>2500</v>
      </c>
      <c r="F54" t="s">
        <v>362</v>
      </c>
      <c r="G54" s="64">
        <v>153805</v>
      </c>
      <c r="H54" t="s">
        <v>363</v>
      </c>
      <c r="I54" t="s">
        <v>327</v>
      </c>
      <c r="J54" t="s">
        <v>467</v>
      </c>
      <c r="K54" t="s">
        <v>32</v>
      </c>
    </row>
    <row r="55" spans="1:12">
      <c r="A55" s="68">
        <v>44</v>
      </c>
      <c r="B55" t="s">
        <v>461</v>
      </c>
      <c r="C55" t="str">
        <f>"IB:Sent NEFT KKBKH20205808703/POOJA PUROHIT/STATE"</f>
        <v>IB:Sent NEFT KKBKH20205808703/POOJA PUROHIT/STATE</v>
      </c>
      <c r="D55" t="str">
        <f>"000171796854"</f>
        <v>000171796854</v>
      </c>
      <c r="E55" s="64">
        <v>2000</v>
      </c>
      <c r="F55" t="s">
        <v>362</v>
      </c>
      <c r="G55" s="64">
        <v>151805</v>
      </c>
      <c r="H55" t="s">
        <v>363</v>
      </c>
      <c r="I55" t="s">
        <v>327</v>
      </c>
      <c r="J55" t="s">
        <v>457</v>
      </c>
      <c r="K55" t="s">
        <v>32</v>
      </c>
    </row>
    <row r="56" spans="1:12">
      <c r="A56" s="68">
        <v>45</v>
      </c>
      <c r="B56" s="63" t="s">
        <v>472</v>
      </c>
      <c r="C56" t="str">
        <f>"IB: FUND TRANSFER TO ADITI  MADAN"</f>
        <v>IB: FUND TRANSFER TO ADITI  MADAN</v>
      </c>
      <c r="D56" t="str">
        <f>"IB"</f>
        <v>IB</v>
      </c>
      <c r="E56" s="64">
        <v>17000</v>
      </c>
      <c r="F56" t="s">
        <v>362</v>
      </c>
      <c r="G56" s="64">
        <v>134805</v>
      </c>
      <c r="H56" t="s">
        <v>363</v>
      </c>
      <c r="I56" t="s">
        <v>462</v>
      </c>
      <c r="J56" t="s">
        <v>468</v>
      </c>
      <c r="K56" t="s">
        <v>37</v>
      </c>
    </row>
    <row r="57" spans="1:12">
      <c r="A57" s="68">
        <v>46</v>
      </c>
      <c r="B57" s="63" t="s">
        <v>473</v>
      </c>
      <c r="C57" t="str">
        <f>"IB:Sent NEFT KKBKH20209878624/RAM CHANDER YADAV/HD"</f>
        <v>IB:Sent NEFT KKBKH20209878624/RAM CHANDER YADAV/HD</v>
      </c>
      <c r="D57" t="str">
        <f>"000172149062"</f>
        <v>000172149062</v>
      </c>
      <c r="E57" s="64">
        <v>10454</v>
      </c>
      <c r="F57" t="s">
        <v>362</v>
      </c>
      <c r="G57" s="64">
        <v>124351</v>
      </c>
      <c r="H57" t="s">
        <v>363</v>
      </c>
      <c r="I57" t="s">
        <v>475</v>
      </c>
      <c r="J57" t="s">
        <v>474</v>
      </c>
      <c r="K57" t="s">
        <v>37</v>
      </c>
      <c r="L57" t="s">
        <v>445</v>
      </c>
    </row>
    <row r="58" spans="1:12">
      <c r="A58" s="68">
        <v>47</v>
      </c>
      <c r="B58" s="63" t="s">
        <v>473</v>
      </c>
      <c r="C58" t="str">
        <f>"IB:Sent NEFT KKBKH20209878747/CLINT/ICICI BANK"</f>
        <v>IB:Sent NEFT KKBKH20209878747/CLINT/ICICI BANK</v>
      </c>
      <c r="D58" t="str">
        <f>"000172149085"</f>
        <v>000172149085</v>
      </c>
      <c r="E58" s="64">
        <v>6336</v>
      </c>
      <c r="F58" t="s">
        <v>362</v>
      </c>
      <c r="G58" s="64">
        <v>118015</v>
      </c>
      <c r="H58" t="s">
        <v>363</v>
      </c>
      <c r="I58" t="s">
        <v>39</v>
      </c>
      <c r="J58" t="s">
        <v>476</v>
      </c>
      <c r="K58" t="s">
        <v>31</v>
      </c>
      <c r="L58" t="s">
        <v>445</v>
      </c>
    </row>
    <row r="59" spans="1:12">
      <c r="A59" s="68">
        <v>48</v>
      </c>
      <c r="B59" s="63" t="s">
        <v>470</v>
      </c>
      <c r="C59" t="str">
        <f>"IB:Sent NEFT KKBKH20210727935/SHEETAL K KANSE/IDBI"</f>
        <v>IB:Sent NEFT KKBKH20210727935/SHEETAL K KANSE/IDBI</v>
      </c>
      <c r="D59" t="str">
        <f>"000172287084"</f>
        <v>000172287084</v>
      </c>
      <c r="E59" s="64">
        <v>4752</v>
      </c>
      <c r="F59" t="s">
        <v>362</v>
      </c>
      <c r="G59" s="64">
        <v>113263</v>
      </c>
      <c r="H59" t="s">
        <v>363</v>
      </c>
      <c r="I59" t="s">
        <v>327</v>
      </c>
      <c r="J59" t="s">
        <v>469</v>
      </c>
      <c r="K59" t="s">
        <v>32</v>
      </c>
    </row>
    <row r="60" spans="1:12">
      <c r="A60" s="68">
        <v>49</v>
      </c>
      <c r="B60" s="63" t="s">
        <v>470</v>
      </c>
      <c r="C60" t="str">
        <f>"IB:Sent NEFT KKBKH20210729231/PANCHAL KRISHNKANT J"</f>
        <v>IB:Sent NEFT KKBKH20210729231/PANCHAL KRISHNKANT J</v>
      </c>
      <c r="D60" t="str">
        <f>"000172287956"</f>
        <v>000172287956</v>
      </c>
      <c r="E60" s="64">
        <v>11100</v>
      </c>
      <c r="F60" t="s">
        <v>362</v>
      </c>
      <c r="G60" s="64">
        <v>102163</v>
      </c>
      <c r="H60" t="s">
        <v>363</v>
      </c>
      <c r="I60" t="s">
        <v>477</v>
      </c>
      <c r="J60" t="s">
        <v>478</v>
      </c>
      <c r="K60" t="s">
        <v>33</v>
      </c>
      <c r="L60" t="s">
        <v>445</v>
      </c>
    </row>
    <row r="61" spans="1:12">
      <c r="A61" s="68">
        <v>50</v>
      </c>
      <c r="B61" s="53">
        <v>43929</v>
      </c>
      <c r="C61" t="str">
        <f>"IB:Sent NEFT KKBKH20217746724/ASHWIN ARUN KUMAR/KA"</f>
        <v>IB:Sent NEFT KKBKH20217746724/ASHWIN ARUN KUMAR/KA</v>
      </c>
      <c r="D61" t="str">
        <f>"000173161637"</f>
        <v>000173161637</v>
      </c>
      <c r="E61" s="64">
        <v>4200</v>
      </c>
      <c r="F61" t="s">
        <v>362</v>
      </c>
      <c r="G61" s="64">
        <v>97963</v>
      </c>
      <c r="H61" t="s">
        <v>363</v>
      </c>
      <c r="I61" t="s">
        <v>327</v>
      </c>
      <c r="J61" t="s">
        <v>484</v>
      </c>
      <c r="K61" t="s">
        <v>32</v>
      </c>
    </row>
    <row r="62" spans="1:12">
      <c r="A62" s="68">
        <v>51</v>
      </c>
      <c r="B62" s="53">
        <v>43959</v>
      </c>
      <c r="C62" t="str">
        <f>"IB:Sent NEFT KKBKH20218621839/HARISHA KRISHNAMURTH"</f>
        <v>IB:Sent NEFT KKBKH20218621839/HARISHA KRISHNAMURTH</v>
      </c>
      <c r="D62" t="str">
        <f>"000173325679"</f>
        <v>000173325679</v>
      </c>
      <c r="E62" s="64">
        <v>4455</v>
      </c>
      <c r="F62" t="s">
        <v>362</v>
      </c>
      <c r="G62" s="64">
        <v>93508</v>
      </c>
      <c r="H62" t="s">
        <v>363</v>
      </c>
      <c r="I62" t="s">
        <v>465</v>
      </c>
      <c r="J62" t="s">
        <v>366</v>
      </c>
      <c r="K62" t="s">
        <v>31</v>
      </c>
    </row>
    <row r="63" spans="1:12">
      <c r="A63" s="68">
        <v>52</v>
      </c>
      <c r="B63" s="53">
        <v>43959</v>
      </c>
      <c r="C63" t="str">
        <f>"IB:Sent NEFT KKBKH20218621923/VINAYAK V MAKA/HDFC"</f>
        <v>IB:Sent NEFT KKBKH20218621923/VINAYAK V MAKA/HDFC</v>
      </c>
      <c r="D63" t="str">
        <f>"000173325990"</f>
        <v>000173325990</v>
      </c>
      <c r="E63" s="64">
        <v>2500</v>
      </c>
      <c r="F63" t="s">
        <v>362</v>
      </c>
      <c r="G63" s="64">
        <v>91008</v>
      </c>
      <c r="H63" t="s">
        <v>363</v>
      </c>
      <c r="I63" t="s">
        <v>465</v>
      </c>
      <c r="J63" t="s">
        <v>482</v>
      </c>
      <c r="K63" t="s">
        <v>31</v>
      </c>
    </row>
    <row r="64" spans="1:12">
      <c r="A64" s="68">
        <v>53</v>
      </c>
      <c r="B64" s="53">
        <v>43990</v>
      </c>
      <c r="C64" t="str">
        <f>"IB:Sent NEFT KKBKH20219787204/CITI CREDIT CARD/CIT"</f>
        <v>IB:Sent NEFT KKBKH20219787204/CITI CREDIT CARD/CIT</v>
      </c>
      <c r="D64" t="str">
        <f>"000173485369"</f>
        <v>000173485369</v>
      </c>
      <c r="E64" s="64">
        <v>24000</v>
      </c>
      <c r="F64" t="s">
        <v>362</v>
      </c>
      <c r="G64" s="64">
        <v>67008</v>
      </c>
      <c r="H64" t="s">
        <v>363</v>
      </c>
      <c r="I64" t="s">
        <v>485</v>
      </c>
      <c r="K64" t="s">
        <v>33</v>
      </c>
      <c r="L64" t="s">
        <v>445</v>
      </c>
    </row>
    <row r="65" spans="1:12">
      <c r="A65" s="68">
        <v>54</v>
      </c>
      <c r="B65" s="53">
        <v>44020</v>
      </c>
      <c r="C65" t="str">
        <f>"IB:Sent NEFT KKBKH20220698815/JITENDRA SINGH/PAYTM"</f>
        <v>IB:Sent NEFT KKBKH20220698815/JITENDRA SINGH/PAYTM</v>
      </c>
      <c r="D65" t="str">
        <f>"000173686891"</f>
        <v>000173686891</v>
      </c>
      <c r="E65" s="64">
        <v>2500</v>
      </c>
      <c r="F65" t="s">
        <v>362</v>
      </c>
      <c r="G65" s="64">
        <v>64508</v>
      </c>
      <c r="H65" t="s">
        <v>363</v>
      </c>
      <c r="I65" t="s">
        <v>327</v>
      </c>
      <c r="J65" t="s">
        <v>365</v>
      </c>
      <c r="K65" t="s">
        <v>32</v>
      </c>
      <c r="L65" t="s">
        <v>37</v>
      </c>
    </row>
    <row r="66" spans="1:12">
      <c r="A66" s="68">
        <v>55</v>
      </c>
      <c r="B66" s="53">
        <v>44020</v>
      </c>
      <c r="C66" t="str">
        <f>"IB:Sent NEFT KKBKH20220698913/INDRANIL GHOSH/ICICI"</f>
        <v>IB:Sent NEFT KKBKH20220698913/INDRANIL GHOSH/ICICI</v>
      </c>
      <c r="D66" t="str">
        <f>"000173686992"</f>
        <v>000173686992</v>
      </c>
      <c r="E66" s="64">
        <v>2500</v>
      </c>
      <c r="F66" t="s">
        <v>362</v>
      </c>
      <c r="G66" s="64">
        <v>62008</v>
      </c>
      <c r="H66" t="s">
        <v>363</v>
      </c>
      <c r="I66" t="s">
        <v>465</v>
      </c>
      <c r="J66" t="s">
        <v>486</v>
      </c>
      <c r="K66" t="s">
        <v>31</v>
      </c>
    </row>
    <row r="67" spans="1:12">
      <c r="A67" s="68">
        <v>56</v>
      </c>
      <c r="B67" s="53">
        <v>44051</v>
      </c>
      <c r="C67" t="str">
        <f>"IB:Sent NEFT KKBKH20221788299/SANGEETA MASSON/PUNJ"</f>
        <v>IB:Sent NEFT KKBKH20221788299/SANGEETA MASSON/PUNJ</v>
      </c>
      <c r="D67" t="str">
        <f>"000173774229"</f>
        <v>000173774229</v>
      </c>
      <c r="E67" s="64">
        <v>13000</v>
      </c>
      <c r="F67" t="s">
        <v>362</v>
      </c>
      <c r="G67" s="64">
        <v>49008</v>
      </c>
      <c r="H67" t="s">
        <v>363</v>
      </c>
      <c r="I67" t="s">
        <v>487</v>
      </c>
      <c r="J67" t="s">
        <v>488</v>
      </c>
      <c r="K67" t="s">
        <v>37</v>
      </c>
    </row>
    <row r="68" spans="1:12">
      <c r="A68" s="68">
        <v>57</v>
      </c>
      <c r="B68" s="53">
        <v>44112</v>
      </c>
      <c r="C68" t="str">
        <f>"IB:Sent NEFT KKBKH20223738989/VIJAY KUMAR SINGH/ST"</f>
        <v>IB:Sent NEFT KKBKH20223738989/VIJAY KUMAR SINGH/ST</v>
      </c>
      <c r="D68" t="str">
        <f>"000174013885"</f>
        <v>000174013885</v>
      </c>
      <c r="E68" s="64">
        <v>4950</v>
      </c>
      <c r="F68" t="s">
        <v>362</v>
      </c>
      <c r="G68" s="64">
        <v>44058</v>
      </c>
      <c r="H68" t="s">
        <v>363</v>
      </c>
      <c r="I68" t="s">
        <v>489</v>
      </c>
      <c r="J68" t="s">
        <v>490</v>
      </c>
      <c r="K68" t="s">
        <v>31</v>
      </c>
      <c r="L68" t="s">
        <v>445</v>
      </c>
    </row>
    <row r="69" spans="1:12">
      <c r="A69" s="68">
        <v>58</v>
      </c>
      <c r="B69" s="53">
        <v>44143</v>
      </c>
      <c r="C69" t="str">
        <f>"IB:Sent NEFT KKBKH20224617500/PARMESHWARI BERIYA/U"</f>
        <v>IB:Sent NEFT KKBKH20224617500/PARMESHWARI BERIYA/U</v>
      </c>
      <c r="D69" t="str">
        <f>"000174180997"</f>
        <v>000174180997</v>
      </c>
      <c r="E69" s="64">
        <v>11000</v>
      </c>
      <c r="F69" t="s">
        <v>362</v>
      </c>
      <c r="G69" s="64">
        <v>33058</v>
      </c>
      <c r="H69" t="s">
        <v>363</v>
      </c>
      <c r="I69" t="s">
        <v>36</v>
      </c>
      <c r="J69" t="s">
        <v>589</v>
      </c>
      <c r="K69" t="s">
        <v>37</v>
      </c>
    </row>
    <row r="70" spans="1:12">
      <c r="A70" s="68">
        <v>59</v>
      </c>
      <c r="B70" s="53">
        <v>44143</v>
      </c>
      <c r="C70" t="str">
        <f>"IB:Sent NEFT KKBKH20224617578/KRISHAN KUMAR KANHAI"</f>
        <v>IB:Sent NEFT KKBKH20224617578/KRISHAN KUMAR KANHAI</v>
      </c>
      <c r="D70" t="str">
        <f>"000174181031"</f>
        <v>000174181031</v>
      </c>
      <c r="E70" s="64">
        <v>6336</v>
      </c>
      <c r="F70" t="s">
        <v>362</v>
      </c>
      <c r="G70" s="64">
        <v>26722</v>
      </c>
      <c r="H70" t="s">
        <v>363</v>
      </c>
      <c r="I70" t="s">
        <v>590</v>
      </c>
      <c r="J70" t="s">
        <v>445</v>
      </c>
      <c r="K70" t="s">
        <v>33</v>
      </c>
      <c r="L70" t="s">
        <v>445</v>
      </c>
    </row>
    <row r="71" spans="1:12">
      <c r="A71" s="68">
        <v>60</v>
      </c>
      <c r="B71" s="53">
        <v>44173</v>
      </c>
      <c r="C71" t="str">
        <f>" MR HIRA LAL  SHARMA STATE BANK OF IND"</f>
        <v xml:space="preserve"> MR HIRA LAL  SHARMA STATE BANK OF IND</v>
      </c>
      <c r="D71" t="str">
        <f>"20"</f>
        <v>20</v>
      </c>
      <c r="E71" s="64">
        <v>2500</v>
      </c>
      <c r="F71" t="s">
        <v>362</v>
      </c>
      <c r="G71" s="64">
        <v>24222</v>
      </c>
      <c r="H71" t="s">
        <v>363</v>
      </c>
      <c r="I71" t="s">
        <v>442</v>
      </c>
      <c r="J71" t="s">
        <v>443</v>
      </c>
      <c r="K71" t="s">
        <v>591</v>
      </c>
      <c r="L71" t="s">
        <v>446</v>
      </c>
    </row>
    <row r="72" spans="1:12">
      <c r="A72" s="68">
        <v>61</v>
      </c>
      <c r="B72" t="s">
        <v>584</v>
      </c>
      <c r="C72" t="str">
        <f>"CASH DEPOSIT BY JITENDER AT LAJPAT NAGAR, DELHI"</f>
        <v>CASH DEPOSIT BY JITENDER AT LAJPAT NAGAR, DELHI</v>
      </c>
      <c r="D72" t="str">
        <f>""</f>
        <v/>
      </c>
      <c r="E72" s="64">
        <v>25000</v>
      </c>
      <c r="F72" t="s">
        <v>363</v>
      </c>
      <c r="G72" s="64">
        <v>49222</v>
      </c>
      <c r="H72" t="s">
        <v>363</v>
      </c>
      <c r="I72" t="s">
        <v>500</v>
      </c>
      <c r="J72" t="s">
        <v>502</v>
      </c>
      <c r="K72" t="s">
        <v>34</v>
      </c>
      <c r="L72" t="s">
        <v>446</v>
      </c>
    </row>
    <row r="73" spans="1:12">
      <c r="A73" s="68">
        <v>62</v>
      </c>
      <c r="B73" t="s">
        <v>584</v>
      </c>
      <c r="C73" t="str">
        <f>"IB:Sent NEFT KKBKH20227760482/RAJNISH KUMAR JHA/CA"</f>
        <v>IB:Sent NEFT KKBKH20227760482/RAJNISH KUMAR JHA/CA</v>
      </c>
      <c r="D73" t="str">
        <f>"000174601921"</f>
        <v>000174601921</v>
      </c>
      <c r="E73" s="64">
        <v>6000</v>
      </c>
      <c r="F73" t="s">
        <v>362</v>
      </c>
      <c r="G73" s="64">
        <v>43222</v>
      </c>
      <c r="H73" t="s">
        <v>363</v>
      </c>
      <c r="I73" t="s">
        <v>500</v>
      </c>
      <c r="J73" t="s">
        <v>272</v>
      </c>
      <c r="K73" t="s">
        <v>34</v>
      </c>
      <c r="L73" t="s">
        <v>446</v>
      </c>
    </row>
    <row r="74" spans="1:12">
      <c r="A74" s="68">
        <v>63</v>
      </c>
      <c r="B74" t="s">
        <v>584</v>
      </c>
      <c r="C74" t="str">
        <f>"IB:Sent NEFT KKBKH20227760843/JITENDRA SINGH/PAYTM"</f>
        <v>IB:Sent NEFT KKBKH20227760843/JITENDRA SINGH/PAYTM</v>
      </c>
      <c r="D74" t="str">
        <f>"000174602296"</f>
        <v>000174602296</v>
      </c>
      <c r="E74" s="64">
        <v>6000</v>
      </c>
      <c r="F74" t="s">
        <v>362</v>
      </c>
      <c r="G74" s="64">
        <v>37222</v>
      </c>
      <c r="H74" t="s">
        <v>363</v>
      </c>
      <c r="I74" t="s">
        <v>500</v>
      </c>
      <c r="J74" t="s">
        <v>365</v>
      </c>
      <c r="K74" t="s">
        <v>34</v>
      </c>
      <c r="L74" t="s">
        <v>446</v>
      </c>
    </row>
    <row r="75" spans="1:12">
      <c r="A75" s="68">
        <v>64</v>
      </c>
      <c r="B75" t="s">
        <v>584</v>
      </c>
      <c r="C75" t="str">
        <f>"Chrg: Net Banking Pin Regen Chrgs for AMJ 20 (Value Date:12/08/2020)"</f>
        <v>Chrg: Net Banking Pin Regen Chrgs for AMJ 20 (Value Date:12/08/2020)</v>
      </c>
      <c r="D75" t="str">
        <f>"TBMS-578628963"</f>
        <v>TBMS-578628963</v>
      </c>
      <c r="E75">
        <v>59</v>
      </c>
      <c r="F75" t="s">
        <v>362</v>
      </c>
      <c r="G75" s="64">
        <v>37163</v>
      </c>
      <c r="H75" t="s">
        <v>363</v>
      </c>
      <c r="I75" t="s">
        <v>592</v>
      </c>
      <c r="J75" t="s">
        <v>158</v>
      </c>
      <c r="K75" t="s">
        <v>37</v>
      </c>
      <c r="L75" t="s">
        <v>446</v>
      </c>
    </row>
    <row r="76" spans="1:12">
      <c r="A76" s="68">
        <v>65</v>
      </c>
      <c r="B76" t="s">
        <v>585</v>
      </c>
      <c r="C76" t="str">
        <f>"Chrg: Net Banking Pin Regen Chrgs for AMJ 20 (Value Date:12/08/2020)"</f>
        <v>Chrg: Net Banking Pin Regen Chrgs for AMJ 20 (Value Date:12/08/2020)</v>
      </c>
      <c r="D76" t="str">
        <f>"TBMS-578628940"</f>
        <v>TBMS-578628940</v>
      </c>
      <c r="E76">
        <v>59</v>
      </c>
      <c r="F76" t="s">
        <v>362</v>
      </c>
      <c r="G76" s="64">
        <v>37104</v>
      </c>
      <c r="H76" t="s">
        <v>363</v>
      </c>
      <c r="I76" t="s">
        <v>592</v>
      </c>
      <c r="J76" t="s">
        <v>158</v>
      </c>
      <c r="K76" t="s">
        <v>37</v>
      </c>
      <c r="L76" t="s">
        <v>446</v>
      </c>
    </row>
    <row r="77" spans="1:12">
      <c r="A77" s="68">
        <v>66</v>
      </c>
      <c r="B77" t="s">
        <v>586</v>
      </c>
      <c r="C77" t="str">
        <f>"UPI/9540017214@/023014021185/Payment fro"</f>
        <v>UPI/9540017214@/023014021185/Payment fro</v>
      </c>
      <c r="D77" t="str">
        <f>"UPI-023014883640"</f>
        <v>UPI-023014883640</v>
      </c>
      <c r="E77" s="64">
        <v>10000</v>
      </c>
      <c r="F77" t="s">
        <v>363</v>
      </c>
      <c r="G77" s="64">
        <v>47104</v>
      </c>
      <c r="H77" t="s">
        <v>363</v>
      </c>
      <c r="I77" t="s">
        <v>304</v>
      </c>
      <c r="J77" t="s">
        <v>33</v>
      </c>
      <c r="K77" t="s">
        <v>33</v>
      </c>
    </row>
    <row r="78" spans="1:12">
      <c r="A78" s="68">
        <v>67</v>
      </c>
      <c r="B78" t="s">
        <v>586</v>
      </c>
      <c r="C78" t="str">
        <f>"IB:Sent NEFT KKBKH20230637764/RAMESHWAR TIWARI/ICI"</f>
        <v>IB:Sent NEFT KKBKH20230637764/RAMESHWAR TIWARI/ICI</v>
      </c>
      <c r="D78" t="str">
        <f>"000174775675"</f>
        <v>000174775675</v>
      </c>
      <c r="E78" s="64">
        <v>40000</v>
      </c>
      <c r="F78" t="s">
        <v>362</v>
      </c>
      <c r="G78" s="64">
        <v>7104</v>
      </c>
      <c r="H78" t="s">
        <v>363</v>
      </c>
      <c r="I78" t="s">
        <v>593</v>
      </c>
      <c r="J78" t="s">
        <v>593</v>
      </c>
      <c r="K78" t="s">
        <v>33</v>
      </c>
      <c r="L78" t="s">
        <v>445</v>
      </c>
    </row>
    <row r="79" spans="1:12">
      <c r="A79" s="68">
        <v>68</v>
      </c>
      <c r="B79" t="s">
        <v>586</v>
      </c>
      <c r="C79" t="str">
        <f>"IB:Sent NEFT KKBKH20230713381/SADANAND SHARMA/HDFC"</f>
        <v>IB:Sent NEFT KKBKH20230713381/SADANAND SHARMA/HDFC</v>
      </c>
      <c r="D79" t="str">
        <f>"000174842274"</f>
        <v>000174842274</v>
      </c>
      <c r="E79" s="64">
        <v>6000</v>
      </c>
      <c r="F79" t="s">
        <v>362</v>
      </c>
      <c r="G79" s="64">
        <v>1104</v>
      </c>
      <c r="H79" t="s">
        <v>363</v>
      </c>
      <c r="I79" t="s">
        <v>500</v>
      </c>
      <c r="J79" t="s">
        <v>594</v>
      </c>
      <c r="K79" t="s">
        <v>34</v>
      </c>
      <c r="L79" t="s">
        <v>446</v>
      </c>
    </row>
    <row r="80" spans="1:12">
      <c r="A80" s="68">
        <v>69</v>
      </c>
      <c r="B80" t="s">
        <v>587</v>
      </c>
      <c r="C80" t="str">
        <f>"Received from 3267 XX4484 IMPS Indusind B"</f>
        <v>Received from 3267 XX4484 IMPS Indusind B</v>
      </c>
      <c r="D80" t="str">
        <f>"IMPS-023117623634"</f>
        <v>IMPS-023117623634</v>
      </c>
      <c r="E80" s="64">
        <v>21231</v>
      </c>
      <c r="F80" t="s">
        <v>363</v>
      </c>
      <c r="G80" s="64">
        <v>22335</v>
      </c>
      <c r="H80" t="s">
        <v>363</v>
      </c>
      <c r="I80" t="s">
        <v>304</v>
      </c>
      <c r="J80" t="s">
        <v>448</v>
      </c>
      <c r="K80" t="s">
        <v>33</v>
      </c>
    </row>
    <row r="81" spans="1:14">
      <c r="A81" s="68">
        <v>70</v>
      </c>
      <c r="B81" t="s">
        <v>587</v>
      </c>
      <c r="C81" t="str">
        <f>"IB:Sent NEFT KKBKH20231857601/SHITAL KUMAR MISHRA/"</f>
        <v>IB:Sent NEFT KKBKH20231857601/SHITAL KUMAR MISHRA/</v>
      </c>
      <c r="D81" t="str">
        <f>"000174979809"</f>
        <v>000174979809</v>
      </c>
      <c r="E81" s="64">
        <v>6000</v>
      </c>
      <c r="F81" t="s">
        <v>362</v>
      </c>
      <c r="G81" s="64">
        <v>16335</v>
      </c>
      <c r="H81" t="s">
        <v>363</v>
      </c>
      <c r="I81" t="s">
        <v>500</v>
      </c>
      <c r="J81" t="s">
        <v>595</v>
      </c>
      <c r="K81" t="s">
        <v>34</v>
      </c>
      <c r="L81" t="s">
        <v>446</v>
      </c>
    </row>
    <row r="82" spans="1:14">
      <c r="A82" s="68">
        <v>71</v>
      </c>
      <c r="B82" t="s">
        <v>588</v>
      </c>
      <c r="C82" t="str">
        <f>" MR HIRA LAL  SHARMA STATE BANK OF IND"</f>
        <v xml:space="preserve"> MR HIRA LAL  SHARMA STATE BANK OF IND</v>
      </c>
      <c r="D82" t="str">
        <f>"21"</f>
        <v>21</v>
      </c>
      <c r="E82" s="64">
        <v>3000</v>
      </c>
      <c r="F82" t="s">
        <v>362</v>
      </c>
      <c r="G82" s="64">
        <v>13335</v>
      </c>
      <c r="H82" t="s">
        <v>363</v>
      </c>
      <c r="I82" t="s">
        <v>442</v>
      </c>
      <c r="J82" t="s">
        <v>289</v>
      </c>
      <c r="K82" t="s">
        <v>37</v>
      </c>
      <c r="L82" t="s">
        <v>446</v>
      </c>
    </row>
    <row r="83" spans="1:14">
      <c r="A83" s="68">
        <v>72</v>
      </c>
      <c r="B83" t="s">
        <v>604</v>
      </c>
      <c r="C83" t="str">
        <f>"22:MICR INWARD 21: MR HIRA LAL  SHARMA STATE BANK:"</f>
        <v>22:MICR INWARD 21: MR HIRA LAL  SHARMA STATE BANK:</v>
      </c>
      <c r="D83" t="str">
        <f>""</f>
        <v/>
      </c>
      <c r="E83" s="64">
        <v>25000</v>
      </c>
      <c r="F83" t="s">
        <v>362</v>
      </c>
      <c r="G83" s="64">
        <v>-11665</v>
      </c>
      <c r="H83" t="s">
        <v>362</v>
      </c>
      <c r="I83" t="s">
        <v>640</v>
      </c>
      <c r="J83" t="s">
        <v>443</v>
      </c>
      <c r="K83" t="s">
        <v>37</v>
      </c>
      <c r="L83" t="s">
        <v>446</v>
      </c>
    </row>
    <row r="84" spans="1:14">
      <c r="A84" s="68">
        <v>73</v>
      </c>
      <c r="B84" t="s">
        <v>604</v>
      </c>
      <c r="C84" t="str">
        <f>"I/W CHQ RTN:22:INSTRUMENT POST DATED"</f>
        <v>I/W CHQ RTN:22:INSTRUMENT POST DATED</v>
      </c>
      <c r="D84" t="str">
        <f>""</f>
        <v/>
      </c>
      <c r="E84" s="64">
        <v>25000</v>
      </c>
      <c r="F84" t="s">
        <v>363</v>
      </c>
      <c r="G84" s="64">
        <v>13335</v>
      </c>
      <c r="H84" t="s">
        <v>363</v>
      </c>
      <c r="I84" t="s">
        <v>641</v>
      </c>
      <c r="J84" t="s">
        <v>443</v>
      </c>
      <c r="K84" t="s">
        <v>37</v>
      </c>
      <c r="L84" t="s">
        <v>446</v>
      </c>
    </row>
    <row r="85" spans="1:14">
      <c r="A85" s="68">
        <v>74</v>
      </c>
      <c r="B85" t="s">
        <v>604</v>
      </c>
      <c r="C85" t="str">
        <f>"IB:Sent NEFT KKBKH20237613630/RAJNISH KUMAR JHA/CA"</f>
        <v>IB:Sent NEFT KKBKH20237613630/RAJNISH KUMAR JHA/CA</v>
      </c>
      <c r="D85" t="str">
        <f>"000175598218"</f>
        <v>000175598218</v>
      </c>
      <c r="E85" s="64">
        <v>1000</v>
      </c>
      <c r="F85" t="s">
        <v>362</v>
      </c>
      <c r="G85" s="64">
        <v>12335</v>
      </c>
      <c r="H85" t="s">
        <v>363</v>
      </c>
      <c r="I85" t="s">
        <v>500</v>
      </c>
      <c r="J85" t="s">
        <v>272</v>
      </c>
      <c r="K85" t="s">
        <v>34</v>
      </c>
      <c r="L85" t="s">
        <v>446</v>
      </c>
    </row>
    <row r="86" spans="1:14">
      <c r="A86" s="68">
        <v>75</v>
      </c>
      <c r="B86" t="s">
        <v>605</v>
      </c>
      <c r="C86" t="str">
        <f>"IB:RECEIVED MONEY FROM PANKAJ MADAN 0512675277"</f>
        <v>IB:RECEIVED MONEY FROM PANKAJ MADAN 0512675277</v>
      </c>
      <c r="D86" t="str">
        <f>"MWFA-0052808271"</f>
        <v>MWFA-0052808271</v>
      </c>
      <c r="E86" s="64">
        <v>25000</v>
      </c>
      <c r="F86" t="s">
        <v>363</v>
      </c>
      <c r="G86" s="64">
        <v>37335</v>
      </c>
      <c r="H86" t="s">
        <v>363</v>
      </c>
      <c r="I86" t="s">
        <v>375</v>
      </c>
      <c r="J86" t="s">
        <v>643</v>
      </c>
      <c r="K86" t="s">
        <v>33</v>
      </c>
      <c r="L86" t="s">
        <v>446</v>
      </c>
      <c r="M86">
        <v>10000</v>
      </c>
      <c r="N86">
        <v>15000</v>
      </c>
    </row>
    <row r="87" spans="1:14">
      <c r="A87" s="68">
        <v>76</v>
      </c>
      <c r="B87" t="s">
        <v>605</v>
      </c>
      <c r="C87" t="str">
        <f>"IB:Sent NEFT KKBKH20240745562/JITENDRA SINGH/PAYTM"</f>
        <v>IB:Sent NEFT KKBKH20240745562/JITENDRA SINGH/PAYTM</v>
      </c>
      <c r="D87" t="str">
        <f>"000176006243"</f>
        <v>000176006243</v>
      </c>
      <c r="E87" s="64">
        <v>2500</v>
      </c>
      <c r="F87" t="s">
        <v>362</v>
      </c>
      <c r="G87" s="64">
        <v>34835</v>
      </c>
      <c r="H87" t="s">
        <v>363</v>
      </c>
      <c r="I87" t="s">
        <v>500</v>
      </c>
      <c r="J87" t="s">
        <v>365</v>
      </c>
      <c r="K87" t="s">
        <v>34</v>
      </c>
      <c r="L87" t="s">
        <v>446</v>
      </c>
    </row>
    <row r="88" spans="1:14">
      <c r="A88" s="68">
        <v>77</v>
      </c>
      <c r="B88" t="s">
        <v>605</v>
      </c>
      <c r="C88" t="str">
        <f>"IB:Sent NEFT KKBKH20240745604/SADANAND SHARMA/HDFC"</f>
        <v>IB:Sent NEFT KKBKH20240745604/SADANAND SHARMA/HDFC</v>
      </c>
      <c r="D88" t="str">
        <f>"000176006163"</f>
        <v>000176006163</v>
      </c>
      <c r="E88" s="64">
        <v>4000</v>
      </c>
      <c r="F88" t="s">
        <v>362</v>
      </c>
      <c r="G88" s="64">
        <v>30835</v>
      </c>
      <c r="H88" t="s">
        <v>363</v>
      </c>
      <c r="I88" t="s">
        <v>500</v>
      </c>
      <c r="J88" t="s">
        <v>594</v>
      </c>
      <c r="K88" t="s">
        <v>34</v>
      </c>
      <c r="L88" t="s">
        <v>446</v>
      </c>
    </row>
    <row r="89" spans="1:14">
      <c r="A89" s="68">
        <v>78</v>
      </c>
      <c r="B89" t="s">
        <v>606</v>
      </c>
      <c r="C89" t="str">
        <f>" TOTALINKSOLUTIONS CANARA BANK"</f>
        <v xml:space="preserve"> TOTALINKSOLUTIONS CANARA BANK</v>
      </c>
      <c r="D89" t="str">
        <f>"23"</f>
        <v>23</v>
      </c>
      <c r="E89">
        <v>450</v>
      </c>
      <c r="F89" t="s">
        <v>362</v>
      </c>
      <c r="G89" s="64">
        <v>30385</v>
      </c>
      <c r="H89" t="s">
        <v>363</v>
      </c>
      <c r="I89" t="s">
        <v>642</v>
      </c>
      <c r="J89" t="s">
        <v>642</v>
      </c>
      <c r="K89" t="s">
        <v>37</v>
      </c>
      <c r="L89" t="s">
        <v>446</v>
      </c>
    </row>
    <row r="90" spans="1:14">
      <c r="A90" s="68">
        <v>79</v>
      </c>
      <c r="B90" t="s">
        <v>606</v>
      </c>
      <c r="C90" t="str">
        <f>" MR HIRA LAL  SHARMA STATE BANK OF IND"</f>
        <v xml:space="preserve"> MR HIRA LAL  SHARMA STATE BANK OF IND</v>
      </c>
      <c r="D90" t="str">
        <f>"22"</f>
        <v>22</v>
      </c>
      <c r="E90" s="64">
        <v>25000</v>
      </c>
      <c r="F90" t="s">
        <v>362</v>
      </c>
      <c r="G90" s="64">
        <v>5385</v>
      </c>
      <c r="H90" t="s">
        <v>363</v>
      </c>
      <c r="I90" t="s">
        <v>640</v>
      </c>
      <c r="J90" t="s">
        <v>443</v>
      </c>
      <c r="K90" t="s">
        <v>37</v>
      </c>
      <c r="L90" t="s">
        <v>446</v>
      </c>
    </row>
    <row r="91" spans="1:14">
      <c r="A91" s="68">
        <v>80</v>
      </c>
      <c r="B91" t="s">
        <v>607</v>
      </c>
      <c r="C91" t="str">
        <f>"IB:Sent NEFT KKBKH20244609380/JITENDRA SINGH/PAYTM"</f>
        <v>IB:Sent NEFT KKBKH20244609380/JITENDRA SINGH/PAYTM</v>
      </c>
      <c r="D91" t="str">
        <f>"000176445053"</f>
        <v>000176445053</v>
      </c>
      <c r="E91">
        <v>400</v>
      </c>
      <c r="F91" t="s">
        <v>362</v>
      </c>
      <c r="G91" s="64">
        <v>4985</v>
      </c>
      <c r="H91" t="s">
        <v>363</v>
      </c>
      <c r="I91" t="s">
        <v>644</v>
      </c>
      <c r="J91" t="s">
        <v>365</v>
      </c>
      <c r="K91" t="s">
        <v>37</v>
      </c>
      <c r="L91" t="s">
        <v>446</v>
      </c>
    </row>
    <row r="92" spans="1:14">
      <c r="A92" s="68">
        <v>81</v>
      </c>
      <c r="B92" t="s">
        <v>607</v>
      </c>
      <c r="C92" t="str">
        <f>"IB:Sent NEFT KKBKH20244609384/RAJNISH KUMAR JHA/CA"</f>
        <v>IB:Sent NEFT KKBKH20244609384/RAJNISH KUMAR JHA/CA</v>
      </c>
      <c r="D92" t="str">
        <f>"000176445055"</f>
        <v>000176445055</v>
      </c>
      <c r="E92" s="64">
        <v>2850</v>
      </c>
      <c r="F92" t="s">
        <v>362</v>
      </c>
      <c r="G92" s="64">
        <v>2135</v>
      </c>
      <c r="H92" t="s">
        <v>363</v>
      </c>
      <c r="I92" t="s">
        <v>500</v>
      </c>
      <c r="J92" t="s">
        <v>272</v>
      </c>
      <c r="K92" t="s">
        <v>34</v>
      </c>
      <c r="L92" t="s">
        <v>446</v>
      </c>
    </row>
    <row r="93" spans="1:14">
      <c r="A93" s="68">
        <v>82</v>
      </c>
      <c r="B93" s="53">
        <v>43899</v>
      </c>
      <c r="C93" t="str">
        <f>"NEFT IDFBH20247366735 ACUMEUS RESEARCH BUSINESS S"</f>
        <v>NEFT IDFBH20247366735 ACUMEUS RESEARCH BUSINESS S</v>
      </c>
      <c r="D93" t="str">
        <f>"NEFTINW-0232538999"</f>
        <v>NEFTINW-0232538999</v>
      </c>
      <c r="E93" s="64">
        <v>46250</v>
      </c>
      <c r="F93" t="s">
        <v>363</v>
      </c>
      <c r="G93" s="64">
        <v>48385</v>
      </c>
      <c r="H93" t="s">
        <v>363</v>
      </c>
      <c r="I93" t="s">
        <v>465</v>
      </c>
      <c r="J93" t="s">
        <v>638</v>
      </c>
      <c r="K93" t="s">
        <v>31</v>
      </c>
      <c r="L93" t="s">
        <v>446</v>
      </c>
    </row>
    <row r="94" spans="1:14">
      <c r="A94" s="68">
        <v>83</v>
      </c>
      <c r="B94" s="53">
        <v>43930</v>
      </c>
      <c r="C94" t="str">
        <f>"NEFT CMS1601995573 IMPACT PSD PVT LTD ICIC0000104"</f>
        <v>NEFT CMS1601995573 IMPACT PSD PVT LTD ICIC0000104</v>
      </c>
      <c r="D94" t="str">
        <f>"NEFTINW-0232592278"</f>
        <v>NEFTINW-0232592278</v>
      </c>
      <c r="E94" s="64">
        <v>202569</v>
      </c>
      <c r="F94" t="s">
        <v>363</v>
      </c>
      <c r="G94" s="64">
        <v>250954</v>
      </c>
      <c r="H94" t="s">
        <v>363</v>
      </c>
      <c r="I94" t="s">
        <v>598</v>
      </c>
      <c r="J94" t="s">
        <v>599</v>
      </c>
      <c r="K94" t="s">
        <v>34</v>
      </c>
      <c r="L94" t="s">
        <v>596</v>
      </c>
    </row>
    <row r="95" spans="1:14">
      <c r="A95" s="68">
        <v>84</v>
      </c>
      <c r="B95" s="53">
        <v>43930</v>
      </c>
      <c r="C95" t="str">
        <f>"IB:Sent NEFT KKBKH20248720341/JITENDRA SINGH/PAYTM"</f>
        <v>IB:Sent NEFT KKBKH20248720341/JITENDRA SINGH/PAYTM</v>
      </c>
      <c r="D95" t="str">
        <f>"000177122735"</f>
        <v>000177122735</v>
      </c>
      <c r="E95" s="97">
        <v>6291</v>
      </c>
      <c r="F95" t="s">
        <v>362</v>
      </c>
      <c r="G95" s="64">
        <v>244663</v>
      </c>
      <c r="H95" t="s">
        <v>363</v>
      </c>
      <c r="I95" t="s">
        <v>500</v>
      </c>
      <c r="J95" t="s">
        <v>365</v>
      </c>
      <c r="K95" t="s">
        <v>34</v>
      </c>
      <c r="L95" t="s">
        <v>446</v>
      </c>
    </row>
    <row r="96" spans="1:14">
      <c r="A96" s="68">
        <v>85</v>
      </c>
      <c r="B96" s="53">
        <v>43930</v>
      </c>
      <c r="C96" t="str">
        <f>"IB:Sent NEFT KKBKH20248720349/RAJNISH KUMAR JHA/CA"</f>
        <v>IB:Sent NEFT KKBKH20248720349/RAJNISH KUMAR JHA/CA</v>
      </c>
      <c r="D96" t="str">
        <f>"000177122743"</f>
        <v>000177122743</v>
      </c>
      <c r="E96" s="97">
        <v>5000</v>
      </c>
      <c r="F96" t="s">
        <v>362</v>
      </c>
      <c r="G96" s="64">
        <v>239663</v>
      </c>
      <c r="H96" t="s">
        <v>363</v>
      </c>
      <c r="I96" t="s">
        <v>500</v>
      </c>
      <c r="J96" t="s">
        <v>272</v>
      </c>
      <c r="K96" t="s">
        <v>34</v>
      </c>
      <c r="L96" t="s">
        <v>446</v>
      </c>
    </row>
    <row r="97" spans="1:13">
      <c r="A97" s="68">
        <v>86</v>
      </c>
      <c r="B97" s="53">
        <v>43930</v>
      </c>
      <c r="C97" t="str">
        <f>"IB:Sent NEFT KKBKH20248720361/HARISHA KRISHNAMURTH"</f>
        <v>IB:Sent NEFT KKBKH20248720361/HARISHA KRISHNAMURTH</v>
      </c>
      <c r="D97" t="str">
        <f>"000177122755"</f>
        <v>000177122755</v>
      </c>
      <c r="E97" s="97">
        <v>2475</v>
      </c>
      <c r="F97" t="s">
        <v>362</v>
      </c>
      <c r="G97" s="64">
        <v>237188</v>
      </c>
      <c r="H97" t="s">
        <v>363</v>
      </c>
      <c r="I97" t="s">
        <v>465</v>
      </c>
      <c r="J97" t="s">
        <v>366</v>
      </c>
      <c r="K97" t="s">
        <v>31</v>
      </c>
      <c r="L97" t="s">
        <v>446</v>
      </c>
    </row>
    <row r="98" spans="1:13">
      <c r="A98" s="68">
        <v>87</v>
      </c>
      <c r="B98" s="53">
        <v>43930</v>
      </c>
      <c r="C98" t="str">
        <f>"IB:Sent NEFT KKBKH20248720500/THIRD VISION RESEARC"</f>
        <v>IB:Sent NEFT KKBKH20248720500/THIRD VISION RESEARC</v>
      </c>
      <c r="D98" t="str">
        <f>"000177122919"</f>
        <v>000177122919</v>
      </c>
      <c r="E98" s="97">
        <v>4680</v>
      </c>
      <c r="F98" t="s">
        <v>362</v>
      </c>
      <c r="G98" s="64">
        <v>232508</v>
      </c>
      <c r="H98" t="s">
        <v>363</v>
      </c>
      <c r="I98" t="s">
        <v>327</v>
      </c>
      <c r="J98" t="s">
        <v>440</v>
      </c>
      <c r="K98" t="s">
        <v>32</v>
      </c>
      <c r="L98" t="s">
        <v>446</v>
      </c>
    </row>
    <row r="99" spans="1:13">
      <c r="A99" s="68">
        <v>88</v>
      </c>
      <c r="B99" s="53">
        <v>43930</v>
      </c>
      <c r="C99" t="str">
        <f>"IB:Sent NEFT KKBKH20248720375/HUSSAIN MULLA/BANK O"</f>
        <v>IB:Sent NEFT KKBKH20248720375/HUSSAIN MULLA/BANK O</v>
      </c>
      <c r="D99" t="str">
        <f>"000177122769"</f>
        <v>000177122769</v>
      </c>
      <c r="E99" s="97">
        <v>15040</v>
      </c>
      <c r="F99" t="s">
        <v>362</v>
      </c>
      <c r="G99" s="64">
        <v>217468</v>
      </c>
      <c r="H99" t="s">
        <v>363</v>
      </c>
      <c r="I99" t="s">
        <v>327</v>
      </c>
      <c r="J99" t="s">
        <v>645</v>
      </c>
      <c r="K99" t="s">
        <v>32</v>
      </c>
      <c r="L99" t="s">
        <v>446</v>
      </c>
    </row>
    <row r="100" spans="1:13">
      <c r="A100" s="68">
        <v>89</v>
      </c>
      <c r="B100" s="53">
        <v>43930</v>
      </c>
      <c r="C100" t="str">
        <f>"IB:Sent NEFT KKBKH20248720520/SIDDHESH CHANDRA AGN"</f>
        <v>IB:Sent NEFT KKBKH20248720520/SIDDHESH CHANDRA AGN</v>
      </c>
      <c r="D100" t="str">
        <f>"000177122939"</f>
        <v>000177122939</v>
      </c>
      <c r="E100" s="97">
        <v>4752</v>
      </c>
      <c r="F100" t="s">
        <v>362</v>
      </c>
      <c r="G100" s="64">
        <v>212716</v>
      </c>
      <c r="H100" t="s">
        <v>363</v>
      </c>
      <c r="I100" t="s">
        <v>327</v>
      </c>
      <c r="J100" t="s">
        <v>464</v>
      </c>
      <c r="K100" t="s">
        <v>32</v>
      </c>
      <c r="L100" t="s">
        <v>446</v>
      </c>
    </row>
    <row r="101" spans="1:13">
      <c r="A101" s="68">
        <v>90</v>
      </c>
      <c r="B101" s="53">
        <v>43930</v>
      </c>
      <c r="C101" t="str">
        <f>"IB:Sent NEFT KKBKH20248720387/RUPALI SARKAR/PAYTM"</f>
        <v>IB:Sent NEFT KKBKH20248720387/RUPALI SARKAR/PAYTM</v>
      </c>
      <c r="D101" t="str">
        <f>"000177122781"</f>
        <v>000177122781</v>
      </c>
      <c r="E101" s="97">
        <v>4752</v>
      </c>
      <c r="F101" t="s">
        <v>362</v>
      </c>
      <c r="G101" s="64">
        <v>207964</v>
      </c>
      <c r="H101" t="s">
        <v>363</v>
      </c>
      <c r="I101" t="s">
        <v>327</v>
      </c>
      <c r="J101" t="s">
        <v>431</v>
      </c>
      <c r="K101" t="s">
        <v>32</v>
      </c>
      <c r="L101" t="s">
        <v>446</v>
      </c>
    </row>
    <row r="102" spans="1:13">
      <c r="A102" s="68">
        <v>91</v>
      </c>
      <c r="B102" s="53">
        <v>43930</v>
      </c>
      <c r="C102" t="str">
        <f>"IB:Sent NEFT KKBKH20248720603/SANGEETA MASSON/PUNJ"</f>
        <v>IB:Sent NEFT KKBKH20248720603/SANGEETA MASSON/PUNJ</v>
      </c>
      <c r="D102" t="str">
        <f>"000177122797"</f>
        <v>000177122797</v>
      </c>
      <c r="E102" s="97">
        <v>13000</v>
      </c>
      <c r="F102" t="s">
        <v>362</v>
      </c>
      <c r="G102" s="64">
        <v>194964</v>
      </c>
      <c r="H102" t="s">
        <v>363</v>
      </c>
      <c r="I102" t="s">
        <v>487</v>
      </c>
      <c r="J102" t="s">
        <v>488</v>
      </c>
      <c r="K102" t="s">
        <v>37</v>
      </c>
      <c r="L102" t="s">
        <v>446</v>
      </c>
    </row>
    <row r="103" spans="1:13">
      <c r="A103" s="68">
        <v>92</v>
      </c>
      <c r="B103" s="53">
        <v>43930</v>
      </c>
      <c r="C103" t="str">
        <f>"IB:Sent NEFT KKBKH20248721147/PARMESHWARI BERIYA/U"</f>
        <v>IB:Sent NEFT KKBKH20248721147/PARMESHWARI BERIYA/U</v>
      </c>
      <c r="D103" t="str">
        <f>"000177123669"</f>
        <v>000177123669</v>
      </c>
      <c r="E103" s="98">
        <v>11000</v>
      </c>
      <c r="F103" t="s">
        <v>362</v>
      </c>
      <c r="G103" s="64">
        <v>183964</v>
      </c>
      <c r="H103" t="s">
        <v>363</v>
      </c>
      <c r="I103" t="s">
        <v>36</v>
      </c>
      <c r="J103" t="s">
        <v>589</v>
      </c>
      <c r="K103" t="s">
        <v>37</v>
      </c>
      <c r="L103" t="s">
        <v>446</v>
      </c>
    </row>
    <row r="104" spans="1:13">
      <c r="A104" s="68">
        <v>93</v>
      </c>
      <c r="B104" s="53">
        <v>44021</v>
      </c>
      <c r="C104" t="str">
        <f>"CASH WITHDRAWAL AT LAJPAT NAGAR, DELHI BY SELF"</f>
        <v>CASH WITHDRAWAL AT LAJPAT NAGAR, DELHI BY SELF</v>
      </c>
      <c r="D104" t="str">
        <f>"24"</f>
        <v>24</v>
      </c>
      <c r="E104" s="97">
        <v>12065</v>
      </c>
      <c r="F104" t="s">
        <v>362</v>
      </c>
      <c r="G104" s="64">
        <v>171899</v>
      </c>
      <c r="H104" t="s">
        <v>363</v>
      </c>
      <c r="I104" t="s">
        <v>412</v>
      </c>
      <c r="J104" t="s">
        <v>730</v>
      </c>
      <c r="K104" t="s">
        <v>37</v>
      </c>
      <c r="L104" t="s">
        <v>446</v>
      </c>
      <c r="M104" t="s">
        <v>465</v>
      </c>
    </row>
    <row r="105" spans="1:13">
      <c r="A105" s="68">
        <v>94</v>
      </c>
      <c r="B105" s="53">
        <v>44021</v>
      </c>
      <c r="C105" t="str">
        <f>"IB:Sent NEFT KKBKH20251825005/JITENDRA SINGH/PAYTM"</f>
        <v>IB:Sent NEFT KKBKH20251825005/JITENDRA SINGH/PAYTM</v>
      </c>
      <c r="D105" t="str">
        <f>"000177511286"</f>
        <v>000177511286</v>
      </c>
      <c r="E105" s="97">
        <v>8500</v>
      </c>
      <c r="F105" t="s">
        <v>362</v>
      </c>
      <c r="G105" s="64">
        <v>163399</v>
      </c>
      <c r="H105" t="s">
        <v>363</v>
      </c>
      <c r="I105" t="s">
        <v>500</v>
      </c>
      <c r="J105" t="s">
        <v>365</v>
      </c>
      <c r="K105" t="s">
        <v>34</v>
      </c>
      <c r="L105" t="s">
        <v>446</v>
      </c>
    </row>
    <row r="106" spans="1:13">
      <c r="A106" s="68">
        <v>95</v>
      </c>
      <c r="B106" s="53">
        <v>44021</v>
      </c>
      <c r="C106" t="str">
        <f>"IB:Sent NEFT KKBKH20251825031/ASHISH TIWARI/BANK O"</f>
        <v>IB:Sent NEFT KKBKH20251825031/ASHISH TIWARI/BANK O</v>
      </c>
      <c r="D106" t="str">
        <f>"000177511316"</f>
        <v>000177511316</v>
      </c>
      <c r="E106" s="98">
        <v>50000</v>
      </c>
      <c r="F106" t="s">
        <v>362</v>
      </c>
      <c r="G106" s="64">
        <v>113399</v>
      </c>
      <c r="H106" t="s">
        <v>363</v>
      </c>
      <c r="I106" t="s">
        <v>500</v>
      </c>
      <c r="J106" t="s">
        <v>733</v>
      </c>
      <c r="K106" t="s">
        <v>34</v>
      </c>
      <c r="L106" t="s">
        <v>446</v>
      </c>
    </row>
    <row r="107" spans="1:13">
      <c r="A107" s="68">
        <v>96</v>
      </c>
      <c r="B107" s="53">
        <v>44052</v>
      </c>
      <c r="C107" t="str">
        <f>"IB:Sent NEFT KKBKH20252729369/GITANJALI KUMARI/BAN"</f>
        <v>IB:Sent NEFT KKBKH20252729369/GITANJALI KUMARI/BAN</v>
      </c>
      <c r="D107" t="str">
        <f>"000177703494"</f>
        <v>000177703494</v>
      </c>
      <c r="E107" s="99">
        <v>21130</v>
      </c>
      <c r="F107" t="s">
        <v>362</v>
      </c>
      <c r="G107" s="64">
        <v>92269</v>
      </c>
      <c r="H107" t="s">
        <v>363</v>
      </c>
      <c r="I107" t="s">
        <v>462</v>
      </c>
      <c r="J107" t="s">
        <v>726</v>
      </c>
      <c r="K107" t="s">
        <v>31</v>
      </c>
      <c r="L107" t="s">
        <v>446</v>
      </c>
    </row>
    <row r="108" spans="1:13">
      <c r="A108" s="68">
        <v>97</v>
      </c>
      <c r="B108" s="53">
        <v>44052</v>
      </c>
      <c r="C108" t="str">
        <f>"IB:Sent NEFT KKBKH20252729374/JITENDRA SINGH/PAYTM"</f>
        <v>IB:Sent NEFT KKBKH20252729374/JITENDRA SINGH/PAYTM</v>
      </c>
      <c r="D108" t="str">
        <f>"000177703499"</f>
        <v>000177703499</v>
      </c>
      <c r="E108" s="97">
        <v>2500</v>
      </c>
      <c r="F108" t="s">
        <v>362</v>
      </c>
      <c r="G108" s="64">
        <v>89769</v>
      </c>
      <c r="H108" t="s">
        <v>363</v>
      </c>
      <c r="I108" t="s">
        <v>465</v>
      </c>
      <c r="J108" t="s">
        <v>365</v>
      </c>
      <c r="K108" t="s">
        <v>31</v>
      </c>
      <c r="L108" t="s">
        <v>446</v>
      </c>
    </row>
    <row r="109" spans="1:13">
      <c r="A109" s="68">
        <v>98</v>
      </c>
      <c r="B109" s="53">
        <v>44052</v>
      </c>
      <c r="C109" t="str">
        <f>"NEFT 0000000008548614 GITANJALI KUMARI BKID000607"</f>
        <v>NEFT 0000000008548614 GITANJALI KUMARI BKID000607</v>
      </c>
      <c r="D109" t="str">
        <f>"NEFTINW-0233606059"</f>
        <v>NEFTINW-0233606059</v>
      </c>
      <c r="E109" s="99">
        <v>21130</v>
      </c>
      <c r="F109" t="s">
        <v>363</v>
      </c>
      <c r="G109" s="64">
        <v>110899</v>
      </c>
      <c r="H109" t="s">
        <v>363</v>
      </c>
      <c r="I109" t="s">
        <v>641</v>
      </c>
      <c r="J109" t="s">
        <v>726</v>
      </c>
      <c r="K109" t="s">
        <v>31</v>
      </c>
      <c r="L109" t="s">
        <v>446</v>
      </c>
    </row>
    <row r="110" spans="1:13">
      <c r="A110" s="68">
        <v>99</v>
      </c>
      <c r="B110" s="53">
        <v>44113</v>
      </c>
      <c r="C110" t="str">
        <f>"IB:Sent NEFT KKBKH20254803176/PREETI TIWARI/PUNJ"</f>
        <v>IB:Sent NEFT KKBKH20254803176/PREETI TIWARI/PUNJ</v>
      </c>
      <c r="D110" t="str">
        <f>"000178059313"</f>
        <v>000178059313</v>
      </c>
      <c r="E110" s="97">
        <v>18000</v>
      </c>
      <c r="F110" t="s">
        <v>362</v>
      </c>
      <c r="G110" s="64">
        <v>92899</v>
      </c>
      <c r="H110" t="s">
        <v>363</v>
      </c>
      <c r="I110" t="s">
        <v>500</v>
      </c>
      <c r="J110" t="s">
        <v>328</v>
      </c>
      <c r="K110" t="s">
        <v>34</v>
      </c>
      <c r="L110" t="s">
        <v>446</v>
      </c>
    </row>
    <row r="111" spans="1:13">
      <c r="A111" s="68">
        <v>100</v>
      </c>
      <c r="B111" s="53">
        <v>44144</v>
      </c>
      <c r="C111" t="str">
        <f>"IB: FUND TRANSFER TO ASHISH  SHARMA"</f>
        <v>IB: FUND TRANSFER TO ASHISH  SHARMA</v>
      </c>
      <c r="D111" t="str">
        <f>"IB"</f>
        <v>IB</v>
      </c>
      <c r="E111" s="97">
        <v>2250</v>
      </c>
      <c r="F111" t="s">
        <v>362</v>
      </c>
      <c r="G111" s="64">
        <v>90649</v>
      </c>
      <c r="H111" t="s">
        <v>363</v>
      </c>
      <c r="I111" t="s">
        <v>465</v>
      </c>
      <c r="J111" t="s">
        <v>731</v>
      </c>
      <c r="K111" t="s">
        <v>31</v>
      </c>
      <c r="L111" t="s">
        <v>446</v>
      </c>
      <c r="M111" t="s">
        <v>732</v>
      </c>
    </row>
    <row r="112" spans="1:13">
      <c r="A112" s="68">
        <v>101</v>
      </c>
      <c r="B112" s="53">
        <v>44144</v>
      </c>
      <c r="C112" t="str">
        <f>"IB:Sent NEFT KKBKH20255673361/SHITAL KUMAR MISHRA/"</f>
        <v>IB:Sent NEFT KKBKH20255673361/SHITAL KUMAR MISHRA/</v>
      </c>
      <c r="D112" t="str">
        <f>"000178219616"</f>
        <v>000178219616</v>
      </c>
      <c r="E112" s="64">
        <v>15000</v>
      </c>
      <c r="F112" t="s">
        <v>362</v>
      </c>
      <c r="G112" s="64">
        <v>75649</v>
      </c>
      <c r="H112" t="s">
        <v>363</v>
      </c>
      <c r="I112" t="s">
        <v>500</v>
      </c>
      <c r="J112" t="s">
        <v>595</v>
      </c>
      <c r="K112" t="s">
        <v>34</v>
      </c>
      <c r="L112" t="s">
        <v>446</v>
      </c>
    </row>
    <row r="113" spans="1:15">
      <c r="A113" s="68">
        <v>102</v>
      </c>
      <c r="B113" s="53">
        <v>44144</v>
      </c>
      <c r="C113" t="str">
        <f>"IB:Sent NEFT KKBKH20255673435/SADANAND SHARMA/HDFC"</f>
        <v>IB:Sent NEFT KKBKH20255673435/SADANAND SHARMA/HDFC</v>
      </c>
      <c r="D113" t="str">
        <f>"000178219541"</f>
        <v>000178219541</v>
      </c>
      <c r="E113" s="64">
        <v>15000</v>
      </c>
      <c r="F113" t="s">
        <v>362</v>
      </c>
      <c r="G113" s="64">
        <v>60649</v>
      </c>
      <c r="H113" t="s">
        <v>363</v>
      </c>
      <c r="I113" t="s">
        <v>500</v>
      </c>
      <c r="J113" t="s">
        <v>594</v>
      </c>
      <c r="K113" t="s">
        <v>34</v>
      </c>
      <c r="L113" t="s">
        <v>446</v>
      </c>
    </row>
    <row r="114" spans="1:15">
      <c r="A114" s="68">
        <v>103</v>
      </c>
      <c r="B114" s="53">
        <v>44144</v>
      </c>
      <c r="C114" t="str">
        <f>"IB:Sent NEFT KKBKH20255673461/GITANJALI KUMARI/BAN"</f>
        <v>IB:Sent NEFT KKBKH20255673461/GITANJALI KUMARI/BAN</v>
      </c>
      <c r="D114" t="str">
        <f>"000178219575"</f>
        <v>000178219575</v>
      </c>
      <c r="E114" s="64">
        <v>21130</v>
      </c>
      <c r="F114" t="s">
        <v>362</v>
      </c>
      <c r="G114" s="64">
        <v>39519</v>
      </c>
      <c r="H114" t="s">
        <v>363</v>
      </c>
      <c r="I114" t="s">
        <v>462</v>
      </c>
      <c r="J114" t="s">
        <v>726</v>
      </c>
      <c r="K114" t="s">
        <v>31</v>
      </c>
      <c r="L114" t="s">
        <v>446</v>
      </c>
      <c r="M114" t="s">
        <v>733</v>
      </c>
      <c r="N114">
        <f>47868-39519</f>
        <v>8349</v>
      </c>
      <c r="O114">
        <f>46250-55296</f>
        <v>-9046</v>
      </c>
    </row>
    <row r="115" spans="1:15">
      <c r="A115" s="68">
        <v>104</v>
      </c>
      <c r="B115" s="53">
        <v>44174</v>
      </c>
      <c r="C115" t="str">
        <f>"NEFT IDFBH20256843651 ACUMEUS RESEARCH BUSINESS S"</f>
        <v>NEFT IDFBH20256843651 ACUMEUS RESEARCH BUSINESS S</v>
      </c>
      <c r="D115" t="str">
        <f>"NEFTINW-0234431681"</f>
        <v>NEFTINW-0234431681</v>
      </c>
      <c r="E115" s="64">
        <v>200000</v>
      </c>
      <c r="F115" t="s">
        <v>363</v>
      </c>
      <c r="G115" s="64">
        <v>239519</v>
      </c>
      <c r="H115" t="s">
        <v>363</v>
      </c>
      <c r="I115" t="s">
        <v>734</v>
      </c>
      <c r="J115" t="s">
        <v>735</v>
      </c>
      <c r="K115" t="s">
        <v>735</v>
      </c>
      <c r="N115">
        <v>109</v>
      </c>
    </row>
    <row r="116" spans="1:15">
      <c r="A116" s="68">
        <v>105</v>
      </c>
      <c r="B116" t="s">
        <v>737</v>
      </c>
      <c r="C116" t="str">
        <f>"IB:Sent NEFT KKBKH20258666205/ANITA TIWARI/INDUSIN"</f>
        <v>IB:Sent NEFT KKBKH20258666205/ANITA TIWARI/INDUSIN</v>
      </c>
      <c r="D116" t="str">
        <f>"000178498559"</f>
        <v>000178498559</v>
      </c>
      <c r="E116" s="64">
        <v>29900</v>
      </c>
      <c r="F116" t="s">
        <v>362</v>
      </c>
      <c r="G116" s="64">
        <v>209619</v>
      </c>
      <c r="H116" t="s">
        <v>363</v>
      </c>
      <c r="I116" t="s">
        <v>375</v>
      </c>
      <c r="J116" t="s">
        <v>330</v>
      </c>
      <c r="K116" t="s">
        <v>160</v>
      </c>
      <c r="L116" t="s">
        <v>446</v>
      </c>
    </row>
    <row r="117" spans="1:15">
      <c r="A117" s="68">
        <v>106</v>
      </c>
      <c r="B117" t="s">
        <v>737</v>
      </c>
      <c r="C117" t="str">
        <f>"IB:Sent NEFT KKBKH20258666225/VIKAS MISHRA/STATE B"</f>
        <v>IB:Sent NEFT KKBKH20258666225/VIKAS MISHRA/STATE B</v>
      </c>
      <c r="D117" t="str">
        <f>"000178498575"</f>
        <v>000178498575</v>
      </c>
      <c r="E117" s="64">
        <v>8490</v>
      </c>
      <c r="F117" t="s">
        <v>362</v>
      </c>
      <c r="G117" s="64">
        <v>201129</v>
      </c>
      <c r="H117" t="s">
        <v>363</v>
      </c>
      <c r="I117" t="s">
        <v>500</v>
      </c>
      <c r="J117" t="s">
        <v>738</v>
      </c>
      <c r="K117" t="s">
        <v>34</v>
      </c>
      <c r="L117" t="s">
        <v>446</v>
      </c>
    </row>
    <row r="118" spans="1:15">
      <c r="A118" s="68">
        <v>107</v>
      </c>
      <c r="B118" t="s">
        <v>737</v>
      </c>
      <c r="C118" t="str">
        <f>"IB:Sent NEFT KKBKH20258666236/RAJNISH KUMAR JHA/CA"</f>
        <v>IB:Sent NEFT KKBKH20258666236/RAJNISH KUMAR JHA/CA</v>
      </c>
      <c r="D118" t="str">
        <f>"000178498585"</f>
        <v>000178498585</v>
      </c>
      <c r="E118" s="64">
        <v>15000</v>
      </c>
      <c r="F118" t="s">
        <v>362</v>
      </c>
      <c r="G118" s="64">
        <v>186129</v>
      </c>
      <c r="H118" t="s">
        <v>363</v>
      </c>
      <c r="I118" t="s">
        <v>500</v>
      </c>
      <c r="J118" t="s">
        <v>272</v>
      </c>
      <c r="K118" t="s">
        <v>34</v>
      </c>
      <c r="L118" t="s">
        <v>446</v>
      </c>
    </row>
    <row r="119" spans="1:15">
      <c r="A119" s="68">
        <v>108</v>
      </c>
      <c r="B119" t="s">
        <v>737</v>
      </c>
      <c r="C119" t="str">
        <f>"IB:Sent NEFT KKBKH20258666061/JITENDRA SINGH/PAYTM"</f>
        <v>IB:Sent NEFT KKBKH20258666061/JITENDRA SINGH/PAYTM</v>
      </c>
      <c r="D119" t="str">
        <f>"000178498690"</f>
        <v>000178498690</v>
      </c>
      <c r="E119" s="64">
        <v>8000</v>
      </c>
      <c r="F119" t="s">
        <v>362</v>
      </c>
      <c r="G119" s="64">
        <v>178129</v>
      </c>
      <c r="H119" t="s">
        <v>363</v>
      </c>
      <c r="I119" t="s">
        <v>500</v>
      </c>
      <c r="J119" t="s">
        <v>365</v>
      </c>
      <c r="K119" t="s">
        <v>34</v>
      </c>
      <c r="L119" t="s">
        <v>446</v>
      </c>
    </row>
    <row r="120" spans="1:15">
      <c r="A120" s="68">
        <v>109</v>
      </c>
      <c r="B120" t="s">
        <v>737</v>
      </c>
      <c r="C120" t="str">
        <f>"IB:Sent NEFT KKBKH20258666264/SHITAL KUMAR MISHRA/"</f>
        <v>IB:Sent NEFT KKBKH20258666264/SHITAL KUMAR MISHRA/</v>
      </c>
      <c r="D120" t="str">
        <f>"000178498608"</f>
        <v>000178498608</v>
      </c>
      <c r="E120" s="64">
        <v>15000</v>
      </c>
      <c r="F120" t="s">
        <v>362</v>
      </c>
      <c r="G120" s="64">
        <v>163129</v>
      </c>
      <c r="H120" t="s">
        <v>363</v>
      </c>
      <c r="I120" t="s">
        <v>500</v>
      </c>
      <c r="J120" t="s">
        <v>595</v>
      </c>
      <c r="K120" t="s">
        <v>34</v>
      </c>
      <c r="L120" t="s">
        <v>446</v>
      </c>
    </row>
    <row r="121" spans="1:15">
      <c r="A121" s="68">
        <v>110</v>
      </c>
      <c r="B121" t="s">
        <v>805</v>
      </c>
      <c r="C121" t="str">
        <f>"IB:Sent NEFT KKBKH20259841270/ASHISH TIWARI/BANK O"</f>
        <v>IB:Sent NEFT KKBKH20259841270/ASHISH TIWARI/BANK O</v>
      </c>
      <c r="D121" t="str">
        <f>"000178669158"</f>
        <v>000178669158</v>
      </c>
      <c r="E121" s="64">
        <v>50000</v>
      </c>
      <c r="F121" t="s">
        <v>362</v>
      </c>
      <c r="G121" s="64">
        <v>113129</v>
      </c>
      <c r="H121" t="s">
        <v>363</v>
      </c>
      <c r="I121" t="s">
        <v>36</v>
      </c>
      <c r="J121" t="s">
        <v>32</v>
      </c>
      <c r="L121" t="s">
        <v>445</v>
      </c>
    </row>
    <row r="122" spans="1:15">
      <c r="A122" s="68">
        <v>111</v>
      </c>
      <c r="B122" t="s">
        <v>812</v>
      </c>
      <c r="C122" t="str">
        <f>"CASH WITHDRAWAL AT LAJPAT NAGR BY SELF"</f>
        <v>CASH WITHDRAWAL AT LAJPAT NAGR BY SELF</v>
      </c>
      <c r="D122" t="str">
        <f>"25"</f>
        <v>25</v>
      </c>
      <c r="E122" s="64">
        <v>92800</v>
      </c>
      <c r="F122" t="s">
        <v>362</v>
      </c>
      <c r="G122" s="64">
        <v>20329</v>
      </c>
      <c r="H122" t="s">
        <v>363</v>
      </c>
      <c r="I122" t="s">
        <v>375</v>
      </c>
    </row>
    <row r="123" spans="1:15">
      <c r="A123" s="68">
        <v>112</v>
      </c>
      <c r="B123" t="s">
        <v>813</v>
      </c>
      <c r="C123" t="str">
        <f>"MB:RECEIVED MONEY FROM PANKAJ MADAN 0512675277"</f>
        <v>MB:RECEIVED MONEY FROM PANKAJ MADAN 0512675277</v>
      </c>
      <c r="D123" t="str">
        <f>"MB-999393645384"</f>
        <v>MB-999393645384</v>
      </c>
      <c r="E123" s="64">
        <v>5000</v>
      </c>
      <c r="F123" t="s">
        <v>363</v>
      </c>
      <c r="G123" s="64">
        <v>25329</v>
      </c>
      <c r="H123" t="s">
        <v>363</v>
      </c>
      <c r="I123" t="s">
        <v>304</v>
      </c>
    </row>
    <row r="124" spans="1:15" s="102" customFormat="1">
      <c r="A124" s="101">
        <v>113</v>
      </c>
      <c r="B124" s="102" t="s">
        <v>813</v>
      </c>
      <c r="C124" s="102" t="str">
        <f>"IB:Sent NEFT KKBKH20261835738/SADANAND SHARMA/HDFC"</f>
        <v>IB:Sent NEFT KKBKH20261835738/SADANAND SHARMA/HDFC</v>
      </c>
      <c r="D124" s="102" t="str">
        <f>"000178948288"</f>
        <v>000178948288</v>
      </c>
      <c r="E124" s="103">
        <v>25000</v>
      </c>
      <c r="F124" s="102" t="s">
        <v>362</v>
      </c>
      <c r="G124" s="102">
        <v>329</v>
      </c>
      <c r="H124" s="102" t="s">
        <v>363</v>
      </c>
      <c r="I124" s="102" t="s">
        <v>500</v>
      </c>
      <c r="J124" s="102" t="s">
        <v>594</v>
      </c>
      <c r="K124" s="102" t="s">
        <v>34</v>
      </c>
      <c r="L124" s="102">
        <v>2132</v>
      </c>
      <c r="M124" s="102">
        <f>G124+L124</f>
        <v>2461</v>
      </c>
    </row>
    <row r="125" spans="1:15">
      <c r="A125" s="68">
        <v>114</v>
      </c>
      <c r="B125" t="s">
        <v>814</v>
      </c>
      <c r="C125" t="str">
        <f>"NEFT IDFBH20262036521 ACUMEUS RESEARCH BUSINESS S"</f>
        <v>NEFT IDFBH20262036521 ACUMEUS RESEARCH BUSINESS S</v>
      </c>
      <c r="D125" t="str">
        <f>"NEFTINW-0235530721"</f>
        <v>NEFTINW-0235530721</v>
      </c>
      <c r="E125" s="64">
        <v>35000</v>
      </c>
      <c r="F125" t="s">
        <v>363</v>
      </c>
      <c r="G125" s="64">
        <v>35329</v>
      </c>
      <c r="H125" t="s">
        <v>363</v>
      </c>
      <c r="J125" t="s">
        <v>735</v>
      </c>
      <c r="K125" t="s">
        <v>735</v>
      </c>
      <c r="M125">
        <f>25035-2461</f>
        <v>22574</v>
      </c>
    </row>
    <row r="126" spans="1:15">
      <c r="A126" s="68">
        <v>115</v>
      </c>
      <c r="B126" t="s">
        <v>814</v>
      </c>
      <c r="C126" t="str">
        <f>"NEFT IDFBH20262042288 ACUMEUS RESEARCH BUSINESS S"</f>
        <v>NEFT IDFBH20262042288 ACUMEUS RESEARCH BUSINESS S</v>
      </c>
      <c r="D126" t="str">
        <f>"NEFTINW-0235570312"</f>
        <v>NEFTINW-0235570312</v>
      </c>
      <c r="E126" s="64">
        <v>7000</v>
      </c>
      <c r="F126" t="s">
        <v>363</v>
      </c>
      <c r="G126" s="64">
        <v>42329</v>
      </c>
      <c r="H126" t="s">
        <v>363</v>
      </c>
      <c r="J126" t="s">
        <v>735</v>
      </c>
      <c r="K126" t="s">
        <v>735</v>
      </c>
    </row>
    <row r="127" spans="1:15">
      <c r="A127" s="68">
        <v>116</v>
      </c>
      <c r="B127" t="s">
        <v>814</v>
      </c>
      <c r="C127" t="str">
        <f>"IB:Sent NEFT KKBKH20262690249/VIKAS MISHRA/STATE"</f>
        <v>IB:Sent NEFT KKBKH20262690249/VIKAS MISHRA/STATE</v>
      </c>
      <c r="D127" t="str">
        <f>"000179091852"</f>
        <v>000179091852</v>
      </c>
      <c r="E127" s="64">
        <v>6000</v>
      </c>
      <c r="F127" t="s">
        <v>362</v>
      </c>
      <c r="G127" s="64">
        <v>36329</v>
      </c>
      <c r="H127" t="s">
        <v>363</v>
      </c>
      <c r="I127" t="s">
        <v>500</v>
      </c>
      <c r="J127" t="s">
        <v>738</v>
      </c>
      <c r="K127" t="s">
        <v>34</v>
      </c>
      <c r="L127">
        <f>3000-329</f>
        <v>2671</v>
      </c>
    </row>
    <row r="128" spans="1:15">
      <c r="A128" s="68">
        <v>117</v>
      </c>
      <c r="B128" t="s">
        <v>814</v>
      </c>
      <c r="C128" t="str">
        <f>"IB:Sent NEFT KKBKH20262690307/SHITAL KUMAR MISHR"</f>
        <v>IB:Sent NEFT KKBKH20262690307/SHITAL KUMAR MISHR</v>
      </c>
      <c r="D128" t="str">
        <f>"000179091716"</f>
        <v>000179091716</v>
      </c>
      <c r="E128" s="64">
        <v>25500</v>
      </c>
      <c r="F128" t="s">
        <v>362</v>
      </c>
      <c r="G128" s="64">
        <v>10829</v>
      </c>
      <c r="H128" t="s">
        <v>363</v>
      </c>
      <c r="I128" t="s">
        <v>500</v>
      </c>
      <c r="J128" t="s">
        <v>595</v>
      </c>
      <c r="K128" t="s">
        <v>34</v>
      </c>
    </row>
    <row r="129" spans="1:12">
      <c r="A129" s="68">
        <v>118</v>
      </c>
      <c r="B129" t="s">
        <v>814</v>
      </c>
      <c r="C129" t="str">
        <f>"IB:Sent NEFT KKBKH20262690330/JITENDRA SINGH/PAY"</f>
        <v>IB:Sent NEFT KKBKH20262690330/JITENDRA SINGH/PAY</v>
      </c>
      <c r="D129" t="str">
        <f>"000179091739"</f>
        <v>000179091739</v>
      </c>
      <c r="E129" s="64">
        <v>10000</v>
      </c>
      <c r="F129" t="s">
        <v>362</v>
      </c>
      <c r="G129">
        <v>829</v>
      </c>
      <c r="H129" t="s">
        <v>363</v>
      </c>
      <c r="I129" t="s">
        <v>500</v>
      </c>
    </row>
    <row r="130" spans="1:12">
      <c r="A130" s="68">
        <v>119</v>
      </c>
      <c r="B130" t="s">
        <v>814</v>
      </c>
      <c r="C130" t="str">
        <f>"NEFT RTN KKBKH20262690330 ANY OTHER RESONS"</f>
        <v>NEFT RTN KKBKH20262690330 ANY OTHER RESONS</v>
      </c>
      <c r="D130" t="str">
        <f>"NEFTINW-0235601677"</f>
        <v>NEFTINW-0235601677</v>
      </c>
      <c r="E130" s="64">
        <v>10000</v>
      </c>
      <c r="F130" t="s">
        <v>363</v>
      </c>
      <c r="G130" s="64">
        <v>10829</v>
      </c>
      <c r="H130" t="s">
        <v>363</v>
      </c>
      <c r="I130" t="s">
        <v>500</v>
      </c>
      <c r="J130" t="s">
        <v>502</v>
      </c>
      <c r="K130" t="s">
        <v>34</v>
      </c>
    </row>
    <row r="131" spans="1:12">
      <c r="A131" s="68">
        <v>120</v>
      </c>
      <c r="B131" t="s">
        <v>841</v>
      </c>
      <c r="C131" t="str">
        <f>"MB:RECEIVED MONEY FROM PANKAJ MADAN 0512675277"</f>
        <v>MB:RECEIVED MONEY FROM PANKAJ MADAN 0512675277</v>
      </c>
      <c r="D131" t="str">
        <f>"MB-999391572541"</f>
        <v>MB-999391572541</v>
      </c>
      <c r="E131" s="64">
        <v>2671</v>
      </c>
      <c r="F131" t="s">
        <v>363</v>
      </c>
      <c r="G131" s="64">
        <v>13500</v>
      </c>
      <c r="H131" t="s">
        <v>363</v>
      </c>
      <c r="I131" t="s">
        <v>845</v>
      </c>
      <c r="L131" t="s">
        <v>157</v>
      </c>
    </row>
    <row r="132" spans="1:12">
      <c r="A132" s="68">
        <v>121</v>
      </c>
      <c r="B132" t="s">
        <v>842</v>
      </c>
      <c r="C132" t="str">
        <f>" MR HIRA LAL  SHARMA STATE BANK OF IND"</f>
        <v xml:space="preserve"> MR HIRA LAL  SHARMA STATE BANK OF IND</v>
      </c>
      <c r="D132" t="str">
        <f>"26"</f>
        <v>26</v>
      </c>
      <c r="E132" s="64">
        <v>3000</v>
      </c>
      <c r="F132" t="s">
        <v>362</v>
      </c>
      <c r="G132" s="64">
        <v>10500</v>
      </c>
      <c r="H132" t="s">
        <v>363</v>
      </c>
      <c r="I132" t="s">
        <v>442</v>
      </c>
      <c r="J132" t="s">
        <v>443</v>
      </c>
      <c r="K132" t="s">
        <v>289</v>
      </c>
    </row>
    <row r="133" spans="1:12">
      <c r="A133" s="68">
        <v>122</v>
      </c>
      <c r="B133" t="s">
        <v>842</v>
      </c>
      <c r="C133" t="str">
        <f>"IB:Sent NEFT KKBKH20266857803/INSIGHT MARKET RES"</f>
        <v>IB:Sent NEFT KKBKH20266857803/INSIGHT MARKET RES</v>
      </c>
      <c r="D133" t="str">
        <f>"000179535027"</f>
        <v>000179535027</v>
      </c>
      <c r="E133" s="64">
        <v>9000</v>
      </c>
      <c r="F133" t="s">
        <v>362</v>
      </c>
      <c r="G133" s="64">
        <v>1500</v>
      </c>
      <c r="H133" t="s">
        <v>363</v>
      </c>
      <c r="I133" t="s">
        <v>500</v>
      </c>
      <c r="J133" t="s">
        <v>838</v>
      </c>
      <c r="K133" t="s">
        <v>34</v>
      </c>
    </row>
    <row r="134" spans="1:12">
      <c r="A134" s="68">
        <v>123</v>
      </c>
      <c r="B134" t="s">
        <v>842</v>
      </c>
      <c r="C134" t="str">
        <f>"NEFT 0922I26309728121 VAISHNAVI DO RAMPAL REKWAR"</f>
        <v>NEFT 0922I26309728121 VAISHNAVI DO RAMPAL REKWAR</v>
      </c>
      <c r="D134" t="str">
        <f>"NEFTINW-0236223173"</f>
        <v>NEFTINW-0236223173</v>
      </c>
      <c r="E134" s="64">
        <v>35000</v>
      </c>
      <c r="F134" t="s">
        <v>363</v>
      </c>
      <c r="G134" s="64">
        <v>36500</v>
      </c>
      <c r="H134" t="s">
        <v>363</v>
      </c>
      <c r="I134" t="s">
        <v>500</v>
      </c>
      <c r="J134" t="s">
        <v>502</v>
      </c>
      <c r="K134" t="s">
        <v>34</v>
      </c>
    </row>
    <row r="135" spans="1:12">
      <c r="A135" s="68">
        <v>124</v>
      </c>
      <c r="B135" t="s">
        <v>843</v>
      </c>
      <c r="C135" t="str">
        <f>"UPI/9540017214@/026764888100/Crystal pro"</f>
        <v>UPI/9540017214@/026764888100/Crystal pro</v>
      </c>
      <c r="D135" t="str">
        <f>"UPI-026716439293"</f>
        <v>UPI-026716439293</v>
      </c>
      <c r="E135" s="64">
        <v>10000</v>
      </c>
      <c r="F135" t="s">
        <v>363</v>
      </c>
      <c r="G135" s="64">
        <v>46500</v>
      </c>
      <c r="H135" t="s">
        <v>363</v>
      </c>
      <c r="I135" t="s">
        <v>835</v>
      </c>
      <c r="J135" t="s">
        <v>40</v>
      </c>
      <c r="K135" t="s">
        <v>32</v>
      </c>
    </row>
    <row r="136" spans="1:12">
      <c r="A136" s="68">
        <v>125</v>
      </c>
      <c r="B136" t="s">
        <v>843</v>
      </c>
      <c r="C136" t="str">
        <f>"IB:Sent NEFT KKBKH20267717487/RAJNISH KUMAR JHA/"</f>
        <v>IB:Sent NEFT KKBKH20267717487/RAJNISH KUMAR JHA/</v>
      </c>
      <c r="D136" t="str">
        <f>"000179667362"</f>
        <v>000179667362</v>
      </c>
      <c r="E136" s="64">
        <v>6700</v>
      </c>
      <c r="F136" t="s">
        <v>362</v>
      </c>
      <c r="G136" s="64">
        <v>39800</v>
      </c>
      <c r="H136" t="s">
        <v>363</v>
      </c>
      <c r="I136" t="s">
        <v>500</v>
      </c>
      <c r="J136" t="s">
        <v>272</v>
      </c>
      <c r="K136" t="s">
        <v>34</v>
      </c>
    </row>
    <row r="137" spans="1:12">
      <c r="A137" s="68">
        <v>126</v>
      </c>
      <c r="B137" t="s">
        <v>843</v>
      </c>
      <c r="C137" t="str">
        <f>"IB:Sent NEFT KKBKH20267717688/ALL STAR SOLUTIONS"</f>
        <v>IB:Sent NEFT KKBKH20267717688/ALL STAR SOLUTIONS</v>
      </c>
      <c r="D137" t="str">
        <f>"000179667559"</f>
        <v>000179667559</v>
      </c>
      <c r="E137" s="64">
        <v>7425</v>
      </c>
      <c r="F137" t="s">
        <v>362</v>
      </c>
      <c r="G137" s="64">
        <v>32375</v>
      </c>
      <c r="H137" t="s">
        <v>363</v>
      </c>
      <c r="I137" t="s">
        <v>835</v>
      </c>
      <c r="J137" t="s">
        <v>846</v>
      </c>
      <c r="K137" t="s">
        <v>32</v>
      </c>
    </row>
    <row r="138" spans="1:12">
      <c r="A138" s="68">
        <v>127</v>
      </c>
      <c r="B138" t="s">
        <v>843</v>
      </c>
      <c r="C138" t="str">
        <f>"IB:Sent NEFT KKBKH20267718209/RATAN R GAUD/IDFC"</f>
        <v>IB:Sent NEFT KKBKH20267718209/RATAN R GAUD/IDFC</v>
      </c>
      <c r="D138" t="str">
        <f>"000179667607"</f>
        <v>000179667607</v>
      </c>
      <c r="E138" s="64">
        <v>25000</v>
      </c>
      <c r="F138" t="s">
        <v>362</v>
      </c>
      <c r="G138" s="64">
        <v>7375</v>
      </c>
      <c r="H138" t="s">
        <v>363</v>
      </c>
      <c r="I138" t="s">
        <v>500</v>
      </c>
      <c r="J138" t="s">
        <v>847</v>
      </c>
      <c r="K138" t="s">
        <v>34</v>
      </c>
    </row>
    <row r="139" spans="1:12">
      <c r="A139" s="68">
        <v>128</v>
      </c>
      <c r="B139" t="s">
        <v>844</v>
      </c>
      <c r="C139" t="str">
        <f>"IB:Sent NEFT KKBKH20268860933/HEMANT ARORA/AXIS"</f>
        <v>IB:Sent NEFT KKBKH20268860933/HEMANT ARORA/AXIS</v>
      </c>
      <c r="D139" t="str">
        <f>"000179804527"</f>
        <v>000179804527</v>
      </c>
      <c r="E139" s="64">
        <v>2475</v>
      </c>
      <c r="F139" t="s">
        <v>362</v>
      </c>
      <c r="G139" s="64">
        <v>4900</v>
      </c>
      <c r="H139" t="s">
        <v>363</v>
      </c>
      <c r="I139" t="s">
        <v>835</v>
      </c>
      <c r="J139" t="s">
        <v>839</v>
      </c>
      <c r="K139" t="s">
        <v>34</v>
      </c>
    </row>
    <row r="140" spans="1:12">
      <c r="A140" s="68">
        <v>129</v>
      </c>
      <c r="B140" t="s">
        <v>895</v>
      </c>
      <c r="C140" t="str">
        <f>"Received from I3RC XX7835 IMPS ICICI Bank"</f>
        <v>Received from I3RC XX7835 IMPS ICICI Bank</v>
      </c>
      <c r="D140" t="str">
        <f>"IMPS-027213345178"</f>
        <v>IMPS-027213345178</v>
      </c>
      <c r="E140" s="64">
        <v>48165</v>
      </c>
      <c r="F140" t="s">
        <v>363</v>
      </c>
      <c r="G140" s="64">
        <v>53065</v>
      </c>
      <c r="H140" t="s">
        <v>363</v>
      </c>
      <c r="I140" t="s">
        <v>734</v>
      </c>
      <c r="J140" t="s">
        <v>992</v>
      </c>
      <c r="K140" t="s">
        <v>734</v>
      </c>
    </row>
    <row r="141" spans="1:12">
      <c r="A141" s="68">
        <v>130</v>
      </c>
      <c r="B141" t="s">
        <v>896</v>
      </c>
      <c r="C141" t="str">
        <f>"IB:Sent NEFT KKBKH20273888151/RAJNISH KUMAR JHA/"</f>
        <v>IB:Sent NEFT KKBKH20273888151/RAJNISH KUMAR JHA/</v>
      </c>
      <c r="D141" t="str">
        <f>"000180362046"</f>
        <v>000180362046</v>
      </c>
      <c r="E141" s="64">
        <v>3000</v>
      </c>
      <c r="F141" t="s">
        <v>362</v>
      </c>
      <c r="G141" s="64">
        <v>50065</v>
      </c>
      <c r="H141" t="s">
        <v>363</v>
      </c>
    </row>
    <row r="142" spans="1:12">
      <c r="A142" s="68">
        <v>131</v>
      </c>
      <c r="B142" t="s">
        <v>897</v>
      </c>
      <c r="C142" t="str">
        <f>"MB:RECEIVED MONEY FROM PANKAJ MADAN 0512675277"</f>
        <v>MB:RECEIVED MONEY FROM PANKAJ MADAN 0512675277</v>
      </c>
      <c r="D142" t="str">
        <f>"MB-999387271162"</f>
        <v>MB-999387271162</v>
      </c>
      <c r="E142" s="64">
        <v>15000</v>
      </c>
      <c r="F142" t="s">
        <v>363</v>
      </c>
      <c r="G142" s="64">
        <v>65065</v>
      </c>
      <c r="H142" t="s">
        <v>363</v>
      </c>
    </row>
    <row r="143" spans="1:12">
      <c r="A143" s="68">
        <v>132</v>
      </c>
      <c r="B143" t="s">
        <v>897</v>
      </c>
      <c r="C143" t="str">
        <f>"MB:RECEIVED MONEY FROM PANKAJ MADAN 0512675277"</f>
        <v>MB:RECEIVED MONEY FROM PANKAJ MADAN 0512675277</v>
      </c>
      <c r="D143" t="str">
        <f>"MB-999387270133"</f>
        <v>MB-999387270133</v>
      </c>
      <c r="E143" s="64">
        <v>15000</v>
      </c>
      <c r="F143" t="s">
        <v>363</v>
      </c>
      <c r="G143" s="64">
        <v>80065</v>
      </c>
      <c r="H143" t="s">
        <v>363</v>
      </c>
    </row>
    <row r="144" spans="1:12">
      <c r="A144" s="68">
        <v>133</v>
      </c>
      <c r="B144" t="s">
        <v>897</v>
      </c>
      <c r="C144" t="str">
        <f>"IB:Sent NEFT KKBKH20274819333/DINESH CHIMAJI AWA"</f>
        <v>IB:Sent NEFT KKBKH20274819333/DINESH CHIMAJI AWA</v>
      </c>
      <c r="D144" t="str">
        <f>"000180543840"</f>
        <v>000180543840</v>
      </c>
      <c r="E144" s="64">
        <v>7030</v>
      </c>
      <c r="F144" t="s">
        <v>362</v>
      </c>
      <c r="G144" s="64">
        <v>73035</v>
      </c>
      <c r="H144" t="s">
        <v>363</v>
      </c>
    </row>
    <row r="145" spans="1:9">
      <c r="A145" s="68">
        <v>134</v>
      </c>
      <c r="B145" t="s">
        <v>897</v>
      </c>
      <c r="C145" t="str">
        <f>"IB:Sent NEFT KKBKH20274819600/DINESH CHIMAJI AWA"</f>
        <v>IB:Sent NEFT KKBKH20274819600/DINESH CHIMAJI AWA</v>
      </c>
      <c r="D145" t="str">
        <f>"000180543704"</f>
        <v>000180543704</v>
      </c>
      <c r="E145" s="64">
        <v>9423</v>
      </c>
      <c r="F145" t="s">
        <v>362</v>
      </c>
      <c r="G145" s="64">
        <v>63612</v>
      </c>
      <c r="H145" t="s">
        <v>363</v>
      </c>
    </row>
    <row r="146" spans="1:9">
      <c r="A146" s="68">
        <v>135</v>
      </c>
      <c r="B146" t="s">
        <v>897</v>
      </c>
      <c r="C146" t="str">
        <f>"IB:Sent NEFT KKBKH20274819822/MADHUKER Y/STATE B"</f>
        <v>IB:Sent NEFT KKBKH20274819822/MADHUKER Y/STATE B</v>
      </c>
      <c r="D146" t="str">
        <f>"000180543893"</f>
        <v>000180543893</v>
      </c>
      <c r="E146" s="64">
        <v>2574</v>
      </c>
      <c r="F146" t="s">
        <v>362</v>
      </c>
      <c r="G146" s="64">
        <v>61038</v>
      </c>
      <c r="H146" t="s">
        <v>363</v>
      </c>
    </row>
    <row r="147" spans="1:9">
      <c r="A147" s="68">
        <v>136</v>
      </c>
      <c r="B147" t="s">
        <v>897</v>
      </c>
      <c r="C147" t="str">
        <f>"IB:Sent NEFT KKBKH20274819757/ALOK MAJUMDER/HDFC"</f>
        <v>IB:Sent NEFT KKBKH20274819757/ALOK MAJUMDER/HDFC</v>
      </c>
      <c r="D147" t="str">
        <f>"000180544076"</f>
        <v>000180544076</v>
      </c>
      <c r="E147" s="64">
        <v>2970</v>
      </c>
      <c r="F147" t="s">
        <v>362</v>
      </c>
      <c r="G147" s="64">
        <v>58068</v>
      </c>
      <c r="H147" t="s">
        <v>363</v>
      </c>
    </row>
    <row r="148" spans="1:9">
      <c r="A148" s="68">
        <v>137</v>
      </c>
      <c r="B148" t="s">
        <v>897</v>
      </c>
      <c r="C148" t="str">
        <f>"IB:Sent NEFT KKBKH20274820262/HEMANT ARORA/AXIS"</f>
        <v>IB:Sent NEFT KKBKH20274820262/HEMANT ARORA/AXIS</v>
      </c>
      <c r="D148" t="str">
        <f>"000180544157"</f>
        <v>000180544157</v>
      </c>
      <c r="E148" s="64">
        <v>2970</v>
      </c>
      <c r="F148" t="s">
        <v>362</v>
      </c>
      <c r="G148" s="64">
        <v>55098</v>
      </c>
      <c r="H148" t="s">
        <v>363</v>
      </c>
    </row>
    <row r="149" spans="1:9">
      <c r="A149" s="68">
        <v>138</v>
      </c>
      <c r="B149" s="53">
        <v>43961</v>
      </c>
      <c r="C149" t="str">
        <f>"NEFT IDFBH20279670189 ACUMEUS RESEARCH BUSINESS S"</f>
        <v>NEFT IDFBH20279670189 ACUMEUS RESEARCH BUSINESS S</v>
      </c>
      <c r="D149" t="str">
        <f>"NEFTINW-0238847740"</f>
        <v>NEFTINW-0238847740</v>
      </c>
      <c r="E149" s="64">
        <v>90000</v>
      </c>
      <c r="F149" t="s">
        <v>363</v>
      </c>
      <c r="G149" s="64">
        <v>145098</v>
      </c>
      <c r="H149" t="s">
        <v>363</v>
      </c>
    </row>
    <row r="150" spans="1:9">
      <c r="A150" s="68">
        <v>139</v>
      </c>
      <c r="B150" s="53">
        <v>43961</v>
      </c>
      <c r="C150" t="str">
        <f>"IB:Sent NEFT KKBKH20279664163/DINESH CHIMAJI AWA"</f>
        <v>IB:Sent NEFT KKBKH20279664163/DINESH CHIMAJI AWA</v>
      </c>
      <c r="D150" t="str">
        <f>"000181248299"</f>
        <v>000181248299</v>
      </c>
      <c r="E150" s="64">
        <v>5643</v>
      </c>
      <c r="F150" t="s">
        <v>362</v>
      </c>
      <c r="G150" s="64">
        <v>139455</v>
      </c>
      <c r="H150" t="s">
        <v>363</v>
      </c>
      <c r="I150">
        <f>48165+33+100</f>
        <v>48298</v>
      </c>
    </row>
    <row r="151" spans="1:9">
      <c r="A151" s="68">
        <v>140</v>
      </c>
      <c r="B151" s="53">
        <v>43961</v>
      </c>
      <c r="C151" t="str">
        <f>"IB:Sent NEFT KKBKH20279664196/VAISHNAVI/IDBI BAN"</f>
        <v>IB:Sent NEFT KKBKH20279664196/VAISHNAVI/IDBI BAN</v>
      </c>
      <c r="D151" t="str">
        <f>"000181248325"</f>
        <v>000181248325</v>
      </c>
      <c r="E151" s="64">
        <v>17410</v>
      </c>
      <c r="F151" t="s">
        <v>362</v>
      </c>
      <c r="G151" s="64">
        <v>122045</v>
      </c>
      <c r="H151" t="s">
        <v>363</v>
      </c>
      <c r="I151" s="64">
        <f>I150-E151</f>
        <v>30888</v>
      </c>
    </row>
    <row r="152" spans="1:9">
      <c r="A152" s="68">
        <v>141</v>
      </c>
      <c r="B152" s="53">
        <v>43961</v>
      </c>
      <c r="C152" t="str">
        <f>"IB: FUND TRANSFER TO VEENU  BERRY"</f>
        <v>IB: FUND TRANSFER TO VEENU  BERRY</v>
      </c>
      <c r="D152" t="str">
        <f>"IB"</f>
        <v>IB</v>
      </c>
      <c r="E152" s="64">
        <v>21820</v>
      </c>
      <c r="F152" t="s">
        <v>362</v>
      </c>
      <c r="G152" s="64">
        <v>100225</v>
      </c>
      <c r="H152" t="s">
        <v>363</v>
      </c>
      <c r="I152" s="64">
        <f>I151-E152</f>
        <v>9068</v>
      </c>
    </row>
    <row r="153" spans="1:9">
      <c r="A153" s="68">
        <v>142</v>
      </c>
      <c r="B153" s="53">
        <v>43992</v>
      </c>
      <c r="C153" t="str">
        <f>"IB:Sent NEFT KKBKH20280835599/ABHIPSA MOHANTY/CE"</f>
        <v>IB:Sent NEFT KKBKH20280835599/ABHIPSA MOHANTY/CE</v>
      </c>
      <c r="D153" t="str">
        <f>"000181416498"</f>
        <v>000181416498</v>
      </c>
      <c r="E153" s="64">
        <v>9900</v>
      </c>
      <c r="F153" t="s">
        <v>362</v>
      </c>
      <c r="G153" s="64">
        <v>90325</v>
      </c>
      <c r="H153" t="s">
        <v>363</v>
      </c>
    </row>
    <row r="154" spans="1:9">
      <c r="A154" s="68">
        <v>143</v>
      </c>
      <c r="B154" s="53">
        <v>43992</v>
      </c>
      <c r="C154" t="str">
        <f>"IB:Sent NEFT KKBKH20280840693/SIDDHESH CHANDRA A"</f>
        <v>IB:Sent NEFT KKBKH20280840693/SIDDHESH CHANDRA A</v>
      </c>
      <c r="D154" t="str">
        <f>"000181420366"</f>
        <v>000181420366</v>
      </c>
      <c r="E154" s="64">
        <v>6000</v>
      </c>
      <c r="F154" t="s">
        <v>362</v>
      </c>
      <c r="G154" s="64">
        <v>84325</v>
      </c>
      <c r="H154" t="s">
        <v>363</v>
      </c>
    </row>
    <row r="155" spans="1:9">
      <c r="A155" s="68">
        <v>144</v>
      </c>
      <c r="B155" s="53">
        <v>44084</v>
      </c>
      <c r="C155" t="str">
        <f>"IB:Sent NEFT KKBKH20283873672/ALOK MAJUMDER/BANK"</f>
        <v>IB:Sent NEFT KKBKH20283873672/ALOK MAJUMDER/BANK</v>
      </c>
      <c r="D155" t="str">
        <f>"000182023844"</f>
        <v>000182023844</v>
      </c>
      <c r="E155" s="64">
        <v>5940</v>
      </c>
      <c r="F155" t="s">
        <v>362</v>
      </c>
      <c r="G155" s="64">
        <v>78385</v>
      </c>
      <c r="H155" t="s">
        <v>363</v>
      </c>
    </row>
    <row r="156" spans="1:9">
      <c r="A156" s="68">
        <v>145</v>
      </c>
      <c r="B156" s="53">
        <v>44084</v>
      </c>
      <c r="C156" t="str">
        <f>"IB:Sent NEFT KKBKH20283873692/DINESH CHIMAJI AWA"</f>
        <v>IB:Sent NEFT KKBKH20283873692/DINESH CHIMAJI AWA</v>
      </c>
      <c r="D156" t="str">
        <f>"000182023855"</f>
        <v>000182023855</v>
      </c>
      <c r="E156" s="64">
        <v>5940</v>
      </c>
      <c r="F156" t="s">
        <v>362</v>
      </c>
      <c r="G156" s="64">
        <v>72445</v>
      </c>
      <c r="H156" t="s">
        <v>363</v>
      </c>
    </row>
    <row r="157" spans="1:9">
      <c r="A157" s="68">
        <v>146</v>
      </c>
      <c r="B157" s="53">
        <v>44084</v>
      </c>
      <c r="C157" t="str">
        <f>"IB: FUND TRANSFER TO ASHISH  SHARMA"</f>
        <v>IB: FUND TRANSFER TO ASHISH  SHARMA</v>
      </c>
      <c r="D157" t="str">
        <f>"IB"</f>
        <v>IB</v>
      </c>
      <c r="E157" s="64">
        <v>3000</v>
      </c>
      <c r="F157" t="s">
        <v>362</v>
      </c>
      <c r="G157" s="64">
        <v>69445</v>
      </c>
      <c r="H157" t="s">
        <v>363</v>
      </c>
      <c r="I157" s="64">
        <f>I152-E157</f>
        <v>6068</v>
      </c>
    </row>
    <row r="158" spans="1:9">
      <c r="A158" s="68">
        <v>147</v>
      </c>
      <c r="B158" s="53">
        <v>44175</v>
      </c>
      <c r="C158" t="str">
        <f>"NEFT CMS1646598683 IMPACT PSD PVT LTD ICIC0000104"</f>
        <v>NEFT CMS1646598683 IMPACT PSD PVT LTD ICIC0000104</v>
      </c>
      <c r="D158" t="str">
        <f>"NEFTINW-0240393758"</f>
        <v>NEFTINW-0240393758</v>
      </c>
      <c r="E158" s="64">
        <v>109395</v>
      </c>
      <c r="F158" t="s">
        <v>363</v>
      </c>
      <c r="G158" s="64">
        <v>178840</v>
      </c>
      <c r="H158" t="s">
        <v>363</v>
      </c>
    </row>
    <row r="159" spans="1:9">
      <c r="A159" s="68">
        <v>148</v>
      </c>
      <c r="B159" s="53">
        <v>44175</v>
      </c>
      <c r="C159" t="str">
        <f>"IB:Sent NEFT KKBKH20286613749/SIDDHESH CHANDRA A"</f>
        <v>IB:Sent NEFT KKBKH20286613749/SIDDHESH CHANDRA A</v>
      </c>
      <c r="D159" t="str">
        <f>"000182365162"</f>
        <v>000182365162</v>
      </c>
      <c r="E159" s="64">
        <v>7722</v>
      </c>
      <c r="F159" t="s">
        <v>362</v>
      </c>
      <c r="G159" s="64">
        <v>171118</v>
      </c>
      <c r="H159" t="s">
        <v>363</v>
      </c>
    </row>
    <row r="160" spans="1:9">
      <c r="A160" s="68">
        <v>149</v>
      </c>
      <c r="B160" s="53">
        <v>44175</v>
      </c>
      <c r="C160" t="str">
        <f>"IB:Sent NEFT KKBKH20286614020/HEMANT ARORA/AXIS"</f>
        <v>IB:Sent NEFT KKBKH20286614020/HEMANT ARORA/AXIS</v>
      </c>
      <c r="D160" t="str">
        <f>"000182365183"</f>
        <v>000182365183</v>
      </c>
      <c r="E160" s="64">
        <v>2970</v>
      </c>
      <c r="F160" t="s">
        <v>362</v>
      </c>
      <c r="G160" s="64">
        <v>168148</v>
      </c>
      <c r="H160" t="s">
        <v>363</v>
      </c>
    </row>
    <row r="161" spans="1:8">
      <c r="A161" s="68">
        <v>150</v>
      </c>
      <c r="B161" s="53">
        <v>44175</v>
      </c>
      <c r="C161" t="str">
        <f>"IB:Sent NEFT KKBKH20286616007/RAKESH KUMAR SAH/I"</f>
        <v>IB:Sent NEFT KKBKH20286616007/RAKESH KUMAR SAH/I</v>
      </c>
      <c r="D161" t="str">
        <f>"000182367014"</f>
        <v>000182367014</v>
      </c>
      <c r="E161" s="64">
        <v>25000</v>
      </c>
      <c r="F161" t="s">
        <v>362</v>
      </c>
      <c r="G161" s="64">
        <v>143148</v>
      </c>
      <c r="H161" t="s">
        <v>363</v>
      </c>
    </row>
    <row r="162" spans="1:8">
      <c r="A162" s="68">
        <v>151</v>
      </c>
      <c r="B162" t="s">
        <v>900</v>
      </c>
      <c r="C162" t="str">
        <f>"IB: FUND TRANSFER TO ADITI  MADAN"</f>
        <v>IB: FUND TRANSFER TO ADITI  MADAN</v>
      </c>
      <c r="D162" t="str">
        <f>"IB"</f>
        <v>IB</v>
      </c>
      <c r="E162" s="64">
        <v>8700</v>
      </c>
      <c r="F162" t="s">
        <v>362</v>
      </c>
      <c r="G162" s="64">
        <v>134448</v>
      </c>
      <c r="H162" t="s">
        <v>363</v>
      </c>
    </row>
    <row r="163" spans="1:8">
      <c r="A163" s="68">
        <v>152</v>
      </c>
      <c r="B163" t="s">
        <v>900</v>
      </c>
      <c r="C163" t="str">
        <f>"IB:Sent NEFT KKBKH20287817026/INSIGHT MARKET RES"</f>
        <v>IB:Sent NEFT KKBKH20287817026/INSIGHT MARKET RES</v>
      </c>
      <c r="D163" t="str">
        <f>"000182559612"</f>
        <v>000182559612</v>
      </c>
      <c r="E163" s="64">
        <v>26250</v>
      </c>
      <c r="F163" t="s">
        <v>362</v>
      </c>
      <c r="G163" s="64">
        <v>108198</v>
      </c>
      <c r="H163" t="s">
        <v>363</v>
      </c>
    </row>
    <row r="164" spans="1:8">
      <c r="A164" s="68">
        <v>153</v>
      </c>
      <c r="B164" t="s">
        <v>900</v>
      </c>
      <c r="C164" t="str">
        <f>"IB:Sent NEFT KKBKH20287817121/RATAN R GAUD/IDFC"</f>
        <v>IB:Sent NEFT KKBKH20287817121/RATAN R GAUD/IDFC</v>
      </c>
      <c r="D164" t="str">
        <f>"000182560020"</f>
        <v>000182560020</v>
      </c>
      <c r="E164" s="64">
        <v>20223</v>
      </c>
      <c r="F164" t="s">
        <v>362</v>
      </c>
      <c r="G164" s="64">
        <v>87975</v>
      </c>
      <c r="H164" t="s">
        <v>363</v>
      </c>
    </row>
    <row r="165" spans="1:8">
      <c r="A165" s="68">
        <v>154</v>
      </c>
      <c r="B165" t="s">
        <v>900</v>
      </c>
      <c r="C165" t="str">
        <f>"IB:Sent NEFT KKBKH20287817041/RAJNISH KUMAR JHA/"</f>
        <v>IB:Sent NEFT KKBKH20287817041/RAJNISH KUMAR JHA/</v>
      </c>
      <c r="D165" t="str">
        <f>"000182559628"</f>
        <v>000182559628</v>
      </c>
      <c r="E165" s="64">
        <v>27000</v>
      </c>
      <c r="F165" t="s">
        <v>362</v>
      </c>
      <c r="G165" s="64">
        <v>60975</v>
      </c>
      <c r="H165" t="s">
        <v>363</v>
      </c>
    </row>
    <row r="166" spans="1:8">
      <c r="A166" s="68">
        <v>155</v>
      </c>
      <c r="B166" t="s">
        <v>900</v>
      </c>
      <c r="C166" t="str">
        <f>"IB:Sent NEFT KKBKH20287817137/DINESH CHIMAJI AWA"</f>
        <v>IB:Sent NEFT KKBKH20287817137/DINESH CHIMAJI AWA</v>
      </c>
      <c r="D166" t="str">
        <f>"000182560036"</f>
        <v>000182560036</v>
      </c>
      <c r="E166" s="64">
        <v>4300</v>
      </c>
      <c r="F166" t="s">
        <v>362</v>
      </c>
      <c r="G166" s="64">
        <v>56675</v>
      </c>
      <c r="H166" t="s">
        <v>363</v>
      </c>
    </row>
    <row r="167" spans="1:8">
      <c r="A167" s="68">
        <v>156</v>
      </c>
      <c r="B167" t="s">
        <v>900</v>
      </c>
      <c r="C167" t="str">
        <f>"IB:Sent NEFT KKBKH20287817143/CHANDRAREKHA SAHAN"</f>
        <v>IB:Sent NEFT KKBKH20287817143/CHANDRAREKHA SAHAN</v>
      </c>
      <c r="D167" t="str">
        <f>"000182560042"</f>
        <v>000182560042</v>
      </c>
      <c r="E167" s="64">
        <v>7800</v>
      </c>
      <c r="F167" t="s">
        <v>362</v>
      </c>
      <c r="G167" s="64">
        <v>48875</v>
      </c>
      <c r="H167" t="s">
        <v>363</v>
      </c>
    </row>
    <row r="168" spans="1:8">
      <c r="A168" s="68">
        <v>157</v>
      </c>
      <c r="B168" t="s">
        <v>900</v>
      </c>
      <c r="C168" t="str">
        <f>"IB:Sent NEFT KKBKH20287817203/RAKESH KUMAR SAH/I"</f>
        <v>IB:Sent NEFT KKBKH20287817203/RAKESH KUMAR SAH/I</v>
      </c>
      <c r="D168" t="str">
        <f>"000182559866"</f>
        <v>000182559866</v>
      </c>
      <c r="E168">
        <v>760</v>
      </c>
      <c r="F168" t="s">
        <v>362</v>
      </c>
      <c r="G168" s="64">
        <v>48115</v>
      </c>
      <c r="H168" t="s">
        <v>363</v>
      </c>
    </row>
    <row r="169" spans="1:8">
      <c r="A169" s="68">
        <v>158</v>
      </c>
      <c r="B169" t="s">
        <v>910</v>
      </c>
      <c r="C169" t="str">
        <f>"IB:Sent NEFT KKBKH20289858634/ICICI CREDIT CARD/"</f>
        <v>IB:Sent NEFT KKBKH20289858634/ICICI CREDIT CARD/</v>
      </c>
      <c r="D169" t="str">
        <f>"000182883506"</f>
        <v>000182883506</v>
      </c>
      <c r="E169" s="64">
        <v>2000</v>
      </c>
      <c r="F169" t="s">
        <v>362</v>
      </c>
      <c r="G169" s="64">
        <v>46115</v>
      </c>
      <c r="H169" t="s">
        <v>363</v>
      </c>
    </row>
    <row r="170" spans="1:8">
      <c r="A170" s="68">
        <v>159</v>
      </c>
      <c r="B170" t="s">
        <v>911</v>
      </c>
      <c r="C170" t="str">
        <f>"IB:Sent NEFT KKBKH20290724888/PUNEETA CHAWLA/UNI"</f>
        <v>IB:Sent NEFT KKBKH20290724888/PUNEETA CHAWLA/UNI</v>
      </c>
      <c r="D170" t="str">
        <f>"000183038076"</f>
        <v>000183038076</v>
      </c>
      <c r="E170" s="64">
        <v>2970</v>
      </c>
      <c r="F170" t="s">
        <v>362</v>
      </c>
      <c r="G170" s="64">
        <v>43145</v>
      </c>
      <c r="H170" t="s">
        <v>363</v>
      </c>
    </row>
    <row r="171" spans="1:8">
      <c r="A171" s="68">
        <v>160</v>
      </c>
      <c r="B171" t="s">
        <v>911</v>
      </c>
      <c r="C171" t="str">
        <f>"IB:Sent NEFT KKBKH20290725101/DINESH CHIMAJI AWA"</f>
        <v>IB:Sent NEFT KKBKH20290725101/DINESH CHIMAJI AWA</v>
      </c>
      <c r="D171" t="str">
        <f>"000183038089"</f>
        <v>000183038089</v>
      </c>
      <c r="E171" s="64">
        <v>2574</v>
      </c>
      <c r="F171" t="s">
        <v>362</v>
      </c>
      <c r="G171" s="64">
        <v>40571</v>
      </c>
      <c r="H171" t="s">
        <v>363</v>
      </c>
    </row>
    <row r="172" spans="1:8">
      <c r="A172" s="68">
        <v>161</v>
      </c>
      <c r="B172" t="s">
        <v>911</v>
      </c>
      <c r="C172" t="str">
        <f>"IB:Sent NEFT KKBKH20290725108/DINESH CHIMAJI AWA"</f>
        <v>IB:Sent NEFT KKBKH20290725108/DINESH CHIMAJI AWA</v>
      </c>
      <c r="D172" t="str">
        <f>"000183038094"</f>
        <v>000183038094</v>
      </c>
      <c r="E172" s="64">
        <v>13165</v>
      </c>
      <c r="F172" t="s">
        <v>362</v>
      </c>
      <c r="G172" s="64">
        <v>27406</v>
      </c>
      <c r="H172" t="s">
        <v>363</v>
      </c>
    </row>
    <row r="173" spans="1:8">
      <c r="A173" s="68">
        <v>162</v>
      </c>
      <c r="B173" t="s">
        <v>911</v>
      </c>
      <c r="C173" t="str">
        <f>"NEFT IDFBH20290199217 ACUMEUS RESEARCH BUSINESS S"</f>
        <v>NEFT IDFBH20290199217 ACUMEUS RESEARCH BUSINESS S</v>
      </c>
      <c r="D173" t="str">
        <f>"NEFTINW-0241635753"</f>
        <v>NEFTINW-0241635753</v>
      </c>
      <c r="E173" s="64">
        <v>14000</v>
      </c>
      <c r="F173" t="s">
        <v>363</v>
      </c>
      <c r="G173" s="64">
        <v>41406</v>
      </c>
      <c r="H173" t="s">
        <v>363</v>
      </c>
    </row>
    <row r="174" spans="1:8">
      <c r="A174" s="68"/>
      <c r="B174" t="s">
        <v>1034</v>
      </c>
      <c r="C174" t="str">
        <f>" MR HIRA LAL  SHARMA STATE BANK OF IND"</f>
        <v xml:space="preserve"> MR HIRA LAL  SHARMA STATE BANK OF IND</v>
      </c>
      <c r="D174" t="str">
        <f>"27"</f>
        <v>27</v>
      </c>
      <c r="E174" s="64">
        <v>3000</v>
      </c>
      <c r="F174" t="s">
        <v>362</v>
      </c>
      <c r="G174" s="64">
        <v>38406</v>
      </c>
      <c r="H174" t="s">
        <v>363</v>
      </c>
    </row>
    <row r="175" spans="1:8">
      <c r="A175" s="68"/>
      <c r="B175" t="s">
        <v>1035</v>
      </c>
      <c r="C175" t="str">
        <f>"NEFT IDFBH20293291581 ACUMEUS RESEARCH BUSINESS S"</f>
        <v>NEFT IDFBH20293291581 ACUMEUS RESEARCH BUSINESS S</v>
      </c>
      <c r="D175" t="str">
        <f>"NEFTINW-0242061737"</f>
        <v>NEFTINW-0242061737</v>
      </c>
      <c r="E175" s="64">
        <v>65000</v>
      </c>
      <c r="F175" t="s">
        <v>363</v>
      </c>
      <c r="G175" s="64">
        <v>103406</v>
      </c>
      <c r="H175" t="s">
        <v>363</v>
      </c>
    </row>
    <row r="176" spans="1:8">
      <c r="A176" s="68"/>
      <c r="B176" t="s">
        <v>1035</v>
      </c>
      <c r="C176" t="str">
        <f>"IB:Sent NEFT KKBKH20293768551/RAKESH KUMAR SAH/I"</f>
        <v>IB:Sent NEFT KKBKH20293768551/RAKESH KUMAR SAH/I</v>
      </c>
      <c r="D176" t="str">
        <f>"000183365531"</f>
        <v>000183365531</v>
      </c>
      <c r="E176" s="64">
        <v>27680</v>
      </c>
      <c r="F176" t="s">
        <v>362</v>
      </c>
      <c r="G176" s="64">
        <v>75726</v>
      </c>
      <c r="H176" t="s">
        <v>363</v>
      </c>
    </row>
    <row r="177" spans="1:8">
      <c r="A177" s="68"/>
      <c r="B177" t="s">
        <v>1035</v>
      </c>
      <c r="C177" t="str">
        <f>"IB:Sent NEFT KKBKH20293768622/DINESH CHIMAJI AWA"</f>
        <v>IB:Sent NEFT KKBKH20293768622/DINESH CHIMAJI AWA</v>
      </c>
      <c r="D177" t="str">
        <f>"000183365832"</f>
        <v>000183365832</v>
      </c>
      <c r="E177" s="64">
        <v>2574</v>
      </c>
      <c r="F177" t="s">
        <v>362</v>
      </c>
      <c r="G177" s="64">
        <v>73152</v>
      </c>
      <c r="H177" t="s">
        <v>363</v>
      </c>
    </row>
    <row r="178" spans="1:8">
      <c r="A178" s="68"/>
      <c r="B178" t="s">
        <v>1036</v>
      </c>
      <c r="C178" t="str">
        <f>"IB:Sent NEFT KKBKH20294641176/ALOK MAJUMDER/BANK"</f>
        <v>IB:Sent NEFT KKBKH20294641176/ALOK MAJUMDER/BANK</v>
      </c>
      <c r="D178" t="str">
        <f>"000183527475"</f>
        <v>000183527475</v>
      </c>
      <c r="E178" s="64">
        <v>13068</v>
      </c>
      <c r="F178" t="s">
        <v>362</v>
      </c>
      <c r="G178" s="64">
        <v>60084</v>
      </c>
      <c r="H178" t="s">
        <v>363</v>
      </c>
    </row>
    <row r="179" spans="1:8">
      <c r="A179" s="68"/>
      <c r="B179" t="s">
        <v>1036</v>
      </c>
      <c r="C179" t="str">
        <f>"IB:Sent NEFT KKBKH20294641285/ALOK MAJUMDER/BANK"</f>
        <v>IB:Sent NEFT KKBKH20294641285/ALOK MAJUMDER/BANK</v>
      </c>
      <c r="D179" t="str">
        <f>"000183527661"</f>
        <v>000183527661</v>
      </c>
      <c r="E179" s="64">
        <v>13068</v>
      </c>
      <c r="F179" t="s">
        <v>362</v>
      </c>
      <c r="G179" s="64">
        <v>47016</v>
      </c>
      <c r="H179" t="s">
        <v>363</v>
      </c>
    </row>
    <row r="180" spans="1:8">
      <c r="A180" s="68"/>
      <c r="B180" t="s">
        <v>1036</v>
      </c>
      <c r="C180" t="str">
        <f>"IB:Sent NEFT KKBKH20294641336/RAKESH KUMAR SAH/I"</f>
        <v>IB:Sent NEFT KKBKH20294641336/RAKESH KUMAR SAH/I</v>
      </c>
      <c r="D180" t="str">
        <f>"000183527319"</f>
        <v>000183527319</v>
      </c>
      <c r="E180" s="64">
        <v>10300</v>
      </c>
      <c r="F180" t="s">
        <v>362</v>
      </c>
      <c r="G180" s="64">
        <v>36716</v>
      </c>
      <c r="H180" t="s">
        <v>363</v>
      </c>
    </row>
    <row r="181" spans="1:8">
      <c r="A181" s="68"/>
      <c r="B181" t="s">
        <v>1037</v>
      </c>
      <c r="C181" t="str">
        <f>"IB:Sent NEFT KKBKH20295802025/UPASANA GULATI/ICI"</f>
        <v>IB:Sent NEFT KKBKH20295802025/UPASANA GULATI/ICI</v>
      </c>
      <c r="D181" t="str">
        <f>"000183682034"</f>
        <v>000183682034</v>
      </c>
      <c r="E181" s="64">
        <v>2475</v>
      </c>
      <c r="F181" t="s">
        <v>362</v>
      </c>
      <c r="G181" s="64">
        <v>34241</v>
      </c>
      <c r="H181" t="s">
        <v>363</v>
      </c>
    </row>
    <row r="182" spans="1:8">
      <c r="A182" s="68"/>
      <c r="B182" t="s">
        <v>1037</v>
      </c>
      <c r="C182" t="str">
        <f>"IB:Sent NEFT KKBKH20295801989/HEMANT ARORA/AXIS"</f>
        <v>IB:Sent NEFT KKBKH20295801989/HEMANT ARORA/AXIS</v>
      </c>
      <c r="D182" t="str">
        <f>"000183682223"</f>
        <v>000183682223</v>
      </c>
      <c r="E182" s="64">
        <v>4950</v>
      </c>
      <c r="F182" t="s">
        <v>362</v>
      </c>
      <c r="G182" s="64">
        <v>29291</v>
      </c>
      <c r="H182" t="s">
        <v>363</v>
      </c>
    </row>
    <row r="183" spans="1:8">
      <c r="A183" s="68"/>
      <c r="B183" t="s">
        <v>1037</v>
      </c>
      <c r="C183" t="str">
        <f>"IB:Sent NEFT KKBKH20295801896/SIDDHESH CHANDRA A"</f>
        <v>IB:Sent NEFT KKBKH20295801896/SIDDHESH CHANDRA A</v>
      </c>
      <c r="D183" t="str">
        <f>"000183681925"</f>
        <v>000183681925</v>
      </c>
      <c r="E183">
        <v>990</v>
      </c>
      <c r="F183" t="s">
        <v>362</v>
      </c>
      <c r="G183" s="64">
        <v>28301</v>
      </c>
      <c r="H183" t="s">
        <v>363</v>
      </c>
    </row>
    <row r="184" spans="1:8">
      <c r="A184" s="68"/>
      <c r="B184" t="s">
        <v>1039</v>
      </c>
      <c r="C184" t="str">
        <f>"NEFT IDFBH20301565355 ACUMEUS RESEARCH BUSINESS S"</f>
        <v>NEFT IDFBH20301565355 ACUMEUS RESEARCH BUSINESS S</v>
      </c>
      <c r="D184" t="str">
        <f>"NEFTINW-0243488561"</f>
        <v>NEFTINW-0243488561</v>
      </c>
      <c r="E184" s="64">
        <v>100000</v>
      </c>
      <c r="F184" t="s">
        <v>363</v>
      </c>
      <c r="G184" s="64">
        <v>128301</v>
      </c>
      <c r="H184" t="s">
        <v>363</v>
      </c>
    </row>
    <row r="185" spans="1:8">
      <c r="A185" s="68"/>
      <c r="B185" t="s">
        <v>1039</v>
      </c>
      <c r="C185" t="str">
        <f>"IB:Sent NEFT KKBKH20301628666/IKMR SERVICES/LAXM"</f>
        <v>IB:Sent NEFT KKBKH20301628666/IKMR SERVICES/LAXM</v>
      </c>
      <c r="D185" t="str">
        <f>"000184370494"</f>
        <v>000184370494</v>
      </c>
      <c r="E185" s="64">
        <v>15600</v>
      </c>
      <c r="F185" t="s">
        <v>362</v>
      </c>
      <c r="G185" s="64">
        <v>112701</v>
      </c>
      <c r="H185" t="s">
        <v>363</v>
      </c>
    </row>
    <row r="186" spans="1:8">
      <c r="A186" s="68"/>
      <c r="B186" t="s">
        <v>1039</v>
      </c>
      <c r="C186" t="str">
        <f>"IB:Sent NEFT KKBKH20301628694/RAKESH KUMAR SAH/I"</f>
        <v>IB:Sent NEFT KKBKH20301628694/RAKESH KUMAR SAH/I</v>
      </c>
      <c r="D186" t="str">
        <f>"000184370517"</f>
        <v>000184370517</v>
      </c>
      <c r="E186" s="64">
        <v>4950</v>
      </c>
      <c r="F186" t="s">
        <v>362</v>
      </c>
      <c r="G186" s="64">
        <v>107751</v>
      </c>
      <c r="H186" t="s">
        <v>363</v>
      </c>
    </row>
    <row r="187" spans="1:8">
      <c r="A187" s="68"/>
      <c r="B187" t="s">
        <v>1039</v>
      </c>
      <c r="C187" t="str">
        <f>"IB:Sent NEFT KKBKH20301628916/MADHUKER Y/STATE B"</f>
        <v>IB:Sent NEFT KKBKH20301628916/MADHUKER Y/STATE B</v>
      </c>
      <c r="D187" t="str">
        <f>"000184370537"</f>
        <v>000184370537</v>
      </c>
      <c r="E187" s="64">
        <v>9600</v>
      </c>
      <c r="F187" t="s">
        <v>362</v>
      </c>
      <c r="G187" s="64">
        <v>98151</v>
      </c>
      <c r="H187" t="s">
        <v>363</v>
      </c>
    </row>
    <row r="188" spans="1:8">
      <c r="A188" s="68"/>
      <c r="B188" t="s">
        <v>1039</v>
      </c>
      <c r="C188" t="str">
        <f>"IB:Sent NEFT KKBKH20301628776/MADHUKER Y/STATE B"</f>
        <v>IB:Sent NEFT KKBKH20301628776/MADHUKER Y/STATE B</v>
      </c>
      <c r="D188" t="str">
        <f>"000184370736"</f>
        <v>000184370736</v>
      </c>
      <c r="E188" s="64">
        <v>5940</v>
      </c>
      <c r="F188" t="s">
        <v>362</v>
      </c>
      <c r="G188" s="64">
        <v>92211</v>
      </c>
      <c r="H188" t="s">
        <v>363</v>
      </c>
    </row>
    <row r="189" spans="1:8">
      <c r="A189" s="68"/>
      <c r="B189" t="s">
        <v>1040</v>
      </c>
      <c r="C189" t="str">
        <f>"IB:Sent NEFT KKBKH20302785414/SUNIL KUMAR/IDBI B"</f>
        <v>IB:Sent NEFT KKBKH20302785414/SUNIL KUMAR/IDBI B</v>
      </c>
      <c r="D189" t="str">
        <f>"000184521335"</f>
        <v>000184521335</v>
      </c>
      <c r="E189" s="64">
        <v>9900</v>
      </c>
      <c r="F189" t="s">
        <v>362</v>
      </c>
      <c r="G189" s="64">
        <v>82311</v>
      </c>
      <c r="H189" t="s">
        <v>363</v>
      </c>
    </row>
    <row r="190" spans="1:8">
      <c r="A190" s="68"/>
      <c r="B190" t="s">
        <v>1041</v>
      </c>
      <c r="C190" t="str">
        <f>"IB:Sent NEFT KKBKH20304752794/DINESH CHIMAJI AWA"</f>
        <v>IB:Sent NEFT KKBKH20304752794/DINESH CHIMAJI AWA</v>
      </c>
      <c r="D190" t="str">
        <f>"000184776323"</f>
        <v>000184776323</v>
      </c>
      <c r="E190" s="64">
        <v>6435</v>
      </c>
      <c r="F190" t="s">
        <v>362</v>
      </c>
      <c r="G190" s="64">
        <v>75876</v>
      </c>
      <c r="H190" t="s">
        <v>363</v>
      </c>
    </row>
    <row r="191" spans="1:8">
      <c r="A191" s="68"/>
      <c r="B191" t="s">
        <v>1041</v>
      </c>
      <c r="C191" t="str">
        <f>"IB:Sent NEFT KKBKH20304753003/HEMANT ARORA/AXIS"</f>
        <v>IB:Sent NEFT KKBKH20304753003/HEMANT ARORA/AXIS</v>
      </c>
      <c r="D191" t="str">
        <f>"000184776330"</f>
        <v>000184776330</v>
      </c>
      <c r="E191" s="64">
        <v>2970</v>
      </c>
      <c r="F191" t="s">
        <v>362</v>
      </c>
      <c r="G191" s="64">
        <v>72906</v>
      </c>
      <c r="H191" t="s">
        <v>363</v>
      </c>
    </row>
    <row r="192" spans="1:8">
      <c r="A192" s="68"/>
      <c r="B192" t="s">
        <v>1041</v>
      </c>
      <c r="C192" t="str">
        <f>"IB:Sent NEFT KKBKH20304752894/SIDDHESH CHANDRA A"</f>
        <v>IB:Sent NEFT KKBKH20304752894/SIDDHESH CHANDRA A</v>
      </c>
      <c r="D192" t="str">
        <f>"000184776646"</f>
        <v>000184776646</v>
      </c>
      <c r="E192" s="64">
        <v>9504</v>
      </c>
      <c r="F192" t="s">
        <v>362</v>
      </c>
      <c r="G192" s="64">
        <v>63402</v>
      </c>
      <c r="H192" t="s">
        <v>363</v>
      </c>
    </row>
    <row r="193" spans="1:8">
      <c r="A193" s="68"/>
      <c r="B193" t="s">
        <v>1041</v>
      </c>
      <c r="C193" t="str">
        <f>"IB:Sent NEFT KKBKH20304753106/ALOK MAJUMDER/BANK"</f>
        <v>IB:Sent NEFT KKBKH20304753106/ALOK MAJUMDER/BANK</v>
      </c>
      <c r="D193" t="str">
        <f>"000184776658"</f>
        <v>000184776658</v>
      </c>
      <c r="E193" s="64">
        <v>1237</v>
      </c>
      <c r="F193" t="s">
        <v>362</v>
      </c>
      <c r="G193" s="64">
        <v>62165</v>
      </c>
      <c r="H193" t="s">
        <v>363</v>
      </c>
    </row>
    <row r="194" spans="1:8">
      <c r="A194" s="68"/>
      <c r="B194" t="s">
        <v>1041</v>
      </c>
      <c r="C194" t="str">
        <f>"IB:Sent NEFT KKBKH20304752964/LATA GANDHI/ALLAHA"</f>
        <v>IB:Sent NEFT KKBKH20304752964/LATA GANDHI/ALLAHA</v>
      </c>
      <c r="D194" t="str">
        <f>"000184776528"</f>
        <v>000184776528</v>
      </c>
      <c r="E194" s="64">
        <v>4000</v>
      </c>
      <c r="F194" t="s">
        <v>362</v>
      </c>
      <c r="G194" s="64">
        <v>58165</v>
      </c>
      <c r="H194" t="s">
        <v>363</v>
      </c>
    </row>
    <row r="195" spans="1:8">
      <c r="A195" s="68"/>
      <c r="B195" t="s">
        <v>1041</v>
      </c>
      <c r="C195" t="str">
        <f>"IB:Sent NEFT KKBKH20304753127/ALL STAR SOLUTIONS"</f>
        <v>IB:Sent NEFT KKBKH20304753127/ALL STAR SOLUTIONS</v>
      </c>
      <c r="D195" t="str">
        <f>"000184776678"</f>
        <v>000184776678</v>
      </c>
      <c r="E195" s="64">
        <v>29700</v>
      </c>
      <c r="F195" t="s">
        <v>362</v>
      </c>
      <c r="G195" s="64">
        <v>28465</v>
      </c>
      <c r="H195" t="s">
        <v>363</v>
      </c>
    </row>
    <row r="196" spans="1:8">
      <c r="A196" s="68"/>
      <c r="B196" t="s">
        <v>1041</v>
      </c>
      <c r="C196" t="str">
        <f>"IB: FUND TRANSFER TO PINKY TYAGI"</f>
        <v>IB: FUND TRANSFER TO PINKY TYAGI</v>
      </c>
      <c r="D196" t="str">
        <f>"IB"</f>
        <v>IB</v>
      </c>
      <c r="E196" s="64">
        <v>4000</v>
      </c>
      <c r="F196" t="s">
        <v>362</v>
      </c>
      <c r="G196" s="64">
        <v>24465</v>
      </c>
      <c r="H196" t="s">
        <v>363</v>
      </c>
    </row>
    <row r="197" spans="1:8">
      <c r="A197" s="68"/>
      <c r="B197" s="53">
        <v>43872</v>
      </c>
      <c r="C197" t="str">
        <f>"NEFT CMS1671210755 IMPACT PSD PVT LTD ICIC0000104"</f>
        <v>NEFT CMS1671210755 IMPACT PSD PVT LTD ICIC0000104</v>
      </c>
      <c r="D197" t="str">
        <f>"NEFTINW-0245001816"</f>
        <v>NEFTINW-0245001816</v>
      </c>
      <c r="E197" s="64">
        <v>152534</v>
      </c>
      <c r="F197" t="s">
        <v>363</v>
      </c>
      <c r="G197" s="64">
        <v>176999</v>
      </c>
      <c r="H197" t="s">
        <v>363</v>
      </c>
    </row>
    <row r="198" spans="1:8">
      <c r="A198" s="68"/>
      <c r="B198" s="53">
        <v>43872</v>
      </c>
      <c r="C198" t="str">
        <f>"IB:Sent NEFT KKBKH20307883918/HEMANT ARORA/AXIS"</f>
        <v>IB:Sent NEFT KKBKH20307883918/HEMANT ARORA/AXIS</v>
      </c>
      <c r="D198" t="str">
        <f>"000185189285"</f>
        <v>000185189285</v>
      </c>
      <c r="E198" s="64">
        <v>7722</v>
      </c>
      <c r="F198" t="s">
        <v>362</v>
      </c>
      <c r="G198" s="64">
        <v>169277</v>
      </c>
      <c r="H198" t="s">
        <v>363</v>
      </c>
    </row>
    <row r="199" spans="1:8">
      <c r="A199" s="68"/>
      <c r="B199" s="53">
        <v>43872</v>
      </c>
      <c r="C199" t="str">
        <f>"IB:Sent NEFT KKBKH20307885687/HARISHA KRISHNAMUR"</f>
        <v>IB:Sent NEFT KKBKH20307885687/HARISHA KRISHNAMUR</v>
      </c>
      <c r="D199" t="str">
        <f>"000185190402"</f>
        <v>000185190402</v>
      </c>
      <c r="E199" s="64">
        <v>2800</v>
      </c>
      <c r="F199" t="s">
        <v>362</v>
      </c>
      <c r="G199" s="64">
        <v>166477</v>
      </c>
      <c r="H199" t="s">
        <v>363</v>
      </c>
    </row>
    <row r="200" spans="1:8">
      <c r="A200" s="68"/>
      <c r="B200" s="53">
        <v>43962</v>
      </c>
      <c r="C200" t="str">
        <f>"IB:Sent NEFT KKBKH20310609721/HARISHA KRISHNAMUR"</f>
        <v>IB:Sent NEFT KKBKH20310609721/HARISHA KRISHNAMUR</v>
      </c>
      <c r="D200" t="str">
        <f>"000185778848"</f>
        <v>000185778848</v>
      </c>
      <c r="E200" s="64">
        <v>1800</v>
      </c>
      <c r="F200" t="s">
        <v>362</v>
      </c>
      <c r="G200" s="64">
        <v>164677</v>
      </c>
      <c r="H200" t="s">
        <v>363</v>
      </c>
    </row>
    <row r="201" spans="1:8">
      <c r="A201" s="68"/>
      <c r="B201" s="53">
        <v>43962</v>
      </c>
      <c r="C201" t="str">
        <f>"IB:Sent NEFT KKBKH20310609828/RAKESH KUMAR SAH/I"</f>
        <v>IB:Sent NEFT KKBKH20310609828/RAKESH KUMAR SAH/I</v>
      </c>
      <c r="D201" t="str">
        <f>"000185778566"</f>
        <v>000185778566</v>
      </c>
      <c r="E201" s="64">
        <v>20760</v>
      </c>
      <c r="F201" t="s">
        <v>362</v>
      </c>
      <c r="G201" s="64">
        <v>143917</v>
      </c>
      <c r="H201" t="s">
        <v>363</v>
      </c>
    </row>
    <row r="202" spans="1:8">
      <c r="A202" s="68"/>
      <c r="B202" s="53">
        <v>43962</v>
      </c>
      <c r="C202" t="str">
        <f>"IB:Sent NEFT KKBKH20310609845/RAKESH KUMAR SAH/I"</f>
        <v>IB:Sent NEFT KKBKH20310609845/RAKESH KUMAR SAH/I</v>
      </c>
      <c r="D202" t="str">
        <f>"000185778581"</f>
        <v>000185778581</v>
      </c>
      <c r="E202" s="64">
        <v>8415</v>
      </c>
      <c r="F202" t="s">
        <v>362</v>
      </c>
      <c r="G202" s="64">
        <v>135502</v>
      </c>
      <c r="H202" t="s">
        <v>363</v>
      </c>
    </row>
    <row r="203" spans="1:8">
      <c r="A203" s="68"/>
      <c r="B203" s="53">
        <v>43962</v>
      </c>
      <c r="C203" t="str">
        <f>"IB:Sent NEFT KKBKH20310610000/DINESH CHIMAJI AWA"</f>
        <v>IB:Sent NEFT KKBKH20310610000/DINESH CHIMAJI AWA</v>
      </c>
      <c r="D203" t="str">
        <f>"000185778921"</f>
        <v>000185778921</v>
      </c>
      <c r="E203" s="64">
        <v>4554</v>
      </c>
      <c r="F203" t="s">
        <v>362</v>
      </c>
      <c r="G203" s="64">
        <v>130948</v>
      </c>
      <c r="H203" t="s">
        <v>363</v>
      </c>
    </row>
    <row r="204" spans="1:8">
      <c r="A204" s="68"/>
      <c r="B204" s="53">
        <v>43993</v>
      </c>
      <c r="C204" t="str">
        <f>"IB:Sent NEFT KKBKH20311782430/SUBRAT ROUT/PAYTM"</f>
        <v>IB:Sent NEFT KKBKH20311782430/SUBRAT ROUT/PAYTM</v>
      </c>
      <c r="D204" t="str">
        <f>"000185955647"</f>
        <v>000185955647</v>
      </c>
      <c r="E204" s="64">
        <v>18000</v>
      </c>
      <c r="F204" t="s">
        <v>362</v>
      </c>
      <c r="G204" s="64">
        <v>112948</v>
      </c>
      <c r="H204" t="s">
        <v>363</v>
      </c>
    </row>
    <row r="205" spans="1:8">
      <c r="A205" s="68"/>
      <c r="B205" s="53">
        <v>43993</v>
      </c>
      <c r="C205" t="str">
        <f>"IB:Sent NEFT KKBKH20311823943/VIKAS MISHRA/STATE"</f>
        <v>IB:Sent NEFT KKBKH20311823943/VIKAS MISHRA/STATE</v>
      </c>
      <c r="D205" t="str">
        <f>"000185985222"</f>
        <v>000185985222</v>
      </c>
      <c r="E205" s="64">
        <v>12523</v>
      </c>
      <c r="F205" t="s">
        <v>362</v>
      </c>
      <c r="G205" s="64">
        <v>100425</v>
      </c>
      <c r="H205" t="s">
        <v>363</v>
      </c>
    </row>
    <row r="206" spans="1:8">
      <c r="A206" s="68"/>
      <c r="B206" s="53">
        <v>43993</v>
      </c>
      <c r="C206" t="str">
        <f>"IB:Sent NEFT KKBKH20311824126/SHITAL KUMAR MISHR"</f>
        <v>IB:Sent NEFT KKBKH20311824126/SHITAL KUMAR MISHR</v>
      </c>
      <c r="D206" t="str">
        <f>"000185984907"</f>
        <v>000185984907</v>
      </c>
      <c r="E206" s="64">
        <v>27364</v>
      </c>
      <c r="F206" t="s">
        <v>362</v>
      </c>
      <c r="G206" s="64">
        <v>73061</v>
      </c>
      <c r="H206" t="s">
        <v>363</v>
      </c>
    </row>
    <row r="207" spans="1:8">
      <c r="A207" s="68"/>
      <c r="B207" s="53">
        <v>43993</v>
      </c>
      <c r="C207" t="str">
        <f>"IB:Sent NEFT KKBKH20311824136/PALLAV S KISHANPUR"</f>
        <v>IB:Sent NEFT KKBKH20311824136/PALLAV S KISHANPUR</v>
      </c>
      <c r="D207" t="str">
        <f>"000185984917"</f>
        <v>000185984917</v>
      </c>
      <c r="E207" s="64">
        <v>1800</v>
      </c>
      <c r="F207" t="s">
        <v>362</v>
      </c>
      <c r="G207" s="64">
        <v>71261</v>
      </c>
      <c r="H207" t="s">
        <v>363</v>
      </c>
    </row>
    <row r="208" spans="1:8">
      <c r="A208" s="68"/>
      <c r="B208" s="53">
        <v>44085</v>
      </c>
      <c r="C208" t="str">
        <f>"IB:Sent NEFT KKBKH20314734470/DINESH CHIMAJI AWA"</f>
        <v>IB:Sent NEFT KKBKH20314734470/DINESH CHIMAJI AWA</v>
      </c>
      <c r="D208" t="str">
        <f>"000186471534"</f>
        <v>000186471534</v>
      </c>
      <c r="E208" s="64">
        <v>5940</v>
      </c>
      <c r="F208" t="s">
        <v>362</v>
      </c>
      <c r="G208" s="64">
        <v>65321</v>
      </c>
      <c r="H208" t="s">
        <v>363</v>
      </c>
    </row>
    <row r="209" spans="1:8">
      <c r="A209" s="68"/>
      <c r="B209" s="53">
        <v>44085</v>
      </c>
      <c r="C209" t="str">
        <f>"IB:Sent NEFT KKBKH20314734627/HEMANT ARORA/AXIS"</f>
        <v>IB:Sent NEFT KKBKH20314734627/HEMANT ARORA/AXIS</v>
      </c>
      <c r="D209" t="str">
        <f>"000186471722"</f>
        <v>000186471722</v>
      </c>
      <c r="E209" s="64">
        <v>5536</v>
      </c>
      <c r="F209" t="s">
        <v>362</v>
      </c>
      <c r="G209" s="64">
        <v>59785</v>
      </c>
      <c r="H209" t="s">
        <v>363</v>
      </c>
    </row>
    <row r="210" spans="1:8">
      <c r="A210" s="68"/>
      <c r="B210" s="53">
        <v>44146</v>
      </c>
      <c r="C210" t="str">
        <f>"IB:Sent NEFT KKBKH20316882505/ASHISH TIWARI/BANK"</f>
        <v>IB:Sent NEFT KKBKH20316882505/ASHISH TIWARI/BANK</v>
      </c>
      <c r="D210" t="str">
        <f>"000186911853"</f>
        <v>000186911853</v>
      </c>
      <c r="E210" s="64">
        <v>50000</v>
      </c>
      <c r="F210" t="s">
        <v>362</v>
      </c>
      <c r="G210" s="64">
        <v>9785</v>
      </c>
      <c r="H210" t="s">
        <v>363</v>
      </c>
    </row>
    <row r="211" spans="1:8">
      <c r="A211" s="68"/>
      <c r="B211" s="53">
        <v>44176</v>
      </c>
      <c r="C211" t="str">
        <f>"NEFT 0811OP0005927194 BIG BLUE BANYAN INDIA PRI"</f>
        <v>NEFT 0811OP0005927194 BIG BLUE BANYAN INDIA PRI</v>
      </c>
      <c r="D211" t="str">
        <f>"NEFTINW-0247737541"</f>
        <v>NEFTINW-0247737541</v>
      </c>
      <c r="E211" s="64">
        <v>74919</v>
      </c>
      <c r="F211" t="s">
        <v>363</v>
      </c>
      <c r="G211" s="64">
        <v>84704</v>
      </c>
      <c r="H211" t="s">
        <v>363</v>
      </c>
    </row>
    <row r="212" spans="1:8">
      <c r="A212" s="68"/>
      <c r="B212" s="53">
        <v>44176</v>
      </c>
      <c r="C212" t="str">
        <f>"NEFT 0811OP0005927190 BIG BLUE BANYAN INDIA PRI"</f>
        <v>NEFT 0811OP0005927190 BIG BLUE BANYAN INDIA PRI</v>
      </c>
      <c r="D212" t="str">
        <f>"NEFTINW-0247737411"</f>
        <v>NEFTINW-0247737411</v>
      </c>
      <c r="E212" s="64">
        <v>55250</v>
      </c>
      <c r="F212" t="s">
        <v>363</v>
      </c>
      <c r="G212" s="64">
        <v>139954</v>
      </c>
      <c r="H212" t="s">
        <v>363</v>
      </c>
    </row>
    <row r="213" spans="1:8">
      <c r="A213" s="68"/>
      <c r="B213" s="63" t="s">
        <v>1157</v>
      </c>
      <c r="C213" t="str">
        <f>"IB:Sent NEFT KKBKH20318618896/VIPIN SINGH/IDBI B"</f>
        <v>IB:Sent NEFT KKBKH20318618896/VIPIN SINGH/IDBI B</v>
      </c>
      <c r="D213" t="str">
        <f>"000187214004"</f>
        <v>000187214004</v>
      </c>
      <c r="E213" s="64">
        <v>25000</v>
      </c>
      <c r="F213" t="s">
        <v>362</v>
      </c>
      <c r="G213" s="64">
        <v>114954</v>
      </c>
      <c r="H213" t="s">
        <v>363</v>
      </c>
    </row>
    <row r="214" spans="1:8">
      <c r="A214" s="68"/>
      <c r="B214" s="63" t="s">
        <v>1157</v>
      </c>
      <c r="C214" t="str">
        <f>"IB:Sent NEFT KKBKH20318806324/DINESH CHIMAJI AWA"</f>
        <v>IB:Sent NEFT KKBKH20318806324/DINESH CHIMAJI AWA</v>
      </c>
      <c r="D214" t="str">
        <f>"000187392921"</f>
        <v>000187392921</v>
      </c>
      <c r="E214" s="64">
        <v>4554</v>
      </c>
      <c r="F214" t="s">
        <v>362</v>
      </c>
      <c r="G214" s="64">
        <v>110400</v>
      </c>
      <c r="H214" t="s">
        <v>363</v>
      </c>
    </row>
    <row r="215" spans="1:8">
      <c r="A215" s="68"/>
      <c r="B215" s="63" t="s">
        <v>1157</v>
      </c>
      <c r="C215" t="str">
        <f>"IB:Sent NEFT KKBKH20318806701/ALOK MAJUMDER/BANK"</f>
        <v>IB:Sent NEFT KKBKH20318806701/ALOK MAJUMDER/BANK</v>
      </c>
      <c r="D215" t="str">
        <f>"000187393409"</f>
        <v>000187393409</v>
      </c>
      <c r="E215" s="64">
        <v>5940</v>
      </c>
      <c r="F215" t="s">
        <v>362</v>
      </c>
      <c r="G215" s="64">
        <v>104460</v>
      </c>
      <c r="H215" t="s">
        <v>363</v>
      </c>
    </row>
    <row r="216" spans="1:8">
      <c r="A216" s="68"/>
      <c r="B216" s="63" t="s">
        <v>1157</v>
      </c>
      <c r="C216" t="str">
        <f>"IB:Sent NEFT KKBKH20318806674/SIDDHESH CHANDRA A"</f>
        <v>IB:Sent NEFT KKBKH20318806674/SIDDHESH CHANDRA A</v>
      </c>
      <c r="D216" t="str">
        <f>"000187393271"</f>
        <v>000187393271</v>
      </c>
      <c r="E216" s="64">
        <v>11286</v>
      </c>
      <c r="F216" t="s">
        <v>362</v>
      </c>
      <c r="G216" s="64">
        <v>93174</v>
      </c>
      <c r="H216" t="s">
        <v>363</v>
      </c>
    </row>
    <row r="217" spans="1:8">
      <c r="A217" s="68"/>
      <c r="B217" s="63" t="s">
        <v>1158</v>
      </c>
      <c r="C217" t="str">
        <f>"IB:Sent NEFT KKBKH20324745387/ICICI CREDIT CARD/"</f>
        <v>IB:Sent NEFT KKBKH20324745387/ICICI CREDIT CARD/</v>
      </c>
      <c r="D217" t="str">
        <f>"000187903377"</f>
        <v>000187903377</v>
      </c>
      <c r="E217" s="64">
        <v>3068</v>
      </c>
      <c r="F217" t="s">
        <v>362</v>
      </c>
      <c r="G217" s="64">
        <v>90106</v>
      </c>
      <c r="H217" t="s">
        <v>363</v>
      </c>
    </row>
    <row r="218" spans="1:8">
      <c r="A218" s="68"/>
      <c r="B218" s="63" t="s">
        <v>1158</v>
      </c>
      <c r="C218" t="str">
        <f>"IB:Sent NEFT KKBKH20324745398/ABHIPSA MOHANTY/CE"</f>
        <v>IB:Sent NEFT KKBKH20324745398/ABHIPSA MOHANTY/CE</v>
      </c>
      <c r="D218" t="str">
        <f>"000187903388"</f>
        <v>000187903388</v>
      </c>
      <c r="E218" s="64">
        <v>8000</v>
      </c>
      <c r="F218" t="s">
        <v>362</v>
      </c>
      <c r="G218" s="64">
        <v>82106</v>
      </c>
      <c r="H218" t="s">
        <v>363</v>
      </c>
    </row>
    <row r="219" spans="1:8">
      <c r="A219" s="68"/>
      <c r="B219" s="63" t="s">
        <v>1158</v>
      </c>
      <c r="C219" t="str">
        <f>"IB:Sent NEFT KKBKH20324745476/ALL STAR SOLUTIONS"</f>
        <v>IB:Sent NEFT KKBKH20324745476/ALL STAR SOLUTIONS</v>
      </c>
      <c r="D219" t="str">
        <f>"000187903593"</f>
        <v>000187903593</v>
      </c>
      <c r="E219" s="64">
        <v>7425</v>
      </c>
      <c r="F219" t="s">
        <v>362</v>
      </c>
      <c r="G219" s="64">
        <v>74681</v>
      </c>
      <c r="H219" t="s">
        <v>363</v>
      </c>
    </row>
    <row r="220" spans="1:8">
      <c r="A220" s="68"/>
      <c r="B220" s="63" t="s">
        <v>1158</v>
      </c>
      <c r="C220" t="str">
        <f>"IB:Sent NEFT KKBKH20324745610/VIPIN SINGH/IDBI B"</f>
        <v>IB:Sent NEFT KKBKH20324745610/VIPIN SINGH/IDBI B</v>
      </c>
      <c r="D220" t="str">
        <f>"000187903400"</f>
        <v>000187903400</v>
      </c>
      <c r="E220" s="64">
        <v>7300</v>
      </c>
      <c r="F220" t="s">
        <v>362</v>
      </c>
      <c r="G220" s="64">
        <v>67381</v>
      </c>
      <c r="H220" t="s">
        <v>363</v>
      </c>
    </row>
    <row r="221" spans="1:8">
      <c r="A221" s="68"/>
      <c r="B221" s="63" t="s">
        <v>1159</v>
      </c>
      <c r="C221" t="str">
        <f>"RTGS ICICR22020112100736034 OP CPI ICIC0000104"</f>
        <v>RTGS ICICR22020112100736034 OP CPI ICIC0000104</v>
      </c>
      <c r="D221" t="str">
        <f>"RTGSINW-0034487064"</f>
        <v>RTGSINW-0034487064</v>
      </c>
      <c r="E221" s="64">
        <v>221000</v>
      </c>
      <c r="F221" t="s">
        <v>363</v>
      </c>
      <c r="G221" s="64">
        <v>288381</v>
      </c>
      <c r="H221" t="s">
        <v>363</v>
      </c>
    </row>
    <row r="222" spans="1:8">
      <c r="A222" s="68"/>
      <c r="B222" s="63" t="s">
        <v>1159</v>
      </c>
      <c r="C222" t="str">
        <f>"IB:Sent NEFT KKBKH20326704860/ACUMEUS RESEARCH B"</f>
        <v>IB:Sent NEFT KKBKH20326704860/ACUMEUS RESEARCH B</v>
      </c>
      <c r="D222" t="str">
        <f>"000188149770"</f>
        <v>000188149770</v>
      </c>
      <c r="E222" s="64">
        <v>25000</v>
      </c>
      <c r="F222" t="s">
        <v>362</v>
      </c>
      <c r="G222" s="64">
        <v>263381</v>
      </c>
      <c r="H222" t="s">
        <v>363</v>
      </c>
    </row>
    <row r="223" spans="1:8">
      <c r="A223" s="68"/>
      <c r="B223" s="63" t="s">
        <v>1160</v>
      </c>
      <c r="C223" t="str">
        <f>"IB:Sent NEFT KKBKH20328821633/ACUMEUS RESEARCH B"</f>
        <v>IB:Sent NEFT KKBKH20328821633/ACUMEUS RESEARCH B</v>
      </c>
      <c r="D223" t="str">
        <f>"000188268524"</f>
        <v>000188268524</v>
      </c>
      <c r="E223" s="64">
        <v>45000</v>
      </c>
      <c r="F223" t="s">
        <v>362</v>
      </c>
      <c r="G223" s="64">
        <v>218381</v>
      </c>
      <c r="H223" t="s">
        <v>363</v>
      </c>
    </row>
    <row r="224" spans="1:8">
      <c r="A224" s="68"/>
      <c r="B224" s="63" t="s">
        <v>1160</v>
      </c>
      <c r="C224" t="str">
        <f>"IB:Sent NEFT KKBKH20328892937/CITI CREDIT CARD/C"</f>
        <v>IB:Sent NEFT KKBKH20328892937/CITI CREDIT CARD/C</v>
      </c>
      <c r="D224" t="str">
        <f>"000188331866"</f>
        <v>000188331866</v>
      </c>
      <c r="E224" s="64">
        <v>6000</v>
      </c>
      <c r="F224" t="s">
        <v>362</v>
      </c>
      <c r="G224" s="64">
        <v>212381</v>
      </c>
      <c r="H224" t="s">
        <v>363</v>
      </c>
    </row>
    <row r="225" spans="1:8">
      <c r="A225" s="68"/>
      <c r="B225" s="63" t="s">
        <v>1160</v>
      </c>
      <c r="C225" t="str">
        <f>"IB:Sent NEFT KKBKH20328892941/SADANAND SHARMA/HD"</f>
        <v>IB:Sent NEFT KKBKH20328892941/SADANAND SHARMA/HD</v>
      </c>
      <c r="D225" t="str">
        <f>"000188331870"</f>
        <v>000188331870</v>
      </c>
      <c r="E225" s="64">
        <v>1287</v>
      </c>
      <c r="F225" t="s">
        <v>362</v>
      </c>
      <c r="G225" s="64">
        <v>211094</v>
      </c>
      <c r="H225" t="s">
        <v>363</v>
      </c>
    </row>
    <row r="226" spans="1:8">
      <c r="A226" s="68"/>
      <c r="B226" s="63" t="s">
        <v>1160</v>
      </c>
      <c r="C226" t="str">
        <f>"IB:Sent NEFT KKBKH20328892892/ARADHANA SINGH/STA"</f>
        <v>IB:Sent NEFT KKBKH20328892892/ARADHANA SINGH/STA</v>
      </c>
      <c r="D226" t="str">
        <f>"000188332058"</f>
        <v>000188332058</v>
      </c>
      <c r="E226" s="64">
        <v>24500</v>
      </c>
      <c r="F226" t="s">
        <v>362</v>
      </c>
      <c r="G226" s="64">
        <v>186594</v>
      </c>
      <c r="H226" t="s">
        <v>363</v>
      </c>
    </row>
    <row r="227" spans="1:8">
      <c r="A227" s="68"/>
      <c r="B227" s="63" t="s">
        <v>1160</v>
      </c>
      <c r="C227" t="str">
        <f>"IB:Sent NEFT KKBKH20328892899/SUBHADEEP BANERJEE"</f>
        <v>IB:Sent NEFT KKBKH20328892899/SUBHADEEP BANERJEE</v>
      </c>
      <c r="D227" t="str">
        <f>"000188332065"</f>
        <v>000188332065</v>
      </c>
      <c r="E227" s="64">
        <v>3450</v>
      </c>
      <c r="F227" t="s">
        <v>362</v>
      </c>
      <c r="G227" s="64">
        <v>183144</v>
      </c>
      <c r="H227" t="s">
        <v>363</v>
      </c>
    </row>
    <row r="228" spans="1:8">
      <c r="A228" s="68"/>
      <c r="B228" s="63" t="s">
        <v>1160</v>
      </c>
      <c r="C228" t="str">
        <f>"IB:Sent NEFT KKBKH20328893106/SANDEEP MISHRA/ICI"</f>
        <v>IB:Sent NEFT KKBKH20328893106/SANDEEP MISHRA/ICI</v>
      </c>
      <c r="D228" t="str">
        <f>"000188332072"</f>
        <v>000188332072</v>
      </c>
      <c r="E228" s="64">
        <v>1287</v>
      </c>
      <c r="F228" t="s">
        <v>362</v>
      </c>
      <c r="G228" s="64">
        <v>181857</v>
      </c>
      <c r="H228" t="s">
        <v>363</v>
      </c>
    </row>
    <row r="229" spans="1:8">
      <c r="A229" s="68"/>
      <c r="B229" s="63" t="s">
        <v>1114</v>
      </c>
      <c r="C229" t="str">
        <f>"IB:Sent NEFT KKBKH20329755070/HEMANT ARORA/AXIS"</f>
        <v>IB:Sent NEFT KKBKH20329755070/HEMANT ARORA/AXIS</v>
      </c>
      <c r="D229" t="str">
        <f>"000188482862"</f>
        <v>000188482862</v>
      </c>
      <c r="E229" s="64">
        <v>1980</v>
      </c>
      <c r="F229" t="s">
        <v>362</v>
      </c>
      <c r="G229" s="64">
        <v>179877</v>
      </c>
      <c r="H229" t="s">
        <v>363</v>
      </c>
    </row>
    <row r="230" spans="1:8">
      <c r="A230" s="68"/>
      <c r="B230" s="63" t="s">
        <v>1114</v>
      </c>
      <c r="C230" t="str">
        <f>"IB:Sent NEFT KKBKH20329755142/DINESH CHIMAJI AWA"</f>
        <v>IB:Sent NEFT KKBKH20329755142/DINESH CHIMAJI AWA</v>
      </c>
      <c r="D230" t="str">
        <f>"000188483062"</f>
        <v>000188483062</v>
      </c>
      <c r="E230" s="64">
        <v>12230</v>
      </c>
      <c r="F230" t="s">
        <v>362</v>
      </c>
      <c r="G230" s="64">
        <v>167647</v>
      </c>
      <c r="H230" t="s">
        <v>363</v>
      </c>
    </row>
    <row r="231" spans="1:8">
      <c r="A231" s="68"/>
      <c r="B231" s="63" t="s">
        <v>1114</v>
      </c>
      <c r="C231" t="str">
        <f>"IB:Sent NEFT KKBKH20329755224/DINESH CHIMAJI AWA"</f>
        <v>IB:Sent NEFT KKBKH20329755224/DINESH CHIMAJI AWA</v>
      </c>
      <c r="D231" t="str">
        <f>"000188483223"</f>
        <v>000188483223</v>
      </c>
      <c r="E231" s="64">
        <v>2772</v>
      </c>
      <c r="F231" t="s">
        <v>362</v>
      </c>
      <c r="G231" s="64">
        <v>164875</v>
      </c>
      <c r="H231" t="s">
        <v>363</v>
      </c>
    </row>
    <row r="232" spans="1:8">
      <c r="A232" s="68"/>
      <c r="B232" s="63" t="s">
        <v>1114</v>
      </c>
      <c r="C232" t="str">
        <f>"IB:Sent NEFT KKBKH20329755230/ALOK MAJUMDER/BANK"</f>
        <v>IB:Sent NEFT KKBKH20329755230/ALOK MAJUMDER/BANK</v>
      </c>
      <c r="D232" t="str">
        <f>"000188483229"</f>
        <v>000188483229</v>
      </c>
      <c r="E232" s="64">
        <v>3035</v>
      </c>
      <c r="F232" t="s">
        <v>362</v>
      </c>
      <c r="G232" s="64">
        <v>161840</v>
      </c>
      <c r="H232" t="s">
        <v>363</v>
      </c>
    </row>
    <row r="233" spans="1:8">
      <c r="A233" s="68"/>
      <c r="B233" s="63" t="s">
        <v>1114</v>
      </c>
      <c r="C233" t="str">
        <f>"IB:Sent NEFT KKBKH20329755307/KARAN/ANDHRA BAN"</f>
        <v>IB:Sent NEFT KKBKH20329755307/KARAN/ANDHRA BAN</v>
      </c>
      <c r="D233" t="str">
        <f>"000188482898"</f>
        <v>000188482898</v>
      </c>
      <c r="E233" s="64">
        <v>5000</v>
      </c>
      <c r="F233" t="s">
        <v>362</v>
      </c>
      <c r="G233" s="64">
        <v>156840</v>
      </c>
      <c r="H233" t="s">
        <v>363</v>
      </c>
    </row>
    <row r="234" spans="1:8">
      <c r="A234" s="68"/>
      <c r="B234" s="63" t="s">
        <v>1114</v>
      </c>
      <c r="C234" t="str">
        <f>"IB:Sent NEFT KKBKH20329755169/PANCHAL KRISHNKANT"</f>
        <v>IB:Sent NEFT KKBKH20329755169/PANCHAL KRISHNKANT</v>
      </c>
      <c r="D234" t="str">
        <f>"000188483089"</f>
        <v>000188483089</v>
      </c>
      <c r="E234" s="64">
        <v>5376</v>
      </c>
      <c r="F234" t="s">
        <v>362</v>
      </c>
      <c r="G234" s="64">
        <v>151464</v>
      </c>
      <c r="H234" t="s">
        <v>363</v>
      </c>
    </row>
    <row r="235" spans="1:8">
      <c r="A235" s="68"/>
      <c r="B235" s="63" t="s">
        <v>1161</v>
      </c>
      <c r="C235" t="str">
        <f>" MR HIRA LAL  SHARMA STATE BANK OF IND"</f>
        <v xml:space="preserve"> MR HIRA LAL  SHARMA STATE BANK OF IND</v>
      </c>
      <c r="D235" t="str">
        <f>"28"</f>
        <v>28</v>
      </c>
      <c r="E235" s="64">
        <v>3000</v>
      </c>
      <c r="F235" t="s">
        <v>362</v>
      </c>
      <c r="G235" s="64">
        <v>148464</v>
      </c>
      <c r="H235" t="s">
        <v>363</v>
      </c>
    </row>
    <row r="236" spans="1:8">
      <c r="A236" s="68"/>
      <c r="B236" s="63" t="s">
        <v>1162</v>
      </c>
      <c r="C236" t="str">
        <f>"IB: FUND TRANSFER TO PANKAJ MADAN"</f>
        <v>IB: FUND TRANSFER TO PANKAJ MADAN</v>
      </c>
      <c r="D236" t="str">
        <f>"IB"</f>
        <v>IB</v>
      </c>
      <c r="E236" s="64">
        <v>10000</v>
      </c>
      <c r="F236" t="s">
        <v>362</v>
      </c>
      <c r="G236" s="64">
        <v>138464</v>
      </c>
      <c r="H236" t="s">
        <v>363</v>
      </c>
    </row>
    <row r="237" spans="1:8">
      <c r="A237" s="68"/>
      <c r="B237" s="63" t="s">
        <v>1162</v>
      </c>
      <c r="C237" t="str">
        <f>"IB:Sent NEFT KKBKH20332606916/SANDEEP MISHRA/ICI"</f>
        <v>IB:Sent NEFT KKBKH20332606916/SANDEEP MISHRA/ICI</v>
      </c>
      <c r="D237" t="str">
        <f>"000188909153"</f>
        <v>000188909153</v>
      </c>
      <c r="E237" s="64">
        <v>5376</v>
      </c>
      <c r="F237" t="s">
        <v>362</v>
      </c>
      <c r="G237" s="64">
        <v>133088</v>
      </c>
      <c r="H237" t="s">
        <v>363</v>
      </c>
    </row>
    <row r="238" spans="1:8">
      <c r="A238" s="68"/>
      <c r="B238" s="63" t="s">
        <v>1162</v>
      </c>
      <c r="C238" t="str">
        <f>"IB:Sent NEFT KKBKH20332606941/RAHUL/ANDHRA BAN"</f>
        <v>IB:Sent NEFT KKBKH20332606941/RAHUL/ANDHRA BAN</v>
      </c>
      <c r="D238" t="str">
        <f>"000188909178"</f>
        <v>000188909178</v>
      </c>
      <c r="E238" s="64">
        <v>5000</v>
      </c>
      <c r="F238" t="s">
        <v>362</v>
      </c>
      <c r="G238" s="64">
        <v>128088</v>
      </c>
      <c r="H238" t="s">
        <v>363</v>
      </c>
    </row>
    <row r="239" spans="1:8">
      <c r="A239" s="68"/>
      <c r="B239" s="63" t="s">
        <v>1162</v>
      </c>
      <c r="C239" t="str">
        <f>"IB:Sent NEFT KKBKH20332606958/GAYTRI CHANDRA PAN"</f>
        <v>IB:Sent NEFT KKBKH20332606958/GAYTRI CHANDRA PAN</v>
      </c>
      <c r="D239" t="str">
        <f>"000188909195"</f>
        <v>000188909195</v>
      </c>
      <c r="E239" s="64">
        <v>6000</v>
      </c>
      <c r="F239" t="s">
        <v>362</v>
      </c>
      <c r="G239" s="64">
        <v>122088</v>
      </c>
      <c r="H239" t="s">
        <v>363</v>
      </c>
    </row>
    <row r="240" spans="1:8">
      <c r="A240" s="68"/>
      <c r="B240" s="63" t="s">
        <v>1162</v>
      </c>
      <c r="C240" t="str">
        <f>"IB:Sent NEFT KKBKH20332607060/CITI CREDIT CARD/C"</f>
        <v>IB:Sent NEFT KKBKH20332607060/CITI CREDIT CARD/C</v>
      </c>
      <c r="D240" t="str">
        <f>"000188908756"</f>
        <v>000188908756</v>
      </c>
      <c r="E240" s="64">
        <v>11061</v>
      </c>
      <c r="F240" t="s">
        <v>362</v>
      </c>
      <c r="G240" s="64">
        <v>111027</v>
      </c>
      <c r="H240" t="s">
        <v>363</v>
      </c>
    </row>
    <row r="241" spans="1:8">
      <c r="A241" s="68"/>
      <c r="B241" s="53">
        <v>43842</v>
      </c>
      <c r="C241" t="str">
        <f>"IB:Sent NEFT KKBKH20336767146/GAYTRI CHANDRA PAN"</f>
        <v>IB:Sent NEFT KKBKH20336767146/GAYTRI CHANDRA PAN</v>
      </c>
      <c r="D241" t="str">
        <f>"000189354659"</f>
        <v>000189354659</v>
      </c>
      <c r="E241" s="64">
        <v>7508</v>
      </c>
      <c r="F241" t="s">
        <v>362</v>
      </c>
      <c r="G241" s="64">
        <v>103519</v>
      </c>
      <c r="H241" t="s">
        <v>363</v>
      </c>
    </row>
    <row r="242" spans="1:8">
      <c r="A242" s="68"/>
      <c r="B242" s="53">
        <v>43842</v>
      </c>
      <c r="C242" t="str">
        <f>"IB:Sent NEFT KKBKH20336767244/RAJENDRA PANIKAR/U"</f>
        <v>IB:Sent NEFT KKBKH20336767244/RAJENDRA PANIKAR/U</v>
      </c>
      <c r="D242" t="str">
        <f>"000189354866"</f>
        <v>000189354866</v>
      </c>
      <c r="E242" s="64">
        <v>10000</v>
      </c>
      <c r="F242" t="s">
        <v>362</v>
      </c>
      <c r="G242" s="64">
        <v>93519</v>
      </c>
      <c r="H242" t="s">
        <v>363</v>
      </c>
    </row>
    <row r="243" spans="1:8">
      <c r="A243" s="68"/>
      <c r="B243" s="53">
        <v>43842</v>
      </c>
      <c r="C243" t="str">
        <f>"IB:Sent NEFT KKBKH20336767078/ABHIPSA MOHANTY/CE"</f>
        <v>IB:Sent NEFT KKBKH20336767078/ABHIPSA MOHANTY/CE</v>
      </c>
      <c r="D243" t="str">
        <f>"000189354548"</f>
        <v>000189354548</v>
      </c>
      <c r="E243" s="64">
        <v>6500</v>
      </c>
      <c r="F243" t="s">
        <v>362</v>
      </c>
      <c r="G243" s="64">
        <v>87019</v>
      </c>
      <c r="H243" t="s">
        <v>363</v>
      </c>
    </row>
    <row r="244" spans="1:8">
      <c r="A244" s="68"/>
      <c r="B244" s="53">
        <v>43842</v>
      </c>
      <c r="C244" t="str">
        <f>"IB:Sent NEFT KKBKH20336767302/HARISHA KRISHNAMUR"</f>
        <v>IB:Sent NEFT KKBKH20336767302/HARISHA KRISHNAMUR</v>
      </c>
      <c r="D244" t="str">
        <f>"000189354572"</f>
        <v>000189354572</v>
      </c>
      <c r="E244" s="64">
        <v>4000</v>
      </c>
      <c r="F244" t="s">
        <v>362</v>
      </c>
      <c r="G244" s="64">
        <v>83019</v>
      </c>
      <c r="H244" t="s">
        <v>363</v>
      </c>
    </row>
    <row r="245" spans="1:8">
      <c r="A245" s="68"/>
      <c r="B245" s="53">
        <v>43842</v>
      </c>
      <c r="C245" t="str">
        <f>"IB:Sent NEFT KKBKH20336767191/RAJNISH KUMAR JHA/"</f>
        <v>IB:Sent NEFT KKBKH20336767191/RAJNISH KUMAR JHA/</v>
      </c>
      <c r="D245" t="str">
        <f>"000189354704"</f>
        <v>000189354704</v>
      </c>
      <c r="E245" s="64">
        <v>1900</v>
      </c>
      <c r="F245" t="s">
        <v>362</v>
      </c>
      <c r="G245" s="64">
        <v>81119</v>
      </c>
      <c r="H245" t="s">
        <v>363</v>
      </c>
    </row>
    <row r="246" spans="1:8">
      <c r="A246" s="68"/>
      <c r="B246" s="53">
        <v>43873</v>
      </c>
      <c r="C246" t="str">
        <f>"NEFT 1202I26455160321 VAISHNAVI DO RAMPAL REKWAR"</f>
        <v>NEFT 1202I26455160321 VAISHNAVI DO RAMPAL REKWAR</v>
      </c>
      <c r="D246" t="str">
        <f>"NEFTINW-0251789552"</f>
        <v>NEFTINW-0251789552</v>
      </c>
      <c r="E246" s="64">
        <v>25000</v>
      </c>
      <c r="F246" t="s">
        <v>363</v>
      </c>
      <c r="G246" s="64">
        <v>106119</v>
      </c>
      <c r="H246" t="s">
        <v>363</v>
      </c>
    </row>
    <row r="247" spans="1:8">
      <c r="A247" s="68"/>
      <c r="B247" s="53">
        <v>43873</v>
      </c>
      <c r="C247" t="str">
        <f>"IB:Sent NEFT KKBKH20337650138/ACUMEUS RESEARCH B"</f>
        <v>IB:Sent NEFT KKBKH20337650138/ACUMEUS RESEARCH B</v>
      </c>
      <c r="D247" t="str">
        <f>"000189538262"</f>
        <v>000189538262</v>
      </c>
      <c r="E247" s="64">
        <v>87300</v>
      </c>
      <c r="F247" t="s">
        <v>362</v>
      </c>
      <c r="G247" s="64">
        <v>18819</v>
      </c>
      <c r="H247" t="s">
        <v>363</v>
      </c>
    </row>
    <row r="248" spans="1:8">
      <c r="A248" s="68"/>
      <c r="B248" s="53">
        <v>43933</v>
      </c>
      <c r="C248" t="str">
        <f>"IB:Sent NEFT KKBKH20339785824/BHAVESH TULSIBHAI"</f>
        <v>IB:Sent NEFT KKBKH20339785824/BHAVESH TULSIBHAI</v>
      </c>
      <c r="D248" t="str">
        <f>"000189951988"</f>
        <v>000189951988</v>
      </c>
      <c r="E248" s="64">
        <v>2661</v>
      </c>
      <c r="F248" t="s">
        <v>362</v>
      </c>
      <c r="G248" s="64">
        <v>16158</v>
      </c>
      <c r="H248" t="s">
        <v>363</v>
      </c>
    </row>
    <row r="249" spans="1:8">
      <c r="A249" s="68"/>
      <c r="B249" s="53">
        <v>43933</v>
      </c>
      <c r="C249" t="str">
        <f>"IB:Sent NEFT KKBKH20339785635/AMANDEEP SINGH/AXI"</f>
        <v>IB:Sent NEFT KKBKH20339785635/AMANDEEP SINGH/AXI</v>
      </c>
      <c r="D249" t="str">
        <f>"000189952137"</f>
        <v>000189952137</v>
      </c>
      <c r="E249" s="64">
        <v>3385</v>
      </c>
      <c r="F249" t="s">
        <v>362</v>
      </c>
      <c r="G249" s="64">
        <v>12773</v>
      </c>
      <c r="H249" t="s">
        <v>363</v>
      </c>
    </row>
    <row r="250" spans="1:8">
      <c r="A250" s="68"/>
      <c r="B250" s="53">
        <v>43933</v>
      </c>
      <c r="C250" t="str">
        <f>"IB:Sent NEFT KKBKH20339785849/DINESH CHIMAJI AWA"</f>
        <v>IB:Sent NEFT KKBKH20339785849/DINESH CHIMAJI AWA</v>
      </c>
      <c r="D250" t="str">
        <f>"000189952413"</f>
        <v>000189952413</v>
      </c>
      <c r="E250" s="64">
        <v>4752</v>
      </c>
      <c r="F250" t="s">
        <v>362</v>
      </c>
      <c r="G250" s="64">
        <v>8021</v>
      </c>
      <c r="H250" t="s">
        <v>363</v>
      </c>
    </row>
    <row r="251" spans="1:8">
      <c r="A251" s="68"/>
      <c r="B251" s="53">
        <v>43933</v>
      </c>
      <c r="C251" t="str">
        <f>"IB:Sent NEFT KKBKH20339785863/SANTOSH M KODEKALL"</f>
        <v>IB:Sent NEFT KKBKH20339785863/SANTOSH M KODEKALL</v>
      </c>
      <c r="D251" t="str">
        <f>"000189952427"</f>
        <v>000189952427</v>
      </c>
      <c r="E251" s="64">
        <v>5148</v>
      </c>
      <c r="F251" t="s">
        <v>362</v>
      </c>
      <c r="G251" s="64">
        <v>2873</v>
      </c>
      <c r="H251" t="s">
        <v>363</v>
      </c>
    </row>
    <row r="252" spans="1:8">
      <c r="A252" s="68"/>
    </row>
    <row r="253" spans="1:8">
      <c r="A253" s="68"/>
    </row>
    <row r="254" spans="1:8">
      <c r="A254" s="68"/>
    </row>
    <row r="255" spans="1:8">
      <c r="A255" s="68"/>
    </row>
    <row r="256" spans="1:8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</sheetData>
  <autoFilter ref="A12:O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55"/>
  <sheetViews>
    <sheetView workbookViewId="0">
      <pane xSplit="5" ySplit="14" topLeftCell="F32" activePane="bottomRight" state="frozen"/>
      <selection pane="topRight" activeCell="F1" sqref="F1"/>
      <selection pane="bottomLeft" activeCell="A14" sqref="A14"/>
      <selection pane="bottomRight" activeCell="A41" sqref="A41"/>
    </sheetView>
  </sheetViews>
  <sheetFormatPr defaultRowHeight="15"/>
  <cols>
    <col min="1" max="1" width="5.140625" style="18" customWidth="1"/>
    <col min="2" max="2" width="16.5703125" style="53" bestFit="1" customWidth="1"/>
    <col min="3" max="3" width="16.85546875" bestFit="1" customWidth="1"/>
    <col min="4" max="4" width="24.42578125" bestFit="1" customWidth="1"/>
    <col min="5" max="5" width="32" bestFit="1" customWidth="1"/>
    <col min="6" max="6" width="18.85546875" style="18" bestFit="1" customWidth="1"/>
    <col min="7" max="7" width="10" style="18" bestFit="1" customWidth="1"/>
    <col min="8" max="8" width="9.85546875" style="18" bestFit="1" customWidth="1"/>
    <col min="9" max="10" width="11" style="18" bestFit="1" customWidth="1"/>
    <col min="11" max="11" width="11.5703125" style="18" customWidth="1"/>
    <col min="12" max="12" width="13.7109375" style="20" bestFit="1" customWidth="1"/>
    <col min="13" max="13" width="13" style="18" customWidth="1"/>
    <col min="14" max="14" width="10.7109375" style="19" bestFit="1" customWidth="1"/>
    <col min="15" max="16" width="14.42578125" style="18" customWidth="1"/>
    <col min="17" max="17" width="17.28515625" style="79" bestFit="1" customWidth="1"/>
    <col min="18" max="31" width="14.42578125" customWidth="1"/>
  </cols>
  <sheetData>
    <row r="1" spans="1:20">
      <c r="A1" s="14" t="s">
        <v>51</v>
      </c>
      <c r="B1" s="27" t="s">
        <v>46</v>
      </c>
      <c r="C1" s="13" t="s">
        <v>44</v>
      </c>
      <c r="D1" s="13" t="s">
        <v>59</v>
      </c>
      <c r="E1" s="13" t="s">
        <v>47</v>
      </c>
      <c r="F1" s="14" t="s">
        <v>45</v>
      </c>
      <c r="G1" s="14" t="s">
        <v>48</v>
      </c>
      <c r="H1" s="14" t="s">
        <v>49</v>
      </c>
      <c r="I1" s="14" t="s">
        <v>50</v>
      </c>
      <c r="J1" s="14" t="s">
        <v>55</v>
      </c>
      <c r="K1" s="14" t="s">
        <v>56</v>
      </c>
      <c r="L1" s="15" t="s">
        <v>57</v>
      </c>
      <c r="M1" s="16" t="s">
        <v>53</v>
      </c>
      <c r="N1" s="17" t="s">
        <v>54</v>
      </c>
      <c r="O1" s="16" t="s">
        <v>58</v>
      </c>
      <c r="P1" s="70" t="s">
        <v>497</v>
      </c>
      <c r="Q1" s="76" t="s">
        <v>498</v>
      </c>
    </row>
    <row r="2" spans="1:20">
      <c r="A2" s="14">
        <v>1</v>
      </c>
      <c r="B2" s="27" t="s">
        <v>436</v>
      </c>
      <c r="C2" s="38" t="s">
        <v>33</v>
      </c>
      <c r="D2" s="38" t="s">
        <v>437</v>
      </c>
      <c r="E2" s="38" t="s">
        <v>438</v>
      </c>
      <c r="F2" s="14">
        <v>97500</v>
      </c>
      <c r="G2" s="14"/>
      <c r="H2" s="14"/>
      <c r="I2" s="14"/>
      <c r="J2" s="14"/>
      <c r="K2" s="14">
        <v>97500</v>
      </c>
      <c r="L2" s="15"/>
      <c r="M2" s="16"/>
      <c r="N2" s="17"/>
      <c r="O2" s="16"/>
      <c r="P2" s="70"/>
      <c r="Q2" s="76"/>
      <c r="R2" t="s">
        <v>157</v>
      </c>
    </row>
    <row r="3" spans="1:20" s="40" customFormat="1">
      <c r="A3" s="54">
        <v>2</v>
      </c>
      <c r="B3" s="55" t="s">
        <v>146</v>
      </c>
      <c r="C3" s="56" t="s">
        <v>152</v>
      </c>
      <c r="D3" s="56" t="s">
        <v>136</v>
      </c>
      <c r="E3" s="56" t="s">
        <v>147</v>
      </c>
      <c r="F3" s="54">
        <v>92500</v>
      </c>
      <c r="G3" s="54"/>
      <c r="H3" s="54"/>
      <c r="I3" s="54">
        <f t="shared" ref="I3:I8" si="0">F3*18%</f>
        <v>16650</v>
      </c>
      <c r="J3" s="54">
        <f>F3*10%</f>
        <v>9250</v>
      </c>
      <c r="K3" s="54">
        <f t="shared" ref="K3:K12" si="1">F3-J3</f>
        <v>83250</v>
      </c>
      <c r="L3" s="57">
        <f t="shared" ref="L3:L9" si="2">K3+G3+H3+I3</f>
        <v>99900</v>
      </c>
      <c r="M3" s="54">
        <v>99900</v>
      </c>
      <c r="N3" s="58">
        <v>44025</v>
      </c>
      <c r="O3" s="57">
        <f t="shared" ref="O3:O9" si="3">L3-M3</f>
        <v>0</v>
      </c>
      <c r="P3" s="71" t="s">
        <v>600</v>
      </c>
      <c r="Q3" s="77"/>
      <c r="R3" s="40" t="s">
        <v>157</v>
      </c>
      <c r="S3" s="40" t="s">
        <v>294</v>
      </c>
    </row>
    <row r="4" spans="1:20" s="40" customFormat="1">
      <c r="A4" s="54">
        <v>3</v>
      </c>
      <c r="B4" s="55" t="s">
        <v>146</v>
      </c>
      <c r="C4" s="56" t="s">
        <v>153</v>
      </c>
      <c r="D4" s="56" t="s">
        <v>148</v>
      </c>
      <c r="E4" s="56" t="s">
        <v>149</v>
      </c>
      <c r="F4" s="54">
        <v>396000</v>
      </c>
      <c r="G4" s="54"/>
      <c r="H4" s="54"/>
      <c r="I4" s="54">
        <f t="shared" si="0"/>
        <v>71280</v>
      </c>
      <c r="J4" s="54">
        <f t="shared" ref="J4:J11" si="4">F4*7.5%</f>
        <v>29700</v>
      </c>
      <c r="K4" s="54">
        <f t="shared" si="1"/>
        <v>366300</v>
      </c>
      <c r="L4" s="57">
        <f t="shared" si="2"/>
        <v>437580</v>
      </c>
      <c r="M4" s="54">
        <v>437580</v>
      </c>
      <c r="N4" s="58">
        <v>44025</v>
      </c>
      <c r="O4" s="57">
        <f t="shared" si="3"/>
        <v>0</v>
      </c>
      <c r="P4" s="71" t="s">
        <v>806</v>
      </c>
      <c r="Q4" s="77"/>
      <c r="R4" s="40" t="s">
        <v>157</v>
      </c>
      <c r="S4" s="40" t="s">
        <v>296</v>
      </c>
    </row>
    <row r="5" spans="1:20" s="40" customFormat="1">
      <c r="A5" s="14">
        <v>4</v>
      </c>
      <c r="B5" s="55">
        <v>43957</v>
      </c>
      <c r="C5" s="56" t="s">
        <v>154</v>
      </c>
      <c r="D5" s="56" t="s">
        <v>150</v>
      </c>
      <c r="E5" s="56" t="s">
        <v>151</v>
      </c>
      <c r="F5" s="54">
        <v>34100</v>
      </c>
      <c r="G5" s="54"/>
      <c r="H5" s="54"/>
      <c r="I5" s="54">
        <f t="shared" si="0"/>
        <v>6138</v>
      </c>
      <c r="J5" s="54">
        <f t="shared" si="4"/>
        <v>2557.5</v>
      </c>
      <c r="K5" s="54">
        <f t="shared" si="1"/>
        <v>31542.5</v>
      </c>
      <c r="L5" s="57">
        <f t="shared" si="2"/>
        <v>37680.5</v>
      </c>
      <c r="M5" s="54">
        <v>37680</v>
      </c>
      <c r="N5" s="58">
        <v>43991</v>
      </c>
      <c r="O5" s="57">
        <f t="shared" si="3"/>
        <v>0.5</v>
      </c>
      <c r="P5" s="71" t="s">
        <v>806</v>
      </c>
      <c r="Q5" s="77"/>
      <c r="R5" s="59" t="s">
        <v>157</v>
      </c>
      <c r="S5" s="40" t="s">
        <v>158</v>
      </c>
    </row>
    <row r="6" spans="1:20" s="40" customFormat="1">
      <c r="A6" s="54">
        <v>5</v>
      </c>
      <c r="B6" s="55">
        <v>43988</v>
      </c>
      <c r="C6" s="56" t="s">
        <v>155</v>
      </c>
      <c r="D6" s="56" t="s">
        <v>156</v>
      </c>
      <c r="E6" s="56" t="s">
        <v>147</v>
      </c>
      <c r="F6" s="54">
        <v>17450</v>
      </c>
      <c r="G6" s="54"/>
      <c r="H6" s="54"/>
      <c r="I6" s="54">
        <f t="shared" si="0"/>
        <v>3141</v>
      </c>
      <c r="J6" s="54">
        <f t="shared" si="4"/>
        <v>1308.75</v>
      </c>
      <c r="K6" s="54">
        <f t="shared" si="1"/>
        <v>16141.25</v>
      </c>
      <c r="L6" s="57">
        <f t="shared" si="2"/>
        <v>19282.25</v>
      </c>
      <c r="M6" s="54">
        <v>19282.25</v>
      </c>
      <c r="N6" s="58">
        <v>44037</v>
      </c>
      <c r="O6" s="57">
        <f t="shared" si="3"/>
        <v>0</v>
      </c>
      <c r="P6" s="71" t="s">
        <v>600</v>
      </c>
      <c r="Q6" s="77"/>
      <c r="R6" s="40" t="s">
        <v>157</v>
      </c>
      <c r="S6" s="40" t="s">
        <v>295</v>
      </c>
    </row>
    <row r="7" spans="1:20" s="40" customFormat="1">
      <c r="A7" s="54">
        <v>6</v>
      </c>
      <c r="B7" s="55">
        <v>43868</v>
      </c>
      <c r="C7" s="56" t="s">
        <v>290</v>
      </c>
      <c r="D7" s="56" t="s">
        <v>291</v>
      </c>
      <c r="E7" s="56" t="s">
        <v>283</v>
      </c>
      <c r="F7" s="54">
        <v>749105</v>
      </c>
      <c r="G7" s="54"/>
      <c r="H7" s="54"/>
      <c r="I7" s="54">
        <f t="shared" si="0"/>
        <v>134838.9</v>
      </c>
      <c r="J7" s="54">
        <f t="shared" si="4"/>
        <v>56182.875</v>
      </c>
      <c r="K7" s="54">
        <f t="shared" si="1"/>
        <v>692922.125</v>
      </c>
      <c r="L7" s="57">
        <f t="shared" si="2"/>
        <v>827761.02500000002</v>
      </c>
      <c r="M7" s="54">
        <v>827761</v>
      </c>
      <c r="N7" s="58">
        <v>44078</v>
      </c>
      <c r="O7" s="57">
        <f t="shared" si="3"/>
        <v>2.5000000023283064E-2</v>
      </c>
      <c r="P7" s="71" t="s">
        <v>600</v>
      </c>
      <c r="Q7" s="77">
        <v>20080700099330</v>
      </c>
      <c r="R7" s="40" t="s">
        <v>157</v>
      </c>
    </row>
    <row r="8" spans="1:20" s="40" customFormat="1">
      <c r="A8" s="14">
        <v>7</v>
      </c>
      <c r="B8" s="55">
        <v>43897</v>
      </c>
      <c r="C8" s="56" t="s">
        <v>292</v>
      </c>
      <c r="D8" s="56" t="s">
        <v>293</v>
      </c>
      <c r="E8" s="56" t="s">
        <v>147</v>
      </c>
      <c r="F8" s="54">
        <v>32625</v>
      </c>
      <c r="G8" s="54"/>
      <c r="H8" s="54"/>
      <c r="I8" s="54">
        <f t="shared" si="0"/>
        <v>5872.5</v>
      </c>
      <c r="J8" s="54">
        <f t="shared" si="4"/>
        <v>2446.875</v>
      </c>
      <c r="K8" s="54">
        <f t="shared" si="1"/>
        <v>30178.125</v>
      </c>
      <c r="L8" s="57">
        <f t="shared" si="2"/>
        <v>36050.625</v>
      </c>
      <c r="M8" s="54">
        <v>36051</v>
      </c>
      <c r="N8" s="58">
        <v>44085</v>
      </c>
      <c r="O8" s="54">
        <f t="shared" si="3"/>
        <v>-0.375</v>
      </c>
      <c r="P8" s="74" t="s">
        <v>600</v>
      </c>
      <c r="Q8" s="75">
        <v>20080700099403</v>
      </c>
      <c r="R8" s="40" t="s">
        <v>157</v>
      </c>
      <c r="S8" s="40" t="s">
        <v>294</v>
      </c>
      <c r="T8" s="74" t="s">
        <v>499</v>
      </c>
    </row>
    <row r="9" spans="1:20" s="40" customFormat="1">
      <c r="A9" s="54">
        <v>8</v>
      </c>
      <c r="B9" s="83">
        <v>44050</v>
      </c>
      <c r="C9" s="84" t="s">
        <v>297</v>
      </c>
      <c r="D9" s="84" t="s">
        <v>298</v>
      </c>
      <c r="E9" s="84" t="s">
        <v>299</v>
      </c>
      <c r="F9" s="82">
        <v>46500</v>
      </c>
      <c r="G9" s="82">
        <f>F9*9%</f>
        <v>4185</v>
      </c>
      <c r="H9" s="82">
        <f>F9*9%</f>
        <v>4185</v>
      </c>
      <c r="I9" s="82">
        <v>0</v>
      </c>
      <c r="J9" s="82">
        <f t="shared" si="4"/>
        <v>3487.5</v>
      </c>
      <c r="K9" s="82">
        <f t="shared" si="1"/>
        <v>43012.5</v>
      </c>
      <c r="L9" s="85">
        <f t="shared" si="2"/>
        <v>51382.5</v>
      </c>
      <c r="M9" s="82">
        <f>F9-J9</f>
        <v>43012.5</v>
      </c>
      <c r="N9" s="86">
        <v>44077</v>
      </c>
      <c r="O9" s="82">
        <f t="shared" si="3"/>
        <v>8370</v>
      </c>
      <c r="P9" s="72" t="s">
        <v>600</v>
      </c>
      <c r="Q9" s="72" t="s">
        <v>727</v>
      </c>
      <c r="R9" s="40" t="s">
        <v>157</v>
      </c>
      <c r="S9" s="40" t="s">
        <v>324</v>
      </c>
    </row>
    <row r="10" spans="1:20" s="40" customFormat="1">
      <c r="A10" s="54">
        <v>9</v>
      </c>
      <c r="B10" s="55">
        <v>44050</v>
      </c>
      <c r="C10" s="56" t="s">
        <v>300</v>
      </c>
      <c r="D10" s="56" t="s">
        <v>301</v>
      </c>
      <c r="E10" s="56" t="s">
        <v>299</v>
      </c>
      <c r="F10" s="54">
        <v>50000</v>
      </c>
      <c r="G10" s="54">
        <f>F10*9%</f>
        <v>4500</v>
      </c>
      <c r="H10" s="54">
        <f>F10*9%</f>
        <v>4500</v>
      </c>
      <c r="I10" s="54">
        <v>0</v>
      </c>
      <c r="J10" s="54">
        <f t="shared" si="4"/>
        <v>3750</v>
      </c>
      <c r="K10" s="54">
        <f t="shared" si="1"/>
        <v>46250</v>
      </c>
      <c r="L10" s="57">
        <f t="shared" ref="L10" si="5">K10+G10+H10+I10</f>
        <v>55250</v>
      </c>
      <c r="M10" s="54">
        <f>F10-J10+9000</f>
        <v>55250</v>
      </c>
      <c r="N10" s="58">
        <v>44077</v>
      </c>
      <c r="O10" s="54">
        <f t="shared" ref="O10" si="6">L10-M10</f>
        <v>0</v>
      </c>
      <c r="P10" s="72" t="s">
        <v>600</v>
      </c>
      <c r="Q10" s="72" t="s">
        <v>727</v>
      </c>
      <c r="S10" s="40" t="s">
        <v>324</v>
      </c>
      <c r="T10" s="138">
        <v>44145</v>
      </c>
    </row>
    <row r="11" spans="1:20" s="40" customFormat="1">
      <c r="A11" s="14">
        <v>10</v>
      </c>
      <c r="B11" s="55">
        <v>44081</v>
      </c>
      <c r="C11" s="56" t="s">
        <v>315</v>
      </c>
      <c r="D11" s="56" t="s">
        <v>287</v>
      </c>
      <c r="E11" s="56" t="s">
        <v>147</v>
      </c>
      <c r="F11" s="54">
        <v>136100</v>
      </c>
      <c r="G11" s="54"/>
      <c r="H11" s="54"/>
      <c r="I11" s="54">
        <f t="shared" ref="I11:I12" si="7">F11*18%</f>
        <v>24498</v>
      </c>
      <c r="J11" s="54">
        <f t="shared" si="4"/>
        <v>10207.5</v>
      </c>
      <c r="K11" s="54">
        <f t="shared" si="1"/>
        <v>125892.5</v>
      </c>
      <c r="L11" s="57">
        <f t="shared" ref="L11" si="8">K11+G11+H11+I11</f>
        <v>150390.5</v>
      </c>
      <c r="M11" s="54">
        <v>150391</v>
      </c>
      <c r="N11" s="58">
        <v>44085</v>
      </c>
      <c r="O11" s="54">
        <f t="shared" ref="O11" si="9">L11-M11</f>
        <v>-0.5</v>
      </c>
      <c r="P11" s="72" t="s">
        <v>600</v>
      </c>
      <c r="Q11" s="75"/>
      <c r="S11" s="40" t="s">
        <v>322</v>
      </c>
    </row>
    <row r="12" spans="1:20" s="40" customFormat="1">
      <c r="A12" s="54">
        <v>11</v>
      </c>
      <c r="B12" s="55">
        <v>44111</v>
      </c>
      <c r="C12" s="56" t="s">
        <v>316</v>
      </c>
      <c r="D12" s="56" t="s">
        <v>320</v>
      </c>
      <c r="E12" s="56" t="s">
        <v>321</v>
      </c>
      <c r="F12" s="54">
        <v>57097.5</v>
      </c>
      <c r="G12" s="54"/>
      <c r="H12" s="54"/>
      <c r="I12" s="54">
        <f t="shared" si="7"/>
        <v>10277.549999999999</v>
      </c>
      <c r="J12" s="54">
        <f t="shared" ref="J12:J17" si="10">F12*10%</f>
        <v>5709.75</v>
      </c>
      <c r="K12" s="54">
        <f t="shared" si="1"/>
        <v>51387.75</v>
      </c>
      <c r="L12" s="57">
        <f t="shared" ref="L12" si="11">K12+G12+H12+I12</f>
        <v>61665.3</v>
      </c>
      <c r="M12" s="54">
        <v>61665</v>
      </c>
      <c r="N12" s="58">
        <v>44023</v>
      </c>
      <c r="O12" s="54">
        <f t="shared" ref="O12" si="12">L12-M12</f>
        <v>0.30000000000291038</v>
      </c>
      <c r="P12" s="73" t="s">
        <v>806</v>
      </c>
      <c r="Q12" s="77"/>
    </row>
    <row r="13" spans="1:20" s="40" customFormat="1">
      <c r="A13" s="54">
        <v>12</v>
      </c>
      <c r="B13" s="55">
        <v>44111</v>
      </c>
      <c r="C13" s="56" t="s">
        <v>318</v>
      </c>
      <c r="D13" s="56" t="s">
        <v>317</v>
      </c>
      <c r="E13" s="56" t="s">
        <v>147</v>
      </c>
      <c r="F13" s="54">
        <v>122850</v>
      </c>
      <c r="G13" s="54"/>
      <c r="H13" s="54"/>
      <c r="I13" s="54">
        <f t="shared" ref="I13:I14" si="13">F13*18%</f>
        <v>22113</v>
      </c>
      <c r="J13" s="54">
        <f>F13*7.5%</f>
        <v>9213.75</v>
      </c>
      <c r="K13" s="54">
        <f t="shared" ref="K13:K18" si="14">F13-J13</f>
        <v>113636.25</v>
      </c>
      <c r="L13" s="57">
        <f t="shared" ref="L13:L15" si="15">K13+G13+H13+I13</f>
        <v>135749.25</v>
      </c>
      <c r="M13" s="54">
        <v>135749.25</v>
      </c>
      <c r="N13" s="58">
        <v>44085</v>
      </c>
      <c r="O13" s="54">
        <f t="shared" ref="O13:O15" si="16">L13-M13</f>
        <v>0</v>
      </c>
      <c r="P13" s="72" t="s">
        <v>600</v>
      </c>
      <c r="Q13" s="75"/>
      <c r="S13" s="40" t="s">
        <v>323</v>
      </c>
    </row>
    <row r="14" spans="1:20" s="40" customFormat="1">
      <c r="A14" s="14">
        <v>13</v>
      </c>
      <c r="B14" s="55">
        <v>44111</v>
      </c>
      <c r="C14" s="56" t="s">
        <v>319</v>
      </c>
      <c r="D14" s="56" t="s">
        <v>317</v>
      </c>
      <c r="E14" s="56" t="s">
        <v>147</v>
      </c>
      <c r="F14" s="54">
        <v>90000</v>
      </c>
      <c r="G14" s="54"/>
      <c r="H14" s="54"/>
      <c r="I14" s="54">
        <f t="shared" si="13"/>
        <v>16200</v>
      </c>
      <c r="J14" s="54">
        <f>F14*7.5%</f>
        <v>6750</v>
      </c>
      <c r="K14" s="54">
        <f t="shared" si="14"/>
        <v>83250</v>
      </c>
      <c r="L14" s="57">
        <f t="shared" si="15"/>
        <v>99450</v>
      </c>
      <c r="M14" s="54">
        <v>99450</v>
      </c>
      <c r="N14" s="58">
        <v>44085</v>
      </c>
      <c r="O14" s="54">
        <f t="shared" si="16"/>
        <v>0</v>
      </c>
      <c r="P14" s="72" t="s">
        <v>600</v>
      </c>
      <c r="Q14" s="75"/>
      <c r="S14" s="40" t="s">
        <v>323</v>
      </c>
    </row>
    <row r="15" spans="1:20" s="40" customFormat="1">
      <c r="A15" s="54">
        <v>14</v>
      </c>
      <c r="B15" s="55" t="s">
        <v>433</v>
      </c>
      <c r="C15" s="56" t="s">
        <v>434</v>
      </c>
      <c r="D15" s="56" t="s">
        <v>435</v>
      </c>
      <c r="E15" s="56" t="s">
        <v>299</v>
      </c>
      <c r="F15" s="54">
        <v>42900</v>
      </c>
      <c r="G15" s="54">
        <f>F15*9%</f>
        <v>3861</v>
      </c>
      <c r="H15" s="54">
        <f>F15*9%</f>
        <v>3861</v>
      </c>
      <c r="I15" s="54">
        <v>0</v>
      </c>
      <c r="J15" s="54">
        <f>F15*7.5%</f>
        <v>3217.5</v>
      </c>
      <c r="K15" s="54">
        <f t="shared" si="14"/>
        <v>39682.5</v>
      </c>
      <c r="L15" s="57">
        <f t="shared" si="15"/>
        <v>47404.5</v>
      </c>
      <c r="M15" s="54">
        <f>39682.5+7722</f>
        <v>47404.5</v>
      </c>
      <c r="N15" s="58">
        <v>44084</v>
      </c>
      <c r="O15" s="54">
        <f t="shared" si="16"/>
        <v>0</v>
      </c>
      <c r="P15" s="72" t="s">
        <v>600</v>
      </c>
      <c r="Q15" s="72" t="s">
        <v>727</v>
      </c>
      <c r="S15" s="40" t="s">
        <v>324</v>
      </c>
      <c r="T15" s="138">
        <v>44145</v>
      </c>
    </row>
    <row r="16" spans="1:20" s="40" customFormat="1">
      <c r="A16" s="54">
        <v>15</v>
      </c>
      <c r="B16" s="55" t="s">
        <v>470</v>
      </c>
      <c r="C16" s="56" t="s">
        <v>471</v>
      </c>
      <c r="D16" s="56" t="s">
        <v>291</v>
      </c>
      <c r="E16" s="56" t="s">
        <v>283</v>
      </c>
      <c r="F16" s="54">
        <v>374553</v>
      </c>
      <c r="G16" s="54"/>
      <c r="H16" s="54"/>
      <c r="I16" s="54">
        <f t="shared" ref="I16:I17" si="17">F16*18%</f>
        <v>67419.539999999994</v>
      </c>
      <c r="J16" s="54">
        <f>F16*7.5%</f>
        <v>28091.474999999999</v>
      </c>
      <c r="K16" s="54">
        <f t="shared" si="14"/>
        <v>346461.52500000002</v>
      </c>
      <c r="L16" s="57">
        <f t="shared" ref="L16:L18" si="18">K16+G16+H16+I16</f>
        <v>413881.065</v>
      </c>
      <c r="M16" s="54">
        <v>413881.5</v>
      </c>
      <c r="N16" s="58">
        <v>44107</v>
      </c>
      <c r="O16" s="54">
        <f t="shared" ref="O16:O18" si="19">L16-M16</f>
        <v>-0.43499999999767169</v>
      </c>
      <c r="P16" s="74">
        <v>44057</v>
      </c>
      <c r="Q16" s="75">
        <v>20080700099383</v>
      </c>
      <c r="R16" s="40" t="s">
        <v>157</v>
      </c>
    </row>
    <row r="17" spans="1:19" s="40" customFormat="1">
      <c r="A17" s="14">
        <v>16</v>
      </c>
      <c r="B17" s="55">
        <v>43929</v>
      </c>
      <c r="C17" s="56" t="s">
        <v>479</v>
      </c>
      <c r="D17" s="56" t="s">
        <v>320</v>
      </c>
      <c r="E17" s="56" t="s">
        <v>321</v>
      </c>
      <c r="F17" s="54">
        <v>44597</v>
      </c>
      <c r="G17" s="54"/>
      <c r="H17" s="54"/>
      <c r="I17" s="54">
        <f t="shared" si="17"/>
        <v>8027.46</v>
      </c>
      <c r="J17" s="54">
        <f t="shared" si="10"/>
        <v>4459.7</v>
      </c>
      <c r="K17" s="54">
        <f t="shared" si="14"/>
        <v>40137.300000000003</v>
      </c>
      <c r="L17" s="57">
        <f t="shared" si="18"/>
        <v>48164.76</v>
      </c>
      <c r="M17" s="54">
        <v>48165</v>
      </c>
      <c r="N17" s="58">
        <v>44102</v>
      </c>
      <c r="O17" s="54">
        <f t="shared" si="19"/>
        <v>-0.23999999999796273</v>
      </c>
      <c r="P17" s="72" t="s">
        <v>806</v>
      </c>
      <c r="Q17" s="75"/>
    </row>
    <row r="18" spans="1:19" s="40" customFormat="1">
      <c r="A18" s="54">
        <v>17</v>
      </c>
      <c r="B18" s="55">
        <v>43929</v>
      </c>
      <c r="C18" s="56" t="s">
        <v>34</v>
      </c>
      <c r="D18" s="56" t="s">
        <v>481</v>
      </c>
      <c r="E18" s="56" t="s">
        <v>377</v>
      </c>
      <c r="F18" s="54">
        <v>51100</v>
      </c>
      <c r="G18" s="54"/>
      <c r="H18" s="54"/>
      <c r="I18" s="54">
        <v>0</v>
      </c>
      <c r="J18" s="54">
        <v>0</v>
      </c>
      <c r="K18" s="54">
        <f t="shared" si="14"/>
        <v>51100</v>
      </c>
      <c r="L18" s="57">
        <f t="shared" si="18"/>
        <v>51100</v>
      </c>
      <c r="M18" s="54">
        <v>51100</v>
      </c>
      <c r="N18" s="58">
        <v>44047</v>
      </c>
      <c r="O18" s="54">
        <f t="shared" si="19"/>
        <v>0</v>
      </c>
      <c r="P18" s="73" t="s">
        <v>806</v>
      </c>
      <c r="Q18" s="77" t="s">
        <v>849</v>
      </c>
    </row>
    <row r="19" spans="1:19" s="40" customFormat="1">
      <c r="A19" s="54">
        <v>18</v>
      </c>
      <c r="B19" s="50">
        <v>43959</v>
      </c>
      <c r="C19" s="30" t="s">
        <v>491</v>
      </c>
      <c r="D19" s="30" t="s">
        <v>291</v>
      </c>
      <c r="E19" s="30" t="s">
        <v>283</v>
      </c>
      <c r="F19" s="21">
        <v>749105</v>
      </c>
      <c r="G19" s="21"/>
      <c r="H19" s="21"/>
      <c r="I19" s="21">
        <f t="shared" ref="I19:I20" si="20">F19*18%</f>
        <v>134838.9</v>
      </c>
      <c r="J19" s="21">
        <f t="shared" ref="J19" si="21">F19*10%</f>
        <v>74910.5</v>
      </c>
      <c r="K19" s="21">
        <f t="shared" ref="K19:K21" si="22">F19-J19</f>
        <v>674194.5</v>
      </c>
      <c r="L19" s="33">
        <f t="shared" ref="L19" si="23">K19+G19+H19+I19</f>
        <v>809033.4</v>
      </c>
      <c r="M19" s="21"/>
      <c r="N19" s="34"/>
      <c r="O19" s="21">
        <f t="shared" ref="O19" si="24">L19-M19</f>
        <v>809033.4</v>
      </c>
      <c r="P19" s="72"/>
      <c r="Q19" s="75"/>
      <c r="R19" s="40" t="s">
        <v>157</v>
      </c>
    </row>
    <row r="20" spans="1:19" s="40" customFormat="1">
      <c r="A20" s="14">
        <v>19</v>
      </c>
      <c r="B20" s="55" t="s">
        <v>493</v>
      </c>
      <c r="C20" s="56" t="s">
        <v>597</v>
      </c>
      <c r="D20" s="56" t="s">
        <v>494</v>
      </c>
      <c r="E20" s="56" t="s">
        <v>147</v>
      </c>
      <c r="F20" s="54">
        <v>24687.5</v>
      </c>
      <c r="G20" s="54"/>
      <c r="H20" s="54"/>
      <c r="I20" s="54">
        <f t="shared" si="20"/>
        <v>4443.75</v>
      </c>
      <c r="J20" s="54">
        <f>F20*7.5%</f>
        <v>1851.5625</v>
      </c>
      <c r="K20" s="54">
        <f t="shared" si="22"/>
        <v>22835.9375</v>
      </c>
      <c r="L20" s="57">
        <f t="shared" ref="L20:L21" si="25">K20+G20+H20+I20</f>
        <v>27279.6875</v>
      </c>
      <c r="M20" s="54">
        <v>27280</v>
      </c>
      <c r="N20" s="58">
        <v>44127</v>
      </c>
      <c r="O20" s="54">
        <f t="shared" ref="O20:O21" si="26">L20-M20</f>
        <v>-0.3125</v>
      </c>
      <c r="P20" s="72"/>
      <c r="Q20" s="134">
        <v>20090700161529</v>
      </c>
      <c r="S20" s="40" t="s">
        <v>323</v>
      </c>
    </row>
    <row r="21" spans="1:19" s="40" customFormat="1">
      <c r="A21" s="54">
        <v>20</v>
      </c>
      <c r="B21" s="55">
        <v>43839</v>
      </c>
      <c r="C21" s="56" t="s">
        <v>596</v>
      </c>
      <c r="D21" s="56" t="s">
        <v>598</v>
      </c>
      <c r="E21" s="56" t="s">
        <v>599</v>
      </c>
      <c r="F21" s="54">
        <v>183320</v>
      </c>
      <c r="G21" s="54">
        <f>F21*9%</f>
        <v>16498.8</v>
      </c>
      <c r="H21" s="54">
        <f>F21*9%</f>
        <v>16498.8</v>
      </c>
      <c r="I21" s="54">
        <v>0</v>
      </c>
      <c r="J21" s="54">
        <f>F21*7.5%</f>
        <v>13749</v>
      </c>
      <c r="K21" s="54">
        <f t="shared" si="22"/>
        <v>169571</v>
      </c>
      <c r="L21" s="57">
        <f t="shared" si="25"/>
        <v>202568.59999999998</v>
      </c>
      <c r="M21" s="54">
        <v>202569</v>
      </c>
      <c r="N21" s="58">
        <v>44078</v>
      </c>
      <c r="O21" s="54">
        <f t="shared" si="26"/>
        <v>-0.40000000002328306</v>
      </c>
      <c r="P21" s="72" t="s">
        <v>806</v>
      </c>
      <c r="Q21" s="75"/>
    </row>
    <row r="22" spans="1:19" s="40" customFormat="1">
      <c r="A22" s="82">
        <v>21</v>
      </c>
      <c r="B22" s="83" t="s">
        <v>809</v>
      </c>
      <c r="C22" s="84" t="s">
        <v>810</v>
      </c>
      <c r="D22" s="84" t="s">
        <v>811</v>
      </c>
      <c r="E22" s="84" t="s">
        <v>299</v>
      </c>
      <c r="F22" s="82">
        <v>127400</v>
      </c>
      <c r="G22" s="82"/>
      <c r="H22" s="82"/>
      <c r="I22" s="82">
        <f t="shared" ref="I22" si="27">F22*18%</f>
        <v>22932</v>
      </c>
      <c r="J22" s="82">
        <f>F22*7.5%</f>
        <v>9555</v>
      </c>
      <c r="K22" s="82">
        <f t="shared" ref="K22:K23" si="28">F22-J22</f>
        <v>117845</v>
      </c>
      <c r="L22" s="85">
        <f t="shared" ref="L22:L23" si="29">K22+G22+H22+I22</f>
        <v>140777</v>
      </c>
      <c r="M22" s="82">
        <v>117845</v>
      </c>
      <c r="N22" s="86">
        <v>44145</v>
      </c>
      <c r="O22" s="82">
        <f t="shared" ref="O22:O23" si="30">L22-M22</f>
        <v>22932</v>
      </c>
      <c r="P22" s="72"/>
      <c r="Q22" s="75"/>
    </row>
    <row r="23" spans="1:19" s="40" customFormat="1">
      <c r="A23" s="14">
        <v>22</v>
      </c>
      <c r="B23" s="50">
        <v>43961</v>
      </c>
      <c r="C23" s="30" t="s">
        <v>1099</v>
      </c>
      <c r="D23" s="30" t="s">
        <v>1100</v>
      </c>
      <c r="E23" s="30" t="s">
        <v>1101</v>
      </c>
      <c r="F23" s="21">
        <v>80000</v>
      </c>
      <c r="G23" s="21">
        <f>F23*9%</f>
        <v>7200</v>
      </c>
      <c r="H23" s="21">
        <f>F23*9%</f>
        <v>7200</v>
      </c>
      <c r="I23" s="21">
        <v>0</v>
      </c>
      <c r="J23" s="21">
        <f t="shared" ref="J23" si="31">F23*7.5%</f>
        <v>6000</v>
      </c>
      <c r="K23" s="21">
        <f t="shared" si="28"/>
        <v>74000</v>
      </c>
      <c r="L23" s="33">
        <f t="shared" si="29"/>
        <v>88400</v>
      </c>
      <c r="M23" s="21"/>
      <c r="N23" s="34"/>
      <c r="O23" s="21">
        <f t="shared" si="30"/>
        <v>88400</v>
      </c>
      <c r="P23" s="72"/>
      <c r="Q23" s="75"/>
    </row>
    <row r="24" spans="1:19" s="40" customFormat="1">
      <c r="A24" s="54">
        <v>23</v>
      </c>
      <c r="B24" s="55">
        <v>43992</v>
      </c>
      <c r="C24" s="56" t="s">
        <v>905</v>
      </c>
      <c r="D24" s="56" t="s">
        <v>598</v>
      </c>
      <c r="E24" s="56" t="s">
        <v>599</v>
      </c>
      <c r="F24" s="54">
        <v>99000</v>
      </c>
      <c r="G24" s="54">
        <f>F24*9%</f>
        <v>8910</v>
      </c>
      <c r="H24" s="54">
        <f>F24*9%</f>
        <v>8910</v>
      </c>
      <c r="I24" s="54"/>
      <c r="J24" s="54">
        <f t="shared" ref="J24:J29" si="32">F24*7.5%</f>
        <v>7425</v>
      </c>
      <c r="K24" s="54">
        <f t="shared" ref="K24" si="33">F24-J24</f>
        <v>91575</v>
      </c>
      <c r="L24" s="57">
        <f t="shared" ref="L24" si="34">K24+G24+H24+I24</f>
        <v>109395</v>
      </c>
      <c r="M24" s="54">
        <v>109395</v>
      </c>
      <c r="N24" s="58">
        <v>44116</v>
      </c>
      <c r="O24" s="54">
        <f t="shared" ref="O24" si="35">L24-M24</f>
        <v>0</v>
      </c>
      <c r="P24" s="72"/>
      <c r="Q24" s="75"/>
    </row>
    <row r="25" spans="1:19" s="40" customFormat="1">
      <c r="A25" s="54">
        <v>24</v>
      </c>
      <c r="B25" s="55" t="s">
        <v>900</v>
      </c>
      <c r="C25" s="56" t="s">
        <v>901</v>
      </c>
      <c r="D25" s="56" t="s">
        <v>902</v>
      </c>
      <c r="E25" s="56" t="s">
        <v>147</v>
      </c>
      <c r="F25" s="54">
        <v>78600</v>
      </c>
      <c r="G25" s="54"/>
      <c r="H25" s="54"/>
      <c r="I25" s="54">
        <f t="shared" ref="I25:I27" si="36">F25*18%</f>
        <v>14148</v>
      </c>
      <c r="J25" s="54">
        <f t="shared" si="32"/>
        <v>5895</v>
      </c>
      <c r="K25" s="54">
        <f t="shared" ref="K25:K28" si="37">F25-J25</f>
        <v>72705</v>
      </c>
      <c r="L25" s="57">
        <f t="shared" ref="L25:L28" si="38">K25+G25+H25+I25</f>
        <v>86853</v>
      </c>
      <c r="M25" s="54">
        <v>86853</v>
      </c>
      <c r="N25" s="58">
        <v>44176</v>
      </c>
      <c r="O25" s="54">
        <f t="shared" ref="O25:O28" si="39">L25-M25</f>
        <v>0</v>
      </c>
      <c r="P25" s="72"/>
      <c r="Q25" s="75"/>
    </row>
    <row r="26" spans="1:19" s="40" customFormat="1">
      <c r="A26" s="14">
        <v>25</v>
      </c>
      <c r="B26" s="55" t="s">
        <v>900</v>
      </c>
      <c r="C26" s="56" t="s">
        <v>903</v>
      </c>
      <c r="D26" s="56" t="s">
        <v>1097</v>
      </c>
      <c r="E26" s="56" t="s">
        <v>904</v>
      </c>
      <c r="F26" s="54">
        <v>50000</v>
      </c>
      <c r="G26" s="54"/>
      <c r="H26" s="54"/>
      <c r="I26" s="54">
        <f t="shared" si="36"/>
        <v>9000</v>
      </c>
      <c r="J26" s="54">
        <f t="shared" si="32"/>
        <v>3750</v>
      </c>
      <c r="K26" s="54">
        <f t="shared" si="37"/>
        <v>46250</v>
      </c>
      <c r="L26" s="57">
        <f t="shared" si="38"/>
        <v>55250</v>
      </c>
      <c r="M26" s="54">
        <v>55250</v>
      </c>
      <c r="N26" s="58">
        <v>44147</v>
      </c>
      <c r="O26" s="54">
        <f t="shared" si="39"/>
        <v>0</v>
      </c>
      <c r="P26" s="72"/>
      <c r="Q26" s="75"/>
    </row>
    <row r="27" spans="1:19" s="40" customFormat="1">
      <c r="A27" s="54">
        <v>26</v>
      </c>
      <c r="B27" s="55" t="s">
        <v>900</v>
      </c>
      <c r="C27" s="56" t="s">
        <v>906</v>
      </c>
      <c r="D27" s="56" t="s">
        <v>1097</v>
      </c>
      <c r="E27" s="56" t="s">
        <v>904</v>
      </c>
      <c r="F27" s="54">
        <v>67800</v>
      </c>
      <c r="G27" s="54"/>
      <c r="H27" s="54"/>
      <c r="I27" s="54">
        <f t="shared" si="36"/>
        <v>12204</v>
      </c>
      <c r="J27" s="54">
        <f t="shared" si="32"/>
        <v>5085</v>
      </c>
      <c r="K27" s="54">
        <f t="shared" si="37"/>
        <v>62715</v>
      </c>
      <c r="L27" s="57">
        <f t="shared" si="38"/>
        <v>74919</v>
      </c>
      <c r="M27" s="54">
        <v>74919</v>
      </c>
      <c r="N27" s="58">
        <v>44147</v>
      </c>
      <c r="O27" s="54">
        <f t="shared" si="39"/>
        <v>0</v>
      </c>
      <c r="P27" s="72"/>
      <c r="Q27" s="75"/>
    </row>
    <row r="28" spans="1:19" s="40" customFormat="1">
      <c r="A28" s="54">
        <v>27</v>
      </c>
      <c r="B28" s="55" t="s">
        <v>1095</v>
      </c>
      <c r="C28" s="56" t="s">
        <v>1096</v>
      </c>
      <c r="D28" s="56" t="s">
        <v>598</v>
      </c>
      <c r="E28" s="56" t="s">
        <v>599</v>
      </c>
      <c r="F28" s="54">
        <v>258920</v>
      </c>
      <c r="G28" s="54">
        <f>F28*9%</f>
        <v>23302.799999999999</v>
      </c>
      <c r="H28" s="54">
        <f>F28*9%</f>
        <v>23302.799999999999</v>
      </c>
      <c r="I28" s="54">
        <v>0</v>
      </c>
      <c r="J28" s="54">
        <f t="shared" si="32"/>
        <v>19419</v>
      </c>
      <c r="K28" s="54">
        <f t="shared" si="37"/>
        <v>239501</v>
      </c>
      <c r="L28" s="57">
        <f t="shared" si="38"/>
        <v>286106.59999999998</v>
      </c>
      <c r="M28" s="54">
        <v>286107</v>
      </c>
      <c r="N28" s="58">
        <v>44172</v>
      </c>
      <c r="O28" s="54">
        <f t="shared" si="39"/>
        <v>-0.40000000002328306</v>
      </c>
      <c r="P28" s="72"/>
      <c r="Q28" s="75"/>
    </row>
    <row r="29" spans="1:19" s="40" customFormat="1">
      <c r="A29" s="54">
        <v>28</v>
      </c>
      <c r="B29" s="55" t="s">
        <v>1035</v>
      </c>
      <c r="C29" s="56" t="s">
        <v>1094</v>
      </c>
      <c r="D29" s="56" t="s">
        <v>598</v>
      </c>
      <c r="E29" s="56" t="s">
        <v>599</v>
      </c>
      <c r="F29" s="54">
        <v>138040</v>
      </c>
      <c r="G29" s="54">
        <f>F29*9%</f>
        <v>12423.6</v>
      </c>
      <c r="H29" s="54">
        <f>F29*9%</f>
        <v>12423.6</v>
      </c>
      <c r="I29" s="54">
        <v>0</v>
      </c>
      <c r="J29" s="54">
        <f t="shared" si="32"/>
        <v>10353</v>
      </c>
      <c r="K29" s="54">
        <f t="shared" ref="K29" si="40">F29-J29</f>
        <v>127687</v>
      </c>
      <c r="L29" s="57">
        <f t="shared" ref="L29" si="41">K29+G29+H29+I29</f>
        <v>152534.20000000001</v>
      </c>
      <c r="M29" s="54">
        <v>152534</v>
      </c>
      <c r="N29" s="58">
        <v>44137</v>
      </c>
      <c r="O29" s="54">
        <f t="shared" ref="O29" si="42">L29-M29</f>
        <v>0.20000000001164153</v>
      </c>
      <c r="P29" s="72"/>
      <c r="Q29" s="75"/>
    </row>
    <row r="30" spans="1:19" s="40" customFormat="1">
      <c r="A30" s="82">
        <v>29</v>
      </c>
      <c r="B30" s="83" t="s">
        <v>1077</v>
      </c>
      <c r="C30" s="84" t="s">
        <v>1078</v>
      </c>
      <c r="D30" s="84" t="s">
        <v>1079</v>
      </c>
      <c r="E30" s="84" t="s">
        <v>1080</v>
      </c>
      <c r="F30" s="82">
        <v>400000</v>
      </c>
      <c r="G30" s="82"/>
      <c r="H30" s="82"/>
      <c r="I30" s="82">
        <f t="shared" ref="I30:I37" si="43">F30*18%</f>
        <v>72000</v>
      </c>
      <c r="J30" s="82">
        <f t="shared" ref="J30:J37" si="44">F30*7.5%</f>
        <v>30000</v>
      </c>
      <c r="K30" s="82">
        <f t="shared" ref="K30:K37" si="45">F30-J30</f>
        <v>370000</v>
      </c>
      <c r="L30" s="85">
        <f t="shared" ref="L30:L37" si="46">K30+G30+H30+I30</f>
        <v>442000</v>
      </c>
      <c r="M30" s="82">
        <v>221000</v>
      </c>
      <c r="N30" s="86">
        <v>44156</v>
      </c>
      <c r="O30" s="82">
        <f t="shared" ref="O30:O37" si="47">L30-M30</f>
        <v>221000</v>
      </c>
      <c r="P30" s="72"/>
      <c r="Q30" s="75"/>
    </row>
    <row r="31" spans="1:19" s="40" customFormat="1">
      <c r="A31" s="21">
        <v>30</v>
      </c>
      <c r="B31" s="50" t="s">
        <v>1077</v>
      </c>
      <c r="C31" s="30" t="s">
        <v>1081</v>
      </c>
      <c r="D31" s="30" t="s">
        <v>1082</v>
      </c>
      <c r="E31" s="30" t="s">
        <v>299</v>
      </c>
      <c r="F31" s="21">
        <v>48000</v>
      </c>
      <c r="G31" s="21"/>
      <c r="H31" s="21"/>
      <c r="I31" s="21">
        <f t="shared" si="43"/>
        <v>8640</v>
      </c>
      <c r="J31" s="21">
        <f t="shared" si="44"/>
        <v>3600</v>
      </c>
      <c r="K31" s="21">
        <f t="shared" si="45"/>
        <v>44400</v>
      </c>
      <c r="L31" s="33">
        <f t="shared" si="46"/>
        <v>53040</v>
      </c>
      <c r="M31" s="21"/>
      <c r="N31" s="34"/>
      <c r="O31" s="21">
        <f t="shared" si="47"/>
        <v>53040</v>
      </c>
      <c r="P31" s="72"/>
      <c r="Q31" s="75"/>
    </row>
    <row r="32" spans="1:19" s="40" customFormat="1">
      <c r="A32" s="21">
        <v>31</v>
      </c>
      <c r="B32" s="50" t="s">
        <v>1077</v>
      </c>
      <c r="C32" s="30" t="s">
        <v>1083</v>
      </c>
      <c r="D32" s="30" t="s">
        <v>1084</v>
      </c>
      <c r="E32" s="30" t="s">
        <v>299</v>
      </c>
      <c r="F32" s="21">
        <v>66500</v>
      </c>
      <c r="G32" s="21"/>
      <c r="H32" s="21"/>
      <c r="I32" s="21">
        <f t="shared" si="43"/>
        <v>11970</v>
      </c>
      <c r="J32" s="21">
        <f t="shared" si="44"/>
        <v>4987.5</v>
      </c>
      <c r="K32" s="21">
        <f t="shared" si="45"/>
        <v>61512.5</v>
      </c>
      <c r="L32" s="33">
        <f t="shared" si="46"/>
        <v>73482.5</v>
      </c>
      <c r="M32" s="21"/>
      <c r="N32" s="34"/>
      <c r="O32" s="21">
        <f t="shared" si="47"/>
        <v>73482.5</v>
      </c>
      <c r="P32" s="72"/>
      <c r="Q32" s="75"/>
    </row>
    <row r="33" spans="1:18" s="40" customFormat="1">
      <c r="A33" s="21">
        <v>32</v>
      </c>
      <c r="B33" s="50" t="s">
        <v>1077</v>
      </c>
      <c r="C33" s="30" t="s">
        <v>1085</v>
      </c>
      <c r="D33" s="30" t="s">
        <v>1086</v>
      </c>
      <c r="E33" s="30" t="s">
        <v>904</v>
      </c>
      <c r="F33" s="21">
        <v>351000</v>
      </c>
      <c r="G33" s="21"/>
      <c r="H33" s="21"/>
      <c r="I33" s="21">
        <f t="shared" si="43"/>
        <v>63180</v>
      </c>
      <c r="J33" s="21">
        <f t="shared" si="44"/>
        <v>26325</v>
      </c>
      <c r="K33" s="21">
        <f t="shared" si="45"/>
        <v>324675</v>
      </c>
      <c r="L33" s="33">
        <f t="shared" si="46"/>
        <v>387855</v>
      </c>
      <c r="M33" s="21"/>
      <c r="N33" s="34"/>
      <c r="O33" s="21">
        <f t="shared" si="47"/>
        <v>387855</v>
      </c>
      <c r="P33" s="72"/>
      <c r="Q33" s="75"/>
    </row>
    <row r="34" spans="1:18" s="40" customFormat="1">
      <c r="A34" s="21">
        <v>33</v>
      </c>
      <c r="B34" s="50" t="s">
        <v>1077</v>
      </c>
      <c r="C34" s="30" t="s">
        <v>1087</v>
      </c>
      <c r="D34" s="30" t="s">
        <v>1088</v>
      </c>
      <c r="E34" s="30" t="s">
        <v>904</v>
      </c>
      <c r="F34" s="21">
        <v>72000</v>
      </c>
      <c r="G34" s="21"/>
      <c r="H34" s="21"/>
      <c r="I34" s="21">
        <f t="shared" si="43"/>
        <v>12960</v>
      </c>
      <c r="J34" s="21">
        <f t="shared" si="44"/>
        <v>5400</v>
      </c>
      <c r="K34" s="21">
        <f t="shared" si="45"/>
        <v>66600</v>
      </c>
      <c r="L34" s="33">
        <f t="shared" si="46"/>
        <v>79560</v>
      </c>
      <c r="M34" s="21"/>
      <c r="N34" s="34"/>
      <c r="O34" s="21">
        <f t="shared" si="47"/>
        <v>79560</v>
      </c>
      <c r="P34" s="72"/>
      <c r="Q34" s="75"/>
    </row>
    <row r="35" spans="1:18" s="40" customFormat="1">
      <c r="A35" s="21">
        <v>34</v>
      </c>
      <c r="B35" s="50" t="s">
        <v>1114</v>
      </c>
      <c r="C35" s="30" t="s">
        <v>1115</v>
      </c>
      <c r="D35" s="30" t="s">
        <v>1119</v>
      </c>
      <c r="E35" s="30" t="s">
        <v>299</v>
      </c>
      <c r="F35" s="21">
        <v>14400</v>
      </c>
      <c r="G35" s="21"/>
      <c r="H35" s="21"/>
      <c r="I35" s="21">
        <f t="shared" si="43"/>
        <v>2592</v>
      </c>
      <c r="J35" s="21">
        <f t="shared" si="44"/>
        <v>1080</v>
      </c>
      <c r="K35" s="21">
        <f t="shared" si="45"/>
        <v>13320</v>
      </c>
      <c r="L35" s="33">
        <f t="shared" si="46"/>
        <v>15912</v>
      </c>
      <c r="M35" s="21"/>
      <c r="N35" s="34"/>
      <c r="O35" s="21">
        <f t="shared" si="47"/>
        <v>15912</v>
      </c>
      <c r="P35" s="72"/>
      <c r="Q35" s="75"/>
    </row>
    <row r="36" spans="1:18" s="40" customFormat="1">
      <c r="A36" s="21">
        <v>35</v>
      </c>
      <c r="B36" s="50" t="s">
        <v>1114</v>
      </c>
      <c r="C36" s="30" t="s">
        <v>1120</v>
      </c>
      <c r="D36" s="30" t="s">
        <v>1121</v>
      </c>
      <c r="E36" s="30" t="s">
        <v>147</v>
      </c>
      <c r="F36" s="21">
        <v>99112.5</v>
      </c>
      <c r="G36" s="21"/>
      <c r="H36" s="21"/>
      <c r="I36" s="21">
        <f t="shared" si="43"/>
        <v>17840.25</v>
      </c>
      <c r="J36" s="21">
        <f t="shared" si="44"/>
        <v>7433.4375</v>
      </c>
      <c r="K36" s="21">
        <f t="shared" si="45"/>
        <v>91679.0625</v>
      </c>
      <c r="L36" s="33">
        <f t="shared" si="46"/>
        <v>109519.3125</v>
      </c>
      <c r="M36" s="21"/>
      <c r="N36" s="34"/>
      <c r="O36" s="21">
        <f t="shared" si="47"/>
        <v>109519.3125</v>
      </c>
      <c r="P36" s="72"/>
      <c r="Q36" s="75"/>
    </row>
    <row r="37" spans="1:18" s="40" customFormat="1">
      <c r="A37" s="21">
        <v>36</v>
      </c>
      <c r="B37" s="50" t="s">
        <v>1114</v>
      </c>
      <c r="C37" s="30" t="s">
        <v>1122</v>
      </c>
      <c r="D37" s="39" t="s">
        <v>1123</v>
      </c>
      <c r="E37" s="30" t="s">
        <v>147</v>
      </c>
      <c r="F37" s="21">
        <v>244300</v>
      </c>
      <c r="G37" s="21"/>
      <c r="H37" s="21"/>
      <c r="I37" s="21">
        <f t="shared" si="43"/>
        <v>43974</v>
      </c>
      <c r="J37" s="21">
        <f t="shared" si="44"/>
        <v>18322.5</v>
      </c>
      <c r="K37" s="21">
        <f t="shared" si="45"/>
        <v>225977.5</v>
      </c>
      <c r="L37" s="33">
        <f t="shared" si="46"/>
        <v>269951.5</v>
      </c>
      <c r="M37" s="21"/>
      <c r="N37" s="34"/>
      <c r="O37" s="21">
        <f t="shared" si="47"/>
        <v>269951.5</v>
      </c>
      <c r="P37" s="72"/>
      <c r="Q37" s="75"/>
    </row>
    <row r="38" spans="1:18" s="40" customFormat="1">
      <c r="A38" s="21">
        <v>37</v>
      </c>
      <c r="B38" s="50"/>
      <c r="C38" s="30"/>
      <c r="D38" s="30"/>
      <c r="E38" s="30"/>
      <c r="F38" s="21"/>
      <c r="G38" s="21"/>
      <c r="H38" s="21"/>
      <c r="I38" s="21"/>
      <c r="J38" s="21"/>
      <c r="K38" s="21"/>
      <c r="L38" s="33"/>
      <c r="M38" s="21"/>
      <c r="N38" s="34"/>
      <c r="O38" s="21"/>
      <c r="P38" s="72"/>
      <c r="Q38" s="75"/>
    </row>
    <row r="39" spans="1:18" s="40" customFormat="1">
      <c r="A39" s="54">
        <v>38</v>
      </c>
      <c r="B39" s="50">
        <v>44147</v>
      </c>
      <c r="C39" s="30" t="s">
        <v>1174</v>
      </c>
      <c r="D39" s="30" t="s">
        <v>1175</v>
      </c>
      <c r="E39" s="30" t="s">
        <v>599</v>
      </c>
      <c r="F39" s="21">
        <v>600000</v>
      </c>
      <c r="G39" s="21"/>
      <c r="H39" s="21"/>
      <c r="I39" s="21">
        <f t="shared" ref="I39:I41" si="48">F39*18%</f>
        <v>108000</v>
      </c>
      <c r="J39" s="21">
        <f t="shared" ref="J39:J41" si="49">F39*7.5%</f>
        <v>45000</v>
      </c>
      <c r="K39" s="21">
        <f t="shared" ref="K39:K41" si="50">F39-J39</f>
        <v>555000</v>
      </c>
      <c r="L39" s="33">
        <f t="shared" ref="L39:L41" si="51">K39+G39+H39+I39</f>
        <v>663000</v>
      </c>
      <c r="M39" s="21">
        <v>663000</v>
      </c>
      <c r="N39" s="34">
        <v>44180</v>
      </c>
      <c r="O39" s="21">
        <f t="shared" ref="O39" si="52">L39-M39</f>
        <v>0</v>
      </c>
      <c r="P39" s="72"/>
      <c r="Q39" s="75"/>
    </row>
    <row r="40" spans="1:18" s="40" customFormat="1">
      <c r="A40" s="21">
        <v>39</v>
      </c>
      <c r="B40" s="50">
        <v>44147</v>
      </c>
      <c r="C40" s="30" t="s">
        <v>1176</v>
      </c>
      <c r="D40" s="30" t="s">
        <v>1177</v>
      </c>
      <c r="E40" s="30" t="s">
        <v>147</v>
      </c>
      <c r="F40" s="21">
        <v>67000</v>
      </c>
      <c r="G40" s="21"/>
      <c r="H40" s="21"/>
      <c r="I40" s="21">
        <f t="shared" si="48"/>
        <v>12060</v>
      </c>
      <c r="J40" s="21">
        <f t="shared" si="49"/>
        <v>5025</v>
      </c>
      <c r="K40" s="21">
        <f t="shared" si="50"/>
        <v>61975</v>
      </c>
      <c r="L40" s="33">
        <f t="shared" si="51"/>
        <v>74035</v>
      </c>
      <c r="M40" s="21"/>
      <c r="N40" s="34"/>
      <c r="O40" s="21"/>
      <c r="P40" s="72"/>
      <c r="Q40" s="75"/>
    </row>
    <row r="41" spans="1:18" s="40" customFormat="1">
      <c r="A41" s="21">
        <v>40</v>
      </c>
      <c r="B41" s="50">
        <v>44147</v>
      </c>
      <c r="C41" s="30" t="s">
        <v>1174</v>
      </c>
      <c r="D41" s="30" t="s">
        <v>1178</v>
      </c>
      <c r="E41" s="30" t="s">
        <v>147</v>
      </c>
      <c r="F41" s="21">
        <v>30200</v>
      </c>
      <c r="G41" s="21"/>
      <c r="H41" s="21"/>
      <c r="I41" s="21">
        <f t="shared" si="48"/>
        <v>5436</v>
      </c>
      <c r="J41" s="21">
        <f t="shared" si="49"/>
        <v>2265</v>
      </c>
      <c r="K41" s="21">
        <f t="shared" si="50"/>
        <v>27935</v>
      </c>
      <c r="L41" s="33">
        <f t="shared" si="51"/>
        <v>33371</v>
      </c>
      <c r="M41" s="21"/>
      <c r="N41" s="34"/>
      <c r="O41" s="21"/>
      <c r="P41" s="72"/>
      <c r="Q41" s="75"/>
    </row>
    <row r="42" spans="1:18" s="40" customFormat="1">
      <c r="A42" s="21"/>
      <c r="B42" s="50"/>
      <c r="C42" s="30"/>
      <c r="D42" s="30"/>
      <c r="E42" s="30"/>
      <c r="F42" s="21"/>
      <c r="G42" s="21"/>
      <c r="H42" s="21"/>
      <c r="I42" s="21"/>
      <c r="J42" s="21"/>
      <c r="K42" s="21"/>
      <c r="L42" s="33"/>
      <c r="M42" s="21"/>
      <c r="N42" s="34"/>
      <c r="O42" s="21"/>
      <c r="P42" s="72"/>
      <c r="Q42" s="75"/>
    </row>
    <row r="43" spans="1:18" s="40" customFormat="1">
      <c r="A43" s="21"/>
      <c r="B43" s="50"/>
      <c r="C43" s="30"/>
      <c r="D43" s="30"/>
      <c r="E43" s="30"/>
      <c r="F43" s="21"/>
      <c r="G43" s="21"/>
      <c r="H43" s="21"/>
      <c r="I43" s="21"/>
      <c r="J43" s="21"/>
      <c r="K43" s="21"/>
      <c r="L43" s="33"/>
      <c r="M43" s="21"/>
      <c r="N43" s="34"/>
      <c r="O43" s="21"/>
      <c r="P43" s="72"/>
      <c r="Q43" s="75"/>
    </row>
    <row r="44" spans="1:18" s="40" customFormat="1">
      <c r="A44" s="21"/>
      <c r="B44" s="50"/>
      <c r="C44" s="30"/>
      <c r="D44" s="30"/>
      <c r="E44" s="30"/>
      <c r="F44" s="21"/>
      <c r="G44" s="21"/>
      <c r="H44" s="21"/>
      <c r="I44" s="21"/>
      <c r="J44" s="21"/>
      <c r="K44" s="21"/>
      <c r="L44" s="33"/>
      <c r="M44" s="21"/>
      <c r="N44" s="34"/>
      <c r="O44" s="21"/>
      <c r="P44" s="69"/>
      <c r="Q44" s="78"/>
      <c r="R44" s="162"/>
    </row>
    <row r="45" spans="1:18" s="40" customFormat="1">
      <c r="A45" s="21"/>
      <c r="B45" s="50"/>
      <c r="C45" s="30"/>
      <c r="D45" s="30"/>
      <c r="E45" s="30"/>
      <c r="F45" s="21"/>
      <c r="G45" s="21"/>
      <c r="H45" s="21"/>
      <c r="I45" s="21"/>
      <c r="J45" s="21"/>
      <c r="K45" s="21"/>
      <c r="L45" s="33"/>
      <c r="M45" s="21"/>
      <c r="N45" s="34"/>
      <c r="O45" s="21"/>
      <c r="P45" s="69"/>
      <c r="Q45" s="78"/>
      <c r="R45" s="162"/>
    </row>
    <row r="46" spans="1:18" s="40" customFormat="1">
      <c r="A46" s="21"/>
      <c r="B46" s="50"/>
      <c r="C46" s="30"/>
      <c r="D46" s="30"/>
      <c r="E46" s="30"/>
      <c r="F46" s="21"/>
      <c r="G46" s="21"/>
      <c r="H46" s="21"/>
      <c r="I46" s="21"/>
      <c r="J46" s="21"/>
      <c r="K46" s="21"/>
      <c r="L46" s="33"/>
      <c r="M46" s="21"/>
      <c r="N46" s="41"/>
      <c r="O46" s="21"/>
      <c r="P46" s="72"/>
      <c r="Q46" s="75"/>
    </row>
    <row r="47" spans="1:18" s="40" customFormat="1">
      <c r="A47" s="21"/>
      <c r="B47" s="50"/>
      <c r="C47" s="30"/>
      <c r="D47" s="30"/>
      <c r="E47" s="30"/>
      <c r="F47" s="21"/>
      <c r="G47" s="21"/>
      <c r="H47" s="21"/>
      <c r="I47" s="21"/>
      <c r="J47" s="21"/>
      <c r="K47" s="21"/>
      <c r="L47" s="33"/>
      <c r="M47" s="21"/>
      <c r="N47" s="34"/>
      <c r="O47" s="21"/>
      <c r="P47" s="72"/>
      <c r="Q47" s="75"/>
      <c r="R47" s="42"/>
    </row>
    <row r="48" spans="1:18" s="40" customFormat="1">
      <c r="A48" s="21"/>
      <c r="B48" s="50"/>
      <c r="C48" s="30"/>
      <c r="D48" s="30"/>
      <c r="E48" s="30"/>
      <c r="F48" s="21"/>
      <c r="G48" s="21"/>
      <c r="H48" s="21"/>
      <c r="I48" s="21"/>
      <c r="J48" s="21"/>
      <c r="K48" s="21"/>
      <c r="L48" s="33"/>
      <c r="M48" s="21"/>
      <c r="N48" s="34"/>
      <c r="O48" s="21"/>
      <c r="P48" s="72"/>
      <c r="Q48" s="75"/>
    </row>
    <row r="49" spans="1:17" s="40" customFormat="1">
      <c r="A49" s="21"/>
      <c r="B49" s="50"/>
      <c r="C49" s="30"/>
      <c r="D49" s="30"/>
      <c r="E49" s="30"/>
      <c r="F49" s="21"/>
      <c r="G49" s="21"/>
      <c r="H49" s="21"/>
      <c r="I49" s="21"/>
      <c r="J49" s="21"/>
      <c r="K49" s="21"/>
      <c r="L49" s="33"/>
      <c r="M49" s="21"/>
      <c r="N49" s="34"/>
      <c r="O49" s="21"/>
      <c r="P49" s="72"/>
      <c r="Q49" s="75"/>
    </row>
    <row r="50" spans="1:17" s="40" customFormat="1">
      <c r="A50" s="21"/>
      <c r="B50" s="50"/>
      <c r="C50" s="30"/>
      <c r="D50" s="30"/>
      <c r="E50" s="30"/>
      <c r="F50" s="21"/>
      <c r="G50" s="21"/>
      <c r="H50" s="21"/>
      <c r="I50" s="21"/>
      <c r="J50" s="21"/>
      <c r="K50" s="21"/>
      <c r="L50" s="33"/>
      <c r="M50" s="21"/>
      <c r="N50" s="34"/>
      <c r="O50" s="21"/>
      <c r="P50" s="72"/>
      <c r="Q50" s="75"/>
    </row>
    <row r="51" spans="1:17" s="40" customFormat="1">
      <c r="A51" s="21"/>
      <c r="B51" s="50"/>
      <c r="C51" s="30"/>
      <c r="D51" s="30"/>
      <c r="E51" s="30"/>
      <c r="F51" s="21"/>
      <c r="G51" s="21"/>
      <c r="H51" s="21"/>
      <c r="I51" s="21"/>
      <c r="J51" s="21"/>
      <c r="K51" s="21"/>
      <c r="L51" s="33"/>
      <c r="M51" s="21"/>
      <c r="N51" s="34"/>
      <c r="O51" s="21"/>
      <c r="P51" s="72"/>
      <c r="Q51" s="75"/>
    </row>
    <row r="52" spans="1:17" s="40" customFormat="1">
      <c r="A52" s="21"/>
      <c r="B52" s="50"/>
      <c r="C52" s="30"/>
      <c r="D52" s="30"/>
      <c r="E52" s="30"/>
      <c r="F52" s="21"/>
      <c r="G52" s="21"/>
      <c r="H52" s="21"/>
      <c r="I52" s="21"/>
      <c r="J52" s="21"/>
      <c r="K52" s="21"/>
      <c r="L52" s="33"/>
      <c r="M52" s="21"/>
      <c r="N52" s="34"/>
      <c r="O52" s="21"/>
      <c r="P52" s="72"/>
      <c r="Q52" s="75"/>
    </row>
    <row r="53" spans="1:17" s="40" customFormat="1">
      <c r="A53" s="21"/>
      <c r="B53" s="50"/>
      <c r="C53" s="30"/>
      <c r="D53" s="30"/>
      <c r="E53" s="30"/>
      <c r="F53" s="21"/>
      <c r="G53" s="21"/>
      <c r="H53" s="21"/>
      <c r="I53" s="21"/>
      <c r="J53" s="21"/>
      <c r="K53" s="21"/>
      <c r="L53" s="33"/>
      <c r="M53" s="21"/>
      <c r="N53" s="34"/>
      <c r="O53" s="21"/>
      <c r="P53" s="72"/>
      <c r="Q53" s="75"/>
    </row>
    <row r="54" spans="1:17" s="40" customFormat="1">
      <c r="A54" s="21"/>
      <c r="B54" s="50"/>
      <c r="C54" s="30"/>
      <c r="D54" s="30"/>
      <c r="E54" s="30"/>
      <c r="F54" s="21"/>
      <c r="G54" s="21"/>
      <c r="H54" s="21"/>
      <c r="I54" s="21"/>
      <c r="J54" s="21"/>
      <c r="K54" s="21"/>
      <c r="L54" s="33"/>
      <c r="M54" s="21"/>
      <c r="N54" s="34"/>
      <c r="O54" s="21"/>
      <c r="P54" s="72"/>
      <c r="Q54" s="75"/>
    </row>
    <row r="55" spans="1:17" s="40" customFormat="1">
      <c r="A55" s="21"/>
      <c r="B55" s="50"/>
      <c r="C55" s="30"/>
      <c r="D55" s="30"/>
      <c r="E55" s="30"/>
      <c r="F55" s="21"/>
      <c r="G55" s="21"/>
      <c r="H55" s="21"/>
      <c r="I55" s="21"/>
      <c r="J55" s="21"/>
      <c r="K55" s="21"/>
      <c r="L55" s="33"/>
      <c r="M55" s="21"/>
      <c r="N55" s="34"/>
      <c r="O55" s="21"/>
      <c r="P55" s="72"/>
      <c r="Q55" s="75"/>
    </row>
    <row r="56" spans="1:17" s="40" customFormat="1">
      <c r="A56" s="21"/>
      <c r="B56" s="50"/>
      <c r="C56" s="30"/>
      <c r="D56" s="30"/>
      <c r="E56" s="30"/>
      <c r="F56" s="21"/>
      <c r="G56" s="21"/>
      <c r="H56" s="21"/>
      <c r="I56" s="21"/>
      <c r="J56" s="21"/>
      <c r="K56" s="21"/>
      <c r="L56" s="33"/>
      <c r="M56" s="21"/>
      <c r="N56" s="34"/>
      <c r="O56" s="21"/>
      <c r="P56" s="72"/>
      <c r="Q56" s="75"/>
    </row>
    <row r="57" spans="1:17" s="40" customFormat="1">
      <c r="A57" s="21"/>
      <c r="B57" s="50"/>
      <c r="C57" s="30"/>
      <c r="D57" s="30"/>
      <c r="E57" s="30"/>
      <c r="F57" s="21"/>
      <c r="G57" s="21"/>
      <c r="H57" s="21"/>
      <c r="I57" s="21"/>
      <c r="J57" s="21"/>
      <c r="K57" s="21"/>
      <c r="L57" s="33"/>
      <c r="M57" s="21"/>
      <c r="N57" s="34"/>
      <c r="O57" s="21"/>
      <c r="P57" s="72"/>
      <c r="Q57" s="75"/>
    </row>
    <row r="58" spans="1:17" s="40" customFormat="1">
      <c r="A58" s="21"/>
      <c r="B58" s="50"/>
      <c r="C58" s="30"/>
      <c r="D58" s="43"/>
      <c r="E58" s="43"/>
      <c r="F58" s="21"/>
      <c r="G58" s="21"/>
      <c r="H58" s="21"/>
      <c r="I58" s="21"/>
      <c r="J58" s="21"/>
      <c r="K58" s="21"/>
      <c r="L58" s="33"/>
      <c r="M58" s="21"/>
      <c r="N58" s="34"/>
      <c r="O58" s="21"/>
      <c r="P58" s="72"/>
      <c r="Q58" s="75"/>
    </row>
    <row r="59" spans="1:17" s="40" customFormat="1">
      <c r="A59" s="21"/>
      <c r="B59" s="50"/>
      <c r="C59" s="30"/>
      <c r="D59" s="43"/>
      <c r="E59" s="43"/>
      <c r="F59" s="21"/>
      <c r="G59" s="21"/>
      <c r="H59" s="21"/>
      <c r="I59" s="21"/>
      <c r="J59" s="21"/>
      <c r="K59" s="21"/>
      <c r="L59" s="33"/>
      <c r="M59" s="21"/>
      <c r="N59" s="34"/>
      <c r="O59" s="21"/>
      <c r="P59" s="72"/>
      <c r="Q59" s="75"/>
    </row>
    <row r="60" spans="1:17" s="40" customFormat="1">
      <c r="A60" s="21"/>
      <c r="B60" s="50"/>
      <c r="C60" s="39"/>
      <c r="D60" s="39"/>
      <c r="E60" s="39"/>
      <c r="F60" s="21"/>
      <c r="G60" s="21"/>
      <c r="H60" s="21"/>
      <c r="I60" s="21"/>
      <c r="J60" s="21"/>
      <c r="K60" s="21"/>
      <c r="L60" s="33"/>
      <c r="M60" s="21"/>
      <c r="N60" s="34"/>
      <c r="O60" s="21"/>
      <c r="P60" s="72"/>
      <c r="Q60" s="75"/>
    </row>
    <row r="61" spans="1:17" s="40" customFormat="1">
      <c r="A61" s="21"/>
      <c r="B61" s="50"/>
      <c r="C61" s="39"/>
      <c r="D61" s="39"/>
      <c r="E61" s="39"/>
      <c r="F61" s="21"/>
      <c r="G61" s="21"/>
      <c r="H61" s="21"/>
      <c r="I61" s="21"/>
      <c r="J61" s="21"/>
      <c r="K61" s="21"/>
      <c r="L61" s="33"/>
      <c r="M61" s="21"/>
      <c r="N61" s="34"/>
      <c r="O61" s="21"/>
      <c r="P61" s="72"/>
      <c r="Q61" s="75"/>
    </row>
    <row r="62" spans="1:17" s="40" customFormat="1">
      <c r="A62" s="21"/>
      <c r="B62" s="50"/>
      <c r="C62" s="39"/>
      <c r="D62" s="39"/>
      <c r="E62" s="39"/>
      <c r="F62" s="21"/>
      <c r="G62" s="21"/>
      <c r="H62" s="21"/>
      <c r="I62" s="21"/>
      <c r="J62" s="21"/>
      <c r="K62" s="21"/>
      <c r="L62" s="33"/>
      <c r="M62" s="21"/>
      <c r="N62" s="34"/>
      <c r="O62" s="21"/>
      <c r="P62" s="72"/>
      <c r="Q62" s="75"/>
    </row>
    <row r="63" spans="1:17" s="40" customFormat="1">
      <c r="A63" s="21"/>
      <c r="B63" s="50"/>
      <c r="C63" s="39"/>
      <c r="D63" s="39"/>
      <c r="E63" s="39"/>
      <c r="F63" s="21"/>
      <c r="G63" s="21"/>
      <c r="H63" s="21"/>
      <c r="I63" s="21"/>
      <c r="J63" s="21"/>
      <c r="K63" s="21"/>
      <c r="L63" s="33"/>
      <c r="M63" s="21"/>
      <c r="N63" s="34"/>
      <c r="O63" s="21"/>
      <c r="P63" s="72"/>
      <c r="Q63" s="75"/>
    </row>
    <row r="64" spans="1:17" s="40" customFormat="1">
      <c r="A64" s="21"/>
      <c r="B64" s="50"/>
      <c r="C64" s="39"/>
      <c r="D64" s="39"/>
      <c r="E64" s="39"/>
      <c r="F64" s="21"/>
      <c r="G64" s="21"/>
      <c r="H64" s="21"/>
      <c r="I64" s="21"/>
      <c r="J64" s="21"/>
      <c r="K64" s="21"/>
      <c r="L64" s="33"/>
      <c r="M64" s="21"/>
      <c r="N64" s="34"/>
      <c r="O64" s="21"/>
      <c r="P64" s="72"/>
      <c r="Q64" s="75"/>
    </row>
    <row r="65" spans="1:17" s="40" customFormat="1">
      <c r="A65" s="21"/>
      <c r="B65" s="51"/>
      <c r="C65" s="32"/>
      <c r="D65" s="32"/>
      <c r="E65" s="32"/>
      <c r="F65" s="21"/>
      <c r="G65" s="21"/>
      <c r="H65" s="21"/>
      <c r="I65" s="21"/>
      <c r="J65" s="21"/>
      <c r="K65" s="21"/>
      <c r="L65" s="33"/>
      <c r="M65" s="21"/>
      <c r="N65" s="34"/>
      <c r="O65" s="21"/>
      <c r="P65" s="72"/>
      <c r="Q65" s="75"/>
    </row>
    <row r="66" spans="1:17" s="40" customFormat="1">
      <c r="A66" s="21"/>
      <c r="B66" s="51"/>
      <c r="C66" s="32"/>
      <c r="D66" s="32"/>
      <c r="E66" s="32"/>
      <c r="F66" s="21"/>
      <c r="G66" s="21"/>
      <c r="H66" s="21"/>
      <c r="I66" s="21"/>
      <c r="J66" s="21"/>
      <c r="K66" s="21"/>
      <c r="L66" s="33"/>
      <c r="M66" s="21"/>
      <c r="N66" s="34"/>
      <c r="O66" s="21"/>
      <c r="P66" s="72"/>
      <c r="Q66" s="75"/>
    </row>
    <row r="67" spans="1:17" s="40" customFormat="1">
      <c r="A67" s="21"/>
      <c r="B67" s="51"/>
      <c r="C67" s="32"/>
      <c r="D67" s="32"/>
      <c r="E67" s="32"/>
      <c r="F67" s="21"/>
      <c r="G67" s="21"/>
      <c r="H67" s="21"/>
      <c r="I67" s="21"/>
      <c r="J67" s="21"/>
      <c r="K67" s="21"/>
      <c r="L67" s="33"/>
      <c r="M67" s="21"/>
      <c r="N67" s="34"/>
      <c r="O67" s="21"/>
      <c r="P67" s="72"/>
      <c r="Q67" s="75"/>
    </row>
    <row r="68" spans="1:17" s="40" customFormat="1">
      <c r="A68" s="21"/>
      <c r="B68" s="51"/>
      <c r="C68" s="32"/>
      <c r="D68" s="32"/>
      <c r="E68" s="32"/>
      <c r="F68" s="21"/>
      <c r="G68" s="21"/>
      <c r="H68" s="21"/>
      <c r="I68" s="21"/>
      <c r="J68" s="21"/>
      <c r="K68" s="21"/>
      <c r="L68" s="33"/>
      <c r="M68" s="21"/>
      <c r="N68" s="34"/>
      <c r="O68" s="21"/>
      <c r="P68" s="72"/>
      <c r="Q68" s="75"/>
    </row>
    <row r="69" spans="1:17" s="40" customFormat="1">
      <c r="A69" s="21"/>
      <c r="B69" s="51"/>
      <c r="C69" s="32"/>
      <c r="D69" s="32"/>
      <c r="E69" s="32"/>
      <c r="F69" s="21"/>
      <c r="G69" s="21"/>
      <c r="H69" s="21"/>
      <c r="I69" s="21"/>
      <c r="J69" s="21"/>
      <c r="K69" s="21"/>
      <c r="L69" s="33"/>
      <c r="M69" s="21"/>
      <c r="N69" s="34"/>
      <c r="O69" s="21"/>
      <c r="P69" s="72"/>
      <c r="Q69" s="75"/>
    </row>
    <row r="70" spans="1:17" s="40" customFormat="1">
      <c r="A70" s="21"/>
      <c r="B70" s="51"/>
      <c r="C70" s="32"/>
      <c r="D70" s="32"/>
      <c r="E70" s="32"/>
      <c r="F70" s="21"/>
      <c r="G70" s="21"/>
      <c r="H70" s="21"/>
      <c r="I70" s="21"/>
      <c r="J70" s="21"/>
      <c r="K70" s="21"/>
      <c r="L70" s="33"/>
      <c r="M70" s="21"/>
      <c r="N70" s="34"/>
      <c r="O70" s="21"/>
      <c r="P70" s="72"/>
      <c r="Q70" s="75"/>
    </row>
    <row r="71" spans="1:17" s="40" customFormat="1">
      <c r="A71" s="21"/>
      <c r="B71" s="51"/>
      <c r="C71" s="32"/>
      <c r="D71" s="32"/>
      <c r="E71" s="32"/>
      <c r="F71" s="21"/>
      <c r="G71" s="21"/>
      <c r="H71" s="21"/>
      <c r="I71" s="21"/>
      <c r="J71" s="21"/>
      <c r="K71" s="21"/>
      <c r="L71" s="33"/>
      <c r="M71" s="21"/>
      <c r="N71" s="34"/>
      <c r="O71" s="21"/>
      <c r="P71" s="72"/>
      <c r="Q71" s="75"/>
    </row>
    <row r="72" spans="1:17" s="40" customFormat="1">
      <c r="A72" s="21"/>
      <c r="B72" s="51"/>
      <c r="C72" s="32"/>
      <c r="D72" s="32"/>
      <c r="E72" s="32"/>
      <c r="F72" s="21"/>
      <c r="G72" s="21"/>
      <c r="H72" s="21"/>
      <c r="I72" s="21"/>
      <c r="J72" s="21"/>
      <c r="K72" s="21"/>
      <c r="L72" s="33"/>
      <c r="M72" s="21"/>
      <c r="N72" s="34"/>
      <c r="O72" s="21"/>
      <c r="P72" s="72"/>
      <c r="Q72" s="75"/>
    </row>
    <row r="73" spans="1:17" s="40" customFormat="1">
      <c r="A73" s="21"/>
      <c r="B73" s="51"/>
      <c r="C73" s="32"/>
      <c r="D73" s="32"/>
      <c r="E73" s="32"/>
      <c r="F73" s="21"/>
      <c r="G73" s="21"/>
      <c r="H73" s="21"/>
      <c r="I73" s="21"/>
      <c r="J73" s="21"/>
      <c r="K73" s="21"/>
      <c r="L73" s="33"/>
      <c r="M73" s="21"/>
      <c r="N73" s="34"/>
      <c r="O73" s="21"/>
      <c r="P73" s="72"/>
      <c r="Q73" s="75"/>
    </row>
    <row r="74" spans="1:17" s="40" customFormat="1">
      <c r="A74" s="21"/>
      <c r="B74" s="51"/>
      <c r="C74" s="32"/>
      <c r="D74" s="32"/>
      <c r="E74" s="32"/>
      <c r="F74" s="21"/>
      <c r="G74" s="21"/>
      <c r="H74" s="21"/>
      <c r="I74" s="21"/>
      <c r="J74" s="21"/>
      <c r="K74" s="21"/>
      <c r="L74" s="33"/>
      <c r="M74" s="21"/>
      <c r="N74" s="34"/>
      <c r="O74" s="21"/>
      <c r="P74" s="72"/>
      <c r="Q74" s="75"/>
    </row>
    <row r="75" spans="1:17" s="40" customFormat="1">
      <c r="A75" s="21"/>
      <c r="B75" s="51"/>
      <c r="C75" s="32"/>
      <c r="D75" s="32"/>
      <c r="E75" s="32"/>
      <c r="F75" s="21"/>
      <c r="G75" s="21"/>
      <c r="H75" s="21"/>
      <c r="I75" s="21"/>
      <c r="J75" s="21"/>
      <c r="K75" s="21"/>
      <c r="L75" s="33"/>
      <c r="M75" s="21"/>
      <c r="N75" s="34"/>
      <c r="O75" s="21"/>
      <c r="P75" s="72"/>
      <c r="Q75" s="75"/>
    </row>
    <row r="76" spans="1:17" s="40" customFormat="1">
      <c r="A76" s="21"/>
      <c r="B76" s="51"/>
      <c r="C76" s="32"/>
      <c r="D76" s="32"/>
      <c r="E76" s="32"/>
      <c r="F76" s="21"/>
      <c r="G76" s="21"/>
      <c r="H76" s="21"/>
      <c r="I76" s="21"/>
      <c r="J76" s="21"/>
      <c r="K76" s="21"/>
      <c r="L76" s="33"/>
      <c r="M76" s="21"/>
      <c r="N76" s="34"/>
      <c r="O76" s="21"/>
      <c r="P76" s="72"/>
      <c r="Q76" s="75"/>
    </row>
    <row r="77" spans="1:17" s="40" customFormat="1">
      <c r="A77" s="21"/>
      <c r="B77" s="51"/>
      <c r="C77" s="32"/>
      <c r="D77" s="32"/>
      <c r="E77" s="32"/>
      <c r="F77" s="21"/>
      <c r="G77" s="21"/>
      <c r="H77" s="21"/>
      <c r="I77" s="21"/>
      <c r="J77" s="21"/>
      <c r="K77" s="21"/>
      <c r="L77" s="33"/>
      <c r="M77" s="21"/>
      <c r="N77" s="34"/>
      <c r="O77" s="21"/>
      <c r="P77" s="72"/>
      <c r="Q77" s="75"/>
    </row>
    <row r="78" spans="1:17" s="40" customFormat="1">
      <c r="A78" s="21"/>
      <c r="B78" s="51"/>
      <c r="C78" s="32"/>
      <c r="D78" s="32"/>
      <c r="E78" s="32"/>
      <c r="F78" s="21"/>
      <c r="G78" s="21"/>
      <c r="H78" s="21"/>
      <c r="I78" s="21"/>
      <c r="J78" s="21"/>
      <c r="K78" s="21"/>
      <c r="L78" s="33"/>
      <c r="M78" s="21"/>
      <c r="N78" s="34"/>
      <c r="O78" s="21"/>
      <c r="P78" s="72"/>
      <c r="Q78" s="75"/>
    </row>
    <row r="79" spans="1:17" s="40" customFormat="1">
      <c r="A79" s="21"/>
      <c r="B79" s="51"/>
      <c r="C79" s="32"/>
      <c r="D79" s="32"/>
      <c r="E79" s="32"/>
      <c r="F79" s="21"/>
      <c r="G79" s="21"/>
      <c r="H79" s="21"/>
      <c r="I79" s="21"/>
      <c r="J79" s="21"/>
      <c r="K79" s="21"/>
      <c r="L79" s="33"/>
      <c r="M79" s="21"/>
      <c r="N79" s="34"/>
      <c r="O79" s="21"/>
      <c r="P79" s="72"/>
      <c r="Q79" s="75"/>
    </row>
    <row r="80" spans="1:17" s="40" customFormat="1">
      <c r="A80" s="21"/>
      <c r="B80" s="51"/>
      <c r="C80" s="32"/>
      <c r="D80" s="32"/>
      <c r="E80" s="32"/>
      <c r="F80" s="21"/>
      <c r="G80" s="21"/>
      <c r="H80" s="21"/>
      <c r="I80" s="21"/>
      <c r="J80" s="21"/>
      <c r="K80" s="21"/>
      <c r="L80" s="33"/>
      <c r="M80" s="21"/>
      <c r="N80" s="34"/>
      <c r="O80" s="21"/>
      <c r="P80" s="72"/>
      <c r="Q80" s="75"/>
    </row>
    <row r="81" spans="1:17" s="40" customFormat="1">
      <c r="A81" s="21"/>
      <c r="B81" s="51"/>
      <c r="C81" s="32"/>
      <c r="D81" s="32"/>
      <c r="E81" s="32"/>
      <c r="F81" s="21"/>
      <c r="G81" s="21"/>
      <c r="H81" s="21"/>
      <c r="I81" s="21"/>
      <c r="J81" s="21"/>
      <c r="K81" s="21"/>
      <c r="L81" s="33"/>
      <c r="M81" s="21"/>
      <c r="N81" s="34"/>
      <c r="O81" s="21"/>
      <c r="P81" s="72"/>
      <c r="Q81" s="75"/>
    </row>
    <row r="82" spans="1:17" s="40" customFormat="1">
      <c r="A82" s="21"/>
      <c r="B82" s="51"/>
      <c r="C82" s="32"/>
      <c r="D82" s="32"/>
      <c r="E82" s="32"/>
      <c r="F82" s="21"/>
      <c r="G82" s="21"/>
      <c r="H82" s="21"/>
      <c r="I82" s="21"/>
      <c r="J82" s="21"/>
      <c r="K82" s="21"/>
      <c r="L82" s="33"/>
      <c r="M82" s="21"/>
      <c r="N82" s="34"/>
      <c r="O82" s="21"/>
      <c r="P82" s="72"/>
      <c r="Q82" s="75"/>
    </row>
    <row r="83" spans="1:17" s="40" customFormat="1">
      <c r="A83" s="21"/>
      <c r="B83" s="51"/>
      <c r="C83" s="32"/>
      <c r="D83" s="32"/>
      <c r="E83" s="32"/>
      <c r="F83" s="21"/>
      <c r="G83" s="21"/>
      <c r="H83" s="21"/>
      <c r="I83" s="21"/>
      <c r="J83" s="21"/>
      <c r="K83" s="21"/>
      <c r="L83" s="33"/>
      <c r="M83" s="21"/>
      <c r="N83" s="34"/>
      <c r="O83" s="21"/>
      <c r="P83" s="72"/>
      <c r="Q83" s="75"/>
    </row>
    <row r="84" spans="1:17" s="40" customFormat="1">
      <c r="A84" s="21"/>
      <c r="B84" s="51"/>
      <c r="C84" s="32"/>
      <c r="D84" s="32"/>
      <c r="E84" s="32"/>
      <c r="F84" s="21"/>
      <c r="G84" s="21"/>
      <c r="H84" s="21"/>
      <c r="I84" s="21"/>
      <c r="J84" s="21"/>
      <c r="K84" s="21"/>
      <c r="L84" s="33"/>
      <c r="M84" s="21"/>
      <c r="N84" s="34"/>
      <c r="O84" s="21"/>
      <c r="P84" s="72"/>
      <c r="Q84" s="75"/>
    </row>
    <row r="85" spans="1:17" s="40" customFormat="1">
      <c r="A85" s="21"/>
      <c r="B85" s="51"/>
      <c r="C85" s="32"/>
      <c r="D85" s="32"/>
      <c r="E85" s="32"/>
      <c r="F85" s="21"/>
      <c r="G85" s="21"/>
      <c r="H85" s="21"/>
      <c r="I85" s="21"/>
      <c r="J85" s="21"/>
      <c r="K85" s="21"/>
      <c r="L85" s="33"/>
      <c r="M85" s="21"/>
      <c r="N85" s="34"/>
      <c r="O85" s="21"/>
      <c r="P85" s="72"/>
      <c r="Q85" s="75"/>
    </row>
    <row r="86" spans="1:17" s="40" customFormat="1">
      <c r="A86" s="21"/>
      <c r="B86" s="51"/>
      <c r="C86" s="32"/>
      <c r="D86" s="32"/>
      <c r="E86" s="32"/>
      <c r="F86" s="21"/>
      <c r="G86" s="21"/>
      <c r="H86" s="21"/>
      <c r="I86" s="21"/>
      <c r="J86" s="21"/>
      <c r="K86" s="21"/>
      <c r="L86" s="33"/>
      <c r="M86" s="21"/>
      <c r="N86" s="34"/>
      <c r="O86" s="21"/>
      <c r="P86" s="72"/>
      <c r="Q86" s="75"/>
    </row>
    <row r="87" spans="1:17" s="40" customFormat="1">
      <c r="A87" s="163"/>
      <c r="B87" s="163"/>
      <c r="C87" s="163"/>
      <c r="D87" s="163"/>
      <c r="E87" s="163"/>
      <c r="F87" s="44"/>
      <c r="G87" s="44"/>
      <c r="H87" s="44"/>
      <c r="I87" s="44"/>
      <c r="J87" s="44"/>
      <c r="K87" s="44"/>
      <c r="L87" s="45"/>
      <c r="M87" s="44"/>
      <c r="N87" s="46"/>
      <c r="O87" s="44"/>
      <c r="P87" s="44"/>
      <c r="Q87" s="47"/>
    </row>
    <row r="88" spans="1:17" s="40" customFormat="1">
      <c r="A88" s="44"/>
      <c r="B88" s="52"/>
      <c r="F88" s="44"/>
      <c r="G88" s="44"/>
      <c r="H88" s="44"/>
      <c r="I88" s="44"/>
      <c r="J88" s="44"/>
      <c r="K88" s="44"/>
      <c r="L88" s="45"/>
      <c r="M88" s="44"/>
      <c r="N88" s="46"/>
      <c r="O88" s="44"/>
      <c r="P88" s="44"/>
      <c r="Q88" s="47"/>
    </row>
    <row r="89" spans="1:17" s="40" customFormat="1">
      <c r="A89" s="44"/>
      <c r="B89" s="52"/>
      <c r="F89" s="44"/>
      <c r="G89" s="44"/>
      <c r="H89" s="44"/>
      <c r="I89" s="44"/>
      <c r="J89" s="44"/>
      <c r="K89" s="44"/>
      <c r="L89" s="45"/>
      <c r="M89" s="44"/>
      <c r="N89" s="46"/>
      <c r="O89" s="44"/>
      <c r="P89" s="44"/>
      <c r="Q89" s="47"/>
    </row>
    <row r="90" spans="1:17" s="40" customFormat="1">
      <c r="A90" s="44"/>
      <c r="B90" s="52"/>
      <c r="F90" s="44"/>
      <c r="G90" s="44"/>
      <c r="H90" s="44"/>
      <c r="I90" s="44"/>
      <c r="J90" s="44"/>
      <c r="K90" s="44"/>
      <c r="L90" s="45"/>
      <c r="M90" s="44"/>
      <c r="N90" s="46"/>
      <c r="O90" s="44"/>
      <c r="P90" s="44"/>
      <c r="Q90" s="47"/>
    </row>
    <row r="91" spans="1:17" s="40" customFormat="1">
      <c r="A91" s="44"/>
      <c r="B91" s="52"/>
      <c r="F91" s="44"/>
      <c r="G91" s="44"/>
      <c r="H91" s="44"/>
      <c r="I91" s="44"/>
      <c r="J91" s="44"/>
      <c r="K91" s="44"/>
      <c r="L91" s="45"/>
      <c r="M91" s="44"/>
      <c r="N91" s="46"/>
      <c r="O91" s="44"/>
      <c r="P91" s="44"/>
      <c r="Q91" s="47"/>
    </row>
    <row r="92" spans="1:17" s="40" customFormat="1">
      <c r="A92" s="44"/>
      <c r="B92" s="52"/>
      <c r="F92" s="44"/>
      <c r="G92" s="44"/>
      <c r="H92" s="44"/>
      <c r="I92" s="44"/>
      <c r="J92" s="44"/>
      <c r="K92" s="44"/>
      <c r="L92" s="45"/>
      <c r="M92" s="44"/>
      <c r="N92" s="44"/>
      <c r="O92" s="44"/>
      <c r="P92" s="44"/>
      <c r="Q92" s="47"/>
    </row>
    <row r="93" spans="1:17" s="40" customFormat="1">
      <c r="A93" s="44"/>
      <c r="B93" s="52"/>
      <c r="F93" s="44"/>
      <c r="G93" s="44"/>
      <c r="H93" s="44"/>
      <c r="I93" s="44"/>
      <c r="J93" s="44"/>
      <c r="K93" s="44"/>
      <c r="L93" s="45"/>
      <c r="M93" s="44"/>
      <c r="N93" s="46"/>
      <c r="O93" s="44"/>
      <c r="P93" s="44"/>
      <c r="Q93" s="47"/>
    </row>
    <row r="94" spans="1:17" s="40" customFormat="1">
      <c r="A94" s="44"/>
      <c r="B94" s="52"/>
      <c r="F94" s="44"/>
      <c r="G94" s="44"/>
      <c r="H94" s="44"/>
      <c r="I94" s="44"/>
      <c r="J94" s="44"/>
      <c r="K94" s="44"/>
      <c r="L94" s="45"/>
      <c r="M94" s="44"/>
      <c r="N94" s="47"/>
      <c r="O94" s="44"/>
      <c r="P94" s="44"/>
      <c r="Q94" s="47"/>
    </row>
    <row r="95" spans="1:17" s="40" customFormat="1">
      <c r="A95" s="44"/>
      <c r="B95" s="52"/>
      <c r="F95" s="44"/>
      <c r="G95" s="44"/>
      <c r="H95" s="44"/>
      <c r="I95" s="44"/>
      <c r="J95" s="44"/>
      <c r="K95" s="44"/>
      <c r="L95" s="45"/>
      <c r="M95" s="44"/>
      <c r="N95" s="47"/>
      <c r="O95" s="44"/>
      <c r="P95" s="44"/>
      <c r="Q95" s="47"/>
    </row>
    <row r="96" spans="1:17" s="40" customFormat="1">
      <c r="A96" s="44"/>
      <c r="B96" s="52"/>
      <c r="F96" s="44"/>
      <c r="G96" s="44"/>
      <c r="H96" s="44"/>
      <c r="I96" s="44"/>
      <c r="J96" s="44"/>
      <c r="K96" s="44"/>
      <c r="L96" s="45"/>
      <c r="M96" s="44"/>
      <c r="N96" s="46"/>
      <c r="O96" s="44"/>
      <c r="P96" s="44"/>
      <c r="Q96" s="47"/>
    </row>
    <row r="97" spans="1:17" s="40" customFormat="1">
      <c r="A97" s="44"/>
      <c r="B97" s="52"/>
      <c r="F97" s="44"/>
      <c r="G97" s="44"/>
      <c r="H97" s="44"/>
      <c r="I97" s="44"/>
      <c r="J97" s="44"/>
      <c r="K97" s="44"/>
      <c r="L97" s="45"/>
      <c r="M97" s="44"/>
      <c r="N97" s="46"/>
      <c r="O97" s="44"/>
      <c r="P97" s="44"/>
      <c r="Q97" s="47"/>
    </row>
    <row r="98" spans="1:17" s="40" customFormat="1">
      <c r="A98" s="44"/>
      <c r="B98" s="52"/>
      <c r="F98" s="44"/>
      <c r="G98" s="44"/>
      <c r="H98" s="44"/>
      <c r="I98" s="44"/>
      <c r="J98" s="44"/>
      <c r="K98" s="44"/>
      <c r="L98" s="45"/>
      <c r="M98" s="44"/>
      <c r="N98" s="46"/>
      <c r="O98" s="44"/>
      <c r="P98" s="44"/>
      <c r="Q98" s="47"/>
    </row>
    <row r="99" spans="1:17" s="40" customFormat="1">
      <c r="A99" s="44"/>
      <c r="B99" s="52"/>
      <c r="F99" s="44"/>
      <c r="G99" s="44"/>
      <c r="H99" s="44"/>
      <c r="I99" s="44"/>
      <c r="J99" s="44"/>
      <c r="K99" s="44"/>
      <c r="L99" s="45"/>
      <c r="M99" s="44"/>
      <c r="N99" s="46"/>
      <c r="O99" s="44"/>
      <c r="P99" s="44"/>
      <c r="Q99" s="47"/>
    </row>
    <row r="100" spans="1:17" s="40" customFormat="1">
      <c r="A100" s="44"/>
      <c r="B100" s="52"/>
      <c r="F100" s="44"/>
      <c r="G100" s="44"/>
      <c r="H100" s="44"/>
      <c r="I100" s="44"/>
      <c r="J100" s="44"/>
      <c r="K100" s="44"/>
      <c r="L100" s="45"/>
      <c r="M100" s="44"/>
      <c r="N100" s="46"/>
      <c r="O100" s="44"/>
      <c r="P100" s="44"/>
      <c r="Q100" s="47"/>
    </row>
    <row r="101" spans="1:17" s="40" customFormat="1">
      <c r="A101" s="44"/>
      <c r="B101" s="52"/>
      <c r="F101" s="44"/>
      <c r="G101" s="44"/>
      <c r="H101" s="44"/>
      <c r="I101" s="44"/>
      <c r="J101" s="44"/>
      <c r="K101" s="44"/>
      <c r="L101" s="45"/>
      <c r="M101" s="44"/>
      <c r="N101" s="46"/>
      <c r="O101" s="44"/>
      <c r="P101" s="44"/>
      <c r="Q101" s="47"/>
    </row>
    <row r="102" spans="1:17" s="40" customFormat="1">
      <c r="A102" s="44"/>
      <c r="B102" s="52"/>
      <c r="F102" s="44"/>
      <c r="G102" s="44"/>
      <c r="H102" s="44"/>
      <c r="I102" s="44"/>
      <c r="J102" s="44"/>
      <c r="K102" s="44"/>
      <c r="L102" s="45"/>
      <c r="M102" s="44"/>
      <c r="N102" s="46"/>
      <c r="O102" s="44"/>
      <c r="P102" s="44"/>
      <c r="Q102" s="47"/>
    </row>
    <row r="103" spans="1:17" s="40" customFormat="1">
      <c r="A103" s="44"/>
      <c r="B103" s="52"/>
      <c r="F103" s="44"/>
      <c r="G103" s="44"/>
      <c r="H103" s="44"/>
      <c r="I103" s="44"/>
      <c r="J103" s="44"/>
      <c r="K103" s="44"/>
      <c r="L103" s="45"/>
      <c r="M103" s="44"/>
      <c r="N103" s="46"/>
      <c r="O103" s="44"/>
      <c r="P103" s="44"/>
      <c r="Q103" s="47"/>
    </row>
    <row r="104" spans="1:17" s="40" customFormat="1">
      <c r="A104" s="44"/>
      <c r="B104" s="52"/>
      <c r="F104" s="44"/>
      <c r="G104" s="44"/>
      <c r="H104" s="44"/>
      <c r="I104" s="44"/>
      <c r="J104" s="44"/>
      <c r="K104" s="44"/>
      <c r="L104" s="45"/>
      <c r="M104" s="44"/>
      <c r="N104" s="46"/>
      <c r="O104" s="44"/>
      <c r="P104" s="44"/>
      <c r="Q104" s="47"/>
    </row>
    <row r="105" spans="1:17" s="40" customFormat="1">
      <c r="A105" s="44"/>
      <c r="B105" s="52"/>
      <c r="F105" s="44"/>
      <c r="G105" s="44"/>
      <c r="H105" s="44"/>
      <c r="I105" s="44"/>
      <c r="J105" s="44"/>
      <c r="K105" s="44"/>
      <c r="L105" s="45"/>
      <c r="M105" s="44"/>
      <c r="N105" s="46"/>
      <c r="O105" s="44"/>
      <c r="P105" s="44"/>
      <c r="Q105" s="47"/>
    </row>
    <row r="106" spans="1:17" s="40" customFormat="1">
      <c r="A106" s="44"/>
      <c r="B106" s="52"/>
      <c r="F106" s="44"/>
      <c r="G106" s="44"/>
      <c r="H106" s="44"/>
      <c r="I106" s="44"/>
      <c r="J106" s="44"/>
      <c r="K106" s="44"/>
      <c r="L106" s="45"/>
      <c r="M106" s="44"/>
      <c r="N106" s="46"/>
      <c r="O106" s="44"/>
      <c r="P106" s="44"/>
      <c r="Q106" s="47"/>
    </row>
    <row r="107" spans="1:17" s="40" customFormat="1">
      <c r="A107" s="44"/>
      <c r="B107" s="52"/>
      <c r="F107" s="44"/>
      <c r="G107" s="44"/>
      <c r="H107" s="44"/>
      <c r="I107" s="44"/>
      <c r="J107" s="44"/>
      <c r="K107" s="44"/>
      <c r="L107" s="45"/>
      <c r="M107" s="44"/>
      <c r="N107" s="46"/>
      <c r="O107" s="44"/>
      <c r="P107" s="44"/>
      <c r="Q107" s="47"/>
    </row>
    <row r="108" spans="1:17" s="40" customFormat="1">
      <c r="A108" s="44"/>
      <c r="B108" s="52"/>
      <c r="F108" s="44"/>
      <c r="G108" s="44"/>
      <c r="H108" s="44"/>
      <c r="I108" s="44"/>
      <c r="J108" s="44"/>
      <c r="K108" s="44"/>
      <c r="L108" s="45"/>
      <c r="M108" s="44"/>
      <c r="N108" s="46"/>
      <c r="O108" s="44"/>
      <c r="P108" s="44"/>
      <c r="Q108" s="47"/>
    </row>
    <row r="109" spans="1:17" s="40" customFormat="1">
      <c r="A109" s="44"/>
      <c r="B109" s="52"/>
      <c r="F109" s="44"/>
      <c r="G109" s="44"/>
      <c r="H109" s="44"/>
      <c r="I109" s="44"/>
      <c r="J109" s="44"/>
      <c r="K109" s="44"/>
      <c r="L109" s="45"/>
      <c r="M109" s="44"/>
      <c r="N109" s="46"/>
      <c r="O109" s="44"/>
      <c r="P109" s="44"/>
      <c r="Q109" s="47"/>
    </row>
    <row r="110" spans="1:17" s="40" customFormat="1">
      <c r="A110" s="44"/>
      <c r="B110" s="52"/>
      <c r="F110" s="44"/>
      <c r="G110" s="44"/>
      <c r="H110" s="44"/>
      <c r="I110" s="44"/>
      <c r="J110" s="44"/>
      <c r="K110" s="44"/>
      <c r="L110" s="45"/>
      <c r="M110" s="44"/>
      <c r="N110" s="46"/>
      <c r="O110" s="44"/>
      <c r="P110" s="44"/>
      <c r="Q110" s="47"/>
    </row>
    <row r="111" spans="1:17" s="40" customFormat="1">
      <c r="A111" s="44"/>
      <c r="B111" s="52"/>
      <c r="F111" s="44"/>
      <c r="G111" s="44"/>
      <c r="H111" s="44"/>
      <c r="I111" s="44"/>
      <c r="J111" s="44"/>
      <c r="K111" s="44"/>
      <c r="L111" s="45"/>
      <c r="M111" s="44"/>
      <c r="N111" s="46"/>
      <c r="O111" s="44"/>
      <c r="P111" s="44"/>
      <c r="Q111" s="47"/>
    </row>
    <row r="112" spans="1:17" s="40" customFormat="1">
      <c r="A112" s="44"/>
      <c r="B112" s="52"/>
      <c r="F112" s="44"/>
      <c r="G112" s="44"/>
      <c r="H112" s="44"/>
      <c r="I112" s="44"/>
      <c r="J112" s="44"/>
      <c r="K112" s="44"/>
      <c r="L112" s="45"/>
      <c r="M112" s="44"/>
      <c r="N112" s="46"/>
      <c r="O112" s="44"/>
      <c r="P112" s="44"/>
      <c r="Q112" s="47"/>
    </row>
    <row r="113" spans="1:17" s="40" customFormat="1">
      <c r="A113" s="44"/>
      <c r="B113" s="52"/>
      <c r="F113" s="44"/>
      <c r="G113" s="44"/>
      <c r="H113" s="44"/>
      <c r="I113" s="44"/>
      <c r="J113" s="44"/>
      <c r="K113" s="44"/>
      <c r="L113" s="45"/>
      <c r="M113" s="44"/>
      <c r="N113" s="46"/>
      <c r="O113" s="44"/>
      <c r="P113" s="44"/>
      <c r="Q113" s="47"/>
    </row>
    <row r="114" spans="1:17" s="40" customFormat="1">
      <c r="A114" s="44"/>
      <c r="B114" s="52"/>
      <c r="F114" s="44"/>
      <c r="G114" s="44"/>
      <c r="H114" s="44"/>
      <c r="I114" s="44"/>
      <c r="J114" s="44"/>
      <c r="K114" s="44"/>
      <c r="L114" s="45"/>
      <c r="M114" s="44"/>
      <c r="N114" s="46"/>
      <c r="O114" s="44"/>
      <c r="P114" s="44"/>
      <c r="Q114" s="47"/>
    </row>
    <row r="115" spans="1:17" s="40" customFormat="1">
      <c r="A115" s="44"/>
      <c r="B115" s="52"/>
      <c r="F115" s="44"/>
      <c r="G115" s="44"/>
      <c r="H115" s="44"/>
      <c r="I115" s="44"/>
      <c r="J115" s="44"/>
      <c r="K115" s="44"/>
      <c r="L115" s="45"/>
      <c r="M115" s="44"/>
      <c r="N115" s="46"/>
      <c r="O115" s="44"/>
      <c r="P115" s="44"/>
      <c r="Q115" s="47"/>
    </row>
    <row r="116" spans="1:17" s="40" customFormat="1">
      <c r="A116" s="44"/>
      <c r="B116" s="52"/>
      <c r="F116" s="44"/>
      <c r="G116" s="44"/>
      <c r="H116" s="44"/>
      <c r="I116" s="44"/>
      <c r="J116" s="44"/>
      <c r="K116" s="44"/>
      <c r="L116" s="45"/>
      <c r="M116" s="44"/>
      <c r="N116" s="46"/>
      <c r="O116" s="44"/>
      <c r="P116" s="44"/>
      <c r="Q116" s="47"/>
    </row>
    <row r="117" spans="1:17" s="40" customFormat="1">
      <c r="A117" s="44"/>
      <c r="B117" s="52"/>
      <c r="F117" s="44"/>
      <c r="G117" s="44"/>
      <c r="H117" s="44"/>
      <c r="I117" s="44"/>
      <c r="J117" s="44"/>
      <c r="K117" s="44"/>
      <c r="L117" s="45"/>
      <c r="M117" s="44"/>
      <c r="N117" s="46"/>
      <c r="O117" s="44"/>
      <c r="P117" s="44"/>
      <c r="Q117" s="47"/>
    </row>
    <row r="118" spans="1:17" s="40" customFormat="1">
      <c r="A118" s="44"/>
      <c r="B118" s="52"/>
      <c r="F118" s="44"/>
      <c r="G118" s="44"/>
      <c r="H118" s="44"/>
      <c r="I118" s="44"/>
      <c r="J118" s="44"/>
      <c r="K118" s="44"/>
      <c r="L118" s="45"/>
      <c r="M118" s="44"/>
      <c r="N118" s="46"/>
      <c r="O118" s="44"/>
      <c r="P118" s="44"/>
      <c r="Q118" s="47"/>
    </row>
    <row r="119" spans="1:17" s="40" customFormat="1">
      <c r="A119" s="44"/>
      <c r="B119" s="52"/>
      <c r="F119" s="44"/>
      <c r="G119" s="44"/>
      <c r="H119" s="44"/>
      <c r="I119" s="44"/>
      <c r="J119" s="44"/>
      <c r="K119" s="44"/>
      <c r="L119" s="45"/>
      <c r="M119" s="44"/>
      <c r="N119" s="46"/>
      <c r="O119" s="44"/>
      <c r="P119" s="44"/>
      <c r="Q119" s="47"/>
    </row>
    <row r="120" spans="1:17" s="40" customFormat="1">
      <c r="A120" s="44"/>
      <c r="B120" s="52"/>
      <c r="F120" s="44"/>
      <c r="G120" s="44"/>
      <c r="H120" s="44"/>
      <c r="I120" s="44"/>
      <c r="J120" s="44"/>
      <c r="K120" s="44"/>
      <c r="L120" s="45"/>
      <c r="M120" s="44"/>
      <c r="N120" s="46"/>
      <c r="O120" s="44"/>
      <c r="P120" s="44"/>
      <c r="Q120" s="47"/>
    </row>
    <row r="121" spans="1:17" s="40" customFormat="1">
      <c r="A121" s="44"/>
      <c r="B121" s="52"/>
      <c r="F121" s="44"/>
      <c r="G121" s="44"/>
      <c r="H121" s="44"/>
      <c r="I121" s="44"/>
      <c r="J121" s="44"/>
      <c r="K121" s="44"/>
      <c r="L121" s="45"/>
      <c r="M121" s="44"/>
      <c r="N121" s="46"/>
      <c r="O121" s="44"/>
      <c r="P121" s="44"/>
      <c r="Q121" s="47"/>
    </row>
    <row r="122" spans="1:17" s="40" customFormat="1">
      <c r="A122" s="44"/>
      <c r="B122" s="52"/>
      <c r="F122" s="44"/>
      <c r="G122" s="44"/>
      <c r="H122" s="44"/>
      <c r="I122" s="44"/>
      <c r="J122" s="44"/>
      <c r="K122" s="44"/>
      <c r="L122" s="45"/>
      <c r="M122" s="44"/>
      <c r="N122" s="46"/>
      <c r="O122" s="44"/>
      <c r="P122" s="44"/>
      <c r="Q122" s="47"/>
    </row>
    <row r="123" spans="1:17" s="40" customFormat="1">
      <c r="A123" s="44"/>
      <c r="B123" s="52"/>
      <c r="F123" s="44"/>
      <c r="G123" s="44"/>
      <c r="H123" s="44"/>
      <c r="I123" s="44"/>
      <c r="J123" s="44"/>
      <c r="K123" s="44"/>
      <c r="L123" s="45"/>
      <c r="M123" s="44"/>
      <c r="N123" s="46"/>
      <c r="O123" s="44"/>
      <c r="P123" s="44"/>
      <c r="Q123" s="47"/>
    </row>
    <row r="124" spans="1:17" s="40" customFormat="1">
      <c r="A124" s="44"/>
      <c r="B124" s="52"/>
      <c r="F124" s="44"/>
      <c r="G124" s="44"/>
      <c r="H124" s="44"/>
      <c r="I124" s="44"/>
      <c r="J124" s="44"/>
      <c r="K124" s="44"/>
      <c r="L124" s="45"/>
      <c r="M124" s="44"/>
      <c r="N124" s="46"/>
      <c r="O124" s="44"/>
      <c r="P124" s="44"/>
      <c r="Q124" s="47"/>
    </row>
    <row r="125" spans="1:17" s="40" customFormat="1">
      <c r="A125" s="44"/>
      <c r="B125" s="52"/>
      <c r="F125" s="44"/>
      <c r="G125" s="44"/>
      <c r="H125" s="44"/>
      <c r="I125" s="44"/>
      <c r="J125" s="44"/>
      <c r="K125" s="44"/>
      <c r="L125" s="45"/>
      <c r="M125" s="44"/>
      <c r="N125" s="46"/>
      <c r="O125" s="44"/>
      <c r="P125" s="44"/>
      <c r="Q125" s="47"/>
    </row>
    <row r="126" spans="1:17" s="40" customFormat="1">
      <c r="A126" s="44"/>
      <c r="B126" s="52"/>
      <c r="F126" s="44"/>
      <c r="G126" s="44"/>
      <c r="H126" s="44"/>
      <c r="I126" s="44"/>
      <c r="J126" s="44"/>
      <c r="K126" s="44"/>
      <c r="L126" s="45"/>
      <c r="M126" s="44"/>
      <c r="N126" s="46"/>
      <c r="O126" s="44"/>
      <c r="P126" s="44"/>
      <c r="Q126" s="47"/>
    </row>
    <row r="127" spans="1:17" s="40" customFormat="1">
      <c r="A127" s="44"/>
      <c r="B127" s="52"/>
      <c r="F127" s="44"/>
      <c r="G127" s="44"/>
      <c r="H127" s="44"/>
      <c r="I127" s="44"/>
      <c r="J127" s="44"/>
      <c r="K127" s="44"/>
      <c r="L127" s="45"/>
      <c r="M127" s="44"/>
      <c r="N127" s="46"/>
      <c r="O127" s="44"/>
      <c r="P127" s="44"/>
      <c r="Q127" s="47"/>
    </row>
    <row r="128" spans="1:17" s="40" customFormat="1">
      <c r="A128" s="44"/>
      <c r="B128" s="52"/>
      <c r="F128" s="44"/>
      <c r="G128" s="44"/>
      <c r="H128" s="44"/>
      <c r="I128" s="44"/>
      <c r="J128" s="44"/>
      <c r="K128" s="44"/>
      <c r="L128" s="45"/>
      <c r="M128" s="44"/>
      <c r="N128" s="46"/>
      <c r="O128" s="44"/>
      <c r="P128" s="44"/>
      <c r="Q128" s="47"/>
    </row>
    <row r="129" spans="1:17" s="40" customFormat="1">
      <c r="A129" s="44"/>
      <c r="B129" s="52"/>
      <c r="F129" s="44"/>
      <c r="G129" s="44"/>
      <c r="H129" s="44"/>
      <c r="I129" s="44"/>
      <c r="J129" s="44"/>
      <c r="K129" s="44"/>
      <c r="L129" s="45"/>
      <c r="M129" s="44"/>
      <c r="N129" s="46"/>
      <c r="O129" s="44"/>
      <c r="P129" s="44"/>
      <c r="Q129" s="47"/>
    </row>
    <row r="130" spans="1:17" s="40" customFormat="1">
      <c r="A130" s="44"/>
      <c r="B130" s="52"/>
      <c r="F130" s="44"/>
      <c r="G130" s="44"/>
      <c r="H130" s="44"/>
      <c r="I130" s="44"/>
      <c r="J130" s="44"/>
      <c r="K130" s="44"/>
      <c r="L130" s="45"/>
      <c r="M130" s="44"/>
      <c r="N130" s="46"/>
      <c r="O130" s="44"/>
      <c r="P130" s="44"/>
      <c r="Q130" s="47"/>
    </row>
    <row r="131" spans="1:17" s="40" customFormat="1">
      <c r="A131" s="44"/>
      <c r="B131" s="52"/>
      <c r="F131" s="44"/>
      <c r="G131" s="44"/>
      <c r="H131" s="44"/>
      <c r="I131" s="44"/>
      <c r="J131" s="44"/>
      <c r="K131" s="44"/>
      <c r="L131" s="45"/>
      <c r="M131" s="44"/>
      <c r="N131" s="46"/>
      <c r="O131" s="44"/>
      <c r="P131" s="44"/>
      <c r="Q131" s="47"/>
    </row>
    <row r="132" spans="1:17" s="40" customFormat="1">
      <c r="A132" s="44"/>
      <c r="B132" s="52"/>
      <c r="F132" s="44"/>
      <c r="G132" s="44"/>
      <c r="H132" s="44"/>
      <c r="I132" s="44"/>
      <c r="J132" s="44"/>
      <c r="K132" s="44"/>
      <c r="L132" s="45"/>
      <c r="M132" s="44"/>
      <c r="N132" s="46"/>
      <c r="O132" s="44"/>
      <c r="P132" s="44"/>
      <c r="Q132" s="47"/>
    </row>
    <row r="133" spans="1:17" s="40" customFormat="1">
      <c r="A133" s="44"/>
      <c r="B133" s="52"/>
      <c r="F133" s="44"/>
      <c r="G133" s="44"/>
      <c r="H133" s="44"/>
      <c r="I133" s="44"/>
      <c r="J133" s="44"/>
      <c r="K133" s="44"/>
      <c r="L133" s="45"/>
      <c r="M133" s="44"/>
      <c r="N133" s="46"/>
      <c r="O133" s="44"/>
      <c r="P133" s="44"/>
      <c r="Q133" s="47"/>
    </row>
    <row r="134" spans="1:17" s="40" customFormat="1">
      <c r="A134" s="44"/>
      <c r="B134" s="52"/>
      <c r="F134" s="44"/>
      <c r="G134" s="44"/>
      <c r="H134" s="44"/>
      <c r="I134" s="44"/>
      <c r="J134" s="44"/>
      <c r="K134" s="44"/>
      <c r="L134" s="45"/>
      <c r="M134" s="44"/>
      <c r="N134" s="46"/>
      <c r="O134" s="44"/>
      <c r="P134" s="44"/>
      <c r="Q134" s="47"/>
    </row>
    <row r="135" spans="1:17" s="40" customFormat="1">
      <c r="A135" s="44"/>
      <c r="B135" s="52"/>
      <c r="F135" s="44"/>
      <c r="G135" s="44"/>
      <c r="H135" s="44"/>
      <c r="I135" s="44"/>
      <c r="J135" s="44"/>
      <c r="K135" s="44"/>
      <c r="L135" s="45"/>
      <c r="M135" s="44"/>
      <c r="N135" s="46"/>
      <c r="O135" s="44"/>
      <c r="P135" s="44"/>
      <c r="Q135" s="47"/>
    </row>
    <row r="136" spans="1:17" s="40" customFormat="1">
      <c r="A136" s="44"/>
      <c r="B136" s="52"/>
      <c r="F136" s="44"/>
      <c r="G136" s="44"/>
      <c r="H136" s="44"/>
      <c r="I136" s="44"/>
      <c r="J136" s="44"/>
      <c r="K136" s="44"/>
      <c r="L136" s="45"/>
      <c r="M136" s="44"/>
      <c r="N136" s="46"/>
      <c r="O136" s="44"/>
      <c r="P136" s="44"/>
      <c r="Q136" s="47"/>
    </row>
    <row r="137" spans="1:17" s="40" customFormat="1">
      <c r="A137" s="44"/>
      <c r="B137" s="52"/>
      <c r="F137" s="44"/>
      <c r="G137" s="44"/>
      <c r="H137" s="44"/>
      <c r="I137" s="44"/>
      <c r="J137" s="44"/>
      <c r="K137" s="44"/>
      <c r="L137" s="45"/>
      <c r="M137" s="44"/>
      <c r="N137" s="46"/>
      <c r="O137" s="44"/>
      <c r="P137" s="44"/>
      <c r="Q137" s="47"/>
    </row>
    <row r="138" spans="1:17" s="40" customFormat="1">
      <c r="A138" s="44"/>
      <c r="B138" s="52"/>
      <c r="F138" s="44"/>
      <c r="G138" s="44"/>
      <c r="H138" s="44"/>
      <c r="I138" s="44"/>
      <c r="J138" s="44"/>
      <c r="K138" s="44"/>
      <c r="L138" s="45"/>
      <c r="M138" s="44"/>
      <c r="N138" s="46"/>
      <c r="O138" s="44"/>
      <c r="P138" s="44"/>
      <c r="Q138" s="47"/>
    </row>
    <row r="139" spans="1:17" s="40" customFormat="1">
      <c r="A139" s="44"/>
      <c r="B139" s="52"/>
      <c r="F139" s="44"/>
      <c r="G139" s="44"/>
      <c r="H139" s="44"/>
      <c r="I139" s="44"/>
      <c r="J139" s="44"/>
      <c r="K139" s="44"/>
      <c r="L139" s="45"/>
      <c r="M139" s="44"/>
      <c r="N139" s="46"/>
      <c r="O139" s="44"/>
      <c r="P139" s="44"/>
      <c r="Q139" s="47"/>
    </row>
    <row r="140" spans="1:17" s="40" customFormat="1">
      <c r="A140" s="44"/>
      <c r="B140" s="52"/>
      <c r="F140" s="44"/>
      <c r="G140" s="44"/>
      <c r="H140" s="44"/>
      <c r="I140" s="44"/>
      <c r="J140" s="44"/>
      <c r="K140" s="44"/>
      <c r="L140" s="45"/>
      <c r="M140" s="44"/>
      <c r="N140" s="46"/>
      <c r="O140" s="44"/>
      <c r="P140" s="44"/>
      <c r="Q140" s="47"/>
    </row>
    <row r="141" spans="1:17" s="40" customFormat="1">
      <c r="A141" s="44"/>
      <c r="B141" s="52"/>
      <c r="F141" s="44"/>
      <c r="G141" s="44"/>
      <c r="H141" s="44"/>
      <c r="I141" s="44"/>
      <c r="J141" s="44"/>
      <c r="K141" s="44"/>
      <c r="L141" s="45"/>
      <c r="M141" s="44"/>
      <c r="N141" s="46"/>
      <c r="O141" s="44"/>
      <c r="P141" s="44"/>
      <c r="Q141" s="47"/>
    </row>
    <row r="142" spans="1:17" s="40" customFormat="1">
      <c r="A142" s="44"/>
      <c r="B142" s="52"/>
      <c r="F142" s="44"/>
      <c r="G142" s="44"/>
      <c r="H142" s="44"/>
      <c r="I142" s="44"/>
      <c r="J142" s="44"/>
      <c r="K142" s="44"/>
      <c r="L142" s="45"/>
      <c r="M142" s="44"/>
      <c r="N142" s="46"/>
      <c r="O142" s="44"/>
      <c r="P142" s="44"/>
      <c r="Q142" s="47"/>
    </row>
    <row r="143" spans="1:17" s="40" customFormat="1">
      <c r="A143" s="44"/>
      <c r="B143" s="52"/>
      <c r="F143" s="44"/>
      <c r="G143" s="44"/>
      <c r="H143" s="44"/>
      <c r="I143" s="44"/>
      <c r="J143" s="44"/>
      <c r="K143" s="44"/>
      <c r="L143" s="45"/>
      <c r="M143" s="44"/>
      <c r="N143" s="46"/>
      <c r="O143" s="44"/>
      <c r="P143" s="44"/>
      <c r="Q143" s="47"/>
    </row>
    <row r="144" spans="1:17" s="40" customFormat="1">
      <c r="A144" s="44"/>
      <c r="B144" s="52"/>
      <c r="F144" s="44"/>
      <c r="G144" s="44"/>
      <c r="H144" s="44"/>
      <c r="I144" s="44"/>
      <c r="J144" s="44"/>
      <c r="K144" s="44"/>
      <c r="L144" s="45"/>
      <c r="M144" s="44"/>
      <c r="N144" s="46"/>
      <c r="O144" s="44"/>
      <c r="P144" s="44"/>
      <c r="Q144" s="47"/>
    </row>
    <row r="145" spans="1:17" s="40" customFormat="1">
      <c r="A145" s="44"/>
      <c r="B145" s="52"/>
      <c r="F145" s="44"/>
      <c r="G145" s="44"/>
      <c r="H145" s="44"/>
      <c r="I145" s="44"/>
      <c r="J145" s="44"/>
      <c r="K145" s="44"/>
      <c r="L145" s="45"/>
      <c r="M145" s="44"/>
      <c r="N145" s="46"/>
      <c r="O145" s="44"/>
      <c r="P145" s="44"/>
      <c r="Q145" s="47"/>
    </row>
    <row r="146" spans="1:17" s="40" customFormat="1">
      <c r="A146" s="44"/>
      <c r="B146" s="52"/>
      <c r="F146" s="44"/>
      <c r="G146" s="44"/>
      <c r="H146" s="44"/>
      <c r="I146" s="44"/>
      <c r="J146" s="44"/>
      <c r="K146" s="44"/>
      <c r="L146" s="45"/>
      <c r="M146" s="44"/>
      <c r="N146" s="46"/>
      <c r="O146" s="44"/>
      <c r="P146" s="44"/>
      <c r="Q146" s="47"/>
    </row>
    <row r="147" spans="1:17" s="40" customFormat="1">
      <c r="A147" s="44"/>
      <c r="B147" s="52"/>
      <c r="F147" s="44"/>
      <c r="G147" s="44"/>
      <c r="H147" s="44"/>
      <c r="I147" s="44"/>
      <c r="J147" s="44"/>
      <c r="K147" s="44"/>
      <c r="L147" s="45"/>
      <c r="M147" s="44"/>
      <c r="N147" s="46"/>
      <c r="O147" s="44"/>
      <c r="P147" s="44"/>
      <c r="Q147" s="47"/>
    </row>
    <row r="148" spans="1:17" s="40" customFormat="1">
      <c r="A148" s="44"/>
      <c r="B148" s="52"/>
      <c r="F148" s="44"/>
      <c r="G148" s="44"/>
      <c r="H148" s="44"/>
      <c r="I148" s="44"/>
      <c r="J148" s="44"/>
      <c r="K148" s="44"/>
      <c r="L148" s="45"/>
      <c r="M148" s="44"/>
      <c r="N148" s="46"/>
      <c r="O148" s="44"/>
      <c r="P148" s="44"/>
      <c r="Q148" s="47"/>
    </row>
    <row r="149" spans="1:17" s="40" customFormat="1">
      <c r="A149" s="44"/>
      <c r="B149" s="52"/>
      <c r="F149" s="44"/>
      <c r="G149" s="44"/>
      <c r="H149" s="44"/>
      <c r="I149" s="44"/>
      <c r="J149" s="44"/>
      <c r="K149" s="44"/>
      <c r="L149" s="45"/>
      <c r="M149" s="44"/>
      <c r="N149" s="46"/>
      <c r="O149" s="44"/>
      <c r="P149" s="44"/>
      <c r="Q149" s="47"/>
    </row>
    <row r="150" spans="1:17" s="40" customFormat="1">
      <c r="A150" s="44"/>
      <c r="B150" s="52"/>
      <c r="F150" s="44"/>
      <c r="G150" s="44"/>
      <c r="H150" s="44"/>
      <c r="I150" s="44"/>
      <c r="J150" s="44"/>
      <c r="K150" s="44"/>
      <c r="L150" s="45"/>
      <c r="M150" s="44"/>
      <c r="N150" s="46"/>
      <c r="O150" s="44"/>
      <c r="P150" s="44"/>
      <c r="Q150" s="47"/>
    </row>
    <row r="151" spans="1:17" s="40" customFormat="1">
      <c r="A151" s="44"/>
      <c r="B151" s="52"/>
      <c r="F151" s="44"/>
      <c r="G151" s="44"/>
      <c r="H151" s="44"/>
      <c r="I151" s="44"/>
      <c r="J151" s="44"/>
      <c r="K151" s="44"/>
      <c r="L151" s="45"/>
      <c r="M151" s="44"/>
      <c r="N151" s="46"/>
      <c r="O151" s="44"/>
      <c r="P151" s="44"/>
      <c r="Q151" s="47"/>
    </row>
    <row r="152" spans="1:17" s="40" customFormat="1">
      <c r="A152" s="44"/>
      <c r="B152" s="52"/>
      <c r="F152" s="44"/>
      <c r="G152" s="44"/>
      <c r="H152" s="44"/>
      <c r="I152" s="44"/>
      <c r="J152" s="44"/>
      <c r="K152" s="44"/>
      <c r="L152" s="45"/>
      <c r="M152" s="44"/>
      <c r="N152" s="46"/>
      <c r="O152" s="44"/>
      <c r="P152" s="44"/>
      <c r="Q152" s="47"/>
    </row>
    <row r="153" spans="1:17" s="40" customFormat="1">
      <c r="A153" s="44"/>
      <c r="B153" s="52"/>
      <c r="F153" s="44"/>
      <c r="G153" s="44"/>
      <c r="H153" s="44"/>
      <c r="I153" s="44"/>
      <c r="J153" s="44"/>
      <c r="K153" s="44"/>
      <c r="L153" s="45"/>
      <c r="M153" s="44"/>
      <c r="N153" s="46"/>
      <c r="O153" s="44"/>
      <c r="P153" s="44"/>
      <c r="Q153" s="47"/>
    </row>
    <row r="154" spans="1:17" s="40" customFormat="1">
      <c r="A154" s="44"/>
      <c r="B154" s="52"/>
      <c r="F154" s="44"/>
      <c r="G154" s="44"/>
      <c r="H154" s="44"/>
      <c r="I154" s="44"/>
      <c r="J154" s="44"/>
      <c r="K154" s="44"/>
      <c r="L154" s="45"/>
      <c r="M154" s="44"/>
      <c r="N154" s="46"/>
      <c r="O154" s="44"/>
      <c r="P154" s="44"/>
      <c r="Q154" s="47"/>
    </row>
    <row r="155" spans="1:17" s="40" customFormat="1">
      <c r="A155" s="44"/>
      <c r="B155" s="52"/>
      <c r="F155" s="44"/>
      <c r="G155" s="44"/>
      <c r="H155" s="44"/>
      <c r="I155" s="44"/>
      <c r="J155" s="44"/>
      <c r="K155" s="44"/>
      <c r="L155" s="45"/>
      <c r="M155" s="44"/>
      <c r="N155" s="46"/>
      <c r="O155" s="44"/>
      <c r="P155" s="44"/>
      <c r="Q155" s="47"/>
    </row>
    <row r="156" spans="1:17" s="40" customFormat="1">
      <c r="A156" s="44"/>
      <c r="B156" s="52"/>
      <c r="F156" s="44"/>
      <c r="G156" s="44"/>
      <c r="H156" s="44"/>
      <c r="I156" s="44"/>
      <c r="J156" s="44"/>
      <c r="K156" s="44"/>
      <c r="L156" s="45"/>
      <c r="M156" s="44"/>
      <c r="N156" s="46"/>
      <c r="O156" s="44"/>
      <c r="P156" s="44"/>
      <c r="Q156" s="47"/>
    </row>
    <row r="157" spans="1:17" s="40" customFormat="1">
      <c r="A157" s="44"/>
      <c r="B157" s="52"/>
      <c r="F157" s="44"/>
      <c r="G157" s="44"/>
      <c r="H157" s="44"/>
      <c r="I157" s="44"/>
      <c r="J157" s="44"/>
      <c r="K157" s="44"/>
      <c r="L157" s="45"/>
      <c r="M157" s="44"/>
      <c r="N157" s="46"/>
      <c r="O157" s="44"/>
      <c r="P157" s="44"/>
      <c r="Q157" s="47"/>
    </row>
    <row r="158" spans="1:17" s="40" customFormat="1">
      <c r="A158" s="44"/>
      <c r="B158" s="52"/>
      <c r="F158" s="44"/>
      <c r="G158" s="44"/>
      <c r="H158" s="44"/>
      <c r="I158" s="44"/>
      <c r="J158" s="44"/>
      <c r="K158" s="44"/>
      <c r="L158" s="45"/>
      <c r="M158" s="44"/>
      <c r="N158" s="46"/>
      <c r="O158" s="44"/>
      <c r="P158" s="44"/>
      <c r="Q158" s="47"/>
    </row>
    <row r="159" spans="1:17" s="40" customFormat="1">
      <c r="A159" s="44"/>
      <c r="B159" s="52"/>
      <c r="F159" s="44"/>
      <c r="G159" s="44"/>
      <c r="H159" s="44"/>
      <c r="I159" s="44"/>
      <c r="J159" s="44"/>
      <c r="K159" s="44"/>
      <c r="L159" s="45"/>
      <c r="M159" s="44"/>
      <c r="N159" s="46"/>
      <c r="O159" s="44"/>
      <c r="P159" s="44"/>
      <c r="Q159" s="47"/>
    </row>
    <row r="160" spans="1:17" s="40" customFormat="1">
      <c r="A160" s="44"/>
      <c r="B160" s="52"/>
      <c r="F160" s="44"/>
      <c r="G160" s="44"/>
      <c r="H160" s="44"/>
      <c r="I160" s="44"/>
      <c r="J160" s="44"/>
      <c r="K160" s="44"/>
      <c r="L160" s="45"/>
      <c r="M160" s="44"/>
      <c r="N160" s="46"/>
      <c r="O160" s="44"/>
      <c r="P160" s="44"/>
      <c r="Q160" s="47"/>
    </row>
    <row r="161" spans="1:17" s="40" customFormat="1">
      <c r="A161" s="44"/>
      <c r="B161" s="52"/>
      <c r="F161" s="44"/>
      <c r="G161" s="44"/>
      <c r="H161" s="44"/>
      <c r="I161" s="44"/>
      <c r="J161" s="44"/>
      <c r="K161" s="44"/>
      <c r="L161" s="45"/>
      <c r="M161" s="44"/>
      <c r="N161" s="46"/>
      <c r="O161" s="44"/>
      <c r="P161" s="44"/>
      <c r="Q161" s="47"/>
    </row>
    <row r="162" spans="1:17" s="40" customFormat="1">
      <c r="A162" s="44"/>
      <c r="B162" s="52"/>
      <c r="F162" s="44"/>
      <c r="G162" s="44"/>
      <c r="H162" s="44"/>
      <c r="I162" s="44"/>
      <c r="J162" s="44"/>
      <c r="K162" s="44"/>
      <c r="L162" s="45"/>
      <c r="M162" s="44"/>
      <c r="N162" s="46"/>
      <c r="O162" s="44"/>
      <c r="P162" s="44"/>
      <c r="Q162" s="47"/>
    </row>
    <row r="163" spans="1:17" s="40" customFormat="1">
      <c r="A163" s="44"/>
      <c r="B163" s="52"/>
      <c r="F163" s="44"/>
      <c r="G163" s="44"/>
      <c r="H163" s="44"/>
      <c r="I163" s="44"/>
      <c r="J163" s="44"/>
      <c r="K163" s="44"/>
      <c r="L163" s="45"/>
      <c r="M163" s="44"/>
      <c r="N163" s="46"/>
      <c r="O163" s="44"/>
      <c r="P163" s="44"/>
      <c r="Q163" s="47"/>
    </row>
    <row r="164" spans="1:17" s="40" customFormat="1">
      <c r="A164" s="44"/>
      <c r="B164" s="52"/>
      <c r="F164" s="44"/>
      <c r="G164" s="44"/>
      <c r="H164" s="44"/>
      <c r="I164" s="44"/>
      <c r="J164" s="44"/>
      <c r="K164" s="44"/>
      <c r="L164" s="45"/>
      <c r="M164" s="44"/>
      <c r="N164" s="46"/>
      <c r="O164" s="44"/>
      <c r="P164" s="44"/>
      <c r="Q164" s="47"/>
    </row>
    <row r="165" spans="1:17" s="40" customFormat="1">
      <c r="A165" s="44"/>
      <c r="B165" s="52"/>
      <c r="F165" s="44"/>
      <c r="G165" s="44"/>
      <c r="H165" s="44"/>
      <c r="I165" s="44"/>
      <c r="J165" s="44"/>
      <c r="K165" s="44"/>
      <c r="L165" s="45"/>
      <c r="M165" s="44"/>
      <c r="N165" s="46"/>
      <c r="O165" s="44"/>
      <c r="P165" s="44"/>
      <c r="Q165" s="47"/>
    </row>
    <row r="166" spans="1:17" s="40" customFormat="1">
      <c r="A166" s="44"/>
      <c r="B166" s="52"/>
      <c r="F166" s="44"/>
      <c r="G166" s="44"/>
      <c r="H166" s="44"/>
      <c r="I166" s="44"/>
      <c r="J166" s="44"/>
      <c r="K166" s="44"/>
      <c r="L166" s="45"/>
      <c r="M166" s="44"/>
      <c r="N166" s="46"/>
      <c r="O166" s="44"/>
      <c r="P166" s="44"/>
      <c r="Q166" s="47"/>
    </row>
    <row r="167" spans="1:17" s="40" customFormat="1">
      <c r="A167" s="44"/>
      <c r="B167" s="52"/>
      <c r="F167" s="44"/>
      <c r="G167" s="44"/>
      <c r="H167" s="44"/>
      <c r="I167" s="44"/>
      <c r="J167" s="44"/>
      <c r="K167" s="44"/>
      <c r="L167" s="45"/>
      <c r="M167" s="44"/>
      <c r="N167" s="46"/>
      <c r="O167" s="44"/>
      <c r="P167" s="44"/>
      <c r="Q167" s="47"/>
    </row>
    <row r="168" spans="1:17" s="40" customFormat="1">
      <c r="A168" s="44"/>
      <c r="B168" s="52"/>
      <c r="F168" s="44"/>
      <c r="G168" s="44"/>
      <c r="H168" s="44"/>
      <c r="I168" s="44"/>
      <c r="J168" s="44"/>
      <c r="K168" s="44"/>
      <c r="L168" s="45"/>
      <c r="M168" s="44"/>
      <c r="N168" s="46"/>
      <c r="O168" s="44"/>
      <c r="P168" s="44"/>
      <c r="Q168" s="47"/>
    </row>
    <row r="169" spans="1:17" s="40" customFormat="1">
      <c r="A169" s="44"/>
      <c r="B169" s="52"/>
      <c r="F169" s="44"/>
      <c r="G169" s="44"/>
      <c r="H169" s="44"/>
      <c r="I169" s="44"/>
      <c r="J169" s="44"/>
      <c r="K169" s="44"/>
      <c r="L169" s="45"/>
      <c r="M169" s="44"/>
      <c r="N169" s="46"/>
      <c r="O169" s="44"/>
      <c r="P169" s="44"/>
      <c r="Q169" s="47"/>
    </row>
    <row r="170" spans="1:17" s="40" customFormat="1">
      <c r="A170" s="44"/>
      <c r="B170" s="52"/>
      <c r="F170" s="44"/>
      <c r="G170" s="44"/>
      <c r="H170" s="44"/>
      <c r="I170" s="44"/>
      <c r="J170" s="44"/>
      <c r="K170" s="44"/>
      <c r="L170" s="45"/>
      <c r="M170" s="44"/>
      <c r="N170" s="46"/>
      <c r="O170" s="44"/>
      <c r="P170" s="44"/>
      <c r="Q170" s="47"/>
    </row>
    <row r="171" spans="1:17" s="40" customFormat="1">
      <c r="A171" s="44"/>
      <c r="B171" s="52"/>
      <c r="F171" s="44"/>
      <c r="G171" s="44"/>
      <c r="H171" s="44"/>
      <c r="I171" s="44"/>
      <c r="J171" s="44"/>
      <c r="K171" s="44"/>
      <c r="L171" s="45"/>
      <c r="M171" s="44"/>
      <c r="N171" s="46"/>
      <c r="O171" s="44"/>
      <c r="P171" s="44"/>
      <c r="Q171" s="47"/>
    </row>
    <row r="172" spans="1:17" s="40" customFormat="1">
      <c r="A172" s="44"/>
      <c r="B172" s="52"/>
      <c r="F172" s="44"/>
      <c r="G172" s="44"/>
      <c r="H172" s="44"/>
      <c r="I172" s="44"/>
      <c r="J172" s="44"/>
      <c r="K172" s="44"/>
      <c r="L172" s="45"/>
      <c r="M172" s="44"/>
      <c r="N172" s="46"/>
      <c r="O172" s="44"/>
      <c r="P172" s="44"/>
      <c r="Q172" s="47"/>
    </row>
    <row r="173" spans="1:17" s="40" customFormat="1">
      <c r="A173" s="44"/>
      <c r="B173" s="52"/>
      <c r="F173" s="44"/>
      <c r="G173" s="44"/>
      <c r="H173" s="44"/>
      <c r="I173" s="44"/>
      <c r="J173" s="44"/>
      <c r="K173" s="44"/>
      <c r="L173" s="45"/>
      <c r="M173" s="44"/>
      <c r="N173" s="46"/>
      <c r="O173" s="44"/>
      <c r="P173" s="44"/>
      <c r="Q173" s="47"/>
    </row>
    <row r="174" spans="1:17" s="40" customFormat="1">
      <c r="A174" s="44"/>
      <c r="B174" s="52"/>
      <c r="F174" s="44"/>
      <c r="G174" s="44"/>
      <c r="H174" s="44"/>
      <c r="I174" s="44"/>
      <c r="J174" s="44"/>
      <c r="K174" s="44"/>
      <c r="L174" s="45"/>
      <c r="M174" s="44"/>
      <c r="N174" s="46"/>
      <c r="O174" s="44"/>
      <c r="P174" s="44"/>
      <c r="Q174" s="47"/>
    </row>
    <row r="175" spans="1:17" s="40" customFormat="1">
      <c r="A175" s="44"/>
      <c r="B175" s="52"/>
      <c r="F175" s="44"/>
      <c r="G175" s="44"/>
      <c r="H175" s="44"/>
      <c r="I175" s="44"/>
      <c r="J175" s="44"/>
      <c r="K175" s="44"/>
      <c r="L175" s="45"/>
      <c r="M175" s="44"/>
      <c r="N175" s="46"/>
      <c r="O175" s="44"/>
      <c r="P175" s="44"/>
      <c r="Q175" s="47"/>
    </row>
    <row r="176" spans="1:17" s="40" customFormat="1">
      <c r="A176" s="44"/>
      <c r="B176" s="52"/>
      <c r="F176" s="44"/>
      <c r="G176" s="44"/>
      <c r="H176" s="44"/>
      <c r="I176" s="44"/>
      <c r="J176" s="44"/>
      <c r="K176" s="44"/>
      <c r="L176" s="45"/>
      <c r="M176" s="44"/>
      <c r="N176" s="46"/>
      <c r="O176" s="44"/>
      <c r="P176" s="44"/>
      <c r="Q176" s="47"/>
    </row>
    <row r="177" spans="1:17" s="40" customFormat="1">
      <c r="A177" s="44"/>
      <c r="B177" s="52"/>
      <c r="F177" s="44"/>
      <c r="G177" s="44"/>
      <c r="H177" s="44"/>
      <c r="I177" s="44"/>
      <c r="J177" s="44"/>
      <c r="K177" s="44"/>
      <c r="L177" s="45"/>
      <c r="M177" s="44"/>
      <c r="N177" s="46"/>
      <c r="O177" s="44"/>
      <c r="P177" s="44"/>
      <c r="Q177" s="47"/>
    </row>
    <row r="178" spans="1:17" s="40" customFormat="1">
      <c r="A178" s="44"/>
      <c r="B178" s="52"/>
      <c r="F178" s="44"/>
      <c r="G178" s="44"/>
      <c r="H178" s="44"/>
      <c r="I178" s="44"/>
      <c r="J178" s="44"/>
      <c r="K178" s="44"/>
      <c r="L178" s="45"/>
      <c r="M178" s="44"/>
      <c r="N178" s="46"/>
      <c r="O178" s="44"/>
      <c r="P178" s="44"/>
      <c r="Q178" s="47"/>
    </row>
    <row r="179" spans="1:17" s="40" customFormat="1">
      <c r="A179" s="44"/>
      <c r="B179" s="52"/>
      <c r="F179" s="44"/>
      <c r="G179" s="44"/>
      <c r="H179" s="44"/>
      <c r="I179" s="44"/>
      <c r="J179" s="44"/>
      <c r="K179" s="44"/>
      <c r="L179" s="45"/>
      <c r="M179" s="44"/>
      <c r="N179" s="46"/>
      <c r="O179" s="44"/>
      <c r="P179" s="44"/>
      <c r="Q179" s="47"/>
    </row>
    <row r="180" spans="1:17" s="40" customFormat="1">
      <c r="A180" s="44"/>
      <c r="B180" s="52"/>
      <c r="F180" s="44"/>
      <c r="G180" s="44"/>
      <c r="H180" s="44"/>
      <c r="I180" s="44"/>
      <c r="J180" s="44"/>
      <c r="K180" s="44"/>
      <c r="L180" s="45"/>
      <c r="M180" s="44"/>
      <c r="N180" s="46"/>
      <c r="O180" s="44"/>
      <c r="P180" s="44"/>
      <c r="Q180" s="47"/>
    </row>
    <row r="181" spans="1:17" s="40" customFormat="1">
      <c r="A181" s="44"/>
      <c r="B181" s="52"/>
      <c r="F181" s="44"/>
      <c r="G181" s="44"/>
      <c r="H181" s="44"/>
      <c r="I181" s="44"/>
      <c r="J181" s="44"/>
      <c r="K181" s="44"/>
      <c r="L181" s="45"/>
      <c r="M181" s="44"/>
      <c r="N181" s="46"/>
      <c r="O181" s="44"/>
      <c r="P181" s="44"/>
      <c r="Q181" s="47"/>
    </row>
    <row r="182" spans="1:17" s="40" customFormat="1">
      <c r="A182" s="44"/>
      <c r="B182" s="52"/>
      <c r="F182" s="44"/>
      <c r="G182" s="44"/>
      <c r="H182" s="44"/>
      <c r="I182" s="44"/>
      <c r="J182" s="44"/>
      <c r="K182" s="44"/>
      <c r="L182" s="45"/>
      <c r="M182" s="44"/>
      <c r="N182" s="46"/>
      <c r="O182" s="44"/>
      <c r="P182" s="44"/>
      <c r="Q182" s="47"/>
    </row>
    <row r="183" spans="1:17" s="40" customFormat="1">
      <c r="A183" s="44"/>
      <c r="B183" s="52"/>
      <c r="F183" s="44"/>
      <c r="G183" s="44"/>
      <c r="H183" s="44"/>
      <c r="I183" s="44"/>
      <c r="J183" s="44"/>
      <c r="K183" s="44"/>
      <c r="L183" s="45"/>
      <c r="M183" s="44"/>
      <c r="N183" s="46"/>
      <c r="O183" s="44"/>
      <c r="P183" s="44"/>
      <c r="Q183" s="47"/>
    </row>
    <row r="184" spans="1:17" s="40" customFormat="1">
      <c r="A184" s="44"/>
      <c r="B184" s="52"/>
      <c r="F184" s="44"/>
      <c r="G184" s="44"/>
      <c r="H184" s="44"/>
      <c r="I184" s="44"/>
      <c r="J184" s="44"/>
      <c r="K184" s="44"/>
      <c r="L184" s="45"/>
      <c r="M184" s="44"/>
      <c r="N184" s="46"/>
      <c r="O184" s="44"/>
      <c r="P184" s="44"/>
      <c r="Q184" s="47"/>
    </row>
    <row r="185" spans="1:17" s="40" customFormat="1">
      <c r="A185" s="44"/>
      <c r="B185" s="52"/>
      <c r="F185" s="44"/>
      <c r="G185" s="44"/>
      <c r="H185" s="44"/>
      <c r="I185" s="44"/>
      <c r="J185" s="44"/>
      <c r="K185" s="44"/>
      <c r="L185" s="45"/>
      <c r="M185" s="44"/>
      <c r="N185" s="46"/>
      <c r="O185" s="44"/>
      <c r="P185" s="44"/>
      <c r="Q185" s="47"/>
    </row>
    <row r="186" spans="1:17" s="40" customFormat="1">
      <c r="A186" s="44"/>
      <c r="B186" s="52"/>
      <c r="F186" s="44"/>
      <c r="G186" s="44"/>
      <c r="H186" s="44"/>
      <c r="I186" s="44"/>
      <c r="J186" s="44"/>
      <c r="K186" s="44"/>
      <c r="L186" s="45"/>
      <c r="M186" s="44"/>
      <c r="N186" s="46"/>
      <c r="O186" s="44"/>
      <c r="P186" s="44"/>
      <c r="Q186" s="47"/>
    </row>
    <row r="187" spans="1:17" s="40" customFormat="1">
      <c r="A187" s="44"/>
      <c r="B187" s="52"/>
      <c r="F187" s="44"/>
      <c r="G187" s="44"/>
      <c r="H187" s="44"/>
      <c r="I187" s="44"/>
      <c r="J187" s="44"/>
      <c r="K187" s="44"/>
      <c r="L187" s="45"/>
      <c r="M187" s="44"/>
      <c r="N187" s="46"/>
      <c r="O187" s="44"/>
      <c r="P187" s="44"/>
      <c r="Q187" s="47"/>
    </row>
    <row r="188" spans="1:17" s="40" customFormat="1">
      <c r="A188" s="44"/>
      <c r="B188" s="52"/>
      <c r="F188" s="44"/>
      <c r="G188" s="44"/>
      <c r="H188" s="44"/>
      <c r="I188" s="44"/>
      <c r="J188" s="44"/>
      <c r="K188" s="44"/>
      <c r="L188" s="45"/>
      <c r="M188" s="44"/>
      <c r="N188" s="46"/>
      <c r="O188" s="44"/>
      <c r="P188" s="44"/>
      <c r="Q188" s="47"/>
    </row>
    <row r="189" spans="1:17" s="40" customFormat="1">
      <c r="A189" s="44"/>
      <c r="B189" s="52"/>
      <c r="F189" s="44"/>
      <c r="G189" s="44"/>
      <c r="H189" s="44"/>
      <c r="I189" s="44"/>
      <c r="J189" s="44"/>
      <c r="K189" s="44"/>
      <c r="L189" s="45"/>
      <c r="M189" s="44"/>
      <c r="N189" s="46"/>
      <c r="O189" s="44"/>
      <c r="P189" s="44"/>
      <c r="Q189" s="47"/>
    </row>
    <row r="190" spans="1:17" s="40" customFormat="1">
      <c r="A190" s="44"/>
      <c r="B190" s="52"/>
      <c r="F190" s="44"/>
      <c r="G190" s="44"/>
      <c r="H190" s="44"/>
      <c r="I190" s="44"/>
      <c r="J190" s="44"/>
      <c r="K190" s="44"/>
      <c r="L190" s="45"/>
      <c r="M190" s="44"/>
      <c r="N190" s="46"/>
      <c r="O190" s="44"/>
      <c r="P190" s="44"/>
      <c r="Q190" s="47"/>
    </row>
    <row r="191" spans="1:17" s="40" customFormat="1">
      <c r="A191" s="44"/>
      <c r="B191" s="52"/>
      <c r="F191" s="44"/>
      <c r="G191" s="44"/>
      <c r="H191" s="44"/>
      <c r="I191" s="44"/>
      <c r="J191" s="44"/>
      <c r="K191" s="44"/>
      <c r="L191" s="45"/>
      <c r="M191" s="44"/>
      <c r="N191" s="46"/>
      <c r="O191" s="44"/>
      <c r="P191" s="44"/>
      <c r="Q191" s="47"/>
    </row>
    <row r="192" spans="1:17" s="40" customFormat="1">
      <c r="A192" s="44"/>
      <c r="B192" s="52"/>
      <c r="F192" s="44"/>
      <c r="G192" s="44"/>
      <c r="H192" s="44"/>
      <c r="I192" s="44"/>
      <c r="J192" s="44"/>
      <c r="K192" s="44"/>
      <c r="L192" s="45"/>
      <c r="M192" s="44"/>
      <c r="N192" s="46"/>
      <c r="O192" s="44"/>
      <c r="P192" s="44"/>
      <c r="Q192" s="47"/>
    </row>
    <row r="193" spans="1:17" s="40" customFormat="1">
      <c r="A193" s="44"/>
      <c r="B193" s="52"/>
      <c r="F193" s="44"/>
      <c r="G193" s="44"/>
      <c r="H193" s="44"/>
      <c r="I193" s="44"/>
      <c r="J193" s="44"/>
      <c r="K193" s="44"/>
      <c r="L193" s="45"/>
      <c r="M193" s="44"/>
      <c r="N193" s="46"/>
      <c r="O193" s="44"/>
      <c r="P193" s="44"/>
      <c r="Q193" s="47"/>
    </row>
    <row r="194" spans="1:17" s="40" customFormat="1">
      <c r="A194" s="44"/>
      <c r="B194" s="52"/>
      <c r="F194" s="44"/>
      <c r="G194" s="44"/>
      <c r="H194" s="44"/>
      <c r="I194" s="44"/>
      <c r="J194" s="44"/>
      <c r="K194" s="44"/>
      <c r="L194" s="45"/>
      <c r="M194" s="44"/>
      <c r="N194" s="46"/>
      <c r="O194" s="44"/>
      <c r="P194" s="44"/>
      <c r="Q194" s="47"/>
    </row>
    <row r="195" spans="1:17" s="40" customFormat="1">
      <c r="A195" s="44"/>
      <c r="B195" s="52"/>
      <c r="F195" s="44"/>
      <c r="G195" s="44"/>
      <c r="H195" s="44"/>
      <c r="I195" s="44"/>
      <c r="J195" s="44"/>
      <c r="K195" s="44"/>
      <c r="L195" s="45"/>
      <c r="M195" s="44"/>
      <c r="N195" s="46"/>
      <c r="O195" s="44"/>
      <c r="P195" s="44"/>
      <c r="Q195" s="47"/>
    </row>
    <row r="196" spans="1:17" s="40" customFormat="1">
      <c r="A196" s="44"/>
      <c r="B196" s="52"/>
      <c r="F196" s="44"/>
      <c r="G196" s="44"/>
      <c r="H196" s="44"/>
      <c r="I196" s="44"/>
      <c r="J196" s="44"/>
      <c r="K196" s="44"/>
      <c r="L196" s="45"/>
      <c r="M196" s="44"/>
      <c r="N196" s="46"/>
      <c r="O196" s="44"/>
      <c r="P196" s="44"/>
      <c r="Q196" s="47"/>
    </row>
    <row r="197" spans="1:17" s="40" customFormat="1">
      <c r="A197" s="44"/>
      <c r="B197" s="52"/>
      <c r="F197" s="44"/>
      <c r="G197" s="44"/>
      <c r="H197" s="44"/>
      <c r="I197" s="44"/>
      <c r="J197" s="44"/>
      <c r="K197" s="44"/>
      <c r="L197" s="45"/>
      <c r="M197" s="44"/>
      <c r="N197" s="46"/>
      <c r="O197" s="44"/>
      <c r="P197" s="44"/>
      <c r="Q197" s="47"/>
    </row>
    <row r="198" spans="1:17" s="40" customFormat="1">
      <c r="A198" s="44"/>
      <c r="B198" s="52"/>
      <c r="F198" s="44"/>
      <c r="G198" s="44"/>
      <c r="H198" s="44"/>
      <c r="I198" s="44"/>
      <c r="J198" s="44"/>
      <c r="K198" s="44"/>
      <c r="L198" s="45"/>
      <c r="M198" s="44"/>
      <c r="N198" s="46"/>
      <c r="O198" s="44"/>
      <c r="P198" s="44"/>
      <c r="Q198" s="47"/>
    </row>
    <row r="199" spans="1:17" s="40" customFormat="1">
      <c r="A199" s="44"/>
      <c r="B199" s="52"/>
      <c r="F199" s="44"/>
      <c r="G199" s="44"/>
      <c r="H199" s="44"/>
      <c r="I199" s="44"/>
      <c r="J199" s="44"/>
      <c r="K199" s="44"/>
      <c r="L199" s="45"/>
      <c r="M199" s="44"/>
      <c r="N199" s="46"/>
      <c r="O199" s="44"/>
      <c r="P199" s="44"/>
      <c r="Q199" s="47"/>
    </row>
    <row r="200" spans="1:17" s="40" customFormat="1">
      <c r="A200" s="44"/>
      <c r="B200" s="52"/>
      <c r="F200" s="44"/>
      <c r="G200" s="44"/>
      <c r="H200" s="44"/>
      <c r="I200" s="44"/>
      <c r="J200" s="44"/>
      <c r="K200" s="44"/>
      <c r="L200" s="45"/>
      <c r="M200" s="44"/>
      <c r="N200" s="46"/>
      <c r="O200" s="44"/>
      <c r="P200" s="44"/>
      <c r="Q200" s="47"/>
    </row>
    <row r="201" spans="1:17" s="40" customFormat="1">
      <c r="A201" s="44"/>
      <c r="B201" s="52"/>
      <c r="F201" s="44"/>
      <c r="G201" s="44"/>
      <c r="H201" s="44"/>
      <c r="I201" s="44"/>
      <c r="J201" s="44"/>
      <c r="K201" s="44"/>
      <c r="L201" s="45"/>
      <c r="M201" s="44"/>
      <c r="N201" s="46"/>
      <c r="O201" s="44"/>
      <c r="P201" s="44"/>
      <c r="Q201" s="47"/>
    </row>
    <row r="202" spans="1:17" s="40" customFormat="1">
      <c r="A202" s="44"/>
      <c r="B202" s="52"/>
      <c r="F202" s="44"/>
      <c r="G202" s="44"/>
      <c r="H202" s="44"/>
      <c r="I202" s="44"/>
      <c r="J202" s="44"/>
      <c r="K202" s="44"/>
      <c r="L202" s="45"/>
      <c r="M202" s="44"/>
      <c r="N202" s="46"/>
      <c r="O202" s="44"/>
      <c r="P202" s="44"/>
      <c r="Q202" s="47"/>
    </row>
    <row r="203" spans="1:17" s="40" customFormat="1">
      <c r="A203" s="44"/>
      <c r="B203" s="52"/>
      <c r="F203" s="44"/>
      <c r="G203" s="44"/>
      <c r="H203" s="44"/>
      <c r="I203" s="44"/>
      <c r="J203" s="44"/>
      <c r="K203" s="44"/>
      <c r="L203" s="45"/>
      <c r="M203" s="44"/>
      <c r="N203" s="46"/>
      <c r="O203" s="44"/>
      <c r="P203" s="44"/>
      <c r="Q203" s="47"/>
    </row>
    <row r="204" spans="1:17" s="40" customFormat="1">
      <c r="A204" s="44"/>
      <c r="B204" s="52"/>
      <c r="F204" s="44"/>
      <c r="G204" s="44"/>
      <c r="H204" s="44"/>
      <c r="I204" s="44"/>
      <c r="J204" s="44"/>
      <c r="K204" s="44"/>
      <c r="L204" s="45"/>
      <c r="M204" s="44"/>
      <c r="N204" s="46"/>
      <c r="O204" s="44"/>
      <c r="P204" s="44"/>
      <c r="Q204" s="47"/>
    </row>
    <row r="205" spans="1:17" s="40" customFormat="1">
      <c r="A205" s="44"/>
      <c r="B205" s="52"/>
      <c r="F205" s="44"/>
      <c r="G205" s="44"/>
      <c r="H205" s="44"/>
      <c r="I205" s="44"/>
      <c r="J205" s="44"/>
      <c r="K205" s="44"/>
      <c r="L205" s="45"/>
      <c r="M205" s="44"/>
      <c r="N205" s="46"/>
      <c r="O205" s="44"/>
      <c r="P205" s="44"/>
      <c r="Q205" s="47"/>
    </row>
    <row r="206" spans="1:17" s="40" customFormat="1">
      <c r="A206" s="44"/>
      <c r="B206" s="52"/>
      <c r="F206" s="44"/>
      <c r="G206" s="44"/>
      <c r="H206" s="44"/>
      <c r="I206" s="44"/>
      <c r="J206" s="44"/>
      <c r="K206" s="44"/>
      <c r="L206" s="45"/>
      <c r="M206" s="44"/>
      <c r="N206" s="46"/>
      <c r="O206" s="44"/>
      <c r="P206" s="44"/>
      <c r="Q206" s="47"/>
    </row>
    <row r="207" spans="1:17" s="40" customFormat="1">
      <c r="A207" s="44"/>
      <c r="B207" s="52"/>
      <c r="F207" s="44"/>
      <c r="G207" s="44"/>
      <c r="H207" s="44"/>
      <c r="I207" s="44"/>
      <c r="J207" s="44"/>
      <c r="K207" s="44"/>
      <c r="L207" s="45"/>
      <c r="M207" s="44"/>
      <c r="N207" s="46"/>
      <c r="O207" s="44"/>
      <c r="P207" s="44"/>
      <c r="Q207" s="47"/>
    </row>
    <row r="208" spans="1:17" s="40" customFormat="1">
      <c r="A208" s="44"/>
      <c r="B208" s="52"/>
      <c r="F208" s="44"/>
      <c r="G208" s="44"/>
      <c r="H208" s="44"/>
      <c r="I208" s="44"/>
      <c r="J208" s="44"/>
      <c r="K208" s="44"/>
      <c r="L208" s="45"/>
      <c r="M208" s="44"/>
      <c r="N208" s="46"/>
      <c r="O208" s="44"/>
      <c r="P208" s="44"/>
      <c r="Q208" s="47"/>
    </row>
    <row r="209" spans="1:17" s="40" customFormat="1">
      <c r="A209" s="44"/>
      <c r="B209" s="52"/>
      <c r="F209" s="44"/>
      <c r="G209" s="44"/>
      <c r="H209" s="44"/>
      <c r="I209" s="44"/>
      <c r="J209" s="44"/>
      <c r="K209" s="44"/>
      <c r="L209" s="45"/>
      <c r="M209" s="44"/>
      <c r="N209" s="46"/>
      <c r="O209" s="44"/>
      <c r="P209" s="44"/>
      <c r="Q209" s="47"/>
    </row>
    <row r="210" spans="1:17" s="40" customFormat="1">
      <c r="A210" s="44"/>
      <c r="B210" s="52"/>
      <c r="F210" s="44"/>
      <c r="G210" s="44"/>
      <c r="H210" s="44"/>
      <c r="I210" s="44"/>
      <c r="J210" s="44"/>
      <c r="K210" s="44"/>
      <c r="L210" s="45"/>
      <c r="M210" s="44"/>
      <c r="N210" s="46"/>
      <c r="O210" s="44"/>
      <c r="P210" s="44"/>
      <c r="Q210" s="47"/>
    </row>
    <row r="211" spans="1:17" s="40" customFormat="1">
      <c r="A211" s="44"/>
      <c r="B211" s="52"/>
      <c r="F211" s="44"/>
      <c r="G211" s="44"/>
      <c r="H211" s="44"/>
      <c r="I211" s="44"/>
      <c r="J211" s="44"/>
      <c r="K211" s="44"/>
      <c r="L211" s="45"/>
      <c r="M211" s="44"/>
      <c r="N211" s="46"/>
      <c r="O211" s="44"/>
      <c r="P211" s="44"/>
      <c r="Q211" s="47"/>
    </row>
    <row r="212" spans="1:17" s="40" customFormat="1">
      <c r="A212" s="44"/>
      <c r="B212" s="52"/>
      <c r="F212" s="44"/>
      <c r="G212" s="44"/>
      <c r="H212" s="44"/>
      <c r="I212" s="44"/>
      <c r="J212" s="44"/>
      <c r="K212" s="44"/>
      <c r="L212" s="45"/>
      <c r="M212" s="44"/>
      <c r="N212" s="46"/>
      <c r="O212" s="44"/>
      <c r="P212" s="44"/>
      <c r="Q212" s="47"/>
    </row>
    <row r="213" spans="1:17" s="40" customFormat="1">
      <c r="A213" s="44"/>
      <c r="B213" s="52"/>
      <c r="F213" s="44"/>
      <c r="G213" s="44"/>
      <c r="H213" s="44"/>
      <c r="I213" s="44"/>
      <c r="J213" s="44"/>
      <c r="K213" s="44"/>
      <c r="L213" s="45"/>
      <c r="M213" s="44"/>
      <c r="N213" s="46"/>
      <c r="O213" s="44"/>
      <c r="P213" s="44"/>
      <c r="Q213" s="47"/>
    </row>
    <row r="214" spans="1:17" s="40" customFormat="1">
      <c r="A214" s="44"/>
      <c r="B214" s="52"/>
      <c r="F214" s="44"/>
      <c r="G214" s="44"/>
      <c r="H214" s="44"/>
      <c r="I214" s="44"/>
      <c r="J214" s="44"/>
      <c r="K214" s="44"/>
      <c r="L214" s="45"/>
      <c r="M214" s="44"/>
      <c r="N214" s="46"/>
      <c r="O214" s="44"/>
      <c r="P214" s="44"/>
      <c r="Q214" s="47"/>
    </row>
    <row r="215" spans="1:17" s="40" customFormat="1">
      <c r="A215" s="44"/>
      <c r="B215" s="52"/>
      <c r="F215" s="44"/>
      <c r="G215" s="44"/>
      <c r="H215" s="44"/>
      <c r="I215" s="44"/>
      <c r="J215" s="44"/>
      <c r="K215" s="44"/>
      <c r="L215" s="45"/>
      <c r="M215" s="44"/>
      <c r="N215" s="46"/>
      <c r="O215" s="44"/>
      <c r="P215" s="44"/>
      <c r="Q215" s="47"/>
    </row>
    <row r="216" spans="1:17" s="40" customFormat="1">
      <c r="A216" s="44"/>
      <c r="B216" s="52"/>
      <c r="F216" s="44"/>
      <c r="G216" s="44"/>
      <c r="H216" s="44"/>
      <c r="I216" s="44"/>
      <c r="J216" s="44"/>
      <c r="K216" s="44"/>
      <c r="L216" s="45"/>
      <c r="M216" s="44"/>
      <c r="N216" s="46"/>
      <c r="O216" s="44"/>
      <c r="P216" s="44"/>
      <c r="Q216" s="47"/>
    </row>
    <row r="217" spans="1:17" s="40" customFormat="1">
      <c r="A217" s="44"/>
      <c r="B217" s="52"/>
      <c r="F217" s="44"/>
      <c r="G217" s="44"/>
      <c r="H217" s="44"/>
      <c r="I217" s="44"/>
      <c r="J217" s="44"/>
      <c r="K217" s="44"/>
      <c r="L217" s="45"/>
      <c r="M217" s="44"/>
      <c r="N217" s="46"/>
      <c r="O217" s="44"/>
      <c r="P217" s="44"/>
      <c r="Q217" s="47"/>
    </row>
    <row r="218" spans="1:17" s="40" customFormat="1">
      <c r="A218" s="44"/>
      <c r="B218" s="52"/>
      <c r="F218" s="44"/>
      <c r="G218" s="44"/>
      <c r="H218" s="44"/>
      <c r="I218" s="44"/>
      <c r="J218" s="44"/>
      <c r="K218" s="44"/>
      <c r="L218" s="45"/>
      <c r="M218" s="44"/>
      <c r="N218" s="46"/>
      <c r="O218" s="44"/>
      <c r="P218" s="44"/>
      <c r="Q218" s="47"/>
    </row>
    <row r="219" spans="1:17" s="40" customFormat="1">
      <c r="A219" s="44"/>
      <c r="B219" s="52"/>
      <c r="F219" s="44"/>
      <c r="G219" s="44"/>
      <c r="H219" s="44"/>
      <c r="I219" s="44"/>
      <c r="J219" s="44"/>
      <c r="K219" s="44"/>
      <c r="L219" s="45"/>
      <c r="M219" s="44"/>
      <c r="N219" s="46"/>
      <c r="O219" s="44"/>
      <c r="P219" s="44"/>
      <c r="Q219" s="47"/>
    </row>
    <row r="220" spans="1:17" s="40" customFormat="1">
      <c r="A220" s="44"/>
      <c r="B220" s="52"/>
      <c r="F220" s="44"/>
      <c r="G220" s="44"/>
      <c r="H220" s="44"/>
      <c r="I220" s="44"/>
      <c r="J220" s="44"/>
      <c r="K220" s="44"/>
      <c r="L220" s="45"/>
      <c r="M220" s="44"/>
      <c r="N220" s="46"/>
      <c r="O220" s="44"/>
      <c r="P220" s="44"/>
      <c r="Q220" s="47"/>
    </row>
    <row r="221" spans="1:17" s="40" customFormat="1">
      <c r="A221" s="44"/>
      <c r="B221" s="52"/>
      <c r="F221" s="44"/>
      <c r="G221" s="44"/>
      <c r="H221" s="44"/>
      <c r="I221" s="44"/>
      <c r="J221" s="44"/>
      <c r="K221" s="44"/>
      <c r="L221" s="45"/>
      <c r="M221" s="44"/>
      <c r="N221" s="46"/>
      <c r="O221" s="44"/>
      <c r="P221" s="44"/>
      <c r="Q221" s="47"/>
    </row>
    <row r="222" spans="1:17" s="40" customFormat="1">
      <c r="A222" s="44"/>
      <c r="B222" s="52"/>
      <c r="F222" s="44"/>
      <c r="G222" s="44"/>
      <c r="H222" s="44"/>
      <c r="I222" s="44"/>
      <c r="J222" s="44"/>
      <c r="K222" s="44"/>
      <c r="L222" s="45"/>
      <c r="M222" s="44"/>
      <c r="N222" s="46"/>
      <c r="O222" s="44"/>
      <c r="P222" s="44"/>
      <c r="Q222" s="47"/>
    </row>
    <row r="223" spans="1:17" s="40" customFormat="1">
      <c r="A223" s="44"/>
      <c r="B223" s="52"/>
      <c r="F223" s="44"/>
      <c r="G223" s="44"/>
      <c r="H223" s="44"/>
      <c r="I223" s="44"/>
      <c r="J223" s="44"/>
      <c r="K223" s="44"/>
      <c r="L223" s="45"/>
      <c r="M223" s="44"/>
      <c r="N223" s="46"/>
      <c r="O223" s="44"/>
      <c r="P223" s="44"/>
      <c r="Q223" s="47"/>
    </row>
    <row r="224" spans="1:17" s="40" customFormat="1">
      <c r="A224" s="44"/>
      <c r="B224" s="52"/>
      <c r="F224" s="44"/>
      <c r="G224" s="44"/>
      <c r="H224" s="44"/>
      <c r="I224" s="44"/>
      <c r="J224" s="44"/>
      <c r="K224" s="44"/>
      <c r="L224" s="45"/>
      <c r="M224" s="44"/>
      <c r="N224" s="46"/>
      <c r="O224" s="44"/>
      <c r="P224" s="44"/>
      <c r="Q224" s="47"/>
    </row>
    <row r="225" spans="1:17" s="40" customFormat="1">
      <c r="A225" s="44"/>
      <c r="B225" s="52"/>
      <c r="F225" s="44"/>
      <c r="G225" s="44"/>
      <c r="H225" s="44"/>
      <c r="I225" s="44"/>
      <c r="J225" s="44"/>
      <c r="K225" s="44"/>
      <c r="L225" s="45"/>
      <c r="M225" s="44"/>
      <c r="N225" s="46"/>
      <c r="O225" s="44"/>
      <c r="P225" s="44"/>
      <c r="Q225" s="47"/>
    </row>
    <row r="226" spans="1:17" s="40" customFormat="1">
      <c r="A226" s="44"/>
      <c r="B226" s="52"/>
      <c r="F226" s="44"/>
      <c r="G226" s="44"/>
      <c r="H226" s="44"/>
      <c r="I226" s="44"/>
      <c r="J226" s="44"/>
      <c r="K226" s="44"/>
      <c r="L226" s="45"/>
      <c r="M226" s="44"/>
      <c r="N226" s="46"/>
      <c r="O226" s="44"/>
      <c r="P226" s="44"/>
      <c r="Q226" s="47"/>
    </row>
    <row r="227" spans="1:17" s="40" customFormat="1">
      <c r="A227" s="44"/>
      <c r="B227" s="52"/>
      <c r="F227" s="44"/>
      <c r="G227" s="44"/>
      <c r="H227" s="44"/>
      <c r="I227" s="44"/>
      <c r="J227" s="44"/>
      <c r="K227" s="44"/>
      <c r="L227" s="45"/>
      <c r="M227" s="44"/>
      <c r="N227" s="46"/>
      <c r="O227" s="44"/>
      <c r="P227" s="44"/>
      <c r="Q227" s="47"/>
    </row>
    <row r="228" spans="1:17" s="40" customFormat="1">
      <c r="A228" s="44"/>
      <c r="B228" s="52"/>
      <c r="F228" s="44"/>
      <c r="G228" s="44"/>
      <c r="H228" s="44"/>
      <c r="I228" s="44"/>
      <c r="J228" s="44"/>
      <c r="K228" s="44"/>
      <c r="L228" s="45"/>
      <c r="M228" s="44"/>
      <c r="N228" s="46"/>
      <c r="O228" s="44"/>
      <c r="P228" s="44"/>
      <c r="Q228" s="47"/>
    </row>
    <row r="229" spans="1:17" s="40" customFormat="1">
      <c r="A229" s="44"/>
      <c r="B229" s="52"/>
      <c r="F229" s="44"/>
      <c r="G229" s="44"/>
      <c r="H229" s="44"/>
      <c r="I229" s="44"/>
      <c r="J229" s="44"/>
      <c r="K229" s="44"/>
      <c r="L229" s="45"/>
      <c r="M229" s="44"/>
      <c r="N229" s="46"/>
      <c r="O229" s="44"/>
      <c r="P229" s="44"/>
      <c r="Q229" s="47"/>
    </row>
    <row r="230" spans="1:17" s="40" customFormat="1">
      <c r="A230" s="44"/>
      <c r="B230" s="52"/>
      <c r="F230" s="44"/>
      <c r="G230" s="44"/>
      <c r="H230" s="44"/>
      <c r="I230" s="44"/>
      <c r="J230" s="44"/>
      <c r="K230" s="44"/>
      <c r="L230" s="45"/>
      <c r="M230" s="44"/>
      <c r="N230" s="46"/>
      <c r="O230" s="44"/>
      <c r="P230" s="44"/>
      <c r="Q230" s="47"/>
    </row>
    <row r="231" spans="1:17" s="40" customFormat="1">
      <c r="A231" s="44"/>
      <c r="B231" s="52"/>
      <c r="F231" s="44"/>
      <c r="G231" s="44"/>
      <c r="H231" s="44"/>
      <c r="I231" s="44"/>
      <c r="J231" s="44"/>
      <c r="K231" s="44"/>
      <c r="L231" s="45"/>
      <c r="M231" s="44"/>
      <c r="N231" s="46"/>
      <c r="O231" s="44"/>
      <c r="P231" s="44"/>
      <c r="Q231" s="47"/>
    </row>
    <row r="232" spans="1:17" s="40" customFormat="1">
      <c r="A232" s="44"/>
      <c r="B232" s="52"/>
      <c r="F232" s="44"/>
      <c r="G232" s="44"/>
      <c r="H232" s="44"/>
      <c r="I232" s="44"/>
      <c r="J232" s="44"/>
      <c r="K232" s="44"/>
      <c r="L232" s="45"/>
      <c r="M232" s="44"/>
      <c r="N232" s="46"/>
      <c r="O232" s="44"/>
      <c r="P232" s="44"/>
      <c r="Q232" s="47"/>
    </row>
    <row r="233" spans="1:17" s="40" customFormat="1">
      <c r="A233" s="44"/>
      <c r="B233" s="52"/>
      <c r="F233" s="44"/>
      <c r="G233" s="44"/>
      <c r="H233" s="44"/>
      <c r="I233" s="44"/>
      <c r="J233" s="44"/>
      <c r="K233" s="44"/>
      <c r="L233" s="45"/>
      <c r="M233" s="44"/>
      <c r="N233" s="46"/>
      <c r="O233" s="44"/>
      <c r="P233" s="44"/>
      <c r="Q233" s="47"/>
    </row>
    <row r="234" spans="1:17" s="40" customFormat="1">
      <c r="A234" s="44"/>
      <c r="B234" s="52"/>
      <c r="F234" s="44"/>
      <c r="G234" s="44"/>
      <c r="H234" s="44"/>
      <c r="I234" s="44"/>
      <c r="J234" s="44"/>
      <c r="K234" s="44"/>
      <c r="L234" s="45"/>
      <c r="M234" s="44"/>
      <c r="N234" s="46"/>
      <c r="O234" s="44"/>
      <c r="P234" s="44"/>
      <c r="Q234" s="47"/>
    </row>
    <row r="235" spans="1:17" s="40" customFormat="1">
      <c r="A235" s="44"/>
      <c r="B235" s="52"/>
      <c r="F235" s="44"/>
      <c r="G235" s="44"/>
      <c r="H235" s="44"/>
      <c r="I235" s="44"/>
      <c r="J235" s="44"/>
      <c r="K235" s="44"/>
      <c r="L235" s="45"/>
      <c r="M235" s="44"/>
      <c r="N235" s="46"/>
      <c r="O235" s="44"/>
      <c r="P235" s="44"/>
      <c r="Q235" s="47"/>
    </row>
    <row r="236" spans="1:17" s="40" customFormat="1">
      <c r="A236" s="44"/>
      <c r="B236" s="52"/>
      <c r="F236" s="44"/>
      <c r="G236" s="44"/>
      <c r="H236" s="44"/>
      <c r="I236" s="44"/>
      <c r="J236" s="44"/>
      <c r="K236" s="44"/>
      <c r="L236" s="45"/>
      <c r="M236" s="44"/>
      <c r="N236" s="46"/>
      <c r="O236" s="44"/>
      <c r="P236" s="44"/>
      <c r="Q236" s="47"/>
    </row>
    <row r="237" spans="1:17" s="40" customFormat="1">
      <c r="A237" s="44"/>
      <c r="B237" s="52"/>
      <c r="F237" s="44"/>
      <c r="G237" s="44"/>
      <c r="H237" s="44"/>
      <c r="I237" s="44"/>
      <c r="J237" s="44"/>
      <c r="K237" s="44"/>
      <c r="L237" s="45"/>
      <c r="M237" s="44"/>
      <c r="N237" s="46"/>
      <c r="O237" s="44"/>
      <c r="P237" s="44"/>
      <c r="Q237" s="47"/>
    </row>
    <row r="238" spans="1:17" s="40" customFormat="1">
      <c r="A238" s="44"/>
      <c r="B238" s="52"/>
      <c r="F238" s="44"/>
      <c r="G238" s="44"/>
      <c r="H238" s="44"/>
      <c r="I238" s="44"/>
      <c r="J238" s="44"/>
      <c r="K238" s="44"/>
      <c r="L238" s="45"/>
      <c r="M238" s="44"/>
      <c r="N238" s="46"/>
      <c r="O238" s="44"/>
      <c r="P238" s="44"/>
      <c r="Q238" s="47"/>
    </row>
    <row r="239" spans="1:17" s="40" customFormat="1">
      <c r="A239" s="44"/>
      <c r="B239" s="52"/>
      <c r="F239" s="44"/>
      <c r="G239" s="44"/>
      <c r="H239" s="44"/>
      <c r="I239" s="44"/>
      <c r="J239" s="44"/>
      <c r="K239" s="44"/>
      <c r="L239" s="45"/>
      <c r="M239" s="44"/>
      <c r="N239" s="46"/>
      <c r="O239" s="44"/>
      <c r="P239" s="44"/>
      <c r="Q239" s="47"/>
    </row>
    <row r="240" spans="1:17" s="40" customFormat="1">
      <c r="A240" s="44"/>
      <c r="B240" s="52"/>
      <c r="F240" s="44"/>
      <c r="G240" s="44"/>
      <c r="H240" s="44"/>
      <c r="I240" s="44"/>
      <c r="J240" s="44"/>
      <c r="K240" s="44"/>
      <c r="L240" s="45"/>
      <c r="M240" s="44"/>
      <c r="N240" s="46"/>
      <c r="O240" s="44"/>
      <c r="P240" s="44"/>
      <c r="Q240" s="47"/>
    </row>
    <row r="241" spans="1:17" s="40" customFormat="1">
      <c r="A241" s="44"/>
      <c r="B241" s="52"/>
      <c r="F241" s="44"/>
      <c r="G241" s="44"/>
      <c r="H241" s="44"/>
      <c r="I241" s="44"/>
      <c r="J241" s="44"/>
      <c r="K241" s="44"/>
      <c r="L241" s="45"/>
      <c r="M241" s="44"/>
      <c r="N241" s="46"/>
      <c r="O241" s="44"/>
      <c r="P241" s="44"/>
      <c r="Q241" s="47"/>
    </row>
    <row r="242" spans="1:17" s="40" customFormat="1">
      <c r="A242" s="44"/>
      <c r="B242" s="52"/>
      <c r="F242" s="44"/>
      <c r="G242" s="44"/>
      <c r="H242" s="44"/>
      <c r="I242" s="44"/>
      <c r="J242" s="44"/>
      <c r="K242" s="44"/>
      <c r="L242" s="45"/>
      <c r="M242" s="44"/>
      <c r="N242" s="46"/>
      <c r="O242" s="44"/>
      <c r="P242" s="44"/>
      <c r="Q242" s="47"/>
    </row>
    <row r="243" spans="1:17" s="40" customFormat="1">
      <c r="A243" s="44"/>
      <c r="B243" s="52"/>
      <c r="F243" s="44"/>
      <c r="G243" s="44"/>
      <c r="H243" s="44"/>
      <c r="I243" s="44"/>
      <c r="J243" s="44"/>
      <c r="K243" s="44"/>
      <c r="L243" s="45"/>
      <c r="M243" s="44"/>
      <c r="N243" s="46"/>
      <c r="O243" s="44"/>
      <c r="P243" s="44"/>
      <c r="Q243" s="47"/>
    </row>
    <row r="244" spans="1:17" s="40" customFormat="1">
      <c r="A244" s="44"/>
      <c r="B244" s="52"/>
      <c r="F244" s="44"/>
      <c r="G244" s="44"/>
      <c r="H244" s="44"/>
      <c r="I244" s="44"/>
      <c r="J244" s="44"/>
      <c r="K244" s="44"/>
      <c r="L244" s="45"/>
      <c r="M244" s="44"/>
      <c r="N244" s="46"/>
      <c r="O244" s="44"/>
      <c r="P244" s="44"/>
      <c r="Q244" s="47"/>
    </row>
    <row r="245" spans="1:17" s="40" customFormat="1">
      <c r="A245" s="44"/>
      <c r="B245" s="52"/>
      <c r="F245" s="44"/>
      <c r="G245" s="44"/>
      <c r="H245" s="44"/>
      <c r="I245" s="44"/>
      <c r="J245" s="44"/>
      <c r="K245" s="44"/>
      <c r="L245" s="45"/>
      <c r="M245" s="44"/>
      <c r="N245" s="46"/>
      <c r="O245" s="44"/>
      <c r="P245" s="44"/>
      <c r="Q245" s="47"/>
    </row>
    <row r="246" spans="1:17" s="40" customFormat="1">
      <c r="A246" s="44"/>
      <c r="B246" s="52"/>
      <c r="F246" s="44"/>
      <c r="G246" s="44"/>
      <c r="H246" s="44"/>
      <c r="I246" s="44"/>
      <c r="J246" s="44"/>
      <c r="K246" s="44"/>
      <c r="L246" s="45"/>
      <c r="M246" s="44"/>
      <c r="N246" s="46"/>
      <c r="O246" s="44"/>
      <c r="P246" s="44"/>
      <c r="Q246" s="47"/>
    </row>
    <row r="247" spans="1:17" s="40" customFormat="1">
      <c r="A247" s="44"/>
      <c r="B247" s="52"/>
      <c r="F247" s="44"/>
      <c r="G247" s="44"/>
      <c r="H247" s="44"/>
      <c r="I247" s="44"/>
      <c r="J247" s="44"/>
      <c r="K247" s="44"/>
      <c r="L247" s="45"/>
      <c r="M247" s="44"/>
      <c r="N247" s="46"/>
      <c r="O247" s="44"/>
      <c r="P247" s="44"/>
      <c r="Q247" s="47"/>
    </row>
    <row r="248" spans="1:17" s="40" customFormat="1">
      <c r="A248" s="44"/>
      <c r="B248" s="52"/>
      <c r="F248" s="44"/>
      <c r="G248" s="44"/>
      <c r="H248" s="44"/>
      <c r="I248" s="44"/>
      <c r="J248" s="44"/>
      <c r="K248" s="44"/>
      <c r="L248" s="45"/>
      <c r="M248" s="44"/>
      <c r="N248" s="46"/>
      <c r="O248" s="44"/>
      <c r="P248" s="44"/>
      <c r="Q248" s="47"/>
    </row>
    <row r="249" spans="1:17" s="40" customFormat="1">
      <c r="A249" s="44"/>
      <c r="B249" s="52"/>
      <c r="F249" s="44"/>
      <c r="G249" s="44"/>
      <c r="H249" s="44"/>
      <c r="I249" s="44"/>
      <c r="J249" s="44"/>
      <c r="K249" s="44"/>
      <c r="L249" s="45"/>
      <c r="M249" s="44"/>
      <c r="N249" s="46"/>
      <c r="O249" s="44"/>
      <c r="P249" s="44"/>
      <c r="Q249" s="47"/>
    </row>
    <row r="250" spans="1:17" s="40" customFormat="1">
      <c r="A250" s="44"/>
      <c r="B250" s="52"/>
      <c r="F250" s="44"/>
      <c r="G250" s="44"/>
      <c r="H250" s="44"/>
      <c r="I250" s="44"/>
      <c r="J250" s="44"/>
      <c r="K250" s="44"/>
      <c r="L250" s="45"/>
      <c r="M250" s="44"/>
      <c r="N250" s="46"/>
      <c r="O250" s="44"/>
      <c r="P250" s="44"/>
      <c r="Q250" s="47"/>
    </row>
    <row r="251" spans="1:17" s="40" customFormat="1">
      <c r="A251" s="44"/>
      <c r="B251" s="52"/>
      <c r="F251" s="44"/>
      <c r="G251" s="44"/>
      <c r="H251" s="44"/>
      <c r="I251" s="44"/>
      <c r="J251" s="44"/>
      <c r="K251" s="44"/>
      <c r="L251" s="45"/>
      <c r="M251" s="44"/>
      <c r="N251" s="46"/>
      <c r="O251" s="44"/>
      <c r="P251" s="44"/>
      <c r="Q251" s="47"/>
    </row>
    <row r="252" spans="1:17" s="40" customFormat="1">
      <c r="A252" s="44"/>
      <c r="B252" s="52"/>
      <c r="F252" s="44"/>
      <c r="G252" s="44"/>
      <c r="H252" s="44"/>
      <c r="I252" s="44"/>
      <c r="J252" s="44"/>
      <c r="K252" s="44"/>
      <c r="L252" s="45"/>
      <c r="M252" s="44"/>
      <c r="N252" s="46"/>
      <c r="O252" s="44"/>
      <c r="P252" s="44"/>
      <c r="Q252" s="47"/>
    </row>
    <row r="253" spans="1:17" s="40" customFormat="1">
      <c r="A253" s="44"/>
      <c r="B253" s="52"/>
      <c r="F253" s="44"/>
      <c r="G253" s="44"/>
      <c r="H253" s="44"/>
      <c r="I253" s="44"/>
      <c r="J253" s="44"/>
      <c r="K253" s="44"/>
      <c r="L253" s="45"/>
      <c r="M253" s="44"/>
      <c r="N253" s="46"/>
      <c r="O253" s="44"/>
      <c r="P253" s="44"/>
      <c r="Q253" s="47"/>
    </row>
    <row r="254" spans="1:17" s="40" customFormat="1">
      <c r="A254" s="44"/>
      <c r="B254" s="52"/>
      <c r="F254" s="44"/>
      <c r="G254" s="44"/>
      <c r="H254" s="44"/>
      <c r="I254" s="44"/>
      <c r="J254" s="44"/>
      <c r="K254" s="44"/>
      <c r="L254" s="45"/>
      <c r="M254" s="44"/>
      <c r="N254" s="46"/>
      <c r="O254" s="44"/>
      <c r="P254" s="44"/>
      <c r="Q254" s="47"/>
    </row>
    <row r="255" spans="1:17" s="40" customFormat="1">
      <c r="A255" s="44"/>
      <c r="B255" s="52"/>
      <c r="F255" s="44"/>
      <c r="G255" s="44"/>
      <c r="H255" s="44"/>
      <c r="I255" s="44"/>
      <c r="J255" s="44"/>
      <c r="K255" s="44"/>
      <c r="L255" s="45"/>
      <c r="M255" s="44"/>
      <c r="N255" s="46"/>
      <c r="O255" s="44"/>
      <c r="P255" s="44"/>
      <c r="Q255" s="47"/>
    </row>
    <row r="256" spans="1:17" s="40" customFormat="1">
      <c r="A256" s="44"/>
      <c r="B256" s="52"/>
      <c r="F256" s="44"/>
      <c r="G256" s="44"/>
      <c r="H256" s="44"/>
      <c r="I256" s="44"/>
      <c r="J256" s="44"/>
      <c r="K256" s="44"/>
      <c r="L256" s="45"/>
      <c r="M256" s="44"/>
      <c r="N256" s="46"/>
      <c r="O256" s="44"/>
      <c r="P256" s="44"/>
      <c r="Q256" s="47"/>
    </row>
    <row r="257" spans="1:17" s="40" customFormat="1">
      <c r="A257" s="44"/>
      <c r="B257" s="52"/>
      <c r="F257" s="44"/>
      <c r="G257" s="44"/>
      <c r="H257" s="44"/>
      <c r="I257" s="44"/>
      <c r="J257" s="44"/>
      <c r="K257" s="44"/>
      <c r="L257" s="45"/>
      <c r="M257" s="44"/>
      <c r="N257" s="46"/>
      <c r="O257" s="44"/>
      <c r="P257" s="44"/>
      <c r="Q257" s="47"/>
    </row>
    <row r="258" spans="1:17" s="40" customFormat="1">
      <c r="A258" s="44"/>
      <c r="B258" s="52"/>
      <c r="F258" s="44"/>
      <c r="G258" s="44"/>
      <c r="H258" s="44"/>
      <c r="I258" s="44"/>
      <c r="J258" s="44"/>
      <c r="K258" s="44"/>
      <c r="L258" s="45"/>
      <c r="M258" s="44"/>
      <c r="N258" s="46"/>
      <c r="O258" s="44"/>
      <c r="P258" s="44"/>
      <c r="Q258" s="47"/>
    </row>
    <row r="259" spans="1:17" s="40" customFormat="1">
      <c r="A259" s="44"/>
      <c r="B259" s="52"/>
      <c r="F259" s="44"/>
      <c r="G259" s="44"/>
      <c r="H259" s="44"/>
      <c r="I259" s="44"/>
      <c r="J259" s="44"/>
      <c r="K259" s="44"/>
      <c r="L259" s="45"/>
      <c r="M259" s="44"/>
      <c r="N259" s="46"/>
      <c r="O259" s="44"/>
      <c r="P259" s="44"/>
      <c r="Q259" s="47"/>
    </row>
    <row r="260" spans="1:17" s="40" customFormat="1">
      <c r="A260" s="44"/>
      <c r="B260" s="52"/>
      <c r="F260" s="44"/>
      <c r="G260" s="44"/>
      <c r="H260" s="44"/>
      <c r="I260" s="44"/>
      <c r="J260" s="44"/>
      <c r="K260" s="44"/>
      <c r="L260" s="45"/>
      <c r="M260" s="44"/>
      <c r="N260" s="46"/>
      <c r="O260" s="44"/>
      <c r="P260" s="44"/>
      <c r="Q260" s="47"/>
    </row>
    <row r="261" spans="1:17" s="40" customFormat="1">
      <c r="A261" s="44"/>
      <c r="B261" s="52"/>
      <c r="F261" s="44"/>
      <c r="G261" s="44"/>
      <c r="H261" s="44"/>
      <c r="I261" s="44"/>
      <c r="J261" s="44"/>
      <c r="K261" s="44"/>
      <c r="L261" s="45"/>
      <c r="M261" s="44"/>
      <c r="N261" s="46"/>
      <c r="O261" s="44"/>
      <c r="P261" s="44"/>
      <c r="Q261" s="47"/>
    </row>
    <row r="262" spans="1:17" s="40" customFormat="1">
      <c r="A262" s="44"/>
      <c r="B262" s="52"/>
      <c r="F262" s="44"/>
      <c r="G262" s="44"/>
      <c r="H262" s="44"/>
      <c r="I262" s="44"/>
      <c r="J262" s="44"/>
      <c r="K262" s="44"/>
      <c r="L262" s="45"/>
      <c r="M262" s="44"/>
      <c r="N262" s="46"/>
      <c r="O262" s="44"/>
      <c r="P262" s="44"/>
      <c r="Q262" s="47"/>
    </row>
    <row r="263" spans="1:17" s="40" customFormat="1">
      <c r="A263" s="44"/>
      <c r="B263" s="52"/>
      <c r="F263" s="44"/>
      <c r="G263" s="44"/>
      <c r="H263" s="44"/>
      <c r="I263" s="44"/>
      <c r="J263" s="44"/>
      <c r="K263" s="44"/>
      <c r="L263" s="45"/>
      <c r="M263" s="44"/>
      <c r="N263" s="46"/>
      <c r="O263" s="44"/>
      <c r="P263" s="44"/>
      <c r="Q263" s="47"/>
    </row>
    <row r="264" spans="1:17" s="40" customFormat="1">
      <c r="A264" s="44"/>
      <c r="B264" s="52"/>
      <c r="F264" s="44"/>
      <c r="G264" s="44"/>
      <c r="H264" s="44"/>
      <c r="I264" s="44"/>
      <c r="J264" s="44"/>
      <c r="K264" s="44"/>
      <c r="L264" s="45"/>
      <c r="M264" s="44"/>
      <c r="N264" s="46"/>
      <c r="O264" s="44"/>
      <c r="P264" s="44"/>
      <c r="Q264" s="47"/>
    </row>
    <row r="265" spans="1:17" s="40" customFormat="1">
      <c r="A265" s="44"/>
      <c r="B265" s="52"/>
      <c r="F265" s="44"/>
      <c r="G265" s="44"/>
      <c r="H265" s="44"/>
      <c r="I265" s="44"/>
      <c r="J265" s="44"/>
      <c r="K265" s="44"/>
      <c r="L265" s="45"/>
      <c r="M265" s="44"/>
      <c r="N265" s="46"/>
      <c r="O265" s="44"/>
      <c r="P265" s="44"/>
      <c r="Q265" s="47"/>
    </row>
    <row r="266" spans="1:17" s="40" customFormat="1">
      <c r="A266" s="44"/>
      <c r="B266" s="52"/>
      <c r="F266" s="44"/>
      <c r="G266" s="44"/>
      <c r="H266" s="44"/>
      <c r="I266" s="44"/>
      <c r="J266" s="44"/>
      <c r="K266" s="44"/>
      <c r="L266" s="45"/>
      <c r="M266" s="44"/>
      <c r="N266" s="46"/>
      <c r="O266" s="44"/>
      <c r="P266" s="44"/>
      <c r="Q266" s="47"/>
    </row>
    <row r="267" spans="1:17" s="40" customFormat="1">
      <c r="A267" s="44"/>
      <c r="B267" s="52"/>
      <c r="F267" s="44"/>
      <c r="G267" s="44"/>
      <c r="H267" s="44"/>
      <c r="I267" s="44"/>
      <c r="J267" s="44"/>
      <c r="K267" s="44"/>
      <c r="L267" s="45"/>
      <c r="M267" s="44"/>
      <c r="N267" s="46"/>
      <c r="O267" s="44"/>
      <c r="P267" s="44"/>
      <c r="Q267" s="47"/>
    </row>
    <row r="268" spans="1:17" s="40" customFormat="1">
      <c r="A268" s="44"/>
      <c r="B268" s="52"/>
      <c r="F268" s="44"/>
      <c r="G268" s="44"/>
      <c r="H268" s="44"/>
      <c r="I268" s="44"/>
      <c r="J268" s="44"/>
      <c r="K268" s="44"/>
      <c r="L268" s="45"/>
      <c r="M268" s="44"/>
      <c r="N268" s="46"/>
      <c r="O268" s="44"/>
      <c r="P268" s="44"/>
      <c r="Q268" s="47"/>
    </row>
    <row r="269" spans="1:17" s="40" customFormat="1">
      <c r="A269" s="44"/>
      <c r="B269" s="52"/>
      <c r="F269" s="44"/>
      <c r="G269" s="44"/>
      <c r="H269" s="44"/>
      <c r="I269" s="44"/>
      <c r="J269" s="44"/>
      <c r="K269" s="44"/>
      <c r="L269" s="45"/>
      <c r="M269" s="44"/>
      <c r="N269" s="46"/>
      <c r="O269" s="44"/>
      <c r="P269" s="44"/>
      <c r="Q269" s="47"/>
    </row>
    <row r="270" spans="1:17" s="40" customFormat="1">
      <c r="A270" s="44"/>
      <c r="B270" s="52"/>
      <c r="F270" s="44"/>
      <c r="G270" s="44"/>
      <c r="H270" s="44"/>
      <c r="I270" s="44"/>
      <c r="J270" s="44"/>
      <c r="K270" s="44"/>
      <c r="L270" s="45"/>
      <c r="M270" s="44"/>
      <c r="N270" s="46"/>
      <c r="O270" s="44"/>
      <c r="P270" s="44"/>
      <c r="Q270" s="47"/>
    </row>
    <row r="271" spans="1:17" s="40" customFormat="1">
      <c r="A271" s="44"/>
      <c r="B271" s="52"/>
      <c r="F271" s="44"/>
      <c r="G271" s="44"/>
      <c r="H271" s="44"/>
      <c r="I271" s="44"/>
      <c r="J271" s="44"/>
      <c r="K271" s="44"/>
      <c r="L271" s="45"/>
      <c r="M271" s="44"/>
      <c r="N271" s="46"/>
      <c r="O271" s="44"/>
      <c r="P271" s="44"/>
      <c r="Q271" s="47"/>
    </row>
    <row r="272" spans="1:17" s="40" customFormat="1">
      <c r="A272" s="44"/>
      <c r="B272" s="52"/>
      <c r="F272" s="44"/>
      <c r="G272" s="44"/>
      <c r="H272" s="44"/>
      <c r="I272" s="44"/>
      <c r="J272" s="44"/>
      <c r="K272" s="44"/>
      <c r="L272" s="45"/>
      <c r="M272" s="44"/>
      <c r="N272" s="46"/>
      <c r="O272" s="44"/>
      <c r="P272" s="44"/>
      <c r="Q272" s="47"/>
    </row>
    <row r="273" spans="1:17" s="40" customFormat="1">
      <c r="A273" s="44"/>
      <c r="B273" s="52"/>
      <c r="F273" s="44"/>
      <c r="G273" s="44"/>
      <c r="H273" s="44"/>
      <c r="I273" s="44"/>
      <c r="J273" s="44"/>
      <c r="K273" s="44"/>
      <c r="L273" s="45"/>
      <c r="M273" s="44"/>
      <c r="N273" s="46"/>
      <c r="O273" s="44"/>
      <c r="P273" s="44"/>
      <c r="Q273" s="47"/>
    </row>
    <row r="274" spans="1:17" s="40" customFormat="1">
      <c r="A274" s="44"/>
      <c r="B274" s="52"/>
      <c r="F274" s="44"/>
      <c r="G274" s="44"/>
      <c r="H274" s="44"/>
      <c r="I274" s="44"/>
      <c r="J274" s="44"/>
      <c r="K274" s="44"/>
      <c r="L274" s="45"/>
      <c r="M274" s="44"/>
      <c r="N274" s="46"/>
      <c r="O274" s="44"/>
      <c r="P274" s="44"/>
      <c r="Q274" s="47"/>
    </row>
    <row r="275" spans="1:17" s="40" customFormat="1">
      <c r="A275" s="44"/>
      <c r="B275" s="52"/>
      <c r="F275" s="44"/>
      <c r="G275" s="44"/>
      <c r="H275" s="44"/>
      <c r="I275" s="44"/>
      <c r="J275" s="44"/>
      <c r="K275" s="44"/>
      <c r="L275" s="45"/>
      <c r="M275" s="44"/>
      <c r="N275" s="46"/>
      <c r="O275" s="44"/>
      <c r="P275" s="44"/>
      <c r="Q275" s="47"/>
    </row>
    <row r="276" spans="1:17" s="40" customFormat="1">
      <c r="A276" s="44"/>
      <c r="B276" s="52"/>
      <c r="F276" s="44"/>
      <c r="G276" s="44"/>
      <c r="H276" s="44"/>
      <c r="I276" s="44"/>
      <c r="J276" s="44"/>
      <c r="K276" s="44"/>
      <c r="L276" s="45"/>
      <c r="M276" s="44"/>
      <c r="N276" s="46"/>
      <c r="O276" s="44"/>
      <c r="P276" s="44"/>
      <c r="Q276" s="47"/>
    </row>
    <row r="277" spans="1:17" s="40" customFormat="1">
      <c r="A277" s="44"/>
      <c r="B277" s="52"/>
      <c r="F277" s="44"/>
      <c r="G277" s="44"/>
      <c r="H277" s="44"/>
      <c r="I277" s="44"/>
      <c r="J277" s="44"/>
      <c r="K277" s="44"/>
      <c r="L277" s="45"/>
      <c r="M277" s="44"/>
      <c r="N277" s="46"/>
      <c r="O277" s="44"/>
      <c r="P277" s="44"/>
      <c r="Q277" s="47"/>
    </row>
    <row r="278" spans="1:17" s="40" customFormat="1">
      <c r="A278" s="44"/>
      <c r="B278" s="52"/>
      <c r="F278" s="44"/>
      <c r="G278" s="44"/>
      <c r="H278" s="44"/>
      <c r="I278" s="44"/>
      <c r="J278" s="44"/>
      <c r="K278" s="44"/>
      <c r="L278" s="45"/>
      <c r="M278" s="44"/>
      <c r="N278" s="46"/>
      <c r="O278" s="44"/>
      <c r="P278" s="44"/>
      <c r="Q278" s="47"/>
    </row>
    <row r="279" spans="1:17" s="40" customFormat="1">
      <c r="A279" s="44"/>
      <c r="B279" s="52"/>
      <c r="F279" s="44"/>
      <c r="G279" s="44"/>
      <c r="H279" s="44"/>
      <c r="I279" s="44"/>
      <c r="J279" s="44"/>
      <c r="K279" s="44"/>
      <c r="L279" s="45"/>
      <c r="M279" s="44"/>
      <c r="N279" s="46"/>
      <c r="O279" s="44"/>
      <c r="P279" s="44"/>
      <c r="Q279" s="47"/>
    </row>
    <row r="280" spans="1:17" s="40" customFormat="1">
      <c r="A280" s="44"/>
      <c r="B280" s="52"/>
      <c r="F280" s="44"/>
      <c r="G280" s="44"/>
      <c r="H280" s="44"/>
      <c r="I280" s="44"/>
      <c r="J280" s="44"/>
      <c r="K280" s="44"/>
      <c r="L280" s="45"/>
      <c r="M280" s="44"/>
      <c r="N280" s="46"/>
      <c r="O280" s="44"/>
      <c r="P280" s="44"/>
      <c r="Q280" s="47"/>
    </row>
    <row r="281" spans="1:17" s="40" customFormat="1">
      <c r="A281" s="44"/>
      <c r="B281" s="52"/>
      <c r="F281" s="44"/>
      <c r="G281" s="44"/>
      <c r="H281" s="44"/>
      <c r="I281" s="44"/>
      <c r="J281" s="44"/>
      <c r="K281" s="44"/>
      <c r="L281" s="45"/>
      <c r="M281" s="44"/>
      <c r="N281" s="46"/>
      <c r="O281" s="44"/>
      <c r="P281" s="44"/>
      <c r="Q281" s="47"/>
    </row>
    <row r="282" spans="1:17" s="40" customFormat="1">
      <c r="A282" s="44"/>
      <c r="B282" s="52"/>
      <c r="F282" s="44"/>
      <c r="G282" s="44"/>
      <c r="H282" s="44"/>
      <c r="I282" s="44"/>
      <c r="J282" s="44"/>
      <c r="K282" s="44"/>
      <c r="L282" s="45"/>
      <c r="M282" s="44"/>
      <c r="N282" s="46"/>
      <c r="O282" s="44"/>
      <c r="P282" s="44"/>
      <c r="Q282" s="47"/>
    </row>
    <row r="283" spans="1:17" s="40" customFormat="1">
      <c r="A283" s="44"/>
      <c r="B283" s="52"/>
      <c r="F283" s="44"/>
      <c r="G283" s="44"/>
      <c r="H283" s="44"/>
      <c r="I283" s="44"/>
      <c r="J283" s="44"/>
      <c r="K283" s="44"/>
      <c r="L283" s="45"/>
      <c r="M283" s="44"/>
      <c r="N283" s="46"/>
      <c r="O283" s="44"/>
      <c r="P283" s="44"/>
      <c r="Q283" s="47"/>
    </row>
    <row r="284" spans="1:17" s="40" customFormat="1">
      <c r="A284" s="44"/>
      <c r="B284" s="52"/>
      <c r="F284" s="44"/>
      <c r="G284" s="44"/>
      <c r="H284" s="44"/>
      <c r="I284" s="44"/>
      <c r="J284" s="44"/>
      <c r="K284" s="44"/>
      <c r="L284" s="45"/>
      <c r="M284" s="44"/>
      <c r="N284" s="46"/>
      <c r="O284" s="44"/>
      <c r="P284" s="44"/>
      <c r="Q284" s="47"/>
    </row>
    <row r="285" spans="1:17" s="40" customFormat="1">
      <c r="A285" s="44"/>
      <c r="B285" s="52"/>
      <c r="F285" s="44"/>
      <c r="G285" s="44"/>
      <c r="H285" s="44"/>
      <c r="I285" s="44"/>
      <c r="J285" s="44"/>
      <c r="K285" s="44"/>
      <c r="L285" s="45"/>
      <c r="M285" s="44"/>
      <c r="N285" s="46"/>
      <c r="O285" s="44"/>
      <c r="P285" s="44"/>
      <c r="Q285" s="47"/>
    </row>
    <row r="286" spans="1:17" s="40" customFormat="1">
      <c r="A286" s="44"/>
      <c r="B286" s="52"/>
      <c r="F286" s="44"/>
      <c r="G286" s="44"/>
      <c r="H286" s="44"/>
      <c r="I286" s="44"/>
      <c r="J286" s="44"/>
      <c r="K286" s="44"/>
      <c r="L286" s="45"/>
      <c r="M286" s="44"/>
      <c r="N286" s="46"/>
      <c r="O286" s="44"/>
      <c r="P286" s="44"/>
      <c r="Q286" s="47"/>
    </row>
    <row r="287" spans="1:17" s="40" customFormat="1">
      <c r="A287" s="44"/>
      <c r="B287" s="52"/>
      <c r="F287" s="44"/>
      <c r="G287" s="44"/>
      <c r="H287" s="44"/>
      <c r="I287" s="44"/>
      <c r="J287" s="44"/>
      <c r="K287" s="44"/>
      <c r="L287" s="45"/>
      <c r="M287" s="44"/>
      <c r="N287" s="46"/>
      <c r="O287" s="44"/>
      <c r="P287" s="44"/>
      <c r="Q287" s="47"/>
    </row>
    <row r="288" spans="1:17" s="40" customFormat="1">
      <c r="A288" s="44"/>
      <c r="B288" s="52"/>
      <c r="F288" s="44"/>
      <c r="G288" s="44"/>
      <c r="H288" s="44"/>
      <c r="I288" s="44"/>
      <c r="J288" s="44"/>
      <c r="K288" s="44"/>
      <c r="L288" s="45"/>
      <c r="M288" s="44"/>
      <c r="N288" s="46"/>
      <c r="O288" s="44"/>
      <c r="P288" s="44"/>
      <c r="Q288" s="47"/>
    </row>
    <row r="289" spans="1:17" s="40" customFormat="1">
      <c r="A289" s="44"/>
      <c r="B289" s="52"/>
      <c r="F289" s="44"/>
      <c r="G289" s="44"/>
      <c r="H289" s="44"/>
      <c r="I289" s="44"/>
      <c r="J289" s="44"/>
      <c r="K289" s="44"/>
      <c r="L289" s="45"/>
      <c r="M289" s="44"/>
      <c r="N289" s="46"/>
      <c r="O289" s="44"/>
      <c r="P289" s="44"/>
      <c r="Q289" s="47"/>
    </row>
    <row r="290" spans="1:17" s="40" customFormat="1">
      <c r="A290" s="44"/>
      <c r="B290" s="52"/>
      <c r="F290" s="44"/>
      <c r="G290" s="44"/>
      <c r="H290" s="44"/>
      <c r="I290" s="44"/>
      <c r="J290" s="44"/>
      <c r="K290" s="44"/>
      <c r="L290" s="45"/>
      <c r="M290" s="44"/>
      <c r="N290" s="46"/>
      <c r="O290" s="44"/>
      <c r="P290" s="44"/>
      <c r="Q290" s="47"/>
    </row>
    <row r="291" spans="1:17" s="40" customFormat="1">
      <c r="A291" s="44"/>
      <c r="B291" s="52"/>
      <c r="F291" s="44"/>
      <c r="G291" s="44"/>
      <c r="H291" s="44"/>
      <c r="I291" s="44"/>
      <c r="J291" s="44"/>
      <c r="K291" s="44"/>
      <c r="L291" s="45"/>
      <c r="M291" s="44"/>
      <c r="N291" s="46"/>
      <c r="O291" s="44"/>
      <c r="P291" s="44"/>
      <c r="Q291" s="47"/>
    </row>
    <row r="292" spans="1:17" s="40" customFormat="1">
      <c r="A292" s="44"/>
      <c r="B292" s="52"/>
      <c r="F292" s="44"/>
      <c r="G292" s="44"/>
      <c r="H292" s="44"/>
      <c r="I292" s="44"/>
      <c r="J292" s="44"/>
      <c r="K292" s="44"/>
      <c r="L292" s="45"/>
      <c r="M292" s="44"/>
      <c r="N292" s="46"/>
      <c r="O292" s="44"/>
      <c r="P292" s="44"/>
      <c r="Q292" s="47"/>
    </row>
    <row r="293" spans="1:17" s="40" customFormat="1">
      <c r="A293" s="44"/>
      <c r="B293" s="52"/>
      <c r="F293" s="44"/>
      <c r="G293" s="44"/>
      <c r="H293" s="44"/>
      <c r="I293" s="44"/>
      <c r="J293" s="44"/>
      <c r="K293" s="44"/>
      <c r="L293" s="45"/>
      <c r="M293" s="44"/>
      <c r="N293" s="46"/>
      <c r="O293" s="44"/>
      <c r="P293" s="44"/>
      <c r="Q293" s="47"/>
    </row>
    <row r="294" spans="1:17" s="40" customFormat="1">
      <c r="A294" s="44"/>
      <c r="B294" s="52"/>
      <c r="F294" s="44"/>
      <c r="G294" s="44"/>
      <c r="H294" s="44"/>
      <c r="I294" s="44"/>
      <c r="J294" s="44"/>
      <c r="K294" s="44"/>
      <c r="L294" s="45"/>
      <c r="M294" s="44"/>
      <c r="N294" s="46"/>
      <c r="O294" s="44"/>
      <c r="P294" s="44"/>
      <c r="Q294" s="47"/>
    </row>
    <row r="295" spans="1:17" s="40" customFormat="1">
      <c r="A295" s="44"/>
      <c r="B295" s="52"/>
      <c r="F295" s="44"/>
      <c r="G295" s="44"/>
      <c r="H295" s="44"/>
      <c r="I295" s="44"/>
      <c r="J295" s="44"/>
      <c r="K295" s="44"/>
      <c r="L295" s="45"/>
      <c r="M295" s="44"/>
      <c r="N295" s="46"/>
      <c r="O295" s="44"/>
      <c r="P295" s="44"/>
      <c r="Q295" s="47"/>
    </row>
    <row r="296" spans="1:17" s="40" customFormat="1">
      <c r="A296" s="44"/>
      <c r="B296" s="52"/>
      <c r="F296" s="44"/>
      <c r="G296" s="44"/>
      <c r="H296" s="44"/>
      <c r="I296" s="44"/>
      <c r="J296" s="44"/>
      <c r="K296" s="44"/>
      <c r="L296" s="45"/>
      <c r="M296" s="44"/>
      <c r="N296" s="46"/>
      <c r="O296" s="44"/>
      <c r="P296" s="44"/>
      <c r="Q296" s="47"/>
    </row>
    <row r="297" spans="1:17" s="40" customFormat="1">
      <c r="A297" s="44"/>
      <c r="B297" s="52"/>
      <c r="F297" s="44"/>
      <c r="G297" s="44"/>
      <c r="H297" s="44"/>
      <c r="I297" s="44"/>
      <c r="J297" s="44"/>
      <c r="K297" s="44"/>
      <c r="L297" s="45"/>
      <c r="M297" s="44"/>
      <c r="N297" s="46"/>
      <c r="O297" s="44"/>
      <c r="P297" s="44"/>
      <c r="Q297" s="47"/>
    </row>
    <row r="298" spans="1:17" s="40" customFormat="1">
      <c r="A298" s="44"/>
      <c r="B298" s="52"/>
      <c r="F298" s="44"/>
      <c r="G298" s="44"/>
      <c r="H298" s="44"/>
      <c r="I298" s="44"/>
      <c r="J298" s="44"/>
      <c r="K298" s="44"/>
      <c r="L298" s="45"/>
      <c r="M298" s="44"/>
      <c r="N298" s="46"/>
      <c r="O298" s="44"/>
      <c r="P298" s="44"/>
      <c r="Q298" s="47"/>
    </row>
    <row r="299" spans="1:17" s="40" customFormat="1">
      <c r="A299" s="44"/>
      <c r="B299" s="52"/>
      <c r="F299" s="44"/>
      <c r="G299" s="44"/>
      <c r="H299" s="44"/>
      <c r="I299" s="44"/>
      <c r="J299" s="44"/>
      <c r="K299" s="44"/>
      <c r="L299" s="45"/>
      <c r="M299" s="44"/>
      <c r="N299" s="46"/>
      <c r="O299" s="44"/>
      <c r="P299" s="44"/>
      <c r="Q299" s="47"/>
    </row>
    <row r="300" spans="1:17" s="40" customFormat="1">
      <c r="A300" s="44"/>
      <c r="B300" s="52"/>
      <c r="F300" s="44"/>
      <c r="G300" s="44"/>
      <c r="H300" s="44"/>
      <c r="I300" s="44"/>
      <c r="J300" s="44"/>
      <c r="K300" s="44"/>
      <c r="L300" s="45"/>
      <c r="M300" s="44"/>
      <c r="N300" s="46"/>
      <c r="O300" s="44"/>
      <c r="P300" s="44"/>
      <c r="Q300" s="47"/>
    </row>
    <row r="301" spans="1:17" s="40" customFormat="1">
      <c r="A301" s="44"/>
      <c r="B301" s="52"/>
      <c r="F301" s="44"/>
      <c r="G301" s="44"/>
      <c r="H301" s="44"/>
      <c r="I301" s="44"/>
      <c r="J301" s="44"/>
      <c r="K301" s="44"/>
      <c r="L301" s="45"/>
      <c r="M301" s="44"/>
      <c r="N301" s="46"/>
      <c r="O301" s="44"/>
      <c r="P301" s="44"/>
      <c r="Q301" s="47"/>
    </row>
    <row r="302" spans="1:17" s="40" customFormat="1">
      <c r="A302" s="44"/>
      <c r="B302" s="52"/>
      <c r="F302" s="44"/>
      <c r="G302" s="44"/>
      <c r="H302" s="44"/>
      <c r="I302" s="44"/>
      <c r="J302" s="44"/>
      <c r="K302" s="44"/>
      <c r="L302" s="45"/>
      <c r="M302" s="44"/>
      <c r="N302" s="46"/>
      <c r="O302" s="44"/>
      <c r="P302" s="44"/>
      <c r="Q302" s="47"/>
    </row>
    <row r="303" spans="1:17" s="40" customFormat="1">
      <c r="A303" s="44"/>
      <c r="B303" s="52"/>
      <c r="F303" s="44"/>
      <c r="G303" s="44"/>
      <c r="H303" s="44"/>
      <c r="I303" s="44"/>
      <c r="J303" s="44"/>
      <c r="K303" s="44"/>
      <c r="L303" s="45"/>
      <c r="M303" s="44"/>
      <c r="N303" s="46"/>
      <c r="O303" s="44"/>
      <c r="P303" s="44"/>
      <c r="Q303" s="47"/>
    </row>
    <row r="304" spans="1:17" s="40" customFormat="1">
      <c r="A304" s="44"/>
      <c r="B304" s="52"/>
      <c r="F304" s="44"/>
      <c r="G304" s="44"/>
      <c r="H304" s="44"/>
      <c r="I304" s="44"/>
      <c r="J304" s="44"/>
      <c r="K304" s="44"/>
      <c r="L304" s="45"/>
      <c r="M304" s="44"/>
      <c r="N304" s="46"/>
      <c r="O304" s="44"/>
      <c r="P304" s="44"/>
      <c r="Q304" s="47"/>
    </row>
    <row r="305" spans="1:17" s="40" customFormat="1">
      <c r="A305" s="44"/>
      <c r="B305" s="52"/>
      <c r="F305" s="44"/>
      <c r="G305" s="44"/>
      <c r="H305" s="44"/>
      <c r="I305" s="44"/>
      <c r="J305" s="44"/>
      <c r="K305" s="44"/>
      <c r="L305" s="45"/>
      <c r="M305" s="44"/>
      <c r="N305" s="46"/>
      <c r="O305" s="44"/>
      <c r="P305" s="44"/>
      <c r="Q305" s="47"/>
    </row>
    <row r="306" spans="1:17" s="40" customFormat="1">
      <c r="A306" s="44"/>
      <c r="B306" s="52"/>
      <c r="F306" s="44"/>
      <c r="G306" s="44"/>
      <c r="H306" s="44"/>
      <c r="I306" s="44"/>
      <c r="J306" s="44"/>
      <c r="K306" s="44"/>
      <c r="L306" s="45"/>
      <c r="M306" s="44"/>
      <c r="N306" s="46"/>
      <c r="O306" s="44"/>
      <c r="P306" s="44"/>
      <c r="Q306" s="47"/>
    </row>
    <row r="307" spans="1:17" s="40" customFormat="1">
      <c r="A307" s="44"/>
      <c r="B307" s="52"/>
      <c r="F307" s="44"/>
      <c r="G307" s="44"/>
      <c r="H307" s="44"/>
      <c r="I307" s="44"/>
      <c r="J307" s="44"/>
      <c r="K307" s="44"/>
      <c r="L307" s="45"/>
      <c r="M307" s="44"/>
      <c r="N307" s="46"/>
      <c r="O307" s="44"/>
      <c r="P307" s="44"/>
      <c r="Q307" s="47"/>
    </row>
    <row r="308" spans="1:17" s="40" customFormat="1">
      <c r="A308" s="44"/>
      <c r="B308" s="52"/>
      <c r="F308" s="44"/>
      <c r="G308" s="44"/>
      <c r="H308" s="44"/>
      <c r="I308" s="44"/>
      <c r="J308" s="44"/>
      <c r="K308" s="44"/>
      <c r="L308" s="45"/>
      <c r="M308" s="44"/>
      <c r="N308" s="46"/>
      <c r="O308" s="44"/>
      <c r="P308" s="44"/>
      <c r="Q308" s="47"/>
    </row>
    <row r="309" spans="1:17" s="40" customFormat="1">
      <c r="A309" s="44"/>
      <c r="B309" s="52"/>
      <c r="F309" s="44"/>
      <c r="G309" s="44"/>
      <c r="H309" s="44"/>
      <c r="I309" s="44"/>
      <c r="J309" s="44"/>
      <c r="K309" s="44"/>
      <c r="L309" s="45"/>
      <c r="M309" s="44"/>
      <c r="N309" s="46"/>
      <c r="O309" s="44"/>
      <c r="P309" s="44"/>
      <c r="Q309" s="47"/>
    </row>
    <row r="310" spans="1:17" s="40" customFormat="1">
      <c r="A310" s="44"/>
      <c r="B310" s="52"/>
      <c r="F310" s="44"/>
      <c r="G310" s="44"/>
      <c r="H310" s="44"/>
      <c r="I310" s="44"/>
      <c r="J310" s="44"/>
      <c r="K310" s="44"/>
      <c r="L310" s="45"/>
      <c r="M310" s="44"/>
      <c r="N310" s="46"/>
      <c r="O310" s="44"/>
      <c r="P310" s="44"/>
      <c r="Q310" s="47"/>
    </row>
    <row r="311" spans="1:17" s="40" customFormat="1">
      <c r="A311" s="44"/>
      <c r="B311" s="52"/>
      <c r="F311" s="44"/>
      <c r="G311" s="44"/>
      <c r="H311" s="44"/>
      <c r="I311" s="44"/>
      <c r="J311" s="44"/>
      <c r="K311" s="44"/>
      <c r="L311" s="45"/>
      <c r="M311" s="44"/>
      <c r="N311" s="46"/>
      <c r="O311" s="44"/>
      <c r="P311" s="44"/>
      <c r="Q311" s="47"/>
    </row>
    <row r="312" spans="1:17" s="40" customFormat="1">
      <c r="A312" s="44"/>
      <c r="B312" s="52"/>
      <c r="F312" s="44"/>
      <c r="G312" s="44"/>
      <c r="H312" s="44"/>
      <c r="I312" s="44"/>
      <c r="J312" s="44"/>
      <c r="K312" s="44"/>
      <c r="L312" s="45"/>
      <c r="M312" s="44"/>
      <c r="N312" s="46"/>
      <c r="O312" s="44"/>
      <c r="P312" s="44"/>
      <c r="Q312" s="47"/>
    </row>
    <row r="313" spans="1:17" s="40" customFormat="1">
      <c r="A313" s="44"/>
      <c r="B313" s="52"/>
      <c r="F313" s="44"/>
      <c r="G313" s="44"/>
      <c r="H313" s="44"/>
      <c r="I313" s="44"/>
      <c r="J313" s="44"/>
      <c r="K313" s="44"/>
      <c r="L313" s="45"/>
      <c r="M313" s="44"/>
      <c r="N313" s="46"/>
      <c r="O313" s="44"/>
      <c r="P313" s="44"/>
      <c r="Q313" s="47"/>
    </row>
    <row r="314" spans="1:17" s="40" customFormat="1">
      <c r="A314" s="44"/>
      <c r="B314" s="52"/>
      <c r="F314" s="44"/>
      <c r="G314" s="44"/>
      <c r="H314" s="44"/>
      <c r="I314" s="44"/>
      <c r="J314" s="44"/>
      <c r="K314" s="44"/>
      <c r="L314" s="45"/>
      <c r="M314" s="44"/>
      <c r="N314" s="46"/>
      <c r="O314" s="44"/>
      <c r="P314" s="44"/>
      <c r="Q314" s="47"/>
    </row>
    <row r="315" spans="1:17" s="40" customFormat="1">
      <c r="A315" s="44"/>
      <c r="B315" s="52"/>
      <c r="F315" s="44"/>
      <c r="G315" s="44"/>
      <c r="H315" s="44"/>
      <c r="I315" s="44"/>
      <c r="J315" s="44"/>
      <c r="K315" s="44"/>
      <c r="L315" s="45"/>
      <c r="M315" s="44"/>
      <c r="N315" s="46"/>
      <c r="O315" s="44"/>
      <c r="P315" s="44"/>
      <c r="Q315" s="47"/>
    </row>
    <row r="316" spans="1:17" s="40" customFormat="1">
      <c r="A316" s="44"/>
      <c r="B316" s="52"/>
      <c r="F316" s="44"/>
      <c r="G316" s="44"/>
      <c r="H316" s="44"/>
      <c r="I316" s="44"/>
      <c r="J316" s="44"/>
      <c r="K316" s="44"/>
      <c r="L316" s="45"/>
      <c r="M316" s="44"/>
      <c r="N316" s="46"/>
      <c r="O316" s="44"/>
      <c r="P316" s="44"/>
      <c r="Q316" s="47"/>
    </row>
    <row r="317" spans="1:17" s="40" customFormat="1">
      <c r="A317" s="44"/>
      <c r="B317" s="52"/>
      <c r="F317" s="44"/>
      <c r="G317" s="44"/>
      <c r="H317" s="44"/>
      <c r="I317" s="44"/>
      <c r="J317" s="44"/>
      <c r="K317" s="44"/>
      <c r="L317" s="45"/>
      <c r="M317" s="44"/>
      <c r="N317" s="46"/>
      <c r="O317" s="44"/>
      <c r="P317" s="44"/>
      <c r="Q317" s="47"/>
    </row>
    <row r="318" spans="1:17" s="40" customFormat="1">
      <c r="A318" s="44"/>
      <c r="B318" s="52"/>
      <c r="F318" s="44"/>
      <c r="G318" s="44"/>
      <c r="H318" s="44"/>
      <c r="I318" s="44"/>
      <c r="J318" s="44"/>
      <c r="K318" s="44"/>
      <c r="L318" s="45"/>
      <c r="M318" s="44"/>
      <c r="N318" s="46"/>
      <c r="O318" s="44"/>
      <c r="P318" s="44"/>
      <c r="Q318" s="47"/>
    </row>
    <row r="319" spans="1:17" s="40" customFormat="1">
      <c r="A319" s="44"/>
      <c r="B319" s="52"/>
      <c r="F319" s="44"/>
      <c r="G319" s="44"/>
      <c r="H319" s="44"/>
      <c r="I319" s="44"/>
      <c r="J319" s="44"/>
      <c r="K319" s="44"/>
      <c r="L319" s="45"/>
      <c r="M319" s="44"/>
      <c r="N319" s="46"/>
      <c r="O319" s="44"/>
      <c r="P319" s="44"/>
      <c r="Q319" s="47"/>
    </row>
    <row r="320" spans="1:17" s="40" customFormat="1">
      <c r="A320" s="44"/>
      <c r="B320" s="52"/>
      <c r="F320" s="44"/>
      <c r="G320" s="44"/>
      <c r="H320" s="44"/>
      <c r="I320" s="44"/>
      <c r="J320" s="44"/>
      <c r="K320" s="44"/>
      <c r="L320" s="45"/>
      <c r="M320" s="44"/>
      <c r="N320" s="46"/>
      <c r="O320" s="44"/>
      <c r="P320" s="44"/>
      <c r="Q320" s="47"/>
    </row>
    <row r="321" spans="1:17" s="40" customFormat="1">
      <c r="A321" s="44"/>
      <c r="B321" s="52"/>
      <c r="F321" s="44"/>
      <c r="G321" s="44"/>
      <c r="H321" s="44"/>
      <c r="I321" s="44"/>
      <c r="J321" s="44"/>
      <c r="K321" s="44"/>
      <c r="L321" s="45"/>
      <c r="M321" s="44"/>
      <c r="N321" s="46"/>
      <c r="O321" s="44"/>
      <c r="P321" s="44"/>
      <c r="Q321" s="47"/>
    </row>
    <row r="322" spans="1:17" s="40" customFormat="1">
      <c r="A322" s="44"/>
      <c r="B322" s="52"/>
      <c r="F322" s="44"/>
      <c r="G322" s="44"/>
      <c r="H322" s="44"/>
      <c r="I322" s="44"/>
      <c r="J322" s="44"/>
      <c r="K322" s="44"/>
      <c r="L322" s="45"/>
      <c r="M322" s="44"/>
      <c r="N322" s="46"/>
      <c r="O322" s="44"/>
      <c r="P322" s="44"/>
      <c r="Q322" s="47"/>
    </row>
    <row r="323" spans="1:17" s="40" customFormat="1">
      <c r="A323" s="44"/>
      <c r="B323" s="52"/>
      <c r="F323" s="44"/>
      <c r="G323" s="44"/>
      <c r="H323" s="44"/>
      <c r="I323" s="44"/>
      <c r="J323" s="44"/>
      <c r="K323" s="44"/>
      <c r="L323" s="45"/>
      <c r="M323" s="44"/>
      <c r="N323" s="46"/>
      <c r="O323" s="44"/>
      <c r="P323" s="44"/>
      <c r="Q323" s="47"/>
    </row>
    <row r="324" spans="1:17" s="40" customFormat="1">
      <c r="A324" s="44"/>
      <c r="B324" s="52"/>
      <c r="F324" s="44"/>
      <c r="G324" s="44"/>
      <c r="H324" s="44"/>
      <c r="I324" s="44"/>
      <c r="J324" s="44"/>
      <c r="K324" s="44"/>
      <c r="L324" s="45"/>
      <c r="M324" s="44"/>
      <c r="N324" s="46"/>
      <c r="O324" s="44"/>
      <c r="P324" s="44"/>
      <c r="Q324" s="47"/>
    </row>
    <row r="325" spans="1:17" s="40" customFormat="1">
      <c r="A325" s="44"/>
      <c r="B325" s="52"/>
      <c r="F325" s="44"/>
      <c r="G325" s="44"/>
      <c r="H325" s="44"/>
      <c r="I325" s="44"/>
      <c r="J325" s="44"/>
      <c r="K325" s="44"/>
      <c r="L325" s="45"/>
      <c r="M325" s="44"/>
      <c r="N325" s="46"/>
      <c r="O325" s="44"/>
      <c r="P325" s="44"/>
      <c r="Q325" s="47"/>
    </row>
    <row r="326" spans="1:17" s="40" customFormat="1">
      <c r="A326" s="44"/>
      <c r="B326" s="52"/>
      <c r="F326" s="44"/>
      <c r="G326" s="44"/>
      <c r="H326" s="44"/>
      <c r="I326" s="44"/>
      <c r="J326" s="44"/>
      <c r="K326" s="44"/>
      <c r="L326" s="45"/>
      <c r="M326" s="44"/>
      <c r="N326" s="46"/>
      <c r="O326" s="44"/>
      <c r="P326" s="44"/>
      <c r="Q326" s="47"/>
    </row>
    <row r="327" spans="1:17" s="40" customFormat="1">
      <c r="A327" s="44"/>
      <c r="B327" s="52"/>
      <c r="F327" s="44"/>
      <c r="G327" s="44"/>
      <c r="H327" s="44"/>
      <c r="I327" s="44"/>
      <c r="J327" s="44"/>
      <c r="K327" s="44"/>
      <c r="L327" s="45"/>
      <c r="M327" s="44"/>
      <c r="N327" s="46"/>
      <c r="O327" s="44"/>
      <c r="P327" s="44"/>
      <c r="Q327" s="47"/>
    </row>
    <row r="328" spans="1:17" s="40" customFormat="1">
      <c r="A328" s="44"/>
      <c r="B328" s="52"/>
      <c r="F328" s="44"/>
      <c r="G328" s="44"/>
      <c r="H328" s="44"/>
      <c r="I328" s="44"/>
      <c r="J328" s="44"/>
      <c r="K328" s="44"/>
      <c r="L328" s="45"/>
      <c r="M328" s="44"/>
      <c r="N328" s="46"/>
      <c r="O328" s="44"/>
      <c r="P328" s="44"/>
      <c r="Q328" s="47"/>
    </row>
    <row r="329" spans="1:17" s="40" customFormat="1">
      <c r="A329" s="44"/>
      <c r="B329" s="52"/>
      <c r="F329" s="44"/>
      <c r="G329" s="44"/>
      <c r="H329" s="44"/>
      <c r="I329" s="44"/>
      <c r="J329" s="44"/>
      <c r="K329" s="44"/>
      <c r="L329" s="45"/>
      <c r="M329" s="44"/>
      <c r="N329" s="46"/>
      <c r="O329" s="44"/>
      <c r="P329" s="44"/>
      <c r="Q329" s="47"/>
    </row>
    <row r="330" spans="1:17" s="40" customFormat="1">
      <c r="A330" s="44"/>
      <c r="B330" s="52"/>
      <c r="F330" s="44"/>
      <c r="G330" s="44"/>
      <c r="H330" s="44"/>
      <c r="I330" s="44"/>
      <c r="J330" s="44"/>
      <c r="K330" s="44"/>
      <c r="L330" s="45"/>
      <c r="M330" s="44"/>
      <c r="N330" s="46"/>
      <c r="O330" s="44"/>
      <c r="P330" s="44"/>
      <c r="Q330" s="47"/>
    </row>
    <row r="331" spans="1:17" s="40" customFormat="1">
      <c r="A331" s="44"/>
      <c r="B331" s="52"/>
      <c r="F331" s="44"/>
      <c r="G331" s="44"/>
      <c r="H331" s="44"/>
      <c r="I331" s="44"/>
      <c r="J331" s="44"/>
      <c r="K331" s="44"/>
      <c r="L331" s="45"/>
      <c r="M331" s="44"/>
      <c r="N331" s="46"/>
      <c r="O331" s="44"/>
      <c r="P331" s="44"/>
      <c r="Q331" s="47"/>
    </row>
    <row r="332" spans="1:17" s="40" customFormat="1">
      <c r="A332" s="44"/>
      <c r="B332" s="52"/>
      <c r="F332" s="44"/>
      <c r="G332" s="44"/>
      <c r="H332" s="44"/>
      <c r="I332" s="44"/>
      <c r="J332" s="44"/>
      <c r="K332" s="44"/>
      <c r="L332" s="45"/>
      <c r="M332" s="44"/>
      <c r="N332" s="46"/>
      <c r="O332" s="44"/>
      <c r="P332" s="44"/>
      <c r="Q332" s="47"/>
    </row>
    <row r="333" spans="1:17" s="40" customFormat="1">
      <c r="A333" s="44"/>
      <c r="B333" s="52"/>
      <c r="F333" s="44"/>
      <c r="G333" s="44"/>
      <c r="H333" s="44"/>
      <c r="I333" s="44"/>
      <c r="J333" s="44"/>
      <c r="K333" s="44"/>
      <c r="L333" s="45"/>
      <c r="M333" s="44"/>
      <c r="N333" s="46"/>
      <c r="O333" s="44"/>
      <c r="P333" s="44"/>
      <c r="Q333" s="47"/>
    </row>
    <row r="334" spans="1:17" s="40" customFormat="1">
      <c r="A334" s="44"/>
      <c r="B334" s="52"/>
      <c r="F334" s="44"/>
      <c r="G334" s="44"/>
      <c r="H334" s="44"/>
      <c r="I334" s="44"/>
      <c r="J334" s="44"/>
      <c r="K334" s="44"/>
      <c r="L334" s="45"/>
      <c r="M334" s="44"/>
      <c r="N334" s="46"/>
      <c r="O334" s="44"/>
      <c r="P334" s="44"/>
      <c r="Q334" s="47"/>
    </row>
    <row r="335" spans="1:17" s="40" customFormat="1">
      <c r="A335" s="44"/>
      <c r="B335" s="52"/>
      <c r="F335" s="44"/>
      <c r="G335" s="44"/>
      <c r="H335" s="44"/>
      <c r="I335" s="44"/>
      <c r="J335" s="44"/>
      <c r="K335" s="44"/>
      <c r="L335" s="45"/>
      <c r="M335" s="44"/>
      <c r="N335" s="46"/>
      <c r="O335" s="44"/>
      <c r="P335" s="44"/>
      <c r="Q335" s="47"/>
    </row>
    <row r="336" spans="1:17" s="40" customFormat="1">
      <c r="A336" s="44"/>
      <c r="B336" s="52"/>
      <c r="F336" s="44"/>
      <c r="G336" s="44"/>
      <c r="H336" s="44"/>
      <c r="I336" s="44"/>
      <c r="J336" s="44"/>
      <c r="K336" s="44"/>
      <c r="L336" s="45"/>
      <c r="M336" s="44"/>
      <c r="N336" s="46"/>
      <c r="O336" s="44"/>
      <c r="P336" s="44"/>
      <c r="Q336" s="47"/>
    </row>
    <row r="337" spans="1:17" s="40" customFormat="1">
      <c r="A337" s="44"/>
      <c r="B337" s="52"/>
      <c r="F337" s="44"/>
      <c r="G337" s="44"/>
      <c r="H337" s="44"/>
      <c r="I337" s="44"/>
      <c r="J337" s="44"/>
      <c r="K337" s="44"/>
      <c r="L337" s="45"/>
      <c r="M337" s="44"/>
      <c r="N337" s="46"/>
      <c r="O337" s="44"/>
      <c r="P337" s="44"/>
      <c r="Q337" s="47"/>
    </row>
    <row r="338" spans="1:17" s="40" customFormat="1">
      <c r="A338" s="44"/>
      <c r="B338" s="52"/>
      <c r="F338" s="44"/>
      <c r="G338" s="44"/>
      <c r="H338" s="44"/>
      <c r="I338" s="44"/>
      <c r="J338" s="44"/>
      <c r="K338" s="44"/>
      <c r="L338" s="45"/>
      <c r="M338" s="44"/>
      <c r="N338" s="46"/>
      <c r="O338" s="44"/>
      <c r="P338" s="44"/>
      <c r="Q338" s="47"/>
    </row>
    <row r="339" spans="1:17" s="40" customFormat="1">
      <c r="A339" s="44"/>
      <c r="B339" s="52"/>
      <c r="F339" s="44"/>
      <c r="G339" s="44"/>
      <c r="H339" s="44"/>
      <c r="I339" s="44"/>
      <c r="J339" s="44"/>
      <c r="K339" s="44"/>
      <c r="L339" s="45"/>
      <c r="M339" s="44"/>
      <c r="N339" s="46"/>
      <c r="O339" s="44"/>
      <c r="P339" s="44"/>
      <c r="Q339" s="47"/>
    </row>
    <row r="340" spans="1:17" s="40" customFormat="1">
      <c r="A340" s="44"/>
      <c r="B340" s="52"/>
      <c r="F340" s="44"/>
      <c r="G340" s="44"/>
      <c r="H340" s="44"/>
      <c r="I340" s="44"/>
      <c r="J340" s="44"/>
      <c r="K340" s="44"/>
      <c r="L340" s="45"/>
      <c r="M340" s="44"/>
      <c r="N340" s="46"/>
      <c r="O340" s="44"/>
      <c r="P340" s="44"/>
      <c r="Q340" s="47"/>
    </row>
    <row r="341" spans="1:17" s="40" customFormat="1">
      <c r="A341" s="44"/>
      <c r="B341" s="52"/>
      <c r="F341" s="44"/>
      <c r="G341" s="44"/>
      <c r="H341" s="44"/>
      <c r="I341" s="44"/>
      <c r="J341" s="44"/>
      <c r="K341" s="44"/>
      <c r="L341" s="45"/>
      <c r="M341" s="44"/>
      <c r="N341" s="46"/>
      <c r="O341" s="44"/>
      <c r="P341" s="44"/>
      <c r="Q341" s="47"/>
    </row>
    <row r="342" spans="1:17" s="40" customFormat="1">
      <c r="A342" s="44"/>
      <c r="B342" s="52"/>
      <c r="F342" s="44"/>
      <c r="G342" s="44"/>
      <c r="H342" s="44"/>
      <c r="I342" s="44"/>
      <c r="J342" s="44"/>
      <c r="K342" s="44"/>
      <c r="L342" s="45"/>
      <c r="M342" s="44"/>
      <c r="N342" s="46"/>
      <c r="O342" s="44"/>
      <c r="P342" s="44"/>
      <c r="Q342" s="47"/>
    </row>
    <row r="343" spans="1:17" s="40" customFormat="1">
      <c r="A343" s="44"/>
      <c r="B343" s="52"/>
      <c r="F343" s="44"/>
      <c r="G343" s="44"/>
      <c r="H343" s="44"/>
      <c r="I343" s="44"/>
      <c r="J343" s="44"/>
      <c r="K343" s="44"/>
      <c r="L343" s="45"/>
      <c r="M343" s="44"/>
      <c r="N343" s="46"/>
      <c r="O343" s="44"/>
      <c r="P343" s="44"/>
      <c r="Q343" s="47"/>
    </row>
    <row r="344" spans="1:17" s="40" customFormat="1">
      <c r="A344" s="44"/>
      <c r="B344" s="52"/>
      <c r="F344" s="44"/>
      <c r="G344" s="44"/>
      <c r="H344" s="44"/>
      <c r="I344" s="44"/>
      <c r="J344" s="44"/>
      <c r="K344" s="44"/>
      <c r="L344" s="45"/>
      <c r="M344" s="44"/>
      <c r="N344" s="46"/>
      <c r="O344" s="44"/>
      <c r="P344" s="44"/>
      <c r="Q344" s="47"/>
    </row>
    <row r="345" spans="1:17" s="40" customFormat="1">
      <c r="A345" s="44"/>
      <c r="B345" s="52"/>
      <c r="F345" s="44"/>
      <c r="G345" s="44"/>
      <c r="H345" s="44"/>
      <c r="I345" s="44"/>
      <c r="J345" s="44"/>
      <c r="K345" s="44"/>
      <c r="L345" s="45"/>
      <c r="M345" s="44"/>
      <c r="N345" s="46"/>
      <c r="O345" s="44"/>
      <c r="P345" s="44"/>
      <c r="Q345" s="47"/>
    </row>
    <row r="346" spans="1:17" s="40" customFormat="1">
      <c r="A346" s="44"/>
      <c r="B346" s="52"/>
      <c r="F346" s="44"/>
      <c r="G346" s="44"/>
      <c r="H346" s="44"/>
      <c r="I346" s="44"/>
      <c r="J346" s="44"/>
      <c r="K346" s="44"/>
      <c r="L346" s="45"/>
      <c r="M346" s="44"/>
      <c r="N346" s="46"/>
      <c r="O346" s="44"/>
      <c r="P346" s="44"/>
      <c r="Q346" s="47"/>
    </row>
    <row r="347" spans="1:17" s="40" customFormat="1">
      <c r="A347" s="44"/>
      <c r="B347" s="52"/>
      <c r="F347" s="44"/>
      <c r="G347" s="44"/>
      <c r="H347" s="44"/>
      <c r="I347" s="44"/>
      <c r="J347" s="44"/>
      <c r="K347" s="44"/>
      <c r="L347" s="45"/>
      <c r="M347" s="44"/>
      <c r="N347" s="46"/>
      <c r="O347" s="44"/>
      <c r="P347" s="44"/>
      <c r="Q347" s="47"/>
    </row>
    <row r="348" spans="1:17" s="40" customFormat="1">
      <c r="A348" s="44"/>
      <c r="B348" s="52"/>
      <c r="F348" s="44"/>
      <c r="G348" s="44"/>
      <c r="H348" s="44"/>
      <c r="I348" s="44"/>
      <c r="J348" s="44"/>
      <c r="K348" s="44"/>
      <c r="L348" s="45"/>
      <c r="M348" s="44"/>
      <c r="N348" s="46"/>
      <c r="O348" s="44"/>
      <c r="P348" s="44"/>
      <c r="Q348" s="47"/>
    </row>
    <row r="349" spans="1:17" s="40" customFormat="1">
      <c r="A349" s="44"/>
      <c r="B349" s="52"/>
      <c r="F349" s="44"/>
      <c r="G349" s="44"/>
      <c r="H349" s="44"/>
      <c r="I349" s="44"/>
      <c r="J349" s="44"/>
      <c r="K349" s="44"/>
      <c r="L349" s="45"/>
      <c r="M349" s="44"/>
      <c r="N349" s="46"/>
      <c r="O349" s="44"/>
      <c r="P349" s="44"/>
      <c r="Q349" s="47"/>
    </row>
    <row r="350" spans="1:17" s="40" customFormat="1">
      <c r="A350" s="44"/>
      <c r="B350" s="52"/>
      <c r="F350" s="44"/>
      <c r="G350" s="44"/>
      <c r="H350" s="44"/>
      <c r="I350" s="44"/>
      <c r="J350" s="44"/>
      <c r="K350" s="44"/>
      <c r="L350" s="45"/>
      <c r="M350" s="44"/>
      <c r="N350" s="46"/>
      <c r="O350" s="44"/>
      <c r="P350" s="44"/>
      <c r="Q350" s="47"/>
    </row>
    <row r="351" spans="1:17" s="40" customFormat="1">
      <c r="A351" s="44"/>
      <c r="B351" s="52"/>
      <c r="F351" s="44"/>
      <c r="G351" s="44"/>
      <c r="H351" s="44"/>
      <c r="I351" s="44"/>
      <c r="J351" s="44"/>
      <c r="K351" s="44"/>
      <c r="L351" s="45"/>
      <c r="M351" s="44"/>
      <c r="N351" s="46"/>
      <c r="O351" s="44"/>
      <c r="P351" s="44"/>
      <c r="Q351" s="47"/>
    </row>
    <row r="352" spans="1:17" s="40" customFormat="1">
      <c r="A352" s="44"/>
      <c r="B352" s="52"/>
      <c r="F352" s="44"/>
      <c r="G352" s="44"/>
      <c r="H352" s="44"/>
      <c r="I352" s="44"/>
      <c r="J352" s="44"/>
      <c r="K352" s="44"/>
      <c r="L352" s="45"/>
      <c r="M352" s="44"/>
      <c r="N352" s="46"/>
      <c r="O352" s="44"/>
      <c r="P352" s="44"/>
      <c r="Q352" s="47"/>
    </row>
    <row r="353" spans="1:17" s="40" customFormat="1">
      <c r="A353" s="44"/>
      <c r="B353" s="52"/>
      <c r="F353" s="44"/>
      <c r="G353" s="44"/>
      <c r="H353" s="44"/>
      <c r="I353" s="44"/>
      <c r="J353" s="44"/>
      <c r="K353" s="44"/>
      <c r="L353" s="45"/>
      <c r="M353" s="44"/>
      <c r="N353" s="46"/>
      <c r="O353" s="44"/>
      <c r="P353" s="44"/>
      <c r="Q353" s="47"/>
    </row>
    <row r="354" spans="1:17" s="40" customFormat="1">
      <c r="A354" s="44"/>
      <c r="B354" s="52"/>
      <c r="F354" s="44"/>
      <c r="G354" s="44"/>
      <c r="H354" s="44"/>
      <c r="I354" s="44"/>
      <c r="J354" s="44"/>
      <c r="K354" s="44"/>
      <c r="L354" s="45"/>
      <c r="M354" s="44"/>
      <c r="N354" s="46"/>
      <c r="O354" s="44"/>
      <c r="P354" s="44"/>
      <c r="Q354" s="47"/>
    </row>
    <row r="355" spans="1:17" s="40" customFormat="1">
      <c r="A355" s="44"/>
      <c r="B355" s="52"/>
      <c r="F355" s="44"/>
      <c r="G355" s="44"/>
      <c r="H355" s="44"/>
      <c r="I355" s="44"/>
      <c r="J355" s="44"/>
      <c r="K355" s="44"/>
      <c r="L355" s="45"/>
      <c r="M355" s="44"/>
      <c r="N355" s="46"/>
      <c r="O355" s="44"/>
      <c r="P355" s="44"/>
      <c r="Q355" s="47"/>
    </row>
  </sheetData>
  <autoFilter ref="A1:CU87"/>
  <mergeCells count="2">
    <mergeCell ref="R44:R45"/>
    <mergeCell ref="A87:E87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P114"/>
  <sheetViews>
    <sheetView workbookViewId="0">
      <pane xSplit="10" ySplit="9" topLeftCell="K10" activePane="bottomRight" state="frozen"/>
      <selection pane="topRight" activeCell="K1" sqref="K1"/>
      <selection pane="bottomLeft" activeCell="A10" sqref="A10"/>
      <selection pane="bottomRight" activeCell="H9" sqref="H9"/>
    </sheetView>
  </sheetViews>
  <sheetFormatPr defaultRowHeight="15"/>
  <cols>
    <col min="1" max="1" width="6.140625" bestFit="1" customWidth="1"/>
    <col min="2" max="2" width="11" customWidth="1"/>
    <col min="3" max="3" width="9.5703125" customWidth="1"/>
    <col min="4" max="4" width="11.7109375" customWidth="1"/>
    <col min="5" max="5" width="9.42578125" style="68" customWidth="1"/>
    <col min="6" max="6" width="12.140625" bestFit="1" customWidth="1"/>
    <col min="7" max="7" width="13.7109375" style="127" customWidth="1"/>
    <col min="8" max="8" width="7.85546875" style="128" bestFit="1" customWidth="1"/>
    <col min="9" max="9" width="8.28515625" customWidth="1"/>
    <col min="10" max="10" width="10.5703125" customWidth="1"/>
    <col min="11" max="11" width="11.85546875" customWidth="1"/>
    <col min="12" max="13" width="8.85546875" customWidth="1"/>
    <col min="14" max="14" width="10" customWidth="1"/>
    <col min="15" max="15" width="10.7109375" customWidth="1"/>
    <col min="16" max="16" width="12.7109375" customWidth="1"/>
    <col min="17" max="17" width="10" customWidth="1"/>
    <col min="18" max="18" width="9.42578125" bestFit="1" customWidth="1"/>
    <col min="19" max="19" width="9.28515625" customWidth="1"/>
    <col min="20" max="20" width="7.5703125" bestFit="1" customWidth="1"/>
    <col min="21" max="21" width="8.7109375" customWidth="1"/>
    <col min="22" max="22" width="14.140625" bestFit="1" customWidth="1"/>
    <col min="23" max="23" width="9.28515625" bestFit="1" customWidth="1"/>
    <col min="24" max="24" width="9.5703125" bestFit="1" customWidth="1"/>
    <col min="25" max="25" width="8.42578125" customWidth="1"/>
    <col min="26" max="26" width="8.5703125" bestFit="1" customWidth="1"/>
    <col min="27" max="27" width="8" customWidth="1"/>
    <col min="28" max="28" width="9.5703125" bestFit="1" customWidth="1"/>
    <col min="29" max="29" width="7.140625" bestFit="1" customWidth="1"/>
    <col min="30" max="30" width="9.140625" bestFit="1" customWidth="1"/>
    <col min="31" max="31" width="18.140625" bestFit="1" customWidth="1"/>
    <col min="32" max="32" width="12.140625" customWidth="1"/>
    <col min="33" max="33" width="12.5703125" bestFit="1" customWidth="1"/>
    <col min="34" max="34" width="13.28515625" bestFit="1" customWidth="1"/>
    <col min="35" max="35" width="14.7109375" bestFit="1" customWidth="1"/>
    <col min="36" max="36" width="12.42578125" bestFit="1" customWidth="1"/>
    <col min="37" max="37" width="17.140625" bestFit="1" customWidth="1"/>
    <col min="38" max="38" width="12.7109375" bestFit="1" customWidth="1"/>
    <col min="39" max="39" width="15.7109375" customWidth="1"/>
    <col min="40" max="40" width="6.85546875" customWidth="1"/>
    <col min="41" max="41" width="12.5703125" bestFit="1" customWidth="1"/>
    <col min="42" max="42" width="9.7109375" bestFit="1" customWidth="1"/>
    <col min="43" max="43" width="9.140625" customWidth="1"/>
    <col min="44" max="44" width="12.42578125" bestFit="1" customWidth="1"/>
    <col min="45" max="45" width="17.140625" bestFit="1" customWidth="1"/>
    <col min="46" max="46" width="14.42578125" bestFit="1" customWidth="1"/>
    <col min="47" max="47" width="17.7109375" bestFit="1" customWidth="1"/>
    <col min="48" max="49" width="13.7109375" bestFit="1" customWidth="1"/>
    <col min="50" max="50" width="12.140625" bestFit="1" customWidth="1"/>
    <col min="51" max="51" width="9.85546875" bestFit="1" customWidth="1"/>
    <col min="52" max="52" width="15.28515625" bestFit="1" customWidth="1"/>
    <col min="53" max="53" width="5" bestFit="1" customWidth="1"/>
    <col min="54" max="54" width="5.7109375" bestFit="1" customWidth="1"/>
    <col min="55" max="56" width="9" bestFit="1" customWidth="1"/>
    <col min="57" max="57" width="8.7109375" customWidth="1"/>
    <col min="58" max="58" width="9.7109375" customWidth="1"/>
    <col min="59" max="59" width="7.7109375" customWidth="1"/>
    <col min="60" max="60" width="4.7109375" customWidth="1"/>
    <col min="61" max="61" width="8.42578125" bestFit="1" customWidth="1"/>
    <col min="62" max="62" width="6.5703125" customWidth="1"/>
    <col min="63" max="63" width="9.42578125" customWidth="1"/>
    <col min="64" max="64" width="6.140625" customWidth="1"/>
    <col min="65" max="65" width="6" customWidth="1"/>
    <col min="66" max="66" width="6.28515625" customWidth="1"/>
    <col min="67" max="67" width="5.28515625" customWidth="1"/>
  </cols>
  <sheetData>
    <row r="1" spans="1:68" s="110" customFormat="1" ht="30.75" thickBot="1">
      <c r="A1" s="119"/>
      <c r="B1" s="119"/>
      <c r="C1" s="133" t="s">
        <v>28</v>
      </c>
      <c r="D1" s="137">
        <f>SUM(D3:D100)+H1</f>
        <v>197190</v>
      </c>
      <c r="E1" s="121">
        <f>SUM(E3:E100)</f>
        <v>266500</v>
      </c>
      <c r="F1" s="121">
        <f>SUM(F3:F100)</f>
        <v>1219507</v>
      </c>
      <c r="G1" s="120" t="s">
        <v>303</v>
      </c>
      <c r="H1" s="140">
        <f>SUM(H3:H100)</f>
        <v>188422</v>
      </c>
      <c r="I1" s="114">
        <f>SUM(I3:I100)</f>
        <v>4000</v>
      </c>
      <c r="J1" s="114">
        <f t="shared" ref="J1:BO1" si="0">SUM(J3:J100)</f>
        <v>37125</v>
      </c>
      <c r="K1" s="114">
        <f t="shared" si="0"/>
        <v>20475</v>
      </c>
      <c r="L1" s="114">
        <f t="shared" si="0"/>
        <v>11000</v>
      </c>
      <c r="M1" s="114">
        <f t="shared" si="0"/>
        <v>13000</v>
      </c>
      <c r="N1" s="114">
        <f t="shared" si="0"/>
        <v>36283</v>
      </c>
      <c r="O1" s="114">
        <f t="shared" si="0"/>
        <v>97865</v>
      </c>
      <c r="P1" s="114">
        <f t="shared" si="0"/>
        <v>7800</v>
      </c>
      <c r="Q1" s="114">
        <f t="shared" si="0"/>
        <v>9900</v>
      </c>
      <c r="R1" s="114">
        <f t="shared" si="0"/>
        <v>70548</v>
      </c>
      <c r="S1" s="114">
        <f t="shared" si="0"/>
        <v>26623</v>
      </c>
      <c r="T1" s="114">
        <f t="shared" si="0"/>
        <v>3000</v>
      </c>
      <c r="U1" s="114">
        <f t="shared" si="0"/>
        <v>2000</v>
      </c>
      <c r="V1" s="114">
        <f t="shared" si="0"/>
        <v>6400</v>
      </c>
      <c r="W1" s="114">
        <f t="shared" si="0"/>
        <v>8700</v>
      </c>
      <c r="X1" s="114">
        <f t="shared" si="0"/>
        <v>15600</v>
      </c>
      <c r="Y1" s="114">
        <f t="shared" si="0"/>
        <v>2970</v>
      </c>
      <c r="Z1" s="114">
        <f t="shared" si="0"/>
        <v>23000</v>
      </c>
      <c r="AA1" s="114">
        <f t="shared" si="0"/>
        <v>25000</v>
      </c>
      <c r="AB1" s="114">
        <f t="shared" si="0"/>
        <v>71768</v>
      </c>
      <c r="AC1" s="114">
        <f t="shared" si="0"/>
        <v>4000</v>
      </c>
      <c r="AD1" s="114">
        <f t="shared" si="0"/>
        <v>9900</v>
      </c>
      <c r="AE1" s="114">
        <f t="shared" si="0"/>
        <v>0</v>
      </c>
      <c r="AF1" s="114">
        <f t="shared" si="0"/>
        <v>18114</v>
      </c>
      <c r="AG1" s="114">
        <f t="shared" si="0"/>
        <v>0</v>
      </c>
      <c r="AH1" s="114">
        <f t="shared" si="0"/>
        <v>0</v>
      </c>
      <c r="AI1" s="114">
        <f t="shared" si="0"/>
        <v>8000</v>
      </c>
      <c r="AJ1" s="114">
        <f t="shared" si="0"/>
        <v>18000</v>
      </c>
      <c r="AK1" s="114">
        <f t="shared" si="0"/>
        <v>36700</v>
      </c>
      <c r="AL1" s="114">
        <f t="shared" si="0"/>
        <v>45223</v>
      </c>
      <c r="AM1" s="114">
        <f t="shared" si="0"/>
        <v>35250</v>
      </c>
      <c r="AN1" s="114">
        <f t="shared" si="0"/>
        <v>3000</v>
      </c>
      <c r="AO1" s="114">
        <f t="shared" si="0"/>
        <v>0</v>
      </c>
      <c r="AP1" s="114">
        <f t="shared" si="0"/>
        <v>28809</v>
      </c>
      <c r="AQ1" s="114">
        <f t="shared" si="0"/>
        <v>0</v>
      </c>
      <c r="AR1" s="114">
        <f t="shared" si="0"/>
        <v>35502</v>
      </c>
      <c r="AS1" s="114">
        <f t="shared" si="0"/>
        <v>0</v>
      </c>
      <c r="AT1" s="114">
        <f t="shared" si="0"/>
        <v>52864</v>
      </c>
      <c r="AU1" s="114">
        <f t="shared" si="0"/>
        <v>0</v>
      </c>
      <c r="AV1" s="114">
        <f t="shared" si="0"/>
        <v>0</v>
      </c>
      <c r="AW1" s="114">
        <f t="shared" si="0"/>
        <v>20716</v>
      </c>
      <c r="AX1" s="114">
        <f t="shared" si="0"/>
        <v>21820</v>
      </c>
      <c r="AY1" s="114">
        <f t="shared" si="0"/>
        <v>17410</v>
      </c>
      <c r="AZ1" s="114">
        <f t="shared" si="0"/>
        <v>18523</v>
      </c>
      <c r="BA1" s="114">
        <f t="shared" si="0"/>
        <v>1800</v>
      </c>
      <c r="BB1" s="114">
        <f t="shared" si="0"/>
        <v>0</v>
      </c>
      <c r="BC1" s="114">
        <f t="shared" si="0"/>
        <v>18000</v>
      </c>
      <c r="BD1" s="114">
        <f t="shared" si="0"/>
        <v>0</v>
      </c>
      <c r="BE1" s="114">
        <f t="shared" si="0"/>
        <v>0</v>
      </c>
      <c r="BF1" s="114">
        <f t="shared" si="0"/>
        <v>50610</v>
      </c>
      <c r="BG1" s="114">
        <f t="shared" si="0"/>
        <v>53000</v>
      </c>
      <c r="BH1" s="114">
        <f t="shared" si="0"/>
        <v>0</v>
      </c>
      <c r="BI1" s="114">
        <f t="shared" si="0"/>
        <v>82787</v>
      </c>
      <c r="BJ1" s="114">
        <f t="shared" si="0"/>
        <v>0</v>
      </c>
      <c r="BK1" s="114">
        <f t="shared" si="0"/>
        <v>8000</v>
      </c>
      <c r="BL1" s="114">
        <f t="shared" si="0"/>
        <v>0</v>
      </c>
      <c r="BM1" s="114">
        <f t="shared" si="0"/>
        <v>0</v>
      </c>
      <c r="BN1" s="114">
        <f t="shared" si="0"/>
        <v>0</v>
      </c>
      <c r="BO1" s="114">
        <f t="shared" si="0"/>
        <v>0</v>
      </c>
      <c r="BP1" s="2"/>
    </row>
    <row r="2" spans="1:68" s="110" customFormat="1" ht="45">
      <c r="A2" s="115" t="s">
        <v>51</v>
      </c>
      <c r="B2" s="115" t="s">
        <v>302</v>
      </c>
      <c r="C2" s="116" t="s">
        <v>313</v>
      </c>
      <c r="D2" s="116" t="s">
        <v>852</v>
      </c>
      <c r="E2" s="117" t="s">
        <v>378</v>
      </c>
      <c r="F2" s="118" t="s">
        <v>309</v>
      </c>
      <c r="G2" s="122" t="s">
        <v>496</v>
      </c>
      <c r="H2" s="123" t="s">
        <v>26</v>
      </c>
      <c r="I2" s="111" t="s">
        <v>1045</v>
      </c>
      <c r="J2" s="111" t="s">
        <v>836</v>
      </c>
      <c r="K2" s="111" t="s">
        <v>1032</v>
      </c>
      <c r="L2" s="111" t="s">
        <v>808</v>
      </c>
      <c r="M2" s="111" t="s">
        <v>444</v>
      </c>
      <c r="N2" s="111" t="s">
        <v>331</v>
      </c>
      <c r="O2" s="111" t="s">
        <v>898</v>
      </c>
      <c r="P2" s="111" t="s">
        <v>899</v>
      </c>
      <c r="Q2" s="111" t="s">
        <v>857</v>
      </c>
      <c r="R2" s="111" t="s">
        <v>851</v>
      </c>
      <c r="S2" s="111" t="s">
        <v>839</v>
      </c>
      <c r="T2" s="111" t="s">
        <v>337</v>
      </c>
      <c r="U2" s="111" t="s">
        <v>908</v>
      </c>
      <c r="V2" s="111" t="s">
        <v>326</v>
      </c>
      <c r="W2" s="111" t="s">
        <v>468</v>
      </c>
      <c r="X2" s="111" t="s">
        <v>1033</v>
      </c>
      <c r="Y2" s="111" t="s">
        <v>993</v>
      </c>
      <c r="Z2" s="111" t="s">
        <v>1073</v>
      </c>
      <c r="AA2" s="111" t="s">
        <v>1090</v>
      </c>
      <c r="AB2" s="111" t="s">
        <v>1070</v>
      </c>
      <c r="AC2" s="111" t="s">
        <v>1043</v>
      </c>
      <c r="AD2" s="111" t="s">
        <v>1044</v>
      </c>
      <c r="AE2" s="111" t="s">
        <v>447</v>
      </c>
      <c r="AF2" s="111" t="s">
        <v>439</v>
      </c>
      <c r="AG2" s="111" t="s">
        <v>307</v>
      </c>
      <c r="AH2" s="111" t="s">
        <v>457</v>
      </c>
      <c r="AI2" s="111" t="s">
        <v>1075</v>
      </c>
      <c r="AJ2" s="111" t="s">
        <v>1076</v>
      </c>
      <c r="AK2" s="111" t="s">
        <v>501</v>
      </c>
      <c r="AL2" s="111" t="s">
        <v>837</v>
      </c>
      <c r="AM2" s="111" t="s">
        <v>838</v>
      </c>
      <c r="AN2" s="111" t="s">
        <v>729</v>
      </c>
      <c r="AO2" s="111" t="s">
        <v>431</v>
      </c>
      <c r="AP2" s="111" t="s">
        <v>503</v>
      </c>
      <c r="AQ2" s="111"/>
      <c r="AR2" s="111" t="s">
        <v>858</v>
      </c>
      <c r="AS2" s="111" t="s">
        <v>334</v>
      </c>
      <c r="AT2" s="111" t="s">
        <v>728</v>
      </c>
      <c r="AU2" s="111" t="s">
        <v>423</v>
      </c>
      <c r="AV2" s="111" t="s">
        <v>469</v>
      </c>
      <c r="AW2" s="111" t="s">
        <v>1072</v>
      </c>
      <c r="AX2" s="111" t="s">
        <v>432</v>
      </c>
      <c r="AY2" s="111" t="s">
        <v>456</v>
      </c>
      <c r="AZ2" s="111" t="s">
        <v>736</v>
      </c>
      <c r="BA2" s="111" t="s">
        <v>1074</v>
      </c>
      <c r="BB2" s="111" t="s">
        <v>308</v>
      </c>
      <c r="BC2" s="111" t="s">
        <v>329</v>
      </c>
      <c r="BD2" s="111" t="s">
        <v>40</v>
      </c>
      <c r="BE2" s="112" t="s">
        <v>40</v>
      </c>
      <c r="BF2" s="132" t="s">
        <v>448</v>
      </c>
      <c r="BG2" s="132" t="s">
        <v>449</v>
      </c>
      <c r="BH2" s="132" t="s">
        <v>450</v>
      </c>
      <c r="BI2" s="132" t="s">
        <v>451</v>
      </c>
      <c r="BJ2" s="132" t="s">
        <v>452</v>
      </c>
      <c r="BK2" s="113" t="s">
        <v>335</v>
      </c>
      <c r="BL2" s="113" t="s">
        <v>856</v>
      </c>
      <c r="BM2" s="113"/>
      <c r="BN2" s="113"/>
      <c r="BO2" s="113"/>
      <c r="BP2" s="2"/>
    </row>
    <row r="3" spans="1:68">
      <c r="A3" s="38">
        <v>1</v>
      </c>
      <c r="B3" s="30" t="s">
        <v>34</v>
      </c>
      <c r="C3" s="5" t="s">
        <v>500</v>
      </c>
      <c r="D3" s="5"/>
      <c r="E3" s="38">
        <v>8000</v>
      </c>
      <c r="F3" s="38">
        <f>42000+34900+8000</f>
        <v>84900</v>
      </c>
      <c r="G3" s="129">
        <f t="shared" ref="G3:G14" si="1">SUM(I3:ZF3)</f>
        <v>84900</v>
      </c>
      <c r="H3" s="130">
        <f t="shared" ref="H3:H14" si="2">F3-G3</f>
        <v>0</v>
      </c>
      <c r="I3" s="38">
        <v>4000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>
        <v>8700</v>
      </c>
      <c r="X3" s="38"/>
      <c r="Y3" s="38"/>
      <c r="Z3" s="38"/>
      <c r="AA3" s="38"/>
      <c r="AB3" s="38"/>
      <c r="AC3" s="38">
        <v>4000</v>
      </c>
      <c r="AD3" s="38"/>
      <c r="AE3" s="38"/>
      <c r="AF3" s="38"/>
      <c r="AG3" s="38"/>
      <c r="AH3" s="38"/>
      <c r="AI3" s="38"/>
      <c r="AJ3" s="38"/>
      <c r="AK3" s="38">
        <f>6700+3000+27000</f>
        <v>36700</v>
      </c>
      <c r="AL3" s="38"/>
      <c r="AM3" s="38"/>
      <c r="AN3" s="38"/>
      <c r="AO3" s="38"/>
      <c r="AP3" s="38"/>
      <c r="AQ3" s="38"/>
      <c r="AR3" s="38"/>
      <c r="AS3" s="38"/>
      <c r="AT3" s="38">
        <f>25500</f>
        <v>25500</v>
      </c>
      <c r="AU3" s="38"/>
      <c r="AV3" s="38"/>
      <c r="AW3" s="38"/>
      <c r="AX3" s="38"/>
      <c r="AY3" s="38"/>
      <c r="AZ3" s="38">
        <v>6000</v>
      </c>
      <c r="BA3" s="38"/>
      <c r="BB3" s="38"/>
      <c r="BC3" s="38"/>
      <c r="BD3" s="38"/>
      <c r="BE3" s="68"/>
      <c r="BF3" s="38"/>
      <c r="BG3" s="38"/>
      <c r="BH3" s="38"/>
      <c r="BI3" s="38"/>
      <c r="BJ3" s="38"/>
      <c r="BK3" s="38"/>
      <c r="BL3" s="5"/>
      <c r="BM3" s="5"/>
      <c r="BN3" s="5"/>
      <c r="BO3" s="5"/>
      <c r="BP3" s="5"/>
    </row>
    <row r="4" spans="1:68" s="40" customFormat="1">
      <c r="A4" s="104">
        <v>2</v>
      </c>
      <c r="B4" s="30" t="s">
        <v>34</v>
      </c>
      <c r="C4" s="30" t="s">
        <v>834</v>
      </c>
      <c r="D4" s="30"/>
      <c r="E4" s="104"/>
      <c r="F4" s="104">
        <f>35000+109395</f>
        <v>144395</v>
      </c>
      <c r="G4" s="131">
        <f t="shared" si="1"/>
        <v>143716</v>
      </c>
      <c r="H4" s="130">
        <f t="shared" si="2"/>
        <v>679</v>
      </c>
      <c r="I4" s="104"/>
      <c r="J4" s="104"/>
      <c r="K4" s="104"/>
      <c r="L4" s="104"/>
      <c r="M4" s="104"/>
      <c r="N4" s="104"/>
      <c r="O4" s="104"/>
      <c r="P4" s="104">
        <v>7800</v>
      </c>
      <c r="Q4" s="104"/>
      <c r="R4" s="104"/>
      <c r="S4" s="104"/>
      <c r="T4" s="91">
        <v>3000</v>
      </c>
      <c r="U4" s="104">
        <v>2000</v>
      </c>
      <c r="V4" s="104"/>
      <c r="W4" s="104"/>
      <c r="X4" s="91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>
        <f>25000+20223</f>
        <v>45223</v>
      </c>
      <c r="AM4" s="104">
        <f>9000+26250</f>
        <v>35250</v>
      </c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5"/>
      <c r="BF4" s="104">
        <f>13068+2475</f>
        <v>15543</v>
      </c>
      <c r="BG4" s="104"/>
      <c r="BH4" s="104"/>
      <c r="BI4" s="104">
        <v>34900</v>
      </c>
      <c r="BJ4" s="104"/>
      <c r="BK4" s="104"/>
      <c r="BL4" s="30"/>
      <c r="BM4" s="30"/>
      <c r="BN4" s="30"/>
      <c r="BO4" s="30"/>
      <c r="BP4" s="30"/>
    </row>
    <row r="5" spans="1:68">
      <c r="A5" s="38">
        <v>4</v>
      </c>
      <c r="B5" s="5" t="s">
        <v>31</v>
      </c>
      <c r="C5" s="5" t="s">
        <v>848</v>
      </c>
      <c r="D5" s="5"/>
      <c r="E5" s="38">
        <f>10000+10000</f>
        <v>20000</v>
      </c>
      <c r="F5" s="104">
        <f>10000+2517+13068+2475+24450+2800+1800+1800</f>
        <v>58910</v>
      </c>
      <c r="G5" s="129">
        <f t="shared" si="1"/>
        <v>58910</v>
      </c>
      <c r="H5" s="130">
        <f t="shared" si="2"/>
        <v>0</v>
      </c>
      <c r="I5" s="104"/>
      <c r="J5" s="104"/>
      <c r="K5" s="38">
        <v>2475</v>
      </c>
      <c r="L5" s="7"/>
      <c r="M5" s="7"/>
      <c r="N5" s="38">
        <v>13068</v>
      </c>
      <c r="O5" s="38">
        <v>4950</v>
      </c>
      <c r="P5" s="7"/>
      <c r="Q5" s="7"/>
      <c r="R5" s="38">
        <f>5643+4300+2574</f>
        <v>12517</v>
      </c>
      <c r="S5" s="7"/>
      <c r="T5" s="7"/>
      <c r="U5" s="7"/>
      <c r="V5" s="14">
        <f>2800+1800</f>
        <v>4600</v>
      </c>
      <c r="W5" s="38"/>
      <c r="X5" s="38"/>
      <c r="Y5" s="38"/>
      <c r="Z5" s="38"/>
      <c r="AA5" s="38"/>
      <c r="AB5" s="38"/>
      <c r="AC5" s="38"/>
      <c r="AD5" s="38">
        <v>9900</v>
      </c>
      <c r="AE5" s="38"/>
      <c r="AF5" s="38">
        <v>9600</v>
      </c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>
        <v>1800</v>
      </c>
      <c r="BB5" s="38"/>
      <c r="BC5" s="38"/>
      <c r="BD5" s="38"/>
      <c r="BE5" s="106"/>
      <c r="BF5" s="38"/>
      <c r="BG5" s="38"/>
      <c r="BH5" s="38"/>
      <c r="BI5" s="38"/>
      <c r="BJ5" s="38"/>
      <c r="BK5" s="38"/>
      <c r="BL5" s="5"/>
      <c r="BM5" s="5"/>
      <c r="BN5" s="5"/>
      <c r="BO5" s="5"/>
      <c r="BP5" s="5"/>
    </row>
    <row r="6" spans="1:68">
      <c r="A6" s="38">
        <v>7</v>
      </c>
      <c r="B6" s="5" t="s">
        <v>32</v>
      </c>
      <c r="C6" s="5" t="s">
        <v>835</v>
      </c>
      <c r="D6" s="38"/>
      <c r="E6" s="38">
        <v>21500</v>
      </c>
      <c r="F6" s="38">
        <v>10000</v>
      </c>
      <c r="G6" s="129">
        <f t="shared" si="1"/>
        <v>9900</v>
      </c>
      <c r="H6" s="130">
        <f t="shared" si="2"/>
        <v>100</v>
      </c>
      <c r="I6" s="38"/>
      <c r="J6" s="38">
        <v>7425</v>
      </c>
      <c r="K6" s="38"/>
      <c r="L6" s="38"/>
      <c r="M6" s="38"/>
      <c r="N6" s="38"/>
      <c r="O6" s="38"/>
      <c r="P6" s="38"/>
      <c r="Q6" s="38"/>
      <c r="R6" s="38"/>
      <c r="S6" s="38">
        <v>2475</v>
      </c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106"/>
      <c r="BF6" s="38"/>
      <c r="BG6" s="38"/>
      <c r="BH6" s="38"/>
      <c r="BI6" s="38"/>
      <c r="BJ6" s="38"/>
      <c r="BK6" s="38"/>
      <c r="BL6" s="5"/>
      <c r="BM6" s="5"/>
      <c r="BN6" s="5"/>
      <c r="BO6" s="5"/>
      <c r="BP6" s="5"/>
    </row>
    <row r="7" spans="1:68">
      <c r="A7" s="38">
        <v>5</v>
      </c>
      <c r="B7" s="5" t="s">
        <v>38</v>
      </c>
      <c r="C7" s="5" t="s">
        <v>850</v>
      </c>
      <c r="D7" s="5"/>
      <c r="E7" s="38">
        <v>10000</v>
      </c>
      <c r="F7" s="38">
        <f>15000+74919</f>
        <v>89919</v>
      </c>
      <c r="G7" s="129">
        <f t="shared" ref="G7" si="3">SUM(I7:ZF7)</f>
        <v>14967</v>
      </c>
      <c r="H7" s="130">
        <f t="shared" si="2"/>
        <v>74952</v>
      </c>
      <c r="I7" s="38"/>
      <c r="J7" s="38"/>
      <c r="K7" s="38"/>
      <c r="L7" s="38"/>
      <c r="M7" s="38"/>
      <c r="N7" s="38"/>
      <c r="O7" s="38"/>
      <c r="P7" s="38"/>
      <c r="Q7" s="38"/>
      <c r="R7" s="38">
        <v>9423</v>
      </c>
      <c r="S7" s="38">
        <v>2970</v>
      </c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>
        <v>2574</v>
      </c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106"/>
      <c r="BF7" s="9"/>
      <c r="BG7" s="38"/>
      <c r="BH7" s="38"/>
      <c r="BI7" s="38"/>
      <c r="BJ7" s="38"/>
      <c r="BK7" s="38"/>
      <c r="BL7" s="5"/>
      <c r="BM7" s="5"/>
      <c r="BN7" s="5"/>
      <c r="BO7" s="5"/>
      <c r="BP7" s="5"/>
    </row>
    <row r="8" spans="1:68">
      <c r="A8" s="38">
        <v>6</v>
      </c>
      <c r="B8" s="135" t="s">
        <v>38</v>
      </c>
      <c r="C8" s="5" t="s">
        <v>840</v>
      </c>
      <c r="D8" s="5"/>
      <c r="E8" s="38">
        <v>10000</v>
      </c>
      <c r="F8" s="38">
        <f>10000+55250</f>
        <v>65250</v>
      </c>
      <c r="G8" s="129">
        <f t="shared" ref="G8" si="4">SUM(I8:ZF8)</f>
        <v>10000</v>
      </c>
      <c r="H8" s="130">
        <f t="shared" si="2"/>
        <v>55250</v>
      </c>
      <c r="I8" s="38"/>
      <c r="J8" s="38"/>
      <c r="K8" s="38"/>
      <c r="L8" s="38"/>
      <c r="M8" s="38"/>
      <c r="N8" s="38">
        <v>2970</v>
      </c>
      <c r="O8" s="38"/>
      <c r="P8" s="38"/>
      <c r="Q8" s="38"/>
      <c r="R8" s="38">
        <v>7030</v>
      </c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106"/>
      <c r="BF8" s="38"/>
      <c r="BG8" s="38"/>
      <c r="BH8" s="38"/>
      <c r="BI8" s="38"/>
      <c r="BJ8" s="38"/>
      <c r="BK8" s="38"/>
      <c r="BL8" s="5"/>
      <c r="BM8" s="5"/>
      <c r="BN8" s="5"/>
      <c r="BO8" s="5"/>
      <c r="BP8" s="5"/>
    </row>
    <row r="9" spans="1:68" s="40" customFormat="1">
      <c r="A9" s="104">
        <v>3</v>
      </c>
      <c r="B9" s="5" t="s">
        <v>31</v>
      </c>
      <c r="C9" s="30" t="s">
        <v>909</v>
      </c>
      <c r="D9" s="30"/>
      <c r="E9" s="104">
        <v>20000</v>
      </c>
      <c r="F9" s="104">
        <f>16000+14000+50000</f>
        <v>80000</v>
      </c>
      <c r="G9" s="124">
        <f t="shared" ref="G9" si="5">SUM(I9:ZF9)</f>
        <v>67240</v>
      </c>
      <c r="H9" s="130">
        <f t="shared" si="2"/>
        <v>12760</v>
      </c>
      <c r="I9" s="104"/>
      <c r="J9" s="104"/>
      <c r="K9" s="104"/>
      <c r="L9" s="104"/>
      <c r="M9" s="104"/>
      <c r="N9" s="104">
        <v>13068</v>
      </c>
      <c r="O9" s="104"/>
      <c r="P9" s="104"/>
      <c r="Q9" s="104"/>
      <c r="R9" s="104">
        <v>13165</v>
      </c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>
        <v>5940</v>
      </c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5"/>
      <c r="BF9" s="104">
        <f>2517+24450+2800+1700+1800+1800</f>
        <v>35067</v>
      </c>
      <c r="BG9" s="104"/>
      <c r="BH9" s="104"/>
      <c r="BI9" s="104"/>
      <c r="BJ9" s="104"/>
      <c r="BK9" s="104"/>
      <c r="BL9" s="30"/>
      <c r="BM9" s="30"/>
      <c r="BN9" s="30"/>
      <c r="BO9" s="30"/>
      <c r="BP9" s="30"/>
    </row>
    <row r="10" spans="1:68">
      <c r="A10" s="91">
        <v>10</v>
      </c>
      <c r="B10" s="56" t="s">
        <v>32</v>
      </c>
      <c r="C10" s="5" t="s">
        <v>327</v>
      </c>
      <c r="D10" s="5"/>
      <c r="E10" s="38">
        <v>3000</v>
      </c>
      <c r="F10" s="38">
        <f>48165</f>
        <v>48165</v>
      </c>
      <c r="G10" s="129">
        <f t="shared" si="1"/>
        <v>48298</v>
      </c>
      <c r="H10" s="130">
        <f t="shared" si="2"/>
        <v>-133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>
        <v>6068</v>
      </c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>
        <v>3000</v>
      </c>
      <c r="AO10" s="38"/>
      <c r="AP10" s="38"/>
      <c r="AQ10" s="38"/>
      <c r="AR10" s="38"/>
      <c r="AS10" s="38"/>
      <c r="AT10" s="38"/>
      <c r="AU10" s="38"/>
      <c r="AV10" s="38"/>
      <c r="AW10" s="38"/>
      <c r="AX10" s="38">
        <v>21820</v>
      </c>
      <c r="AY10" s="38">
        <v>17410</v>
      </c>
      <c r="AZ10" s="38"/>
      <c r="BA10" s="38"/>
      <c r="BB10" s="38"/>
      <c r="BC10" s="38"/>
      <c r="BD10" s="38"/>
      <c r="BE10" s="106"/>
      <c r="BF10" s="38"/>
      <c r="BG10" s="38"/>
      <c r="BH10" s="38"/>
      <c r="BI10" s="38"/>
      <c r="BJ10" s="38"/>
      <c r="BK10" s="38"/>
      <c r="BL10" s="5"/>
      <c r="BM10" s="5"/>
      <c r="BN10" s="5"/>
      <c r="BO10" s="5"/>
      <c r="BP10" s="5"/>
    </row>
    <row r="11" spans="1:68">
      <c r="A11" s="38">
        <v>11</v>
      </c>
      <c r="B11" s="5" t="s">
        <v>34</v>
      </c>
      <c r="C11" s="30" t="s">
        <v>853</v>
      </c>
      <c r="D11" s="5"/>
      <c r="E11" s="38"/>
      <c r="F11" s="38">
        <f>25000+40000+152534</f>
        <v>217534</v>
      </c>
      <c r="G11" s="129">
        <f t="shared" si="1"/>
        <v>190087</v>
      </c>
      <c r="H11" s="130">
        <f t="shared" si="2"/>
        <v>27447</v>
      </c>
      <c r="I11" s="38"/>
      <c r="J11" s="38"/>
      <c r="K11" s="38"/>
      <c r="L11" s="38"/>
      <c r="M11" s="38"/>
      <c r="N11" s="38"/>
      <c r="O11" s="38">
        <f>25000+760+27680+10300+20760</f>
        <v>84500</v>
      </c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>
        <f>40000+25700</f>
        <v>65700</v>
      </c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106"/>
      <c r="BF11" s="38"/>
      <c r="BG11" s="38"/>
      <c r="BH11" s="38"/>
      <c r="BI11" s="38">
        <v>39887</v>
      </c>
      <c r="BJ11" s="38"/>
      <c r="BK11" s="38"/>
      <c r="BL11" s="5"/>
      <c r="BM11" s="5"/>
      <c r="BN11" s="5"/>
      <c r="BO11" s="5"/>
      <c r="BP11" s="5"/>
    </row>
    <row r="12" spans="1:68">
      <c r="A12" s="38">
        <v>12</v>
      </c>
      <c r="B12" s="30" t="s">
        <v>38</v>
      </c>
      <c r="C12" s="5" t="s">
        <v>1089</v>
      </c>
      <c r="D12" s="5"/>
      <c r="E12" s="38">
        <f>6000+10000</f>
        <v>16000</v>
      </c>
      <c r="F12" s="38">
        <v>34000</v>
      </c>
      <c r="G12" s="129">
        <f>SUM(I12:BO12)</f>
        <v>96082</v>
      </c>
      <c r="H12" s="130">
        <f t="shared" si="2"/>
        <v>-62082</v>
      </c>
      <c r="I12" s="38"/>
      <c r="J12" s="38"/>
      <c r="K12" s="38"/>
      <c r="L12" s="38"/>
      <c r="M12" s="38"/>
      <c r="N12" s="38">
        <v>5940</v>
      </c>
      <c r="O12" s="38"/>
      <c r="P12" s="38"/>
      <c r="Q12" s="38"/>
      <c r="R12" s="38">
        <f>5940+2970+5940</f>
        <v>14850</v>
      </c>
      <c r="S12" s="38"/>
      <c r="T12" s="38"/>
      <c r="U12" s="38"/>
      <c r="V12" s="38"/>
      <c r="W12" s="38"/>
      <c r="X12" s="38">
        <v>15600</v>
      </c>
      <c r="Y12" s="38">
        <v>2970</v>
      </c>
      <c r="Z12" s="38"/>
      <c r="AA12" s="38">
        <v>25000</v>
      </c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>
        <f>6000+7722</f>
        <v>13722</v>
      </c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>
        <v>18000</v>
      </c>
      <c r="BD12" s="38"/>
      <c r="BE12" s="106"/>
      <c r="BF12" s="9"/>
      <c r="BG12" s="9"/>
      <c r="BH12" s="9"/>
      <c r="BI12" s="9"/>
      <c r="BJ12" s="9"/>
      <c r="BK12" s="38"/>
      <c r="BL12" s="5"/>
      <c r="BM12" s="5"/>
      <c r="BN12" s="5"/>
      <c r="BO12" s="5"/>
      <c r="BP12" s="5"/>
    </row>
    <row r="13" spans="1:68">
      <c r="A13" s="38">
        <v>13</v>
      </c>
      <c r="B13" s="5" t="s">
        <v>31</v>
      </c>
      <c r="C13" s="5" t="s">
        <v>854</v>
      </c>
      <c r="D13" s="5"/>
      <c r="E13" s="38">
        <f>10000+50000</f>
        <v>60000</v>
      </c>
      <c r="F13" s="38">
        <f>10000+1700</f>
        <v>11700</v>
      </c>
      <c r="G13" s="129">
        <f t="shared" si="1"/>
        <v>11700</v>
      </c>
      <c r="H13" s="130">
        <f t="shared" si="2"/>
        <v>0</v>
      </c>
      <c r="I13" s="38"/>
      <c r="J13" s="38"/>
      <c r="K13" s="38"/>
      <c r="L13" s="38"/>
      <c r="M13" s="38"/>
      <c r="N13" s="38"/>
      <c r="O13" s="38"/>
      <c r="P13" s="38"/>
      <c r="Q13" s="38">
        <v>9900</v>
      </c>
      <c r="R13" s="38"/>
      <c r="S13" s="38"/>
      <c r="T13" s="38"/>
      <c r="U13" s="38"/>
      <c r="V13" s="139">
        <v>1800</v>
      </c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106"/>
      <c r="BF13" s="38"/>
      <c r="BG13" s="38"/>
      <c r="BH13" s="38"/>
      <c r="BI13" s="38"/>
      <c r="BJ13" s="38"/>
      <c r="BK13" s="38"/>
      <c r="BL13" s="5"/>
      <c r="BM13" s="5"/>
      <c r="BN13" s="5"/>
      <c r="BO13" s="5"/>
      <c r="BP13" s="5"/>
    </row>
    <row r="14" spans="1:68">
      <c r="A14" s="38">
        <v>14</v>
      </c>
      <c r="B14" s="5" t="s">
        <v>32</v>
      </c>
      <c r="C14" s="5" t="s">
        <v>855</v>
      </c>
      <c r="D14" s="5"/>
      <c r="E14" s="38">
        <v>3000</v>
      </c>
      <c r="F14" s="38"/>
      <c r="G14" s="129">
        <f t="shared" si="1"/>
        <v>0</v>
      </c>
      <c r="H14" s="130">
        <f t="shared" si="2"/>
        <v>0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106"/>
      <c r="BF14" s="38"/>
      <c r="BG14" s="38"/>
      <c r="BH14" s="38"/>
      <c r="BI14" s="38"/>
      <c r="BJ14" s="38"/>
      <c r="BK14" s="38"/>
      <c r="BL14" s="5"/>
      <c r="BM14" s="5"/>
      <c r="BN14" s="5"/>
      <c r="BO14" s="5"/>
      <c r="BP14" s="5"/>
    </row>
    <row r="15" spans="1:68" s="87" customFormat="1">
      <c r="A15" s="91">
        <v>15</v>
      </c>
      <c r="B15" s="56" t="s">
        <v>37</v>
      </c>
      <c r="C15" s="56" t="s">
        <v>848</v>
      </c>
      <c r="D15" s="56"/>
      <c r="E15" s="91">
        <v>50000</v>
      </c>
      <c r="F15" s="91"/>
      <c r="G15" s="130"/>
      <c r="H15" s="130">
        <f t="shared" ref="H15:H50" si="6">F15-G15</f>
        <v>0</v>
      </c>
      <c r="I15" s="91"/>
      <c r="J15" s="91"/>
      <c r="K15" s="91">
        <v>18000</v>
      </c>
      <c r="L15" s="91">
        <v>11000</v>
      </c>
      <c r="M15" s="91">
        <v>13000</v>
      </c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136"/>
      <c r="BF15" s="56"/>
      <c r="BG15" s="56"/>
      <c r="BH15" s="56"/>
      <c r="BI15" s="56"/>
      <c r="BJ15" s="56"/>
      <c r="BK15" s="56">
        <v>8000</v>
      </c>
      <c r="BL15" s="56"/>
      <c r="BM15" s="56"/>
      <c r="BN15" s="56"/>
      <c r="BO15" s="56"/>
      <c r="BP15" s="56"/>
    </row>
    <row r="16" spans="1:68">
      <c r="A16" s="38">
        <v>16</v>
      </c>
      <c r="B16" s="5" t="s">
        <v>38</v>
      </c>
      <c r="C16" s="5" t="s">
        <v>1030</v>
      </c>
      <c r="D16" s="5"/>
      <c r="E16" s="38">
        <v>5000</v>
      </c>
      <c r="F16" s="38">
        <v>25000</v>
      </c>
      <c r="G16" s="129">
        <f t="shared" ref="G16:G50" si="7">SUM(I16:ZF16)</f>
        <v>26166</v>
      </c>
      <c r="H16" s="130">
        <f t="shared" si="6"/>
        <v>-1166</v>
      </c>
      <c r="I16" s="38"/>
      <c r="J16" s="38"/>
      <c r="K16" s="38"/>
      <c r="L16" s="38"/>
      <c r="M16" s="38"/>
      <c r="N16" s="38">
        <v>1237</v>
      </c>
      <c r="O16" s="38">
        <v>8415</v>
      </c>
      <c r="P16" s="38"/>
      <c r="Q16" s="38"/>
      <c r="R16" s="38">
        <v>2574</v>
      </c>
      <c r="S16" s="38">
        <v>4950</v>
      </c>
      <c r="T16" s="38"/>
      <c r="U16" s="38"/>
      <c r="V16" s="38"/>
      <c r="W16" s="38"/>
      <c r="X16" s="38"/>
      <c r="Y16" s="38"/>
      <c r="Z16" s="38"/>
      <c r="AA16" s="38"/>
      <c r="AB16" s="38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>
        <v>990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107"/>
      <c r="BF16" s="5"/>
      <c r="BG16" s="5"/>
      <c r="BH16" s="5"/>
      <c r="BI16" s="5">
        <v>8000</v>
      </c>
      <c r="BJ16" s="5"/>
      <c r="BK16" s="5"/>
      <c r="BL16" s="5"/>
      <c r="BM16" s="5"/>
      <c r="BN16" s="5"/>
      <c r="BO16" s="5"/>
      <c r="BP16" s="5"/>
    </row>
    <row r="17" spans="1:68">
      <c r="A17" s="38">
        <v>17</v>
      </c>
      <c r="B17" s="5" t="s">
        <v>34</v>
      </c>
      <c r="C17" s="5" t="s">
        <v>1031</v>
      </c>
      <c r="D17" s="5"/>
      <c r="E17" s="38">
        <v>5000</v>
      </c>
      <c r="F17" s="5"/>
      <c r="G17" s="129">
        <f t="shared" si="7"/>
        <v>0</v>
      </c>
      <c r="H17" s="130">
        <f t="shared" si="6"/>
        <v>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107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>
      <c r="A18" s="38">
        <v>18</v>
      </c>
      <c r="B18" s="56" t="s">
        <v>1038</v>
      </c>
      <c r="C18" s="56"/>
      <c r="D18" s="56">
        <f>25700+1068-18000</f>
        <v>8768</v>
      </c>
      <c r="E18" s="38"/>
      <c r="F18" s="38"/>
      <c r="G18" s="129">
        <f t="shared" si="7"/>
        <v>0</v>
      </c>
      <c r="H18" s="130">
        <f t="shared" si="6"/>
        <v>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107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>
      <c r="A19" s="38">
        <v>19</v>
      </c>
      <c r="B19" s="5" t="s">
        <v>32</v>
      </c>
      <c r="C19" s="5" t="s">
        <v>1042</v>
      </c>
      <c r="D19" s="5"/>
      <c r="E19" s="38">
        <v>20000</v>
      </c>
      <c r="F19" s="38">
        <f>40000+3000</f>
        <v>43000</v>
      </c>
      <c r="G19" s="129">
        <f t="shared" si="7"/>
        <v>141958</v>
      </c>
      <c r="H19" s="130">
        <f t="shared" si="6"/>
        <v>-98958</v>
      </c>
      <c r="I19" s="38"/>
      <c r="J19" s="38">
        <v>29700</v>
      </c>
      <c r="K19" s="38"/>
      <c r="L19" s="38"/>
      <c r="M19" s="38"/>
      <c r="N19" s="38"/>
      <c r="O19" s="38"/>
      <c r="P19" s="38"/>
      <c r="Q19" s="38"/>
      <c r="R19" s="38"/>
      <c r="S19" s="38">
        <f>7722+5536</f>
        <v>13258</v>
      </c>
      <c r="T19" s="38"/>
      <c r="U19" s="38"/>
      <c r="V19" s="38"/>
      <c r="W19" s="38"/>
      <c r="X19" s="38"/>
      <c r="Y19" s="38"/>
      <c r="Z19" s="38">
        <f>12000+11000</f>
        <v>23000</v>
      </c>
      <c r="AA19" s="38"/>
      <c r="AB19" s="38"/>
      <c r="AC19" s="5"/>
      <c r="AD19" s="5"/>
      <c r="AE19" s="5"/>
      <c r="AF19" s="5"/>
      <c r="AG19" s="5"/>
      <c r="AH19" s="5"/>
      <c r="AI19" s="5">
        <f>8000</f>
        <v>8000</v>
      </c>
      <c r="AJ19" s="5">
        <v>18000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107"/>
      <c r="BF19" s="5"/>
      <c r="BG19" s="5">
        <v>50000</v>
      </c>
      <c r="BH19" s="5"/>
      <c r="BI19" s="5"/>
      <c r="BJ19" s="5"/>
      <c r="BK19" s="5"/>
      <c r="BL19" s="5"/>
      <c r="BM19" s="5"/>
      <c r="BN19" s="5"/>
      <c r="BO19" s="5"/>
      <c r="BP19" s="5"/>
    </row>
    <row r="20" spans="1:68">
      <c r="A20" s="38">
        <v>20</v>
      </c>
      <c r="B20" s="5" t="s">
        <v>1038</v>
      </c>
      <c r="C20" s="5" t="s">
        <v>1046</v>
      </c>
      <c r="D20" s="5"/>
      <c r="E20" s="38">
        <v>5000</v>
      </c>
      <c r="F20" s="38"/>
      <c r="G20" s="129">
        <f t="shared" si="7"/>
        <v>0</v>
      </c>
      <c r="H20" s="130">
        <f t="shared" si="6"/>
        <v>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107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>
      <c r="A21" s="38">
        <v>21</v>
      </c>
      <c r="B21" s="5" t="s">
        <v>38</v>
      </c>
      <c r="C21" s="5" t="s">
        <v>1047</v>
      </c>
      <c r="D21" s="5"/>
      <c r="E21" s="38"/>
      <c r="F21" s="38">
        <v>20000</v>
      </c>
      <c r="G21" s="129">
        <f t="shared" si="7"/>
        <v>23790</v>
      </c>
      <c r="H21" s="130">
        <f t="shared" si="6"/>
        <v>-3790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>
        <f>9504+11286</f>
        <v>20790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107"/>
      <c r="BF21" s="5"/>
      <c r="BG21" s="5">
        <v>3000</v>
      </c>
      <c r="BH21" s="5"/>
      <c r="BI21" s="5"/>
      <c r="BJ21" s="5"/>
      <c r="BK21" s="5"/>
      <c r="BL21" s="5"/>
      <c r="BM21" s="5"/>
      <c r="BN21" s="5"/>
      <c r="BO21" s="5"/>
      <c r="BP21" s="5"/>
    </row>
    <row r="22" spans="1:68">
      <c r="A22" s="38">
        <v>22</v>
      </c>
      <c r="B22" s="5" t="s">
        <v>38</v>
      </c>
      <c r="C22" s="5" t="s">
        <v>1048</v>
      </c>
      <c r="D22" s="5"/>
      <c r="E22" s="38">
        <v>10000</v>
      </c>
      <c r="F22" s="38">
        <v>35000</v>
      </c>
      <c r="G22" s="129">
        <f t="shared" si="7"/>
        <v>13959</v>
      </c>
      <c r="H22" s="130">
        <f t="shared" si="6"/>
        <v>21041</v>
      </c>
      <c r="I22" s="38"/>
      <c r="J22" s="38"/>
      <c r="K22" s="38"/>
      <c r="L22" s="38"/>
      <c r="M22" s="38"/>
      <c r="N22" s="38"/>
      <c r="O22" s="38"/>
      <c r="P22" s="38"/>
      <c r="Q22" s="38"/>
      <c r="R22" s="38">
        <f>6435+4554</f>
        <v>10989</v>
      </c>
      <c r="S22" s="38">
        <v>2970</v>
      </c>
      <c r="T22" s="38"/>
      <c r="U22" s="38"/>
      <c r="V22" s="38"/>
      <c r="W22" s="38"/>
      <c r="X22" s="38"/>
      <c r="Y22" s="38"/>
      <c r="Z22" s="38"/>
      <c r="AA22" s="38"/>
      <c r="AB22" s="38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107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>
      <c r="A23" s="38">
        <v>23</v>
      </c>
      <c r="B23" s="5" t="s">
        <v>34</v>
      </c>
      <c r="C23" s="30" t="s">
        <v>1071</v>
      </c>
      <c r="D23" s="5"/>
      <c r="E23" s="38"/>
      <c r="F23" s="38">
        <f>39887+50000</f>
        <v>89887</v>
      </c>
      <c r="G23" s="129">
        <f t="shared" si="7"/>
        <v>89412</v>
      </c>
      <c r="H23" s="130">
        <f t="shared" si="6"/>
        <v>475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>
        <v>28809</v>
      </c>
      <c r="AQ23" s="5"/>
      <c r="AR23" s="5"/>
      <c r="AS23" s="5"/>
      <c r="AT23" s="5">
        <v>27364</v>
      </c>
      <c r="AU23" s="5"/>
      <c r="AV23" s="5"/>
      <c r="AW23" s="5">
        <v>20716</v>
      </c>
      <c r="AX23" s="5"/>
      <c r="AY23" s="5"/>
      <c r="AZ23" s="5">
        <v>12523</v>
      </c>
      <c r="BA23" s="5"/>
      <c r="BB23" s="5"/>
      <c r="BC23" s="5"/>
      <c r="BD23" s="5"/>
      <c r="BE23" s="107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>
      <c r="A24" s="38">
        <v>24</v>
      </c>
      <c r="B24" s="6" t="s">
        <v>31</v>
      </c>
      <c r="C24" s="6" t="s">
        <v>833</v>
      </c>
      <c r="D24" s="6"/>
      <c r="E24" s="9"/>
      <c r="F24" s="9">
        <v>117845</v>
      </c>
      <c r="G24" s="129">
        <f t="shared" si="7"/>
        <v>0</v>
      </c>
      <c r="H24" s="130">
        <f t="shared" si="6"/>
        <v>117845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38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107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>
      <c r="A25" s="38">
        <v>25</v>
      </c>
      <c r="B25" s="6" t="s">
        <v>31</v>
      </c>
      <c r="C25" s="6" t="s">
        <v>807</v>
      </c>
      <c r="D25" s="6"/>
      <c r="E25" s="9"/>
      <c r="F25" s="9">
        <v>27280</v>
      </c>
      <c r="G25" s="129">
        <f t="shared" si="7"/>
        <v>0</v>
      </c>
      <c r="H25" s="130">
        <f t="shared" si="6"/>
        <v>27280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38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107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>
      <c r="A26" s="38">
        <v>26</v>
      </c>
      <c r="B26" s="6" t="s">
        <v>31</v>
      </c>
      <c r="C26" s="6" t="s">
        <v>325</v>
      </c>
      <c r="D26" s="6"/>
      <c r="E26" s="9"/>
      <c r="F26" s="9">
        <v>7722</v>
      </c>
      <c r="G26" s="129">
        <f t="shared" si="7"/>
        <v>0</v>
      </c>
      <c r="H26" s="130">
        <f t="shared" si="6"/>
        <v>7722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38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107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>
      <c r="A27" s="38">
        <v>27</v>
      </c>
      <c r="B27" s="6" t="s">
        <v>31</v>
      </c>
      <c r="C27" s="6" t="s">
        <v>465</v>
      </c>
      <c r="D27" s="6"/>
      <c r="E27" s="9"/>
      <c r="F27" s="9">
        <v>9000</v>
      </c>
      <c r="G27" s="129">
        <f t="shared" si="7"/>
        <v>0</v>
      </c>
      <c r="H27" s="130">
        <f t="shared" si="6"/>
        <v>9000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38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107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>
      <c r="A28" s="38">
        <v>28</v>
      </c>
      <c r="B28" s="6"/>
      <c r="C28" s="6"/>
      <c r="D28" s="6"/>
      <c r="E28" s="9"/>
      <c r="F28" s="6"/>
      <c r="G28" s="129">
        <f t="shared" si="7"/>
        <v>0</v>
      </c>
      <c r="H28" s="130">
        <f t="shared" si="6"/>
        <v>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107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>
      <c r="A29" s="38">
        <v>29</v>
      </c>
      <c r="B29" s="6"/>
      <c r="C29" s="6"/>
      <c r="D29" s="6"/>
      <c r="E29" s="9"/>
      <c r="F29" s="6"/>
      <c r="G29" s="129">
        <f t="shared" si="7"/>
        <v>0</v>
      </c>
      <c r="H29" s="130">
        <f t="shared" si="6"/>
        <v>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107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>
      <c r="A30" s="38">
        <v>30</v>
      </c>
      <c r="B30" s="6"/>
      <c r="C30" s="6"/>
      <c r="D30" s="6"/>
      <c r="E30" s="9"/>
      <c r="F30" s="6"/>
      <c r="G30" s="129">
        <f t="shared" si="7"/>
        <v>0</v>
      </c>
      <c r="H30" s="130">
        <f t="shared" si="6"/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107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>
      <c r="A31" s="38">
        <v>31</v>
      </c>
      <c r="B31" s="6"/>
      <c r="C31" s="6"/>
      <c r="D31" s="6"/>
      <c r="E31" s="9"/>
      <c r="F31" s="6"/>
      <c r="G31" s="129">
        <f t="shared" si="7"/>
        <v>0</v>
      </c>
      <c r="H31" s="130">
        <f t="shared" si="6"/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107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>
      <c r="A32" s="9">
        <v>32</v>
      </c>
      <c r="B32" s="6"/>
      <c r="C32" s="6"/>
      <c r="D32" s="6"/>
      <c r="E32" s="9"/>
      <c r="F32" s="6"/>
      <c r="G32" s="129">
        <f t="shared" si="7"/>
        <v>0</v>
      </c>
      <c r="H32" s="130">
        <f t="shared" si="6"/>
        <v>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107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>
      <c r="A33" s="9">
        <v>33</v>
      </c>
      <c r="B33" s="6"/>
      <c r="C33" s="6"/>
      <c r="D33" s="6"/>
      <c r="E33" s="9"/>
      <c r="F33" s="6"/>
      <c r="G33" s="129">
        <f t="shared" si="7"/>
        <v>0</v>
      </c>
      <c r="H33" s="130">
        <f t="shared" si="6"/>
        <v>0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107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>
      <c r="A34" s="9">
        <v>34</v>
      </c>
      <c r="B34" s="6"/>
      <c r="C34" s="6"/>
      <c r="D34" s="6"/>
      <c r="E34" s="9"/>
      <c r="F34" s="6"/>
      <c r="G34" s="129">
        <f t="shared" si="7"/>
        <v>0</v>
      </c>
      <c r="H34" s="130">
        <f t="shared" si="6"/>
        <v>0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107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>
      <c r="A35" s="9">
        <v>35</v>
      </c>
      <c r="B35" s="6"/>
      <c r="C35" s="6"/>
      <c r="D35" s="6"/>
      <c r="E35" s="9"/>
      <c r="F35" s="6"/>
      <c r="G35" s="129">
        <f t="shared" si="7"/>
        <v>0</v>
      </c>
      <c r="H35" s="130">
        <f t="shared" si="6"/>
        <v>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107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>
      <c r="A36" s="38">
        <v>36</v>
      </c>
      <c r="B36" s="5"/>
      <c r="C36" s="5"/>
      <c r="D36" s="5"/>
      <c r="E36" s="38"/>
      <c r="F36" s="5"/>
      <c r="G36" s="129">
        <f t="shared" si="7"/>
        <v>0</v>
      </c>
      <c r="H36" s="130">
        <f t="shared" si="6"/>
        <v>0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107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>
      <c r="A37" s="14">
        <v>37</v>
      </c>
      <c r="B37" s="5"/>
      <c r="C37" s="5"/>
      <c r="D37" s="5"/>
      <c r="E37" s="38"/>
      <c r="F37" s="5"/>
      <c r="G37" s="129">
        <f t="shared" si="7"/>
        <v>0</v>
      </c>
      <c r="H37" s="130">
        <f t="shared" si="6"/>
        <v>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107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>
      <c r="A38" s="14">
        <v>38</v>
      </c>
      <c r="B38" s="5"/>
      <c r="C38" s="5"/>
      <c r="D38" s="5"/>
      <c r="E38" s="38"/>
      <c r="F38" s="5"/>
      <c r="G38" s="129">
        <f t="shared" si="7"/>
        <v>0</v>
      </c>
      <c r="H38" s="130">
        <f t="shared" si="6"/>
        <v>0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107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>
      <c r="A39" s="14">
        <v>39</v>
      </c>
      <c r="B39" s="5"/>
      <c r="C39" s="5"/>
      <c r="D39" s="5"/>
      <c r="E39" s="38"/>
      <c r="F39" s="5"/>
      <c r="G39" s="129">
        <f t="shared" si="7"/>
        <v>0</v>
      </c>
      <c r="H39" s="130">
        <f t="shared" si="6"/>
        <v>0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107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>
      <c r="A40" s="14">
        <v>40</v>
      </c>
      <c r="B40" s="5"/>
      <c r="C40" s="5"/>
      <c r="D40" s="5"/>
      <c r="E40" s="38"/>
      <c r="F40" s="5"/>
      <c r="G40" s="129">
        <f t="shared" si="7"/>
        <v>0</v>
      </c>
      <c r="H40" s="130">
        <f t="shared" si="6"/>
        <v>0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107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>
      <c r="A41" s="14">
        <v>41</v>
      </c>
      <c r="B41" s="5"/>
      <c r="C41" s="5"/>
      <c r="D41" s="5"/>
      <c r="E41" s="38"/>
      <c r="F41" s="5"/>
      <c r="G41" s="129">
        <f t="shared" si="7"/>
        <v>0</v>
      </c>
      <c r="H41" s="130">
        <f t="shared" si="6"/>
        <v>0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107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>
      <c r="A42" s="14">
        <v>42</v>
      </c>
      <c r="B42" s="24"/>
      <c r="C42" s="24"/>
      <c r="D42" s="24"/>
      <c r="E42" s="108"/>
      <c r="F42" s="25"/>
      <c r="G42" s="129">
        <f t="shared" si="7"/>
        <v>0</v>
      </c>
      <c r="H42" s="130">
        <f t="shared" si="6"/>
        <v>0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107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>
      <c r="A43" s="14">
        <v>43</v>
      </c>
      <c r="B43" s="23"/>
      <c r="C43" s="23"/>
      <c r="D43" s="23"/>
      <c r="E43" s="26"/>
      <c r="F43" s="26"/>
      <c r="G43" s="129">
        <f t="shared" si="7"/>
        <v>0</v>
      </c>
      <c r="H43" s="130">
        <f t="shared" si="6"/>
        <v>0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107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>
      <c r="A44" s="14">
        <v>44</v>
      </c>
      <c r="B44" s="23"/>
      <c r="C44" s="23"/>
      <c r="D44" s="23"/>
      <c r="E44" s="26"/>
      <c r="F44" s="26"/>
      <c r="G44" s="129">
        <f t="shared" si="7"/>
        <v>0</v>
      </c>
      <c r="H44" s="130">
        <f t="shared" si="6"/>
        <v>0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107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>
      <c r="A45" s="14">
        <v>45</v>
      </c>
      <c r="B45" s="23"/>
      <c r="C45" s="23"/>
      <c r="D45" s="23"/>
      <c r="E45" s="26"/>
      <c r="F45" s="26"/>
      <c r="G45" s="129">
        <f t="shared" si="7"/>
        <v>0</v>
      </c>
      <c r="H45" s="130">
        <f t="shared" si="6"/>
        <v>0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107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>
      <c r="A46" s="14">
        <v>46</v>
      </c>
      <c r="B46" s="23"/>
      <c r="C46" s="23"/>
      <c r="D46" s="23"/>
      <c r="E46" s="26"/>
      <c r="F46" s="26"/>
      <c r="G46" s="129">
        <f t="shared" si="7"/>
        <v>0</v>
      </c>
      <c r="H46" s="130">
        <f t="shared" si="6"/>
        <v>0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107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>
      <c r="A47" s="14">
        <v>47</v>
      </c>
      <c r="B47" s="23"/>
      <c r="C47" s="23"/>
      <c r="D47" s="23"/>
      <c r="E47" s="26"/>
      <c r="F47" s="26"/>
      <c r="G47" s="129">
        <f t="shared" si="7"/>
        <v>0</v>
      </c>
      <c r="H47" s="130">
        <f t="shared" si="6"/>
        <v>0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107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>
      <c r="A48" s="14">
        <v>48</v>
      </c>
      <c r="B48" s="23"/>
      <c r="C48" s="23"/>
      <c r="D48" s="23"/>
      <c r="E48" s="26"/>
      <c r="F48" s="26"/>
      <c r="G48" s="129">
        <f t="shared" si="7"/>
        <v>0</v>
      </c>
      <c r="H48" s="130">
        <f t="shared" si="6"/>
        <v>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107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>
      <c r="A49" s="14">
        <v>49</v>
      </c>
      <c r="B49" s="23"/>
      <c r="C49" s="23"/>
      <c r="D49" s="23"/>
      <c r="E49" s="26"/>
      <c r="F49" s="26"/>
      <c r="G49" s="129">
        <f t="shared" si="7"/>
        <v>0</v>
      </c>
      <c r="H49" s="130">
        <f t="shared" si="6"/>
        <v>0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107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>
      <c r="A50" s="14">
        <v>50</v>
      </c>
      <c r="B50" s="23"/>
      <c r="C50" s="23"/>
      <c r="D50" s="23"/>
      <c r="E50" s="26"/>
      <c r="F50" s="26"/>
      <c r="G50" s="129">
        <f t="shared" si="7"/>
        <v>0</v>
      </c>
      <c r="H50" s="130">
        <f t="shared" si="6"/>
        <v>0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107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>
      <c r="A51" s="14">
        <v>51</v>
      </c>
      <c r="B51" s="23"/>
      <c r="C51" s="23"/>
      <c r="D51" s="23"/>
      <c r="E51" s="26"/>
      <c r="F51" s="26"/>
      <c r="G51" s="129">
        <f t="shared" ref="G51:G100" si="8">SUM(I51:ZF51)</f>
        <v>0</v>
      </c>
      <c r="H51" s="130">
        <f t="shared" ref="H51:H100" si="9">F51-G51</f>
        <v>0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107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>
      <c r="A52" s="14">
        <v>52</v>
      </c>
      <c r="B52" s="23"/>
      <c r="C52" s="23"/>
      <c r="D52" s="23"/>
      <c r="E52" s="26"/>
      <c r="F52" s="26"/>
      <c r="G52" s="129">
        <f t="shared" si="8"/>
        <v>0</v>
      </c>
      <c r="H52" s="130">
        <f t="shared" si="9"/>
        <v>0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107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>
      <c r="A53" s="14">
        <v>53</v>
      </c>
      <c r="B53" s="23"/>
      <c r="C53" s="23"/>
      <c r="D53" s="23"/>
      <c r="E53" s="26"/>
      <c r="F53" s="26"/>
      <c r="G53" s="129">
        <f t="shared" si="8"/>
        <v>0</v>
      </c>
      <c r="H53" s="130">
        <f t="shared" si="9"/>
        <v>0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107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>
      <c r="A54" s="14">
        <v>54</v>
      </c>
      <c r="B54" s="23"/>
      <c r="C54" s="23"/>
      <c r="D54" s="23"/>
      <c r="E54" s="26"/>
      <c r="F54" s="26"/>
      <c r="G54" s="129">
        <f t="shared" si="8"/>
        <v>0</v>
      </c>
      <c r="H54" s="130">
        <f t="shared" si="9"/>
        <v>0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107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>
      <c r="A55" s="14">
        <v>55</v>
      </c>
      <c r="B55" s="23"/>
      <c r="C55" s="23"/>
      <c r="D55" s="23"/>
      <c r="E55" s="26"/>
      <c r="F55" s="26"/>
      <c r="G55" s="129">
        <f t="shared" si="8"/>
        <v>0</v>
      </c>
      <c r="H55" s="130">
        <f t="shared" si="9"/>
        <v>0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107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>
      <c r="A56" s="14">
        <v>56</v>
      </c>
      <c r="B56" s="23"/>
      <c r="C56" s="23"/>
      <c r="D56" s="23"/>
      <c r="E56" s="26"/>
      <c r="F56" s="26"/>
      <c r="G56" s="129">
        <f t="shared" si="8"/>
        <v>0</v>
      </c>
      <c r="H56" s="130">
        <f t="shared" si="9"/>
        <v>0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107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>
      <c r="A57" s="14">
        <v>57</v>
      </c>
      <c r="B57" s="23"/>
      <c r="C57" s="23"/>
      <c r="D57" s="23"/>
      <c r="E57" s="26"/>
      <c r="F57" s="26"/>
      <c r="G57" s="129">
        <f t="shared" si="8"/>
        <v>0</v>
      </c>
      <c r="H57" s="130">
        <f t="shared" si="9"/>
        <v>0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107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>
      <c r="A58" s="14">
        <v>58</v>
      </c>
      <c r="B58" s="23"/>
      <c r="C58" s="23"/>
      <c r="D58" s="23"/>
      <c r="E58" s="26"/>
      <c r="F58" s="26"/>
      <c r="G58" s="129">
        <f t="shared" si="8"/>
        <v>0</v>
      </c>
      <c r="H58" s="130">
        <f t="shared" si="9"/>
        <v>0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107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>
      <c r="A59" s="14">
        <v>59</v>
      </c>
      <c r="B59" s="23"/>
      <c r="C59" s="23"/>
      <c r="D59" s="23"/>
      <c r="E59" s="26"/>
      <c r="F59" s="26"/>
      <c r="G59" s="129">
        <f t="shared" si="8"/>
        <v>0</v>
      </c>
      <c r="H59" s="130">
        <f t="shared" si="9"/>
        <v>0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107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>
      <c r="A60" s="14">
        <v>60</v>
      </c>
      <c r="B60" s="5"/>
      <c r="C60" s="5"/>
      <c r="D60" s="5"/>
      <c r="E60" s="38"/>
      <c r="F60" s="5"/>
      <c r="G60" s="129">
        <f t="shared" si="8"/>
        <v>0</v>
      </c>
      <c r="H60" s="130">
        <f t="shared" si="9"/>
        <v>0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107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>
      <c r="A61" s="14">
        <v>61</v>
      </c>
      <c r="B61" s="23"/>
      <c r="C61" s="23"/>
      <c r="D61" s="23"/>
      <c r="E61" s="26"/>
      <c r="F61" s="26"/>
      <c r="G61" s="129">
        <f t="shared" si="8"/>
        <v>0</v>
      </c>
      <c r="H61" s="130">
        <f t="shared" si="9"/>
        <v>0</v>
      </c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107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>
      <c r="A62" s="14">
        <v>62</v>
      </c>
      <c r="B62" s="5"/>
      <c r="C62" s="5"/>
      <c r="D62" s="5"/>
      <c r="E62" s="38"/>
      <c r="F62" s="26"/>
      <c r="G62" s="129">
        <f t="shared" si="8"/>
        <v>0</v>
      </c>
      <c r="H62" s="130">
        <f t="shared" si="9"/>
        <v>0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107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>
      <c r="A63" s="14">
        <v>63</v>
      </c>
      <c r="B63" s="23"/>
      <c r="C63" s="23"/>
      <c r="D63" s="23"/>
      <c r="E63" s="26"/>
      <c r="F63" s="26"/>
      <c r="G63" s="129">
        <f t="shared" si="8"/>
        <v>0</v>
      </c>
      <c r="H63" s="130">
        <f t="shared" si="9"/>
        <v>0</v>
      </c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107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>
      <c r="A64" s="14">
        <v>64</v>
      </c>
      <c r="B64" s="28"/>
      <c r="C64" s="28"/>
      <c r="D64" s="28"/>
      <c r="E64" s="109"/>
      <c r="F64" s="26"/>
      <c r="G64" s="129">
        <f t="shared" si="8"/>
        <v>0</v>
      </c>
      <c r="H64" s="130">
        <f t="shared" si="9"/>
        <v>0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107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>
      <c r="A65" s="14">
        <v>65</v>
      </c>
      <c r="B65" s="5"/>
      <c r="C65" s="5"/>
      <c r="D65" s="5"/>
      <c r="E65" s="38"/>
      <c r="F65" s="26"/>
      <c r="G65" s="129">
        <f t="shared" si="8"/>
        <v>0</v>
      </c>
      <c r="H65" s="130">
        <f t="shared" si="9"/>
        <v>0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107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>
      <c r="A66" s="14">
        <v>66</v>
      </c>
      <c r="B66" s="28"/>
      <c r="C66" s="28"/>
      <c r="D66" s="28"/>
      <c r="E66" s="109"/>
      <c r="F66" s="26"/>
      <c r="G66" s="129">
        <f t="shared" si="8"/>
        <v>0</v>
      </c>
      <c r="H66" s="130">
        <f t="shared" si="9"/>
        <v>0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107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>
      <c r="A67" s="14">
        <v>67</v>
      </c>
      <c r="B67" s="28"/>
      <c r="C67" s="28"/>
      <c r="D67" s="28"/>
      <c r="E67" s="109"/>
      <c r="F67" s="26"/>
      <c r="G67" s="129">
        <f t="shared" si="8"/>
        <v>0</v>
      </c>
      <c r="H67" s="130">
        <f t="shared" si="9"/>
        <v>0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107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>
      <c r="A68" s="14">
        <v>68</v>
      </c>
      <c r="B68" s="28"/>
      <c r="C68" s="28"/>
      <c r="D68" s="28"/>
      <c r="E68" s="109"/>
      <c r="F68" s="26"/>
      <c r="G68" s="129">
        <f t="shared" si="8"/>
        <v>0</v>
      </c>
      <c r="H68" s="130">
        <f t="shared" si="9"/>
        <v>0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107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>
      <c r="A69" s="14">
        <v>69</v>
      </c>
      <c r="B69" s="5"/>
      <c r="C69" s="5"/>
      <c r="D69" s="5"/>
      <c r="E69" s="38"/>
      <c r="F69" s="5"/>
      <c r="G69" s="129">
        <f t="shared" si="8"/>
        <v>0</v>
      </c>
      <c r="H69" s="130">
        <f t="shared" si="9"/>
        <v>0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107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>
      <c r="A70" s="14">
        <v>70</v>
      </c>
      <c r="B70" s="5"/>
      <c r="C70" s="5"/>
      <c r="D70" s="5"/>
      <c r="E70" s="38"/>
      <c r="F70" s="5"/>
      <c r="G70" s="129">
        <f t="shared" si="8"/>
        <v>0</v>
      </c>
      <c r="H70" s="130">
        <f t="shared" si="9"/>
        <v>0</v>
      </c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107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>
      <c r="A71" s="14">
        <v>71</v>
      </c>
      <c r="B71" s="5"/>
      <c r="C71" s="5"/>
      <c r="D71" s="5"/>
      <c r="E71" s="38"/>
      <c r="F71" s="5"/>
      <c r="G71" s="129">
        <f t="shared" si="8"/>
        <v>0</v>
      </c>
      <c r="H71" s="130">
        <f t="shared" si="9"/>
        <v>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107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>
      <c r="A72" s="14">
        <v>72</v>
      </c>
      <c r="B72" s="5"/>
      <c r="C72" s="5"/>
      <c r="D72" s="5"/>
      <c r="E72" s="38"/>
      <c r="F72" s="5"/>
      <c r="G72" s="129">
        <f t="shared" si="8"/>
        <v>0</v>
      </c>
      <c r="H72" s="130">
        <f t="shared" si="9"/>
        <v>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107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>
      <c r="A73" s="14">
        <v>73</v>
      </c>
      <c r="B73" s="5"/>
      <c r="C73" s="5"/>
      <c r="D73" s="5"/>
      <c r="E73" s="38"/>
      <c r="F73" s="5"/>
      <c r="G73" s="129">
        <f t="shared" si="8"/>
        <v>0</v>
      </c>
      <c r="H73" s="130">
        <f t="shared" si="9"/>
        <v>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107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>
      <c r="A74" s="14">
        <v>74</v>
      </c>
      <c r="B74" s="5"/>
      <c r="C74" s="5"/>
      <c r="D74" s="5"/>
      <c r="E74" s="38"/>
      <c r="F74" s="5"/>
      <c r="G74" s="129">
        <f t="shared" si="8"/>
        <v>0</v>
      </c>
      <c r="H74" s="130">
        <f t="shared" si="9"/>
        <v>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107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>
      <c r="A75" s="14">
        <v>75</v>
      </c>
      <c r="B75" s="5"/>
      <c r="C75" s="5"/>
      <c r="D75" s="5"/>
      <c r="E75" s="38"/>
      <c r="F75" s="5"/>
      <c r="G75" s="129">
        <f t="shared" si="8"/>
        <v>0</v>
      </c>
      <c r="H75" s="130">
        <f t="shared" si="9"/>
        <v>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107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>
      <c r="A76" s="14">
        <v>76</v>
      </c>
      <c r="B76" s="5"/>
      <c r="C76" s="5"/>
      <c r="D76" s="5"/>
      <c r="E76" s="38"/>
      <c r="F76" s="5"/>
      <c r="G76" s="129">
        <f t="shared" si="8"/>
        <v>0</v>
      </c>
      <c r="H76" s="130">
        <f t="shared" si="9"/>
        <v>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107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>
      <c r="A77" s="14">
        <v>77</v>
      </c>
      <c r="B77" s="5"/>
      <c r="C77" s="5"/>
      <c r="D77" s="5"/>
      <c r="E77" s="38"/>
      <c r="F77" s="5"/>
      <c r="G77" s="129">
        <f t="shared" si="8"/>
        <v>0</v>
      </c>
      <c r="H77" s="130">
        <f t="shared" si="9"/>
        <v>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107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>
      <c r="A78" s="14">
        <v>78</v>
      </c>
      <c r="B78" s="5"/>
      <c r="C78" s="5"/>
      <c r="D78" s="5"/>
      <c r="E78" s="38"/>
      <c r="F78" s="5"/>
      <c r="G78" s="129">
        <f t="shared" si="8"/>
        <v>0</v>
      </c>
      <c r="H78" s="130">
        <f t="shared" si="9"/>
        <v>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107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>
      <c r="A79" s="14">
        <v>79</v>
      </c>
      <c r="B79" s="5"/>
      <c r="C79" s="5"/>
      <c r="D79" s="5"/>
      <c r="E79" s="38"/>
      <c r="F79" s="5"/>
      <c r="G79" s="129">
        <f t="shared" si="8"/>
        <v>0</v>
      </c>
      <c r="H79" s="130">
        <f t="shared" si="9"/>
        <v>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107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>
      <c r="A80" s="14">
        <v>80</v>
      </c>
      <c r="B80" s="5"/>
      <c r="C80" s="5"/>
      <c r="D80" s="5"/>
      <c r="E80" s="38"/>
      <c r="F80" s="5"/>
      <c r="G80" s="129">
        <f t="shared" si="8"/>
        <v>0</v>
      </c>
      <c r="H80" s="130">
        <f t="shared" si="9"/>
        <v>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107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>
      <c r="A81" s="14">
        <v>81</v>
      </c>
      <c r="B81" s="5"/>
      <c r="C81" s="5"/>
      <c r="D81" s="5"/>
      <c r="E81" s="38"/>
      <c r="F81" s="5"/>
      <c r="G81" s="129">
        <f t="shared" si="8"/>
        <v>0</v>
      </c>
      <c r="H81" s="130">
        <f t="shared" si="9"/>
        <v>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107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>
      <c r="A82" s="14">
        <v>82</v>
      </c>
      <c r="B82" s="5"/>
      <c r="C82" s="5"/>
      <c r="D82" s="5"/>
      <c r="E82" s="38"/>
      <c r="F82" s="5"/>
      <c r="G82" s="129">
        <f t="shared" si="8"/>
        <v>0</v>
      </c>
      <c r="H82" s="130">
        <f t="shared" si="9"/>
        <v>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107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>
      <c r="A83" s="14">
        <v>83</v>
      </c>
      <c r="B83" s="5"/>
      <c r="C83" s="5"/>
      <c r="D83" s="5"/>
      <c r="E83" s="38"/>
      <c r="F83" s="5"/>
      <c r="G83" s="129">
        <f t="shared" si="8"/>
        <v>0</v>
      </c>
      <c r="H83" s="130">
        <f t="shared" si="9"/>
        <v>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107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>
      <c r="A84" s="14">
        <v>84</v>
      </c>
      <c r="B84" s="5"/>
      <c r="C84" s="5"/>
      <c r="D84" s="5"/>
      <c r="E84" s="38"/>
      <c r="F84" s="5"/>
      <c r="G84" s="129">
        <f t="shared" si="8"/>
        <v>0</v>
      </c>
      <c r="H84" s="130">
        <f t="shared" si="9"/>
        <v>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107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>
      <c r="A85" s="14">
        <v>85</v>
      </c>
      <c r="B85" s="5"/>
      <c r="C85" s="5"/>
      <c r="D85" s="5"/>
      <c r="E85" s="38"/>
      <c r="F85" s="5"/>
      <c r="G85" s="129">
        <f t="shared" si="8"/>
        <v>0</v>
      </c>
      <c r="H85" s="130">
        <f t="shared" si="9"/>
        <v>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107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>
      <c r="A86" s="14">
        <v>86</v>
      </c>
      <c r="B86" s="5"/>
      <c r="C86" s="5"/>
      <c r="D86" s="5"/>
      <c r="E86" s="38"/>
      <c r="F86" s="5"/>
      <c r="G86" s="129">
        <f t="shared" si="8"/>
        <v>0</v>
      </c>
      <c r="H86" s="130">
        <f t="shared" si="9"/>
        <v>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107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>
      <c r="A87" s="14">
        <v>87</v>
      </c>
      <c r="B87" s="5"/>
      <c r="C87" s="5"/>
      <c r="D87" s="5"/>
      <c r="E87" s="38"/>
      <c r="F87" s="5"/>
      <c r="G87" s="129">
        <f t="shared" si="8"/>
        <v>0</v>
      </c>
      <c r="H87" s="130">
        <f t="shared" si="9"/>
        <v>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107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>
      <c r="A88" s="14">
        <v>88</v>
      </c>
      <c r="B88" s="5"/>
      <c r="C88" s="5"/>
      <c r="D88" s="5"/>
      <c r="E88" s="38"/>
      <c r="F88" s="5"/>
      <c r="G88" s="129">
        <f t="shared" si="8"/>
        <v>0</v>
      </c>
      <c r="H88" s="130">
        <f t="shared" si="9"/>
        <v>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107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>
      <c r="A89" s="14">
        <v>89</v>
      </c>
      <c r="B89" s="5"/>
      <c r="C89" s="5"/>
      <c r="D89" s="5"/>
      <c r="E89" s="38"/>
      <c r="F89" s="5"/>
      <c r="G89" s="129">
        <f t="shared" si="8"/>
        <v>0</v>
      </c>
      <c r="H89" s="130">
        <f t="shared" si="9"/>
        <v>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107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>
      <c r="A90" s="14">
        <v>90</v>
      </c>
      <c r="B90" s="5"/>
      <c r="C90" s="5"/>
      <c r="D90" s="5"/>
      <c r="E90" s="38"/>
      <c r="F90" s="5"/>
      <c r="G90" s="129">
        <f t="shared" si="8"/>
        <v>0</v>
      </c>
      <c r="H90" s="130">
        <f t="shared" si="9"/>
        <v>0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107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>
      <c r="A91" s="14">
        <v>91</v>
      </c>
      <c r="B91" s="5"/>
      <c r="C91" s="5"/>
      <c r="D91" s="5"/>
      <c r="E91" s="38"/>
      <c r="F91" s="5"/>
      <c r="G91" s="129">
        <f t="shared" si="8"/>
        <v>0</v>
      </c>
      <c r="H91" s="130">
        <f t="shared" si="9"/>
        <v>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107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>
      <c r="A92" s="14">
        <v>92</v>
      </c>
      <c r="B92" s="5"/>
      <c r="C92" s="5"/>
      <c r="D92" s="5"/>
      <c r="E92" s="38"/>
      <c r="F92" s="5"/>
      <c r="G92" s="129">
        <f t="shared" si="8"/>
        <v>0</v>
      </c>
      <c r="H92" s="130">
        <f t="shared" si="9"/>
        <v>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107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>
      <c r="A93" s="14">
        <v>93</v>
      </c>
      <c r="B93" s="5"/>
      <c r="C93" s="5"/>
      <c r="D93" s="5"/>
      <c r="E93" s="38"/>
      <c r="F93" s="5"/>
      <c r="G93" s="129">
        <f t="shared" si="8"/>
        <v>0</v>
      </c>
      <c r="H93" s="130">
        <f t="shared" si="9"/>
        <v>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107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>
      <c r="A94" s="14">
        <v>94</v>
      </c>
      <c r="B94" s="5"/>
      <c r="C94" s="5"/>
      <c r="D94" s="5"/>
      <c r="E94" s="38"/>
      <c r="F94" s="5"/>
      <c r="G94" s="129">
        <f t="shared" si="8"/>
        <v>0</v>
      </c>
      <c r="H94" s="130">
        <f t="shared" si="9"/>
        <v>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107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>
      <c r="A95" s="14">
        <v>95</v>
      </c>
      <c r="B95" s="5"/>
      <c r="C95" s="5"/>
      <c r="D95" s="5"/>
      <c r="E95" s="38"/>
      <c r="F95" s="5"/>
      <c r="G95" s="129">
        <f t="shared" si="8"/>
        <v>0</v>
      </c>
      <c r="H95" s="130">
        <f t="shared" si="9"/>
        <v>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107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>
      <c r="A96" s="14">
        <v>96</v>
      </c>
      <c r="B96" s="5"/>
      <c r="C96" s="5"/>
      <c r="D96" s="5"/>
      <c r="E96" s="38"/>
      <c r="F96" s="5"/>
      <c r="G96" s="129">
        <f t="shared" si="8"/>
        <v>0</v>
      </c>
      <c r="H96" s="130">
        <f t="shared" si="9"/>
        <v>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107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>
      <c r="A97" s="14">
        <v>97</v>
      </c>
      <c r="B97" s="5"/>
      <c r="C97" s="5"/>
      <c r="D97" s="5"/>
      <c r="E97" s="38"/>
      <c r="F97" s="5"/>
      <c r="G97" s="129">
        <f t="shared" si="8"/>
        <v>0</v>
      </c>
      <c r="H97" s="130">
        <f t="shared" si="9"/>
        <v>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107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>
      <c r="A98" s="14">
        <v>98</v>
      </c>
      <c r="B98" s="5"/>
      <c r="C98" s="5"/>
      <c r="D98" s="5"/>
      <c r="E98" s="38"/>
      <c r="F98" s="5"/>
      <c r="G98" s="129">
        <f t="shared" si="8"/>
        <v>0</v>
      </c>
      <c r="H98" s="130">
        <f t="shared" si="9"/>
        <v>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107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>
      <c r="A99" s="14">
        <v>99</v>
      </c>
      <c r="B99" s="5"/>
      <c r="C99" s="5"/>
      <c r="D99" s="5"/>
      <c r="E99" s="38"/>
      <c r="F99" s="5"/>
      <c r="G99" s="129">
        <f t="shared" si="8"/>
        <v>0</v>
      </c>
      <c r="H99" s="130">
        <f t="shared" si="9"/>
        <v>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107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>
      <c r="A100" s="38">
        <v>100</v>
      </c>
      <c r="B100" s="5"/>
      <c r="C100" s="5"/>
      <c r="D100" s="5"/>
      <c r="E100" s="38"/>
      <c r="F100" s="5"/>
      <c r="G100" s="129">
        <f t="shared" si="8"/>
        <v>0</v>
      </c>
      <c r="H100" s="130">
        <f t="shared" si="9"/>
        <v>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107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>
      <c r="A101" s="5"/>
      <c r="B101" s="5"/>
      <c r="C101" s="5"/>
      <c r="D101" s="5"/>
      <c r="E101" s="38"/>
      <c r="F101" s="5"/>
      <c r="G101" s="125"/>
      <c r="H101" s="126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68">
      <c r="A102" s="5"/>
      <c r="B102" s="5"/>
      <c r="C102" s="5"/>
      <c r="D102" s="5"/>
      <c r="E102" s="38"/>
      <c r="F102" s="5"/>
      <c r="G102" s="125"/>
      <c r="H102" s="126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68">
      <c r="A103" s="5"/>
      <c r="B103" s="5"/>
      <c r="C103" s="5"/>
      <c r="D103" s="5"/>
      <c r="E103" s="38"/>
      <c r="F103" s="5"/>
      <c r="G103" s="125"/>
      <c r="H103" s="126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68">
      <c r="A104" s="5"/>
      <c r="B104" s="5"/>
      <c r="C104" s="5"/>
      <c r="D104" s="5"/>
      <c r="E104" s="38"/>
      <c r="F104" s="5"/>
      <c r="G104" s="125"/>
      <c r="H104" s="126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68">
      <c r="A105" s="5"/>
      <c r="B105" s="5"/>
      <c r="C105" s="5"/>
      <c r="D105" s="5"/>
      <c r="E105" s="38"/>
      <c r="F105" s="5"/>
      <c r="G105" s="125"/>
      <c r="H105" s="126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68">
      <c r="A106" s="5"/>
      <c r="B106" s="5"/>
      <c r="C106" s="5"/>
      <c r="D106" s="5"/>
      <c r="E106" s="38"/>
      <c r="F106" s="5"/>
      <c r="G106" s="125"/>
      <c r="H106" s="126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68">
      <c r="A107" s="5"/>
      <c r="B107" s="5"/>
      <c r="C107" s="5"/>
      <c r="D107" s="5"/>
      <c r="E107" s="38"/>
      <c r="F107" s="5"/>
      <c r="G107" s="125"/>
      <c r="H107" s="126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68">
      <c r="A108" s="5"/>
      <c r="B108" s="5"/>
      <c r="C108" s="5"/>
      <c r="D108" s="5"/>
      <c r="E108" s="38"/>
      <c r="F108" s="5"/>
      <c r="G108" s="125"/>
      <c r="H108" s="126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68">
      <c r="A109" s="5"/>
      <c r="B109" s="5"/>
      <c r="C109" s="5"/>
      <c r="D109" s="5"/>
      <c r="E109" s="38"/>
      <c r="F109" s="5"/>
      <c r="G109" s="125"/>
      <c r="H109" s="126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68">
      <c r="A110" s="5"/>
      <c r="B110" s="5"/>
      <c r="C110" s="5"/>
      <c r="D110" s="5"/>
      <c r="E110" s="38"/>
      <c r="F110" s="5"/>
      <c r="G110" s="125"/>
      <c r="H110" s="126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68">
      <c r="A111" s="5"/>
      <c r="B111" s="5"/>
      <c r="C111" s="5"/>
      <c r="D111" s="5"/>
      <c r="E111" s="38"/>
      <c r="F111" s="5"/>
      <c r="G111" s="125"/>
      <c r="H111" s="126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68">
      <c r="A112" s="5"/>
      <c r="B112" s="5"/>
      <c r="C112" s="5"/>
      <c r="D112" s="5"/>
      <c r="E112" s="38"/>
      <c r="F112" s="5"/>
      <c r="G112" s="125"/>
      <c r="H112" s="126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>
      <c r="A113" s="5"/>
      <c r="B113" s="5"/>
      <c r="C113" s="5"/>
      <c r="D113" s="5"/>
      <c r="E113" s="38"/>
      <c r="F113" s="5"/>
      <c r="G113" s="125"/>
      <c r="H113" s="126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>
      <c r="A114" s="5"/>
      <c r="B114" s="5"/>
      <c r="C114" s="5"/>
      <c r="D114" s="5"/>
      <c r="E114" s="38"/>
      <c r="F114" s="5"/>
      <c r="G114" s="125"/>
      <c r="H114" s="126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</sheetData>
  <sheetProtection formatColumns="0" selectLockedCells="1" pivotTables="0" selectUnlockedCells="1"/>
  <conditionalFormatting sqref="C3:E3">
    <cfRule type="duplicateValues" dxfId="90" priority="5"/>
  </conditionalFormatting>
  <conditionalFormatting sqref="F16:F1048576 C2:E2 C4:E4 C6:E6 C5:D5 C10:E14">
    <cfRule type="duplicateValues" dxfId="89" priority="42"/>
  </conditionalFormatting>
  <conditionalFormatting sqref="C9:E9">
    <cfRule type="duplicateValues" dxfId="88" priority="4"/>
  </conditionalFormatting>
  <conditionalFormatting sqref="C7:D7">
    <cfRule type="duplicateValues" dxfId="87" priority="3"/>
  </conditionalFormatting>
  <conditionalFormatting sqref="C8:D8">
    <cfRule type="duplicateValues" dxfId="86" priority="2"/>
  </conditionalFormatting>
  <conditionalFormatting sqref="C23">
    <cfRule type="duplicateValues" dxfId="85" priority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116"/>
  <sheetViews>
    <sheetView workbookViewId="0">
      <pane xSplit="16" ySplit="12" topLeftCell="Q22" activePane="bottomRight" state="frozen"/>
      <selection pane="topRight" activeCell="Q1" sqref="Q1"/>
      <selection pane="bottomLeft" activeCell="A13" sqref="A13"/>
      <selection pane="bottomRight" activeCell="F1" sqref="F1"/>
    </sheetView>
  </sheetViews>
  <sheetFormatPr defaultRowHeight="15"/>
  <cols>
    <col min="1" max="1" width="6.140625" bestFit="1" customWidth="1"/>
    <col min="2" max="2" width="8.28515625" customWidth="1"/>
    <col min="3" max="3" width="15.140625" customWidth="1"/>
    <col min="4" max="4" width="10.28515625" customWidth="1"/>
    <col min="5" max="5" width="9.140625" customWidth="1"/>
    <col min="6" max="6" width="7.85546875" style="87" bestFit="1" customWidth="1"/>
    <col min="7" max="7" width="5.28515625" customWidth="1"/>
    <col min="8" max="16" width="5.85546875" customWidth="1"/>
    <col min="17" max="60" width="7.5703125" customWidth="1"/>
  </cols>
  <sheetData>
    <row r="1" spans="1:62" ht="15.75" thickBot="1">
      <c r="C1" s="164" t="s">
        <v>28</v>
      </c>
      <c r="D1" s="164"/>
      <c r="E1" s="60" t="s">
        <v>303</v>
      </c>
      <c r="F1" s="90"/>
      <c r="G1" s="89">
        <f>SUM(G3:G100)</f>
        <v>9900</v>
      </c>
      <c r="H1" s="89">
        <f t="shared" ref="H1:BJ1" si="0">SUM(H3:H100)</f>
        <v>4200</v>
      </c>
      <c r="I1" s="89">
        <f t="shared" si="0"/>
        <v>17000</v>
      </c>
      <c r="J1" s="89">
        <f t="shared" si="0"/>
        <v>0</v>
      </c>
      <c r="K1" s="89">
        <f t="shared" si="0"/>
        <v>5544</v>
      </c>
      <c r="L1" s="89">
        <f t="shared" si="0"/>
        <v>25040</v>
      </c>
      <c r="M1" s="89">
        <f t="shared" si="0"/>
        <v>4300</v>
      </c>
      <c r="N1" s="89">
        <f t="shared" si="0"/>
        <v>2500</v>
      </c>
      <c r="O1" s="89">
        <f t="shared" si="0"/>
        <v>2500</v>
      </c>
      <c r="P1" s="89">
        <f t="shared" si="0"/>
        <v>45500</v>
      </c>
      <c r="Q1" s="89">
        <f t="shared" si="0"/>
        <v>15040</v>
      </c>
      <c r="R1" s="89">
        <f t="shared" si="0"/>
        <v>18315</v>
      </c>
      <c r="S1" s="89">
        <f t="shared" si="0"/>
        <v>38849.08</v>
      </c>
      <c r="T1" s="89">
        <f t="shared" si="0"/>
        <v>2500</v>
      </c>
      <c r="U1" s="89">
        <f t="shared" si="0"/>
        <v>2500</v>
      </c>
      <c r="V1" s="89">
        <f t="shared" si="0"/>
        <v>3130</v>
      </c>
      <c r="W1" s="89">
        <f t="shared" si="0"/>
        <v>89811</v>
      </c>
      <c r="X1" s="89">
        <f t="shared" si="0"/>
        <v>61459</v>
      </c>
      <c r="Y1" s="89">
        <f t="shared" si="0"/>
        <v>118</v>
      </c>
      <c r="Z1" s="89">
        <f t="shared" si="0"/>
        <v>2723</v>
      </c>
      <c r="AA1" s="89">
        <f t="shared" si="0"/>
        <v>0</v>
      </c>
      <c r="AB1" s="89">
        <f t="shared" si="0"/>
        <v>4950</v>
      </c>
      <c r="AC1" s="89">
        <f t="shared" si="0"/>
        <v>9900</v>
      </c>
      <c r="AD1" s="89">
        <f t="shared" si="0"/>
        <v>2000</v>
      </c>
      <c r="AE1" s="89">
        <f t="shared" si="0"/>
        <v>11000</v>
      </c>
      <c r="AF1" s="89">
        <f t="shared" si="0"/>
        <v>43200</v>
      </c>
      <c r="AG1" s="89">
        <f t="shared" si="0"/>
        <v>29850</v>
      </c>
      <c r="AH1" s="89">
        <f t="shared" si="0"/>
        <v>9900</v>
      </c>
      <c r="AI1" s="89">
        <f t="shared" si="0"/>
        <v>2250</v>
      </c>
      <c r="AJ1" s="89">
        <f t="shared" si="0"/>
        <v>8152</v>
      </c>
      <c r="AK1" s="89">
        <f t="shared" si="0"/>
        <v>50000</v>
      </c>
      <c r="AL1" s="89">
        <f t="shared" si="0"/>
        <v>18000</v>
      </c>
      <c r="AM1" s="89">
        <f t="shared" si="0"/>
        <v>8552</v>
      </c>
      <c r="AN1" s="89">
        <f t="shared" si="0"/>
        <v>26000</v>
      </c>
      <c r="AO1" s="89">
        <f t="shared" si="0"/>
        <v>61500</v>
      </c>
      <c r="AP1" s="89">
        <f t="shared" si="0"/>
        <v>450</v>
      </c>
      <c r="AQ1" s="89">
        <f t="shared" si="0"/>
        <v>4752</v>
      </c>
      <c r="AR1" s="89">
        <f t="shared" si="0"/>
        <v>12004</v>
      </c>
      <c r="AS1" s="89">
        <f t="shared" si="0"/>
        <v>22000</v>
      </c>
      <c r="AT1" s="89">
        <f t="shared" si="0"/>
        <v>9000</v>
      </c>
      <c r="AU1" s="89">
        <f t="shared" si="0"/>
        <v>14490</v>
      </c>
      <c r="AV1" s="89">
        <f t="shared" si="0"/>
        <v>0</v>
      </c>
      <c r="AW1" s="89">
        <f t="shared" si="0"/>
        <v>0</v>
      </c>
      <c r="AX1" s="89">
        <f t="shared" si="0"/>
        <v>0</v>
      </c>
      <c r="AY1" s="89">
        <f t="shared" si="0"/>
        <v>0</v>
      </c>
      <c r="AZ1" s="89">
        <f t="shared" si="0"/>
        <v>0</v>
      </c>
      <c r="BA1" s="89">
        <f t="shared" si="0"/>
        <v>0</v>
      </c>
      <c r="BB1" s="89">
        <f t="shared" si="0"/>
        <v>21263</v>
      </c>
      <c r="BC1" s="89">
        <f t="shared" si="0"/>
        <v>0</v>
      </c>
      <c r="BD1" s="89">
        <f t="shared" si="0"/>
        <v>0</v>
      </c>
      <c r="BE1" s="89">
        <f t="shared" si="0"/>
        <v>0</v>
      </c>
      <c r="BF1" s="89">
        <f t="shared" si="0"/>
        <v>59030</v>
      </c>
      <c r="BG1" s="89">
        <f t="shared" si="0"/>
        <v>0</v>
      </c>
      <c r="BH1" s="89">
        <f t="shared" si="0"/>
        <v>0</v>
      </c>
      <c r="BI1" s="89">
        <f t="shared" si="0"/>
        <v>0</v>
      </c>
      <c r="BJ1" s="89">
        <f t="shared" si="0"/>
        <v>0</v>
      </c>
    </row>
    <row r="2" spans="1:62">
      <c r="A2" s="5" t="s">
        <v>51</v>
      </c>
      <c r="B2" s="5" t="s">
        <v>302</v>
      </c>
      <c r="C2" s="22" t="s">
        <v>313</v>
      </c>
      <c r="D2" s="38" t="s">
        <v>309</v>
      </c>
      <c r="E2" s="38" t="s">
        <v>496</v>
      </c>
      <c r="F2" s="56" t="s">
        <v>26</v>
      </c>
      <c r="G2" s="66" t="s">
        <v>312</v>
      </c>
      <c r="H2" s="66" t="s">
        <v>480</v>
      </c>
      <c r="I2" s="66" t="s">
        <v>468</v>
      </c>
      <c r="J2" s="66" t="s">
        <v>336</v>
      </c>
      <c r="K2" s="66" t="s">
        <v>331</v>
      </c>
      <c r="L2" s="66" t="s">
        <v>330</v>
      </c>
      <c r="M2" s="66" t="s">
        <v>332</v>
      </c>
      <c r="N2" s="66" t="s">
        <v>453</v>
      </c>
      <c r="O2" s="66" t="s">
        <v>483</v>
      </c>
      <c r="P2" s="66" t="s">
        <v>337</v>
      </c>
      <c r="Q2" s="66" t="s">
        <v>603</v>
      </c>
      <c r="R2" s="67" t="s">
        <v>326</v>
      </c>
      <c r="S2" s="67" t="s">
        <v>725</v>
      </c>
      <c r="T2" s="67" t="s">
        <v>455</v>
      </c>
      <c r="U2" s="67" t="s">
        <v>482</v>
      </c>
      <c r="V2" s="67" t="s">
        <v>726</v>
      </c>
      <c r="W2" s="67" t="s">
        <v>289</v>
      </c>
      <c r="X2" s="67" t="s">
        <v>305</v>
      </c>
      <c r="Y2" s="67" t="s">
        <v>592</v>
      </c>
      <c r="Z2" s="67" t="s">
        <v>314</v>
      </c>
      <c r="AA2" s="67" t="s">
        <v>447</v>
      </c>
      <c r="AB2" s="67" t="s">
        <v>439</v>
      </c>
      <c r="AC2" s="67" t="s">
        <v>307</v>
      </c>
      <c r="AD2" s="67" t="s">
        <v>457</v>
      </c>
      <c r="AE2" s="67" t="s">
        <v>142</v>
      </c>
      <c r="AF2" s="67" t="s">
        <v>328</v>
      </c>
      <c r="AG2" s="67" t="s">
        <v>501</v>
      </c>
      <c r="AH2" s="67" t="s">
        <v>311</v>
      </c>
      <c r="AI2" s="67" t="s">
        <v>729</v>
      </c>
      <c r="AJ2" s="67" t="s">
        <v>431</v>
      </c>
      <c r="AK2" s="67" t="s">
        <v>503</v>
      </c>
      <c r="AL2" s="67" t="s">
        <v>329</v>
      </c>
      <c r="AM2" s="67" t="s">
        <v>454</v>
      </c>
      <c r="AN2" s="67" t="s">
        <v>334</v>
      </c>
      <c r="AO2" s="67" t="s">
        <v>728</v>
      </c>
      <c r="AP2" s="67" t="s">
        <v>423</v>
      </c>
      <c r="AQ2" s="67" t="s">
        <v>469</v>
      </c>
      <c r="AR2" s="67" t="s">
        <v>440</v>
      </c>
      <c r="AS2" s="67" t="s">
        <v>432</v>
      </c>
      <c r="AT2" s="67" t="s">
        <v>456</v>
      </c>
      <c r="AU2" s="67" t="s">
        <v>736</v>
      </c>
      <c r="AV2" s="67"/>
      <c r="AW2" s="67" t="s">
        <v>308</v>
      </c>
      <c r="AX2" s="67" t="s">
        <v>40</v>
      </c>
      <c r="AY2" s="67" t="s">
        <v>40</v>
      </c>
      <c r="AZ2" s="67" t="s">
        <v>40</v>
      </c>
      <c r="BA2" s="65" t="s">
        <v>448</v>
      </c>
      <c r="BB2" s="65" t="s">
        <v>449</v>
      </c>
      <c r="BC2" s="65" t="s">
        <v>450</v>
      </c>
      <c r="BD2" s="65" t="s">
        <v>451</v>
      </c>
      <c r="BE2" s="65" t="s">
        <v>452</v>
      </c>
      <c r="BF2" s="61" t="s">
        <v>335</v>
      </c>
    </row>
    <row r="3" spans="1:62">
      <c r="A3" s="38">
        <v>1</v>
      </c>
      <c r="B3" s="5" t="s">
        <v>304</v>
      </c>
      <c r="C3" s="5" t="s">
        <v>310</v>
      </c>
      <c r="D3" s="38">
        <v>10000</v>
      </c>
      <c r="E3" s="38">
        <f t="shared" ref="E3:E16" si="1">SUM(G3:ZA3)</f>
        <v>9891</v>
      </c>
      <c r="F3" s="91">
        <f>D3-E3</f>
        <v>109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>
        <v>3168</v>
      </c>
      <c r="Y3" s="38"/>
      <c r="Z3" s="38">
        <v>2723</v>
      </c>
      <c r="AA3" s="38"/>
      <c r="AB3" s="38"/>
      <c r="AC3" s="38">
        <v>0</v>
      </c>
      <c r="AD3" s="38"/>
      <c r="AE3" s="38">
        <v>0</v>
      </c>
      <c r="AF3" s="38">
        <v>0</v>
      </c>
      <c r="AG3" s="38"/>
      <c r="AH3" s="38">
        <v>0</v>
      </c>
      <c r="AI3" s="38"/>
      <c r="AJ3" s="38"/>
      <c r="AK3" s="38"/>
      <c r="AL3" s="38">
        <v>0</v>
      </c>
      <c r="AM3" s="38"/>
      <c r="AN3" s="38">
        <v>0</v>
      </c>
      <c r="AO3" s="38"/>
      <c r="AP3" s="38"/>
      <c r="AQ3" s="38"/>
      <c r="AR3" s="38"/>
      <c r="AS3" s="38">
        <v>0</v>
      </c>
      <c r="AT3" s="38">
        <v>4000</v>
      </c>
      <c r="AU3" s="38">
        <v>0</v>
      </c>
      <c r="AV3" s="38">
        <v>0</v>
      </c>
      <c r="AW3" s="38">
        <v>0</v>
      </c>
      <c r="AX3" s="38">
        <v>0</v>
      </c>
      <c r="AY3" s="38">
        <v>0</v>
      </c>
      <c r="AZ3" s="68">
        <v>0</v>
      </c>
      <c r="BA3" s="68"/>
      <c r="BB3" s="68"/>
      <c r="BC3" s="68"/>
      <c r="BD3" s="68"/>
      <c r="BE3" s="68"/>
      <c r="BF3" s="68"/>
    </row>
    <row r="4" spans="1:62" s="96" customFormat="1">
      <c r="A4" s="94">
        <v>2</v>
      </c>
      <c r="B4" s="84" t="s">
        <v>306</v>
      </c>
      <c r="C4" s="84" t="s">
        <v>287</v>
      </c>
      <c r="D4" s="94">
        <v>150391</v>
      </c>
      <c r="E4" s="94">
        <f t="shared" si="1"/>
        <v>25208</v>
      </c>
      <c r="F4" s="94">
        <f t="shared" ref="F4:F16" si="2">D4-E4</f>
        <v>125183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>
        <v>710</v>
      </c>
      <c r="T4" s="94"/>
      <c r="U4" s="94"/>
      <c r="V4" s="94">
        <v>0</v>
      </c>
      <c r="W4" s="94">
        <v>24498</v>
      </c>
      <c r="X4" s="94">
        <v>0</v>
      </c>
      <c r="Y4" s="94"/>
      <c r="Z4" s="94"/>
      <c r="AA4" s="94">
        <v>0</v>
      </c>
      <c r="AB4" s="94"/>
      <c r="AC4" s="94">
        <v>0</v>
      </c>
      <c r="AD4" s="94"/>
      <c r="AE4" s="94">
        <v>0</v>
      </c>
      <c r="AF4" s="94">
        <v>0</v>
      </c>
      <c r="AG4" s="94"/>
      <c r="AH4" s="94">
        <v>0</v>
      </c>
      <c r="AI4" s="94"/>
      <c r="AJ4" s="94"/>
      <c r="AK4" s="94"/>
      <c r="AL4" s="94">
        <v>0</v>
      </c>
      <c r="AM4" s="94"/>
      <c r="AN4" s="94">
        <v>0</v>
      </c>
      <c r="AO4" s="94"/>
      <c r="AP4" s="94"/>
      <c r="AQ4" s="94"/>
      <c r="AR4" s="94"/>
      <c r="AS4" s="94">
        <v>0</v>
      </c>
      <c r="AT4" s="94">
        <v>0</v>
      </c>
      <c r="AU4" s="94">
        <v>0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5"/>
      <c r="BB4" s="95"/>
      <c r="BC4" s="95"/>
      <c r="BD4" s="95"/>
      <c r="BE4" s="95"/>
      <c r="BF4" s="95"/>
    </row>
    <row r="5" spans="1:62" s="96" customFormat="1">
      <c r="A5" s="94">
        <v>3</v>
      </c>
      <c r="B5" s="84" t="s">
        <v>306</v>
      </c>
      <c r="C5" s="84" t="s">
        <v>160</v>
      </c>
      <c r="D5" s="94">
        <v>235199.25</v>
      </c>
      <c r="E5" s="94">
        <f t="shared" si="1"/>
        <v>71164.08</v>
      </c>
      <c r="F5" s="94">
        <f t="shared" si="2"/>
        <v>164035.16999999998</v>
      </c>
      <c r="G5" s="94">
        <v>9900</v>
      </c>
      <c r="H5" s="94"/>
      <c r="I5" s="94"/>
      <c r="J5" s="94"/>
      <c r="K5" s="94"/>
      <c r="L5" s="94">
        <v>2040</v>
      </c>
      <c r="M5" s="94"/>
      <c r="N5" s="94"/>
      <c r="O5" s="94"/>
      <c r="P5" s="94"/>
      <c r="Q5" s="94"/>
      <c r="R5" s="94"/>
      <c r="S5" s="94">
        <v>1111.08</v>
      </c>
      <c r="T5" s="94"/>
      <c r="U5" s="94"/>
      <c r="V5" s="94"/>
      <c r="W5" s="94">
        <f>22113+16200</f>
        <v>38313</v>
      </c>
      <c r="X5" s="94">
        <v>0</v>
      </c>
      <c r="Y5" s="94"/>
      <c r="Z5" s="94"/>
      <c r="AA5" s="94"/>
      <c r="AB5" s="94"/>
      <c r="AC5" s="94">
        <v>9900</v>
      </c>
      <c r="AD5" s="94"/>
      <c r="AE5" s="94">
        <v>0</v>
      </c>
      <c r="AF5" s="94">
        <v>0</v>
      </c>
      <c r="AG5" s="94"/>
      <c r="AH5" s="94">
        <v>9900</v>
      </c>
      <c r="AI5" s="94"/>
      <c r="AJ5" s="94"/>
      <c r="AK5" s="94"/>
      <c r="AL5" s="94">
        <v>0</v>
      </c>
      <c r="AM5" s="94"/>
      <c r="AN5" s="94">
        <v>0</v>
      </c>
      <c r="AO5" s="94"/>
      <c r="AP5" s="94"/>
      <c r="AQ5" s="94"/>
      <c r="AR5" s="94"/>
      <c r="AS5" s="94">
        <v>0</v>
      </c>
      <c r="AT5" s="94">
        <v>0</v>
      </c>
      <c r="AU5" s="94">
        <v>0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5"/>
      <c r="BB5" s="95"/>
      <c r="BC5" s="95"/>
      <c r="BD5" s="95">
        <v>0</v>
      </c>
      <c r="BE5" s="95"/>
      <c r="BF5" s="95"/>
    </row>
    <row r="6" spans="1:62">
      <c r="A6" s="38">
        <v>4</v>
      </c>
      <c r="B6" s="5" t="s">
        <v>306</v>
      </c>
      <c r="C6" s="5" t="s">
        <v>325</v>
      </c>
      <c r="D6" s="91">
        <v>39682.5</v>
      </c>
      <c r="E6" s="38">
        <f t="shared" si="1"/>
        <v>32296</v>
      </c>
      <c r="F6" s="91">
        <f t="shared" si="2"/>
        <v>7386.5</v>
      </c>
      <c r="G6" s="94"/>
      <c r="H6" s="7"/>
      <c r="I6" s="7"/>
      <c r="J6" s="7"/>
      <c r="K6" s="38">
        <v>5544</v>
      </c>
      <c r="L6" s="7"/>
      <c r="M6" s="7"/>
      <c r="N6" s="7"/>
      <c r="O6" s="7"/>
      <c r="P6" s="7"/>
      <c r="Q6" s="7"/>
      <c r="R6" s="14">
        <f>6000+1920</f>
        <v>7920</v>
      </c>
      <c r="S6" s="38">
        <v>1160</v>
      </c>
      <c r="T6" s="38"/>
      <c r="U6" s="38"/>
      <c r="V6" s="38"/>
      <c r="W6" s="38">
        <v>7722</v>
      </c>
      <c r="X6" s="38">
        <v>0</v>
      </c>
      <c r="Y6" s="38"/>
      <c r="Z6" s="38"/>
      <c r="AA6" s="38"/>
      <c r="AB6" s="38">
        <v>4950</v>
      </c>
      <c r="AC6" s="38">
        <v>0</v>
      </c>
      <c r="AD6" s="38"/>
      <c r="AE6" s="38">
        <v>0</v>
      </c>
      <c r="AF6" s="38">
        <v>0</v>
      </c>
      <c r="AG6" s="38"/>
      <c r="AH6" s="38">
        <v>0</v>
      </c>
      <c r="AI6" s="38"/>
      <c r="AJ6" s="38"/>
      <c r="AK6" s="38"/>
      <c r="AL6" s="38">
        <v>0</v>
      </c>
      <c r="AM6" s="38"/>
      <c r="AN6" s="38">
        <v>0</v>
      </c>
      <c r="AO6" s="38"/>
      <c r="AP6" s="38"/>
      <c r="AQ6" s="38"/>
      <c r="AR6" s="38"/>
      <c r="AS6" s="38">
        <v>0</v>
      </c>
      <c r="AT6" s="38">
        <v>5000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62"/>
      <c r="BB6" s="62"/>
      <c r="BC6" s="62"/>
      <c r="BD6" s="62"/>
      <c r="BE6" s="62"/>
      <c r="BF6" s="62"/>
    </row>
    <row r="7" spans="1:62">
      <c r="A7" s="38">
        <v>5</v>
      </c>
      <c r="B7" s="5" t="s">
        <v>32</v>
      </c>
      <c r="C7" s="5" t="s">
        <v>327</v>
      </c>
      <c r="D7" s="38">
        <f>61665+21263+48165</f>
        <v>131093</v>
      </c>
      <c r="E7" s="38">
        <f t="shared" si="1"/>
        <v>82928</v>
      </c>
      <c r="F7" s="91">
        <f t="shared" si="2"/>
        <v>48165</v>
      </c>
      <c r="G7" s="38"/>
      <c r="H7" s="38">
        <v>4200</v>
      </c>
      <c r="I7" s="38"/>
      <c r="J7" s="38"/>
      <c r="K7" s="38"/>
      <c r="L7" s="38"/>
      <c r="M7" s="38">
        <v>4300</v>
      </c>
      <c r="N7" s="38"/>
      <c r="O7" s="38"/>
      <c r="P7" s="38">
        <v>5000</v>
      </c>
      <c r="Q7" s="38">
        <v>15040</v>
      </c>
      <c r="R7" s="38"/>
      <c r="S7" s="38"/>
      <c r="T7" s="38">
        <v>2500</v>
      </c>
      <c r="U7" s="38"/>
      <c r="V7" s="38"/>
      <c r="W7" s="38">
        <f>10278</f>
        <v>10278</v>
      </c>
      <c r="X7" s="38">
        <v>2500</v>
      </c>
      <c r="Y7" s="38"/>
      <c r="Z7" s="38"/>
      <c r="AA7" s="38"/>
      <c r="AB7" s="38"/>
      <c r="AC7" s="38">
        <v>0</v>
      </c>
      <c r="AD7" s="38">
        <v>2000</v>
      </c>
      <c r="AE7" s="38">
        <v>0</v>
      </c>
      <c r="AF7" s="38">
        <v>3200</v>
      </c>
      <c r="AG7" s="38"/>
      <c r="AH7" s="38">
        <v>0</v>
      </c>
      <c r="AI7" s="38"/>
      <c r="AJ7" s="38">
        <f>3400+4752</f>
        <v>8152</v>
      </c>
      <c r="AK7" s="38"/>
      <c r="AL7" s="38">
        <v>0</v>
      </c>
      <c r="AM7" s="38">
        <f>3800+4752</f>
        <v>8552</v>
      </c>
      <c r="AN7" s="38">
        <v>0</v>
      </c>
      <c r="AO7" s="38"/>
      <c r="AP7" s="38">
        <v>450</v>
      </c>
      <c r="AQ7" s="38">
        <v>4752</v>
      </c>
      <c r="AR7" s="38">
        <f>7324+4680</f>
        <v>12004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88">
        <f>20000+3130-10278-5000-7852</f>
        <v>0</v>
      </c>
      <c r="BB7" s="62"/>
      <c r="BC7" s="62"/>
      <c r="BD7" s="62"/>
      <c r="BE7" s="62"/>
      <c r="BF7" s="62"/>
    </row>
    <row r="8" spans="1:62">
      <c r="A8" s="38">
        <v>6</v>
      </c>
      <c r="B8" s="5" t="s">
        <v>36</v>
      </c>
      <c r="C8" s="5" t="s">
        <v>287</v>
      </c>
      <c r="D8" s="38">
        <f>106000</f>
        <v>106000</v>
      </c>
      <c r="E8" s="38">
        <f t="shared" si="1"/>
        <v>106000</v>
      </c>
      <c r="F8" s="91">
        <f t="shared" si="2"/>
        <v>0</v>
      </c>
      <c r="G8" s="38"/>
      <c r="H8" s="38"/>
      <c r="I8" s="38">
        <v>17000</v>
      </c>
      <c r="J8" s="38"/>
      <c r="K8" s="38"/>
      <c r="L8" s="38">
        <v>23000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>
        <v>22000</v>
      </c>
      <c r="Y8" s="38"/>
      <c r="Z8" s="38"/>
      <c r="AA8" s="38"/>
      <c r="AB8" s="38"/>
      <c r="AC8" s="38">
        <v>0</v>
      </c>
      <c r="AD8" s="38"/>
      <c r="AE8" s="38">
        <v>0</v>
      </c>
      <c r="AF8" s="38">
        <v>22000</v>
      </c>
      <c r="AG8" s="38"/>
      <c r="AH8" s="38">
        <v>0</v>
      </c>
      <c r="AI8" s="38"/>
      <c r="AJ8" s="38"/>
      <c r="AK8" s="38"/>
      <c r="AL8" s="38">
        <v>0</v>
      </c>
      <c r="AM8" s="38"/>
      <c r="AN8" s="38">
        <v>0</v>
      </c>
      <c r="AO8" s="38"/>
      <c r="AP8" s="38"/>
      <c r="AQ8" s="38"/>
      <c r="AR8" s="38"/>
      <c r="AS8" s="38">
        <v>22000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62"/>
      <c r="BB8" s="62"/>
      <c r="BC8" s="62"/>
      <c r="BD8" s="62"/>
      <c r="BE8" s="62"/>
      <c r="BF8" s="62">
        <v>0</v>
      </c>
    </row>
    <row r="9" spans="1:62">
      <c r="A9" s="38">
        <v>7</v>
      </c>
      <c r="B9" s="5" t="s">
        <v>37</v>
      </c>
      <c r="C9" s="5" t="s">
        <v>333</v>
      </c>
      <c r="D9" s="38">
        <v>62930</v>
      </c>
      <c r="E9" s="38">
        <f t="shared" si="1"/>
        <v>62930</v>
      </c>
      <c r="F9" s="91">
        <f t="shared" si="2"/>
        <v>0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>
        <v>0</v>
      </c>
      <c r="Y9" s="38"/>
      <c r="Z9" s="38"/>
      <c r="AA9" s="38"/>
      <c r="AB9" s="38"/>
      <c r="AC9" s="38">
        <v>0</v>
      </c>
      <c r="AD9" s="38"/>
      <c r="AE9" s="38">
        <v>11000</v>
      </c>
      <c r="AF9" s="38">
        <v>0</v>
      </c>
      <c r="AG9" s="38"/>
      <c r="AH9" s="38">
        <v>0</v>
      </c>
      <c r="AI9" s="38"/>
      <c r="AJ9" s="38"/>
      <c r="AK9" s="38"/>
      <c r="AL9" s="38">
        <v>18000</v>
      </c>
      <c r="AM9" s="38"/>
      <c r="AN9" s="38">
        <v>26000</v>
      </c>
      <c r="AO9" s="38"/>
      <c r="AP9" s="38"/>
      <c r="AQ9" s="38"/>
      <c r="AR9" s="38"/>
      <c r="AS9" s="38">
        <v>0</v>
      </c>
      <c r="AT9" s="38">
        <v>0</v>
      </c>
      <c r="AU9" s="38">
        <v>0</v>
      </c>
      <c r="AV9" s="38">
        <v>0</v>
      </c>
      <c r="AW9" s="38">
        <v>0</v>
      </c>
      <c r="AX9" s="38">
        <v>0</v>
      </c>
      <c r="AY9" s="38">
        <v>0</v>
      </c>
      <c r="AZ9" s="38">
        <v>0</v>
      </c>
      <c r="BA9" s="62"/>
      <c r="BB9" s="62"/>
      <c r="BC9" s="62"/>
      <c r="BD9" s="62"/>
      <c r="BE9" s="62"/>
      <c r="BF9" s="62">
        <v>7930</v>
      </c>
    </row>
    <row r="10" spans="1:62">
      <c r="A10" s="38">
        <v>8</v>
      </c>
      <c r="B10" s="5" t="s">
        <v>338</v>
      </c>
      <c r="C10" s="5" t="s">
        <v>333</v>
      </c>
      <c r="D10" s="38">
        <v>9000</v>
      </c>
      <c r="E10" s="38">
        <f t="shared" si="1"/>
        <v>9000</v>
      </c>
      <c r="F10" s="91">
        <f t="shared" si="2"/>
        <v>0</v>
      </c>
      <c r="G10" s="38"/>
      <c r="H10" s="38"/>
      <c r="I10" s="38"/>
      <c r="J10" s="38">
        <v>0</v>
      </c>
      <c r="K10" s="38"/>
      <c r="L10" s="38"/>
      <c r="M10" s="38"/>
      <c r="N10" s="38"/>
      <c r="O10" s="38"/>
      <c r="P10" s="38">
        <v>9000</v>
      </c>
      <c r="Q10" s="38"/>
      <c r="R10" s="38"/>
      <c r="S10" s="38"/>
      <c r="T10" s="38"/>
      <c r="U10" s="38"/>
      <c r="V10" s="38"/>
      <c r="W10" s="38"/>
      <c r="X10" s="38">
        <v>0</v>
      </c>
      <c r="Y10" s="38"/>
      <c r="Z10" s="38"/>
      <c r="AA10" s="38"/>
      <c r="AB10" s="38"/>
      <c r="AC10" s="38">
        <v>0</v>
      </c>
      <c r="AD10" s="38"/>
      <c r="AE10" s="38">
        <v>0</v>
      </c>
      <c r="AF10" s="38">
        <v>0</v>
      </c>
      <c r="AG10" s="38"/>
      <c r="AH10" s="38">
        <v>0</v>
      </c>
      <c r="AI10" s="38"/>
      <c r="AJ10" s="38"/>
      <c r="AK10" s="38"/>
      <c r="AL10" s="38">
        <v>0</v>
      </c>
      <c r="AM10" s="38"/>
      <c r="AN10" s="38">
        <v>0</v>
      </c>
      <c r="AO10" s="38"/>
      <c r="AP10" s="38"/>
      <c r="AQ10" s="38"/>
      <c r="AR10" s="38"/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62"/>
      <c r="BB10" s="62"/>
      <c r="BC10" s="62"/>
      <c r="BD10" s="62"/>
      <c r="BE10" s="62"/>
      <c r="BF10" s="62"/>
    </row>
    <row r="11" spans="1:62">
      <c r="A11" s="38">
        <v>9</v>
      </c>
      <c r="B11" s="5" t="s">
        <v>306</v>
      </c>
      <c r="C11" s="5" t="s">
        <v>301</v>
      </c>
      <c r="D11" s="38">
        <v>46250</v>
      </c>
      <c r="E11" s="38">
        <f t="shared" si="1"/>
        <v>66938</v>
      </c>
      <c r="F11" s="91">
        <f t="shared" si="2"/>
        <v>-20688</v>
      </c>
      <c r="G11" s="38"/>
      <c r="H11" s="38"/>
      <c r="I11" s="38"/>
      <c r="J11" s="38"/>
      <c r="K11" s="38"/>
      <c r="L11" s="38"/>
      <c r="M11" s="38"/>
      <c r="N11" s="38">
        <v>2500</v>
      </c>
      <c r="O11" s="38">
        <v>2500</v>
      </c>
      <c r="P11" s="38">
        <v>5000</v>
      </c>
      <c r="Q11" s="38"/>
      <c r="R11" s="38">
        <f>3465+4455+2475</f>
        <v>10395</v>
      </c>
      <c r="S11" s="38">
        <v>228</v>
      </c>
      <c r="T11" s="38"/>
      <c r="U11" s="38">
        <v>2500</v>
      </c>
      <c r="V11" s="38"/>
      <c r="W11" s="38">
        <v>9000</v>
      </c>
      <c r="X11" s="38">
        <v>2500</v>
      </c>
      <c r="Y11" s="38"/>
      <c r="Z11" s="38"/>
      <c r="AA11" s="38"/>
      <c r="AB11" s="38"/>
      <c r="AC11" s="38">
        <v>0</v>
      </c>
      <c r="AD11" s="38"/>
      <c r="AE11" s="38">
        <v>0</v>
      </c>
      <c r="AF11" s="38">
        <v>18000</v>
      </c>
      <c r="AG11" s="38"/>
      <c r="AH11" s="38">
        <v>0</v>
      </c>
      <c r="AI11" s="38">
        <v>2250</v>
      </c>
      <c r="AJ11" s="38"/>
      <c r="AK11" s="38"/>
      <c r="AL11" s="38">
        <v>0</v>
      </c>
      <c r="AM11" s="38"/>
      <c r="AN11" s="38">
        <v>0</v>
      </c>
      <c r="AO11" s="38"/>
      <c r="AP11" s="38"/>
      <c r="AQ11" s="38"/>
      <c r="AR11" s="38"/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62"/>
      <c r="BB11" s="62"/>
      <c r="BC11" s="62"/>
      <c r="BD11" s="62"/>
      <c r="BE11" s="62"/>
      <c r="BF11" s="62">
        <v>12065</v>
      </c>
    </row>
    <row r="12" spans="1:62">
      <c r="A12" s="38">
        <v>10</v>
      </c>
      <c r="B12" s="5" t="s">
        <v>34</v>
      </c>
      <c r="C12" s="5" t="s">
        <v>481</v>
      </c>
      <c r="D12" s="38">
        <v>51100</v>
      </c>
      <c r="E12" s="38">
        <f t="shared" si="1"/>
        <v>19618</v>
      </c>
      <c r="F12" s="91">
        <f t="shared" si="2"/>
        <v>31482</v>
      </c>
      <c r="G12" s="38"/>
      <c r="H12" s="38"/>
      <c r="I12" s="38"/>
      <c r="J12" s="38"/>
      <c r="K12" s="38"/>
      <c r="L12" s="38"/>
      <c r="M12" s="38"/>
      <c r="N12" s="38"/>
      <c r="O12" s="38"/>
      <c r="P12" s="38">
        <f>2500+3000</f>
        <v>5500</v>
      </c>
      <c r="Q12" s="38"/>
      <c r="R12" s="38"/>
      <c r="S12" s="38"/>
      <c r="T12" s="38"/>
      <c r="U12" s="38"/>
      <c r="V12" s="38"/>
      <c r="W12" s="38"/>
      <c r="X12" s="38">
        <v>0</v>
      </c>
      <c r="Y12" s="38">
        <v>118</v>
      </c>
      <c r="Z12" s="38"/>
      <c r="AA12" s="38"/>
      <c r="AB12" s="38"/>
      <c r="AC12" s="38">
        <v>0</v>
      </c>
      <c r="AD12" s="38"/>
      <c r="AE12" s="38">
        <v>0</v>
      </c>
      <c r="AF12" s="38">
        <v>0</v>
      </c>
      <c r="AG12" s="38"/>
      <c r="AH12" s="38">
        <v>0</v>
      </c>
      <c r="AI12" s="38"/>
      <c r="AJ12" s="38"/>
      <c r="AK12" s="38"/>
      <c r="AL12" s="38">
        <v>0</v>
      </c>
      <c r="AM12" s="38"/>
      <c r="AN12" s="38">
        <v>0</v>
      </c>
      <c r="AO12" s="38"/>
      <c r="AP12" s="38"/>
      <c r="AQ12" s="38"/>
      <c r="AR12" s="38"/>
      <c r="AS12" s="38">
        <v>0</v>
      </c>
      <c r="AT12" s="38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62"/>
      <c r="BB12" s="62"/>
      <c r="BC12" s="62"/>
      <c r="BD12" s="62"/>
      <c r="BE12" s="62"/>
      <c r="BF12" s="62">
        <v>14000</v>
      </c>
    </row>
    <row r="13" spans="1:62">
      <c r="A13" s="38">
        <v>11</v>
      </c>
      <c r="B13" s="5" t="s">
        <v>306</v>
      </c>
      <c r="C13" s="5" t="s">
        <v>492</v>
      </c>
      <c r="D13" s="38">
        <v>3130</v>
      </c>
      <c r="E13" s="38">
        <f t="shared" si="1"/>
        <v>3130</v>
      </c>
      <c r="F13" s="91">
        <f t="shared" si="2"/>
        <v>0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>
        <v>3130</v>
      </c>
      <c r="W13" s="38"/>
      <c r="X13" s="38">
        <v>0</v>
      </c>
      <c r="Y13" s="38"/>
      <c r="Z13" s="38"/>
      <c r="AA13" s="38"/>
      <c r="AB13" s="38"/>
      <c r="AC13" s="38">
        <v>0</v>
      </c>
      <c r="AD13" s="38"/>
      <c r="AE13" s="38">
        <v>0</v>
      </c>
      <c r="AF13" s="38">
        <v>0</v>
      </c>
      <c r="AG13" s="38"/>
      <c r="AH13" s="38">
        <v>0</v>
      </c>
      <c r="AI13" s="38"/>
      <c r="AJ13" s="38"/>
      <c r="AK13" s="38"/>
      <c r="AL13" s="38">
        <v>0</v>
      </c>
      <c r="AM13" s="38"/>
      <c r="AN13" s="38">
        <v>0</v>
      </c>
      <c r="AO13" s="38"/>
      <c r="AP13" s="38"/>
      <c r="AQ13" s="38"/>
      <c r="AR13" s="38"/>
      <c r="AS13" s="38">
        <v>0</v>
      </c>
      <c r="AT13" s="38">
        <v>0</v>
      </c>
      <c r="AU13" s="38">
        <v>0</v>
      </c>
      <c r="AV13" s="38">
        <v>0</v>
      </c>
      <c r="AW13" s="38">
        <v>0</v>
      </c>
      <c r="AX13" s="38">
        <v>0</v>
      </c>
      <c r="AY13" s="38">
        <v>0</v>
      </c>
      <c r="AZ13" s="38">
        <v>0</v>
      </c>
      <c r="BA13" s="62"/>
      <c r="BB13" s="62"/>
      <c r="BC13" s="62"/>
      <c r="BD13" s="62"/>
      <c r="BE13" s="62"/>
      <c r="BF13" s="62"/>
    </row>
    <row r="14" spans="1:62">
      <c r="A14" s="38">
        <v>12</v>
      </c>
      <c r="B14" s="84" t="s">
        <v>34</v>
      </c>
      <c r="C14" s="5" t="s">
        <v>500</v>
      </c>
      <c r="D14" s="38">
        <f>202569+35000+5000+35000+7000</f>
        <v>284569</v>
      </c>
      <c r="E14" s="38">
        <f>SUM(G14:BJ14)</f>
        <v>277069</v>
      </c>
      <c r="F14" s="91">
        <f t="shared" si="2"/>
        <v>7500</v>
      </c>
      <c r="G14" s="38"/>
      <c r="H14" s="38"/>
      <c r="I14" s="38"/>
      <c r="J14" s="38"/>
      <c r="K14" s="38"/>
      <c r="L14" s="38"/>
      <c r="M14" s="38"/>
      <c r="N14" s="38"/>
      <c r="O14" s="38"/>
      <c r="P14" s="38">
        <f>5000+3000</f>
        <v>8000</v>
      </c>
      <c r="Q14" s="38"/>
      <c r="R14" s="38"/>
      <c r="S14" s="38">
        <v>35640</v>
      </c>
      <c r="T14" s="38"/>
      <c r="U14" s="38"/>
      <c r="V14" s="38">
        <v>0</v>
      </c>
      <c r="W14" s="38"/>
      <c r="X14" s="38">
        <f>6000+2500+6291+8500+8000</f>
        <v>31291</v>
      </c>
      <c r="Y14" s="38"/>
      <c r="Z14" s="38"/>
      <c r="AA14" s="38"/>
      <c r="AB14" s="38"/>
      <c r="AC14" s="38">
        <v>0</v>
      </c>
      <c r="AD14" s="38"/>
      <c r="AE14" s="38"/>
      <c r="AF14" s="38">
        <v>0</v>
      </c>
      <c r="AG14" s="38">
        <f>6000+1000+2850+5000+15000</f>
        <v>29850</v>
      </c>
      <c r="AH14" s="38">
        <v>0</v>
      </c>
      <c r="AI14" s="38"/>
      <c r="AJ14" s="38"/>
      <c r="AK14" s="38">
        <f>6000+4000+15000+25000</f>
        <v>50000</v>
      </c>
      <c r="AL14" s="38">
        <v>0</v>
      </c>
      <c r="AM14" s="38"/>
      <c r="AN14" s="38"/>
      <c r="AO14" s="38">
        <f>6000+15000+15000+25500</f>
        <v>61500</v>
      </c>
      <c r="AP14" s="38"/>
      <c r="AQ14" s="38"/>
      <c r="AR14" s="38"/>
      <c r="AS14" s="38">
        <v>0</v>
      </c>
      <c r="AT14" s="38">
        <v>0</v>
      </c>
      <c r="AU14" s="38">
        <f>8490+6000</f>
        <v>14490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88">
        <v>0</v>
      </c>
      <c r="BB14" s="88">
        <v>21263</v>
      </c>
      <c r="BC14" s="88">
        <v>0</v>
      </c>
      <c r="BD14" s="88">
        <v>0</v>
      </c>
      <c r="BE14" s="88">
        <v>0</v>
      </c>
      <c r="BF14" s="62">
        <v>25035</v>
      </c>
    </row>
    <row r="15" spans="1:62">
      <c r="A15" s="38">
        <v>13</v>
      </c>
      <c r="B15" s="5" t="s">
        <v>306</v>
      </c>
      <c r="C15" s="5" t="s">
        <v>289</v>
      </c>
      <c r="D15" s="38"/>
      <c r="E15" s="38">
        <f t="shared" si="1"/>
        <v>0</v>
      </c>
      <c r="F15" s="91">
        <f t="shared" si="2"/>
        <v>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>
        <v>0</v>
      </c>
      <c r="X15" s="38">
        <v>0</v>
      </c>
      <c r="Y15" s="38"/>
      <c r="Z15" s="38"/>
      <c r="AA15" s="38"/>
      <c r="AB15" s="38"/>
      <c r="AC15" s="38">
        <v>0</v>
      </c>
      <c r="AD15" s="38"/>
      <c r="AE15" s="38">
        <v>0</v>
      </c>
      <c r="AF15" s="38">
        <v>0</v>
      </c>
      <c r="AG15" s="38"/>
      <c r="AH15" s="38">
        <v>0</v>
      </c>
      <c r="AI15" s="38"/>
      <c r="AJ15" s="38"/>
      <c r="AK15" s="38"/>
      <c r="AL15" s="38">
        <v>0</v>
      </c>
      <c r="AM15" s="38"/>
      <c r="AN15" s="38">
        <v>0</v>
      </c>
      <c r="AO15" s="38"/>
      <c r="AP15" s="38"/>
      <c r="AQ15" s="38"/>
      <c r="AR15" s="38"/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62"/>
      <c r="BB15" s="62"/>
      <c r="BC15" s="62"/>
      <c r="BD15" s="62"/>
      <c r="BE15" s="62"/>
      <c r="BF15" s="62"/>
    </row>
    <row r="16" spans="1:62">
      <c r="A16" s="38">
        <v>14</v>
      </c>
      <c r="B16" s="5" t="s">
        <v>285</v>
      </c>
      <c r="C16" s="5" t="s">
        <v>289</v>
      </c>
      <c r="D16" s="38"/>
      <c r="E16" s="38">
        <f t="shared" si="1"/>
        <v>13000</v>
      </c>
      <c r="F16" s="91">
        <f t="shared" si="2"/>
        <v>-13000</v>
      </c>
      <c r="G16" s="38"/>
      <c r="H16" s="38"/>
      <c r="I16" s="38"/>
      <c r="J16" s="38"/>
      <c r="K16" s="38"/>
      <c r="L16" s="38"/>
      <c r="M16" s="38"/>
      <c r="N16" s="38"/>
      <c r="O16" s="38"/>
      <c r="P16" s="38">
        <f>10000+3000</f>
        <v>13000</v>
      </c>
      <c r="Q16" s="38"/>
      <c r="R16" s="38"/>
      <c r="S16" s="38"/>
      <c r="T16" s="38"/>
      <c r="U16" s="38"/>
      <c r="V16" s="38"/>
      <c r="W16" s="38"/>
      <c r="X16" s="38">
        <v>0</v>
      </c>
      <c r="Y16" s="38"/>
      <c r="Z16" s="38"/>
      <c r="AA16" s="38"/>
      <c r="AB16" s="38"/>
      <c r="AC16" s="38">
        <v>0</v>
      </c>
      <c r="AD16" s="38"/>
      <c r="AE16" s="38">
        <v>0</v>
      </c>
      <c r="AF16" s="38">
        <v>0</v>
      </c>
      <c r="AG16" s="38"/>
      <c r="AH16" s="38">
        <v>0</v>
      </c>
      <c r="AI16" s="38"/>
      <c r="AJ16" s="38"/>
      <c r="AK16" s="38"/>
      <c r="AL16" s="38">
        <v>0</v>
      </c>
      <c r="AM16" s="38"/>
      <c r="AN16" s="38">
        <v>0</v>
      </c>
      <c r="AO16" s="38"/>
      <c r="AP16" s="38"/>
      <c r="AQ16" s="38"/>
      <c r="AR16" s="38"/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62"/>
      <c r="BB16" s="62"/>
      <c r="BC16" s="62"/>
      <c r="BD16" s="62"/>
      <c r="BE16" s="62"/>
      <c r="BF16" s="62"/>
    </row>
    <row r="17" spans="1:58">
      <c r="A17" s="38">
        <v>15</v>
      </c>
      <c r="B17" s="5"/>
      <c r="C17" s="5"/>
      <c r="D17" s="5"/>
      <c r="E17" s="38"/>
      <c r="F17" s="91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>
        <v>0</v>
      </c>
      <c r="Y17" s="5"/>
      <c r="Z17" s="5"/>
      <c r="AA17" s="5"/>
      <c r="AB17" s="5"/>
      <c r="AC17" s="5">
        <v>0</v>
      </c>
      <c r="AD17" s="5"/>
      <c r="AE17" s="5">
        <v>0</v>
      </c>
      <c r="AF17" s="5">
        <v>0</v>
      </c>
      <c r="AG17" s="5"/>
      <c r="AH17" s="5">
        <v>0</v>
      </c>
      <c r="AI17" s="5"/>
      <c r="AJ17" s="5"/>
      <c r="AK17" s="5"/>
      <c r="AL17" s="5">
        <v>0</v>
      </c>
      <c r="AM17" s="5"/>
      <c r="AN17" s="5">
        <v>0</v>
      </c>
      <c r="AO17" s="5"/>
      <c r="AP17" s="5"/>
      <c r="AQ17" s="5"/>
      <c r="AR17" s="5"/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61"/>
      <c r="BB17" s="61"/>
      <c r="BC17" s="61"/>
      <c r="BD17" s="61"/>
      <c r="BE17" s="61"/>
      <c r="BF17" s="61"/>
    </row>
    <row r="18" spans="1:58">
      <c r="A18" s="38">
        <v>16</v>
      </c>
      <c r="B18" s="5"/>
      <c r="C18" s="5"/>
      <c r="D18" s="5"/>
      <c r="E18" s="38"/>
      <c r="F18" s="91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>
        <v>0</v>
      </c>
      <c r="Y18" s="5"/>
      <c r="Z18" s="5"/>
      <c r="AA18" s="5"/>
      <c r="AB18" s="5"/>
      <c r="AC18" s="5">
        <v>0</v>
      </c>
      <c r="AD18" s="5"/>
      <c r="AE18" s="5">
        <v>0</v>
      </c>
      <c r="AF18" s="5">
        <v>0</v>
      </c>
      <c r="AG18" s="5"/>
      <c r="AH18" s="5">
        <v>0</v>
      </c>
      <c r="AI18" s="5"/>
      <c r="AJ18" s="5"/>
      <c r="AK18" s="5"/>
      <c r="AL18" s="5">
        <v>0</v>
      </c>
      <c r="AM18" s="5"/>
      <c r="AN18" s="5">
        <v>0</v>
      </c>
      <c r="AO18" s="5"/>
      <c r="AP18" s="5"/>
      <c r="AQ18" s="5"/>
      <c r="AR18" s="5"/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61"/>
      <c r="BB18" s="61"/>
      <c r="BC18" s="61"/>
      <c r="BD18" s="61"/>
      <c r="BE18" s="61"/>
      <c r="BF18" s="61"/>
    </row>
    <row r="19" spans="1:58">
      <c r="A19" s="38">
        <v>17</v>
      </c>
      <c r="B19" s="5"/>
      <c r="C19" s="5"/>
      <c r="D19" s="5"/>
      <c r="E19" s="38"/>
      <c r="F19" s="91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>
        <v>0</v>
      </c>
      <c r="Y19" s="5"/>
      <c r="Z19" s="5"/>
      <c r="AA19" s="5"/>
      <c r="AB19" s="5"/>
      <c r="AC19" s="5">
        <v>0</v>
      </c>
      <c r="AD19" s="5"/>
      <c r="AE19" s="5">
        <v>0</v>
      </c>
      <c r="AF19" s="5">
        <v>0</v>
      </c>
      <c r="AG19" s="5"/>
      <c r="AH19" s="5">
        <v>0</v>
      </c>
      <c r="AI19" s="5"/>
      <c r="AJ19" s="5"/>
      <c r="AK19" s="5"/>
      <c r="AL19" s="5">
        <v>0</v>
      </c>
      <c r="AM19" s="5"/>
      <c r="AN19" s="5">
        <v>0</v>
      </c>
      <c r="AO19" s="5"/>
      <c r="AP19" s="5"/>
      <c r="AQ19" s="5"/>
      <c r="AR19" s="5"/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61"/>
      <c r="BB19" s="61"/>
      <c r="BC19" s="61"/>
      <c r="BD19" s="61"/>
      <c r="BE19" s="61"/>
      <c r="BF19" s="61"/>
    </row>
    <row r="20" spans="1:58">
      <c r="A20" s="38">
        <v>18</v>
      </c>
      <c r="B20" s="5"/>
      <c r="C20" s="5"/>
      <c r="D20" s="5">
        <v>45042</v>
      </c>
      <c r="E20" s="38"/>
      <c r="F20" s="91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>
        <v>0</v>
      </c>
      <c r="Y20" s="5"/>
      <c r="Z20" s="5"/>
      <c r="AA20" s="5"/>
      <c r="AB20" s="5"/>
      <c r="AC20" s="5">
        <v>0</v>
      </c>
      <c r="AD20" s="5"/>
      <c r="AE20" s="5">
        <v>0</v>
      </c>
      <c r="AF20" s="5">
        <v>0</v>
      </c>
      <c r="AG20" s="5"/>
      <c r="AH20" s="5">
        <v>0</v>
      </c>
      <c r="AI20" s="5"/>
      <c r="AJ20" s="5"/>
      <c r="AK20" s="5"/>
      <c r="AL20" s="5">
        <v>0</v>
      </c>
      <c r="AM20" s="5"/>
      <c r="AN20" s="5">
        <v>0</v>
      </c>
      <c r="AO20" s="5"/>
      <c r="AP20" s="5"/>
      <c r="AQ20" s="5"/>
      <c r="AR20" s="5"/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61"/>
      <c r="BB20" s="61"/>
      <c r="BC20" s="61"/>
      <c r="BD20" s="61"/>
      <c r="BE20" s="61"/>
      <c r="BF20" s="61"/>
    </row>
    <row r="21" spans="1:58">
      <c r="A21" s="38">
        <v>19</v>
      </c>
      <c r="B21" s="5"/>
      <c r="C21" s="5"/>
      <c r="D21" s="5"/>
      <c r="E21" s="38"/>
      <c r="F21" s="91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>
        <v>0</v>
      </c>
      <c r="Y21" s="5"/>
      <c r="Z21" s="5"/>
      <c r="AA21" s="5"/>
      <c r="AB21" s="5"/>
      <c r="AC21" s="5">
        <v>0</v>
      </c>
      <c r="AD21" s="5"/>
      <c r="AE21" s="5">
        <v>0</v>
      </c>
      <c r="AF21" s="5">
        <v>0</v>
      </c>
      <c r="AG21" s="5"/>
      <c r="AH21" s="5">
        <v>0</v>
      </c>
      <c r="AI21" s="5"/>
      <c r="AJ21" s="5"/>
      <c r="AK21" s="5"/>
      <c r="AL21" s="5">
        <v>0</v>
      </c>
      <c r="AM21" s="5"/>
      <c r="AN21" s="5">
        <v>0</v>
      </c>
      <c r="AO21" s="5"/>
      <c r="AP21" s="5"/>
      <c r="AQ21" s="5"/>
      <c r="AR21" s="5"/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61"/>
      <c r="BB21" s="61"/>
      <c r="BC21" s="61"/>
      <c r="BD21" s="61"/>
      <c r="BE21" s="61"/>
      <c r="BF21" s="61"/>
    </row>
    <row r="22" spans="1:58">
      <c r="A22" s="38">
        <v>20</v>
      </c>
      <c r="B22" s="5"/>
      <c r="C22" s="5"/>
      <c r="D22" s="5"/>
      <c r="E22" s="38"/>
      <c r="F22" s="91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>
        <v>0</v>
      </c>
      <c r="Y22" s="5"/>
      <c r="Z22" s="5"/>
      <c r="AA22" s="5"/>
      <c r="AB22" s="5"/>
      <c r="AC22" s="5">
        <v>0</v>
      </c>
      <c r="AD22" s="5"/>
      <c r="AE22" s="5">
        <v>0</v>
      </c>
      <c r="AF22" s="5">
        <v>0</v>
      </c>
      <c r="AG22" s="5"/>
      <c r="AH22" s="5">
        <v>0</v>
      </c>
      <c r="AI22" s="5"/>
      <c r="AJ22" s="5"/>
      <c r="AK22" s="5"/>
      <c r="AL22" s="5">
        <v>0</v>
      </c>
      <c r="AM22" s="5"/>
      <c r="AN22" s="5">
        <v>0</v>
      </c>
      <c r="AO22" s="5"/>
      <c r="AP22" s="5"/>
      <c r="AQ22" s="5"/>
      <c r="AR22" s="5"/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61"/>
      <c r="BB22" s="61"/>
      <c r="BC22" s="61"/>
      <c r="BD22" s="61"/>
      <c r="BE22" s="61"/>
      <c r="BF22" s="61"/>
    </row>
    <row r="23" spans="1:58">
      <c r="A23" s="38">
        <v>21</v>
      </c>
      <c r="B23" s="5"/>
      <c r="C23" s="5"/>
      <c r="D23" s="5"/>
      <c r="E23" s="38"/>
      <c r="F23" s="91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>
        <v>0</v>
      </c>
      <c r="Y23" s="5"/>
      <c r="Z23" s="5"/>
      <c r="AA23" s="5"/>
      <c r="AB23" s="5"/>
      <c r="AC23" s="5">
        <v>0</v>
      </c>
      <c r="AD23" s="5"/>
      <c r="AE23" s="5">
        <v>0</v>
      </c>
      <c r="AF23" s="5">
        <v>0</v>
      </c>
      <c r="AG23" s="5"/>
      <c r="AH23" s="5">
        <v>0</v>
      </c>
      <c r="AI23" s="5"/>
      <c r="AJ23" s="5"/>
      <c r="AK23" s="5"/>
      <c r="AL23" s="5">
        <v>0</v>
      </c>
      <c r="AM23" s="5"/>
      <c r="AN23" s="5">
        <v>0</v>
      </c>
      <c r="AO23" s="5"/>
      <c r="AP23" s="5"/>
      <c r="AQ23" s="5"/>
      <c r="AR23" s="5"/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61"/>
      <c r="BB23" s="61"/>
      <c r="BC23" s="61"/>
      <c r="BD23" s="61"/>
      <c r="BE23" s="61"/>
      <c r="BF23" s="61"/>
    </row>
    <row r="24" spans="1:58">
      <c r="A24" s="38">
        <v>22</v>
      </c>
      <c r="B24" s="5"/>
      <c r="C24" s="5"/>
      <c r="D24" s="5"/>
      <c r="E24" s="38"/>
      <c r="F24" s="91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>
        <v>0</v>
      </c>
      <c r="Y24" s="5"/>
      <c r="Z24" s="5"/>
      <c r="AA24" s="5"/>
      <c r="AB24" s="5"/>
      <c r="AC24" s="5">
        <v>0</v>
      </c>
      <c r="AD24" s="5"/>
      <c r="AE24" s="5">
        <v>0</v>
      </c>
      <c r="AF24" s="5">
        <v>0</v>
      </c>
      <c r="AG24" s="5"/>
      <c r="AH24" s="5">
        <v>0</v>
      </c>
      <c r="AI24" s="5"/>
      <c r="AJ24" s="5"/>
      <c r="AK24" s="5"/>
      <c r="AL24" s="5">
        <v>0</v>
      </c>
      <c r="AM24" s="5"/>
      <c r="AN24" s="5">
        <v>0</v>
      </c>
      <c r="AO24" s="5"/>
      <c r="AP24" s="5"/>
      <c r="AQ24" s="5"/>
      <c r="AR24" s="5"/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61"/>
      <c r="BB24" s="61"/>
      <c r="BC24" s="61"/>
      <c r="BD24" s="61"/>
      <c r="BE24" s="61"/>
      <c r="BF24" s="61"/>
    </row>
    <row r="25" spans="1:58">
      <c r="A25" s="38">
        <v>23</v>
      </c>
      <c r="B25" s="5"/>
      <c r="C25" s="5"/>
      <c r="D25" s="5"/>
      <c r="E25" s="38"/>
      <c r="F25" s="91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>
        <v>0</v>
      </c>
      <c r="Y25" s="5"/>
      <c r="Z25" s="5"/>
      <c r="AA25" s="5"/>
      <c r="AB25" s="5"/>
      <c r="AC25" s="5">
        <v>0</v>
      </c>
      <c r="AD25" s="5"/>
      <c r="AE25" s="5">
        <v>0</v>
      </c>
      <c r="AF25" s="5">
        <v>0</v>
      </c>
      <c r="AG25" s="5"/>
      <c r="AH25" s="5">
        <v>0</v>
      </c>
      <c r="AI25" s="5"/>
      <c r="AJ25" s="5"/>
      <c r="AK25" s="5"/>
      <c r="AL25" s="5">
        <v>0</v>
      </c>
      <c r="AM25" s="5"/>
      <c r="AN25" s="5">
        <v>0</v>
      </c>
      <c r="AO25" s="5"/>
      <c r="AP25" s="5"/>
      <c r="AQ25" s="5"/>
      <c r="AR25" s="5"/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61"/>
      <c r="BB25" s="61"/>
      <c r="BC25" s="61"/>
      <c r="BD25" s="61"/>
      <c r="BE25" s="61"/>
      <c r="BF25" s="61"/>
    </row>
    <row r="26" spans="1:58">
      <c r="A26" s="38">
        <v>24</v>
      </c>
      <c r="B26" s="6"/>
      <c r="C26" s="6"/>
      <c r="D26" s="6"/>
      <c r="E26" s="9"/>
      <c r="F26" s="9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8">
        <v>0</v>
      </c>
      <c r="Y26" s="5"/>
      <c r="Z26" s="5"/>
      <c r="AA26" s="5"/>
      <c r="AB26" s="5"/>
      <c r="AC26" s="5">
        <v>0</v>
      </c>
      <c r="AD26" s="5"/>
      <c r="AE26" s="5">
        <v>0</v>
      </c>
      <c r="AF26" s="5">
        <v>0</v>
      </c>
      <c r="AG26" s="5"/>
      <c r="AH26" s="5">
        <v>0</v>
      </c>
      <c r="AI26" s="5"/>
      <c r="AJ26" s="5"/>
      <c r="AK26" s="5"/>
      <c r="AL26" s="5">
        <v>0</v>
      </c>
      <c r="AM26" s="5"/>
      <c r="AN26" s="5">
        <v>0</v>
      </c>
      <c r="AO26" s="5"/>
      <c r="AP26" s="5"/>
      <c r="AQ26" s="5"/>
      <c r="AR26" s="5"/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61"/>
      <c r="BB26" s="61"/>
      <c r="BC26" s="61"/>
      <c r="BD26" s="61"/>
      <c r="BE26" s="61"/>
      <c r="BF26" s="61"/>
    </row>
    <row r="27" spans="1:58">
      <c r="A27" s="38">
        <v>25</v>
      </c>
      <c r="B27" s="6"/>
      <c r="C27" s="6"/>
      <c r="D27" s="6"/>
      <c r="E27" s="9"/>
      <c r="F27" s="9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8">
        <v>0</v>
      </c>
      <c r="Y27" s="5"/>
      <c r="Z27" s="5"/>
      <c r="AA27" s="5"/>
      <c r="AB27" s="5"/>
      <c r="AC27" s="5">
        <v>0</v>
      </c>
      <c r="AD27" s="5"/>
      <c r="AE27" s="5">
        <v>0</v>
      </c>
      <c r="AF27" s="5">
        <v>0</v>
      </c>
      <c r="AG27" s="5"/>
      <c r="AH27" s="5">
        <v>0</v>
      </c>
      <c r="AI27" s="5"/>
      <c r="AJ27" s="5"/>
      <c r="AK27" s="5"/>
      <c r="AL27" s="5">
        <v>0</v>
      </c>
      <c r="AM27" s="5"/>
      <c r="AN27" s="5">
        <v>0</v>
      </c>
      <c r="AO27" s="5"/>
      <c r="AP27" s="5"/>
      <c r="AQ27" s="5"/>
      <c r="AR27" s="5"/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61"/>
      <c r="BB27" s="61"/>
      <c r="BC27" s="61"/>
      <c r="BD27" s="61"/>
      <c r="BE27" s="61"/>
      <c r="BF27" s="61"/>
    </row>
    <row r="28" spans="1:58">
      <c r="A28" s="38">
        <v>26</v>
      </c>
      <c r="B28" s="6"/>
      <c r="C28" s="6"/>
      <c r="D28" s="6"/>
      <c r="E28" s="9"/>
      <c r="F28" s="9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8">
        <v>0</v>
      </c>
      <c r="Y28" s="5"/>
      <c r="Z28" s="5"/>
      <c r="AA28" s="5"/>
      <c r="AB28" s="5"/>
      <c r="AC28" s="5">
        <v>0</v>
      </c>
      <c r="AD28" s="5"/>
      <c r="AE28" s="5">
        <v>0</v>
      </c>
      <c r="AF28" s="5">
        <v>0</v>
      </c>
      <c r="AG28" s="5"/>
      <c r="AH28" s="5">
        <v>0</v>
      </c>
      <c r="AI28" s="5"/>
      <c r="AJ28" s="5"/>
      <c r="AK28" s="5"/>
      <c r="AL28" s="5">
        <v>0</v>
      </c>
      <c r="AM28" s="5"/>
      <c r="AN28" s="5">
        <v>0</v>
      </c>
      <c r="AO28" s="5"/>
      <c r="AP28" s="5"/>
      <c r="AQ28" s="5"/>
      <c r="AR28" s="5"/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61"/>
      <c r="BB28" s="61"/>
      <c r="BC28" s="61"/>
      <c r="BD28" s="61"/>
      <c r="BE28" s="61"/>
      <c r="BF28" s="61"/>
    </row>
    <row r="29" spans="1:58">
      <c r="A29" s="38">
        <v>27</v>
      </c>
      <c r="B29" s="6"/>
      <c r="C29" s="6"/>
      <c r="D29" s="6"/>
      <c r="E29" s="9"/>
      <c r="F29" s="9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8">
        <v>0</v>
      </c>
      <c r="Y29" s="5"/>
      <c r="Z29" s="5"/>
      <c r="AA29" s="5"/>
      <c r="AB29" s="5"/>
      <c r="AC29" s="5">
        <v>0</v>
      </c>
      <c r="AD29" s="5"/>
      <c r="AE29" s="5">
        <v>0</v>
      </c>
      <c r="AF29" s="5">
        <v>0</v>
      </c>
      <c r="AG29" s="5"/>
      <c r="AH29" s="5">
        <v>0</v>
      </c>
      <c r="AI29" s="5"/>
      <c r="AJ29" s="5"/>
      <c r="AK29" s="5"/>
      <c r="AL29" s="5">
        <v>0</v>
      </c>
      <c r="AM29" s="5"/>
      <c r="AN29" s="5">
        <v>0</v>
      </c>
      <c r="AO29" s="5"/>
      <c r="AP29" s="5"/>
      <c r="AQ29" s="5"/>
      <c r="AR29" s="5"/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61"/>
      <c r="BB29" s="61"/>
      <c r="BC29" s="61"/>
      <c r="BD29" s="61"/>
      <c r="BE29" s="61"/>
      <c r="BF29" s="61"/>
    </row>
    <row r="30" spans="1:58">
      <c r="A30" s="38">
        <v>28</v>
      </c>
      <c r="B30" s="6"/>
      <c r="C30" s="6"/>
      <c r="D30" s="6"/>
      <c r="E30" s="9"/>
      <c r="F30" s="9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5">
        <v>0</v>
      </c>
      <c r="Y30" s="5"/>
      <c r="Z30" s="5"/>
      <c r="AA30" s="5"/>
      <c r="AB30" s="5"/>
      <c r="AC30" s="5">
        <v>0</v>
      </c>
      <c r="AD30" s="5"/>
      <c r="AE30" s="5">
        <v>0</v>
      </c>
      <c r="AF30" s="5">
        <v>0</v>
      </c>
      <c r="AG30" s="5"/>
      <c r="AH30" s="5">
        <v>0</v>
      </c>
      <c r="AI30" s="5"/>
      <c r="AJ30" s="5"/>
      <c r="AK30" s="5"/>
      <c r="AL30" s="5">
        <v>0</v>
      </c>
      <c r="AM30" s="5"/>
      <c r="AN30" s="5">
        <v>0</v>
      </c>
      <c r="AO30" s="5"/>
      <c r="AP30" s="5"/>
      <c r="AQ30" s="5"/>
      <c r="AR30" s="5"/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61"/>
      <c r="BB30" s="61"/>
      <c r="BC30" s="61"/>
      <c r="BD30" s="61"/>
      <c r="BE30" s="61"/>
      <c r="BF30" s="61"/>
    </row>
    <row r="31" spans="1:58">
      <c r="A31" s="38">
        <v>29</v>
      </c>
      <c r="B31" s="6"/>
      <c r="C31" s="6"/>
      <c r="D31" s="6"/>
      <c r="E31" s="38"/>
      <c r="F31" s="91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5">
        <v>0</v>
      </c>
      <c r="Y31" s="5"/>
      <c r="Z31" s="5"/>
      <c r="AA31" s="5"/>
      <c r="AB31" s="5"/>
      <c r="AC31" s="5">
        <v>0</v>
      </c>
      <c r="AD31" s="5"/>
      <c r="AE31" s="5">
        <v>0</v>
      </c>
      <c r="AF31" s="5">
        <v>0</v>
      </c>
      <c r="AG31" s="5"/>
      <c r="AH31" s="5">
        <v>0</v>
      </c>
      <c r="AI31" s="5"/>
      <c r="AJ31" s="5"/>
      <c r="AK31" s="5"/>
      <c r="AL31" s="5">
        <v>0</v>
      </c>
      <c r="AM31" s="5"/>
      <c r="AN31" s="5">
        <v>0</v>
      </c>
      <c r="AO31" s="5"/>
      <c r="AP31" s="5"/>
      <c r="AQ31" s="5"/>
      <c r="AR31" s="5"/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61"/>
      <c r="BB31" s="61"/>
      <c r="BC31" s="61"/>
      <c r="BD31" s="61"/>
      <c r="BE31" s="61"/>
      <c r="BF31" s="61"/>
    </row>
    <row r="32" spans="1:58">
      <c r="A32" s="38">
        <v>30</v>
      </c>
      <c r="B32" s="6"/>
      <c r="C32" s="6"/>
      <c r="D32" s="6"/>
      <c r="E32" s="9"/>
      <c r="F32" s="9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5">
        <v>0</v>
      </c>
      <c r="Y32" s="5"/>
      <c r="Z32" s="5"/>
      <c r="AA32" s="5"/>
      <c r="AB32" s="5"/>
      <c r="AC32" s="5">
        <v>0</v>
      </c>
      <c r="AD32" s="5"/>
      <c r="AE32" s="5">
        <v>0</v>
      </c>
      <c r="AF32" s="5">
        <v>0</v>
      </c>
      <c r="AG32" s="5"/>
      <c r="AH32" s="5">
        <v>0</v>
      </c>
      <c r="AI32" s="5"/>
      <c r="AJ32" s="5"/>
      <c r="AK32" s="5"/>
      <c r="AL32" s="5">
        <v>0</v>
      </c>
      <c r="AM32" s="5"/>
      <c r="AN32" s="5">
        <v>0</v>
      </c>
      <c r="AO32" s="5"/>
      <c r="AP32" s="5"/>
      <c r="AQ32" s="5"/>
      <c r="AR32" s="5"/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61"/>
      <c r="BB32" s="61"/>
      <c r="BC32" s="61"/>
      <c r="BD32" s="61"/>
      <c r="BE32" s="61"/>
      <c r="BF32" s="61"/>
    </row>
    <row r="33" spans="1:58">
      <c r="A33" s="38">
        <v>31</v>
      </c>
      <c r="B33" s="6"/>
      <c r="C33" s="6"/>
      <c r="D33" s="6"/>
      <c r="E33" s="9"/>
      <c r="F33" s="9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5">
        <v>0</v>
      </c>
      <c r="Y33" s="5"/>
      <c r="Z33" s="5"/>
      <c r="AA33" s="5"/>
      <c r="AB33" s="5"/>
      <c r="AC33" s="5">
        <v>0</v>
      </c>
      <c r="AD33" s="5"/>
      <c r="AE33" s="5">
        <v>0</v>
      </c>
      <c r="AF33" s="5">
        <v>0</v>
      </c>
      <c r="AG33" s="5"/>
      <c r="AH33" s="5">
        <v>0</v>
      </c>
      <c r="AI33" s="5"/>
      <c r="AJ33" s="5"/>
      <c r="AK33" s="5"/>
      <c r="AL33" s="5">
        <v>0</v>
      </c>
      <c r="AM33" s="5"/>
      <c r="AN33" s="5">
        <v>0</v>
      </c>
      <c r="AO33" s="5"/>
      <c r="AP33" s="5"/>
      <c r="AQ33" s="5"/>
      <c r="AR33" s="5"/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61"/>
      <c r="BB33" s="61"/>
      <c r="BC33" s="61"/>
      <c r="BD33" s="61"/>
      <c r="BE33" s="61"/>
      <c r="BF33" s="61"/>
    </row>
    <row r="34" spans="1:58">
      <c r="A34" s="9">
        <v>32</v>
      </c>
      <c r="B34" s="6"/>
      <c r="C34" s="6"/>
      <c r="D34" s="6"/>
      <c r="E34" s="9"/>
      <c r="F34" s="9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5">
        <v>0</v>
      </c>
      <c r="Y34" s="5"/>
      <c r="Z34" s="5"/>
      <c r="AA34" s="5"/>
      <c r="AB34" s="5"/>
      <c r="AC34" s="5">
        <v>0</v>
      </c>
      <c r="AD34" s="5"/>
      <c r="AE34" s="5">
        <v>0</v>
      </c>
      <c r="AF34" s="5">
        <v>0</v>
      </c>
      <c r="AG34" s="5"/>
      <c r="AH34" s="5">
        <v>0</v>
      </c>
      <c r="AI34" s="5"/>
      <c r="AJ34" s="5"/>
      <c r="AK34" s="5"/>
      <c r="AL34" s="5">
        <v>0</v>
      </c>
      <c r="AM34" s="5"/>
      <c r="AN34" s="5">
        <v>0</v>
      </c>
      <c r="AO34" s="5"/>
      <c r="AP34" s="5"/>
      <c r="AQ34" s="5"/>
      <c r="AR34" s="5"/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61"/>
      <c r="BB34" s="61"/>
      <c r="BC34" s="61"/>
      <c r="BD34" s="61"/>
      <c r="BE34" s="61"/>
      <c r="BF34" s="61"/>
    </row>
    <row r="35" spans="1:58">
      <c r="A35" s="9">
        <v>33</v>
      </c>
      <c r="B35" s="6"/>
      <c r="C35" s="6"/>
      <c r="D35" s="6"/>
      <c r="E35" s="38"/>
      <c r="F35" s="91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5">
        <v>0</v>
      </c>
      <c r="Y35" s="5"/>
      <c r="Z35" s="5"/>
      <c r="AA35" s="5"/>
      <c r="AB35" s="5"/>
      <c r="AC35" s="5">
        <v>0</v>
      </c>
      <c r="AD35" s="5"/>
      <c r="AE35" s="5">
        <v>0</v>
      </c>
      <c r="AF35" s="5">
        <v>0</v>
      </c>
      <c r="AG35" s="5"/>
      <c r="AH35" s="5">
        <v>0</v>
      </c>
      <c r="AI35" s="5"/>
      <c r="AJ35" s="5"/>
      <c r="AK35" s="5"/>
      <c r="AL35" s="5">
        <v>0</v>
      </c>
      <c r="AM35" s="5"/>
      <c r="AN35" s="5">
        <v>0</v>
      </c>
      <c r="AO35" s="5"/>
      <c r="AP35" s="5"/>
      <c r="AQ35" s="5"/>
      <c r="AR35" s="5"/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61"/>
      <c r="BB35" s="61"/>
      <c r="BC35" s="61"/>
      <c r="BD35" s="61"/>
      <c r="BE35" s="61"/>
      <c r="BF35" s="61"/>
    </row>
    <row r="36" spans="1:58">
      <c r="A36" s="9">
        <v>34</v>
      </c>
      <c r="B36" s="6"/>
      <c r="C36" s="6"/>
      <c r="D36" s="6"/>
      <c r="E36" s="38"/>
      <c r="F36" s="91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5">
        <v>0</v>
      </c>
      <c r="Y36" s="5"/>
      <c r="Z36" s="5"/>
      <c r="AA36" s="5"/>
      <c r="AB36" s="5"/>
      <c r="AC36" s="5">
        <v>0</v>
      </c>
      <c r="AD36" s="5"/>
      <c r="AE36" s="5">
        <v>0</v>
      </c>
      <c r="AF36" s="5">
        <v>0</v>
      </c>
      <c r="AG36" s="5"/>
      <c r="AH36" s="5">
        <v>0</v>
      </c>
      <c r="AI36" s="5"/>
      <c r="AJ36" s="5"/>
      <c r="AK36" s="5"/>
      <c r="AL36" s="5">
        <v>0</v>
      </c>
      <c r="AM36" s="5"/>
      <c r="AN36" s="5">
        <v>0</v>
      </c>
      <c r="AO36" s="5"/>
      <c r="AP36" s="5"/>
      <c r="AQ36" s="5"/>
      <c r="AR36" s="5"/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61"/>
      <c r="BB36" s="61"/>
      <c r="BC36" s="61"/>
      <c r="BD36" s="61"/>
      <c r="BE36" s="61"/>
      <c r="BF36" s="61"/>
    </row>
    <row r="37" spans="1:58">
      <c r="A37" s="9">
        <v>35</v>
      </c>
      <c r="B37" s="6"/>
      <c r="C37" s="6"/>
      <c r="D37" s="6"/>
      <c r="E37" s="9"/>
      <c r="F37" s="91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5">
        <v>0</v>
      </c>
      <c r="Y37" s="5"/>
      <c r="Z37" s="5"/>
      <c r="AA37" s="5"/>
      <c r="AB37" s="5"/>
      <c r="AC37" s="5">
        <v>0</v>
      </c>
      <c r="AD37" s="5"/>
      <c r="AE37" s="5">
        <v>0</v>
      </c>
      <c r="AF37" s="5">
        <v>0</v>
      </c>
      <c r="AG37" s="5"/>
      <c r="AH37" s="5">
        <v>0</v>
      </c>
      <c r="AI37" s="5"/>
      <c r="AJ37" s="5"/>
      <c r="AK37" s="5"/>
      <c r="AL37" s="5">
        <v>0</v>
      </c>
      <c r="AM37" s="5"/>
      <c r="AN37" s="5">
        <v>0</v>
      </c>
      <c r="AO37" s="5"/>
      <c r="AP37" s="5"/>
      <c r="AQ37" s="5"/>
      <c r="AR37" s="5"/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61"/>
      <c r="BB37" s="61"/>
      <c r="BC37" s="61"/>
      <c r="BD37" s="61"/>
      <c r="BE37" s="61"/>
      <c r="BF37" s="61"/>
    </row>
    <row r="38" spans="1:58">
      <c r="A38" s="38">
        <v>36</v>
      </c>
      <c r="B38" s="5"/>
      <c r="C38" s="5"/>
      <c r="D38" s="5"/>
      <c r="E38" s="38"/>
      <c r="F38" s="91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5">
        <v>0</v>
      </c>
      <c r="Y38" s="5"/>
      <c r="Z38" s="5"/>
      <c r="AA38" s="5"/>
      <c r="AB38" s="5"/>
      <c r="AC38" s="5">
        <v>0</v>
      </c>
      <c r="AD38" s="5"/>
      <c r="AE38" s="5">
        <v>0</v>
      </c>
      <c r="AF38" s="5">
        <v>0</v>
      </c>
      <c r="AG38" s="5"/>
      <c r="AH38" s="5">
        <v>0</v>
      </c>
      <c r="AI38" s="5"/>
      <c r="AJ38" s="5"/>
      <c r="AK38" s="5"/>
      <c r="AL38" s="5">
        <v>0</v>
      </c>
      <c r="AM38" s="5"/>
      <c r="AN38" s="5">
        <v>0</v>
      </c>
      <c r="AO38" s="5"/>
      <c r="AP38" s="5"/>
      <c r="AQ38" s="5"/>
      <c r="AR38" s="5"/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61"/>
      <c r="BB38" s="61"/>
      <c r="BC38" s="61"/>
      <c r="BD38" s="61"/>
      <c r="BE38" s="61"/>
      <c r="BF38" s="61"/>
    </row>
    <row r="39" spans="1:58">
      <c r="A39" s="14">
        <v>37</v>
      </c>
      <c r="B39" s="5"/>
      <c r="C39" s="5"/>
      <c r="D39" s="5"/>
      <c r="E39" s="38"/>
      <c r="F39" s="91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5">
        <v>0</v>
      </c>
      <c r="Y39" s="5"/>
      <c r="Z39" s="5"/>
      <c r="AA39" s="5"/>
      <c r="AB39" s="5"/>
      <c r="AC39" s="5">
        <v>0</v>
      </c>
      <c r="AD39" s="5"/>
      <c r="AE39" s="5">
        <v>0</v>
      </c>
      <c r="AF39" s="5">
        <v>0</v>
      </c>
      <c r="AG39" s="5"/>
      <c r="AH39" s="5">
        <v>0</v>
      </c>
      <c r="AI39" s="5"/>
      <c r="AJ39" s="5"/>
      <c r="AK39" s="5"/>
      <c r="AL39" s="5">
        <v>0</v>
      </c>
      <c r="AM39" s="5"/>
      <c r="AN39" s="5">
        <v>0</v>
      </c>
      <c r="AO39" s="5"/>
      <c r="AP39" s="5"/>
      <c r="AQ39" s="5"/>
      <c r="AR39" s="5"/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61"/>
      <c r="BB39" s="61"/>
      <c r="BC39" s="61"/>
      <c r="BD39" s="61"/>
      <c r="BE39" s="61"/>
      <c r="BF39" s="61"/>
    </row>
    <row r="40" spans="1:58">
      <c r="A40" s="14">
        <v>38</v>
      </c>
      <c r="B40" s="5"/>
      <c r="C40" s="5"/>
      <c r="D40" s="5"/>
      <c r="E40" s="38"/>
      <c r="F40" s="91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5">
        <v>0</v>
      </c>
      <c r="Y40" s="5"/>
      <c r="Z40" s="5"/>
      <c r="AA40" s="5"/>
      <c r="AB40" s="5"/>
      <c r="AC40" s="5">
        <v>0</v>
      </c>
      <c r="AD40" s="5"/>
      <c r="AE40" s="5">
        <v>0</v>
      </c>
      <c r="AF40" s="5">
        <v>0</v>
      </c>
      <c r="AG40" s="5"/>
      <c r="AH40" s="5">
        <v>0</v>
      </c>
      <c r="AI40" s="5"/>
      <c r="AJ40" s="5"/>
      <c r="AK40" s="5"/>
      <c r="AL40" s="5">
        <v>0</v>
      </c>
      <c r="AM40" s="5"/>
      <c r="AN40" s="5">
        <v>0</v>
      </c>
      <c r="AO40" s="5"/>
      <c r="AP40" s="5"/>
      <c r="AQ40" s="5"/>
      <c r="AR40" s="5"/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61"/>
      <c r="BB40" s="61"/>
      <c r="BC40" s="61"/>
      <c r="BD40" s="61"/>
      <c r="BE40" s="61"/>
      <c r="BF40" s="61"/>
    </row>
    <row r="41" spans="1:58">
      <c r="A41" s="14">
        <v>39</v>
      </c>
      <c r="B41" s="5"/>
      <c r="C41" s="5"/>
      <c r="D41" s="5"/>
      <c r="E41" s="38"/>
      <c r="F41" s="91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5">
        <v>0</v>
      </c>
      <c r="Y41" s="5"/>
      <c r="Z41" s="5"/>
      <c r="AA41" s="5"/>
      <c r="AB41" s="5"/>
      <c r="AC41" s="5">
        <v>0</v>
      </c>
      <c r="AD41" s="5"/>
      <c r="AE41" s="5">
        <v>0</v>
      </c>
      <c r="AF41" s="5">
        <v>0</v>
      </c>
      <c r="AG41" s="5"/>
      <c r="AH41" s="5">
        <v>0</v>
      </c>
      <c r="AI41" s="5"/>
      <c r="AJ41" s="5"/>
      <c r="AK41" s="5"/>
      <c r="AL41" s="5">
        <v>0</v>
      </c>
      <c r="AM41" s="5"/>
      <c r="AN41" s="5">
        <v>0</v>
      </c>
      <c r="AO41" s="5"/>
      <c r="AP41" s="5"/>
      <c r="AQ41" s="5"/>
      <c r="AR41" s="5"/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61"/>
      <c r="BB41" s="61"/>
      <c r="BC41" s="61"/>
      <c r="BD41" s="61"/>
      <c r="BE41" s="61"/>
      <c r="BF41" s="61"/>
    </row>
    <row r="42" spans="1:58">
      <c r="A42" s="14">
        <v>40</v>
      </c>
      <c r="B42" s="5"/>
      <c r="C42" s="5"/>
      <c r="D42" s="5"/>
      <c r="E42" s="38"/>
      <c r="F42" s="91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5">
        <v>0</v>
      </c>
      <c r="Y42" s="5"/>
      <c r="Z42" s="5"/>
      <c r="AA42" s="5"/>
      <c r="AB42" s="5"/>
      <c r="AC42" s="5">
        <v>0</v>
      </c>
      <c r="AD42" s="5"/>
      <c r="AE42" s="5">
        <v>0</v>
      </c>
      <c r="AF42" s="5">
        <v>0</v>
      </c>
      <c r="AG42" s="5"/>
      <c r="AH42" s="5">
        <v>0</v>
      </c>
      <c r="AI42" s="5"/>
      <c r="AJ42" s="5"/>
      <c r="AK42" s="5"/>
      <c r="AL42" s="5">
        <v>0</v>
      </c>
      <c r="AM42" s="5"/>
      <c r="AN42" s="5">
        <v>0</v>
      </c>
      <c r="AO42" s="5"/>
      <c r="AP42" s="5"/>
      <c r="AQ42" s="5"/>
      <c r="AR42" s="5"/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61"/>
      <c r="BB42" s="61"/>
      <c r="BC42" s="61"/>
      <c r="BD42" s="61"/>
      <c r="BE42" s="61"/>
      <c r="BF42" s="61"/>
    </row>
    <row r="43" spans="1:58">
      <c r="A43" s="14">
        <v>41</v>
      </c>
      <c r="B43" s="5"/>
      <c r="C43" s="5"/>
      <c r="D43" s="5"/>
      <c r="E43" s="38"/>
      <c r="F43" s="91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5">
        <v>0</v>
      </c>
      <c r="Y43" s="5"/>
      <c r="Z43" s="5"/>
      <c r="AA43" s="5"/>
      <c r="AB43" s="5"/>
      <c r="AC43" s="5">
        <v>0</v>
      </c>
      <c r="AD43" s="5"/>
      <c r="AE43" s="5">
        <v>0</v>
      </c>
      <c r="AF43" s="5">
        <v>0</v>
      </c>
      <c r="AG43" s="5"/>
      <c r="AH43" s="5">
        <v>0</v>
      </c>
      <c r="AI43" s="5"/>
      <c r="AJ43" s="5"/>
      <c r="AK43" s="5"/>
      <c r="AL43" s="5">
        <v>0</v>
      </c>
      <c r="AM43" s="5"/>
      <c r="AN43" s="5">
        <v>0</v>
      </c>
      <c r="AO43" s="5"/>
      <c r="AP43" s="5"/>
      <c r="AQ43" s="5"/>
      <c r="AR43" s="5"/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61"/>
      <c r="BB43" s="61"/>
      <c r="BC43" s="61"/>
      <c r="BD43" s="61"/>
      <c r="BE43" s="61"/>
      <c r="BF43" s="61"/>
    </row>
    <row r="44" spans="1:58">
      <c r="A44" s="14">
        <v>42</v>
      </c>
      <c r="B44" s="24"/>
      <c r="C44" s="24"/>
      <c r="D44" s="25"/>
      <c r="E44" s="38"/>
      <c r="F44" s="91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5">
        <v>0</v>
      </c>
      <c r="Y44" s="5"/>
      <c r="Z44" s="5"/>
      <c r="AA44" s="5"/>
      <c r="AB44" s="5"/>
      <c r="AC44" s="5">
        <v>0</v>
      </c>
      <c r="AD44" s="5"/>
      <c r="AE44" s="5">
        <v>0</v>
      </c>
      <c r="AF44" s="5">
        <v>0</v>
      </c>
      <c r="AG44" s="5"/>
      <c r="AH44" s="5">
        <v>0</v>
      </c>
      <c r="AI44" s="5"/>
      <c r="AJ44" s="5"/>
      <c r="AK44" s="5"/>
      <c r="AL44" s="5">
        <v>0</v>
      </c>
      <c r="AM44" s="5"/>
      <c r="AN44" s="5">
        <v>0</v>
      </c>
      <c r="AO44" s="5"/>
      <c r="AP44" s="5"/>
      <c r="AQ44" s="5"/>
      <c r="AR44" s="5"/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61"/>
      <c r="BB44" s="61"/>
      <c r="BC44" s="61"/>
      <c r="BD44" s="61"/>
      <c r="BE44" s="61"/>
      <c r="BF44" s="61"/>
    </row>
    <row r="45" spans="1:58">
      <c r="A45" s="14">
        <v>43</v>
      </c>
      <c r="B45" s="23"/>
      <c r="C45" s="23"/>
      <c r="D45" s="26"/>
      <c r="E45" s="38"/>
      <c r="F45" s="91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5">
        <v>0</v>
      </c>
      <c r="Y45" s="5"/>
      <c r="Z45" s="5"/>
      <c r="AA45" s="5"/>
      <c r="AB45" s="5"/>
      <c r="AC45" s="5">
        <v>0</v>
      </c>
      <c r="AD45" s="5"/>
      <c r="AE45" s="5">
        <v>0</v>
      </c>
      <c r="AF45" s="5">
        <v>0</v>
      </c>
      <c r="AG45" s="5"/>
      <c r="AH45" s="5">
        <v>0</v>
      </c>
      <c r="AI45" s="5"/>
      <c r="AJ45" s="5"/>
      <c r="AK45" s="5"/>
      <c r="AL45" s="5">
        <v>0</v>
      </c>
      <c r="AM45" s="5"/>
      <c r="AN45" s="5">
        <v>0</v>
      </c>
      <c r="AO45" s="5"/>
      <c r="AP45" s="5"/>
      <c r="AQ45" s="5"/>
      <c r="AR45" s="5"/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61"/>
      <c r="BB45" s="61"/>
      <c r="BC45" s="61"/>
      <c r="BD45" s="61"/>
      <c r="BE45" s="61"/>
      <c r="BF45" s="61"/>
    </row>
    <row r="46" spans="1:58">
      <c r="A46" s="14">
        <v>44</v>
      </c>
      <c r="B46" s="23"/>
      <c r="C46" s="23"/>
      <c r="D46" s="26"/>
      <c r="E46" s="38"/>
      <c r="F46" s="91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5">
        <v>0</v>
      </c>
      <c r="Y46" s="5"/>
      <c r="Z46" s="5"/>
      <c r="AA46" s="5"/>
      <c r="AB46" s="5"/>
      <c r="AC46" s="5">
        <v>0</v>
      </c>
      <c r="AD46" s="5"/>
      <c r="AE46" s="5">
        <v>0</v>
      </c>
      <c r="AF46" s="5">
        <v>0</v>
      </c>
      <c r="AG46" s="5"/>
      <c r="AH46" s="5">
        <v>0</v>
      </c>
      <c r="AI46" s="5"/>
      <c r="AJ46" s="5"/>
      <c r="AK46" s="5"/>
      <c r="AL46" s="5">
        <v>0</v>
      </c>
      <c r="AM46" s="5"/>
      <c r="AN46" s="5">
        <v>0</v>
      </c>
      <c r="AO46" s="5"/>
      <c r="AP46" s="5"/>
      <c r="AQ46" s="5"/>
      <c r="AR46" s="5"/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61"/>
      <c r="BB46" s="61"/>
      <c r="BC46" s="61"/>
      <c r="BD46" s="61"/>
      <c r="BE46" s="61"/>
      <c r="BF46" s="61"/>
    </row>
    <row r="47" spans="1:58">
      <c r="A47" s="14">
        <v>45</v>
      </c>
      <c r="B47" s="23"/>
      <c r="C47" s="23"/>
      <c r="D47" s="26"/>
      <c r="E47" s="26"/>
      <c r="F47" s="92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5">
        <v>0</v>
      </c>
      <c r="Y47" s="5"/>
      <c r="Z47" s="5"/>
      <c r="AA47" s="5"/>
      <c r="AB47" s="5"/>
      <c r="AC47" s="5">
        <v>0</v>
      </c>
      <c r="AD47" s="5"/>
      <c r="AE47" s="5">
        <v>0</v>
      </c>
      <c r="AF47" s="5">
        <v>0</v>
      </c>
      <c r="AG47" s="5"/>
      <c r="AH47" s="5">
        <v>0</v>
      </c>
      <c r="AI47" s="5"/>
      <c r="AJ47" s="5"/>
      <c r="AK47" s="5"/>
      <c r="AL47" s="5">
        <v>0</v>
      </c>
      <c r="AM47" s="5"/>
      <c r="AN47" s="5">
        <v>0</v>
      </c>
      <c r="AO47" s="5"/>
      <c r="AP47" s="5"/>
      <c r="AQ47" s="5"/>
      <c r="AR47" s="5"/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61"/>
      <c r="BB47" s="61"/>
      <c r="BC47" s="61"/>
      <c r="BD47" s="61"/>
      <c r="BE47" s="61"/>
      <c r="BF47" s="61"/>
    </row>
    <row r="48" spans="1:58">
      <c r="A48" s="14">
        <v>46</v>
      </c>
      <c r="B48" s="23"/>
      <c r="C48" s="23"/>
      <c r="D48" s="26"/>
      <c r="E48" s="26"/>
      <c r="F48" s="92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5">
        <v>0</v>
      </c>
      <c r="Y48" s="5"/>
      <c r="Z48" s="5"/>
      <c r="AA48" s="5"/>
      <c r="AB48" s="5"/>
      <c r="AC48" s="5">
        <v>0</v>
      </c>
      <c r="AD48" s="5"/>
      <c r="AE48" s="5">
        <v>0</v>
      </c>
      <c r="AF48" s="5">
        <v>0</v>
      </c>
      <c r="AG48" s="5"/>
      <c r="AH48" s="5">
        <v>0</v>
      </c>
      <c r="AI48" s="5"/>
      <c r="AJ48" s="5"/>
      <c r="AK48" s="5"/>
      <c r="AL48" s="5">
        <v>0</v>
      </c>
      <c r="AM48" s="5"/>
      <c r="AN48" s="5">
        <v>0</v>
      </c>
      <c r="AO48" s="5"/>
      <c r="AP48" s="5"/>
      <c r="AQ48" s="5"/>
      <c r="AR48" s="5"/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61"/>
      <c r="BB48" s="61"/>
      <c r="BC48" s="61"/>
      <c r="BD48" s="61"/>
      <c r="BE48" s="61"/>
      <c r="BF48" s="61"/>
    </row>
    <row r="49" spans="1:58">
      <c r="A49" s="14">
        <v>47</v>
      </c>
      <c r="B49" s="23"/>
      <c r="C49" s="23"/>
      <c r="D49" s="26"/>
      <c r="E49" s="26"/>
      <c r="F49" s="92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5">
        <v>0</v>
      </c>
      <c r="Y49" s="5"/>
      <c r="Z49" s="5"/>
      <c r="AA49" s="5"/>
      <c r="AB49" s="5"/>
      <c r="AC49" s="5">
        <v>0</v>
      </c>
      <c r="AD49" s="5"/>
      <c r="AE49" s="5">
        <v>0</v>
      </c>
      <c r="AF49" s="5">
        <v>0</v>
      </c>
      <c r="AG49" s="5"/>
      <c r="AH49" s="5">
        <v>0</v>
      </c>
      <c r="AI49" s="5"/>
      <c r="AJ49" s="5"/>
      <c r="AK49" s="5"/>
      <c r="AL49" s="5">
        <v>0</v>
      </c>
      <c r="AM49" s="5"/>
      <c r="AN49" s="5">
        <v>0</v>
      </c>
      <c r="AO49" s="5"/>
      <c r="AP49" s="5"/>
      <c r="AQ49" s="5"/>
      <c r="AR49" s="5"/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61"/>
      <c r="BB49" s="61"/>
      <c r="BC49" s="61"/>
      <c r="BD49" s="61"/>
      <c r="BE49" s="61"/>
      <c r="BF49" s="61"/>
    </row>
    <row r="50" spans="1:58">
      <c r="A50" s="14">
        <v>48</v>
      </c>
      <c r="B50" s="23"/>
      <c r="C50" s="23"/>
      <c r="D50" s="26"/>
      <c r="E50" s="26"/>
      <c r="F50" s="92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5">
        <v>0</v>
      </c>
      <c r="Y50" s="5"/>
      <c r="Z50" s="5"/>
      <c r="AA50" s="5"/>
      <c r="AB50" s="5"/>
      <c r="AC50" s="5">
        <v>0</v>
      </c>
      <c r="AD50" s="5"/>
      <c r="AE50" s="5">
        <v>0</v>
      </c>
      <c r="AF50" s="5">
        <v>0</v>
      </c>
      <c r="AG50" s="5"/>
      <c r="AH50" s="5">
        <v>0</v>
      </c>
      <c r="AI50" s="5"/>
      <c r="AJ50" s="5"/>
      <c r="AK50" s="5"/>
      <c r="AL50" s="5">
        <v>0</v>
      </c>
      <c r="AM50" s="5"/>
      <c r="AN50" s="5">
        <v>0</v>
      </c>
      <c r="AO50" s="5"/>
      <c r="AP50" s="5"/>
      <c r="AQ50" s="5"/>
      <c r="AR50" s="5"/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61"/>
      <c r="BB50" s="61"/>
      <c r="BC50" s="61"/>
      <c r="BD50" s="61"/>
      <c r="BE50" s="61"/>
      <c r="BF50" s="61"/>
    </row>
    <row r="51" spans="1:58">
      <c r="A51" s="14">
        <v>49</v>
      </c>
      <c r="B51" s="23"/>
      <c r="C51" s="23"/>
      <c r="D51" s="26"/>
      <c r="E51" s="26"/>
      <c r="F51" s="92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5">
        <v>0</v>
      </c>
      <c r="Y51" s="5"/>
      <c r="Z51" s="5"/>
      <c r="AA51" s="5"/>
      <c r="AB51" s="5"/>
      <c r="AC51" s="5">
        <v>0</v>
      </c>
      <c r="AD51" s="5"/>
      <c r="AE51" s="5">
        <v>0</v>
      </c>
      <c r="AF51" s="5">
        <v>0</v>
      </c>
      <c r="AG51" s="5"/>
      <c r="AH51" s="5">
        <v>0</v>
      </c>
      <c r="AI51" s="5"/>
      <c r="AJ51" s="5"/>
      <c r="AK51" s="5"/>
      <c r="AL51" s="5">
        <v>0</v>
      </c>
      <c r="AM51" s="5"/>
      <c r="AN51" s="5">
        <v>0</v>
      </c>
      <c r="AO51" s="5"/>
      <c r="AP51" s="5"/>
      <c r="AQ51" s="5"/>
      <c r="AR51" s="5"/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61"/>
      <c r="BB51" s="61"/>
      <c r="BC51" s="61"/>
      <c r="BD51" s="61"/>
      <c r="BE51" s="61"/>
      <c r="BF51" s="61"/>
    </row>
    <row r="52" spans="1:58">
      <c r="A52" s="14">
        <v>50</v>
      </c>
      <c r="B52" s="23"/>
      <c r="C52" s="23"/>
      <c r="D52" s="26"/>
      <c r="E52" s="26"/>
      <c r="F52" s="92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5">
        <v>0</v>
      </c>
      <c r="Y52" s="5"/>
      <c r="Z52" s="5"/>
      <c r="AA52" s="5"/>
      <c r="AB52" s="5"/>
      <c r="AC52" s="5">
        <v>0</v>
      </c>
      <c r="AD52" s="5"/>
      <c r="AE52" s="5">
        <v>0</v>
      </c>
      <c r="AF52" s="5">
        <v>0</v>
      </c>
      <c r="AG52" s="5"/>
      <c r="AH52" s="5">
        <v>0</v>
      </c>
      <c r="AI52" s="5"/>
      <c r="AJ52" s="5"/>
      <c r="AK52" s="5"/>
      <c r="AL52" s="5">
        <v>0</v>
      </c>
      <c r="AM52" s="5"/>
      <c r="AN52" s="5">
        <v>0</v>
      </c>
      <c r="AO52" s="5"/>
      <c r="AP52" s="5"/>
      <c r="AQ52" s="5"/>
      <c r="AR52" s="5"/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61"/>
      <c r="BB52" s="61"/>
      <c r="BC52" s="61"/>
      <c r="BD52" s="61"/>
      <c r="BE52" s="61"/>
      <c r="BF52" s="61"/>
    </row>
    <row r="53" spans="1:58">
      <c r="A53" s="14">
        <v>51</v>
      </c>
      <c r="B53" s="23"/>
      <c r="C53" s="23"/>
      <c r="D53" s="26"/>
      <c r="E53" s="26"/>
      <c r="F53" s="92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5">
        <v>0</v>
      </c>
      <c r="Y53" s="5"/>
      <c r="Z53" s="5"/>
      <c r="AA53" s="5"/>
      <c r="AB53" s="5"/>
      <c r="AC53" s="5">
        <v>0</v>
      </c>
      <c r="AD53" s="5"/>
      <c r="AE53" s="5">
        <v>0</v>
      </c>
      <c r="AF53" s="5">
        <v>0</v>
      </c>
      <c r="AG53" s="5"/>
      <c r="AH53" s="5">
        <v>0</v>
      </c>
      <c r="AI53" s="5"/>
      <c r="AJ53" s="5"/>
      <c r="AK53" s="5"/>
      <c r="AL53" s="5">
        <v>0</v>
      </c>
      <c r="AM53" s="5"/>
      <c r="AN53" s="5">
        <v>0</v>
      </c>
      <c r="AO53" s="5"/>
      <c r="AP53" s="5"/>
      <c r="AQ53" s="5"/>
      <c r="AR53" s="5"/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61"/>
      <c r="BB53" s="61"/>
      <c r="BC53" s="61"/>
      <c r="BD53" s="61"/>
      <c r="BE53" s="61"/>
      <c r="BF53" s="61"/>
    </row>
    <row r="54" spans="1:58">
      <c r="A54" s="14">
        <v>52</v>
      </c>
      <c r="B54" s="23"/>
      <c r="C54" s="23"/>
      <c r="D54" s="26"/>
      <c r="E54" s="26"/>
      <c r="F54" s="92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5">
        <v>0</v>
      </c>
      <c r="Y54" s="5"/>
      <c r="Z54" s="5"/>
      <c r="AA54" s="5"/>
      <c r="AB54" s="5"/>
      <c r="AC54" s="5">
        <v>0</v>
      </c>
      <c r="AD54" s="5"/>
      <c r="AE54" s="5">
        <v>0</v>
      </c>
      <c r="AF54" s="5">
        <v>0</v>
      </c>
      <c r="AG54" s="5"/>
      <c r="AH54" s="5">
        <v>0</v>
      </c>
      <c r="AI54" s="5"/>
      <c r="AJ54" s="5"/>
      <c r="AK54" s="5"/>
      <c r="AL54" s="5">
        <v>0</v>
      </c>
      <c r="AM54" s="5"/>
      <c r="AN54" s="5">
        <v>0</v>
      </c>
      <c r="AO54" s="5"/>
      <c r="AP54" s="5"/>
      <c r="AQ54" s="5"/>
      <c r="AR54" s="5"/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61"/>
      <c r="BB54" s="61"/>
      <c r="BC54" s="61"/>
      <c r="BD54" s="61"/>
      <c r="BE54" s="61"/>
      <c r="BF54" s="61"/>
    </row>
    <row r="55" spans="1:58">
      <c r="A55" s="14">
        <v>53</v>
      </c>
      <c r="B55" s="23"/>
      <c r="C55" s="23"/>
      <c r="D55" s="26"/>
      <c r="E55" s="26"/>
      <c r="F55" s="9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5">
        <v>0</v>
      </c>
      <c r="Y55" s="5"/>
      <c r="Z55" s="5"/>
      <c r="AA55" s="5"/>
      <c r="AB55" s="5"/>
      <c r="AC55" s="5">
        <v>0</v>
      </c>
      <c r="AD55" s="5"/>
      <c r="AE55" s="5">
        <v>0</v>
      </c>
      <c r="AF55" s="5">
        <v>0</v>
      </c>
      <c r="AG55" s="5"/>
      <c r="AH55" s="5">
        <v>0</v>
      </c>
      <c r="AI55" s="5"/>
      <c r="AJ55" s="5"/>
      <c r="AK55" s="5"/>
      <c r="AL55" s="5">
        <v>0</v>
      </c>
      <c r="AM55" s="5"/>
      <c r="AN55" s="5">
        <v>0</v>
      </c>
      <c r="AO55" s="5"/>
      <c r="AP55" s="5"/>
      <c r="AQ55" s="5"/>
      <c r="AR55" s="5"/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61"/>
      <c r="BB55" s="61"/>
      <c r="BC55" s="61"/>
      <c r="BD55" s="61"/>
      <c r="BE55" s="61"/>
      <c r="BF55" s="61"/>
    </row>
    <row r="56" spans="1:58">
      <c r="A56" s="14">
        <v>54</v>
      </c>
      <c r="B56" s="23"/>
      <c r="C56" s="23"/>
      <c r="D56" s="26"/>
      <c r="E56" s="26"/>
      <c r="F56" s="92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5">
        <v>0</v>
      </c>
      <c r="Y56" s="5"/>
      <c r="Z56" s="5"/>
      <c r="AA56" s="5"/>
      <c r="AB56" s="5"/>
      <c r="AC56" s="5">
        <v>0</v>
      </c>
      <c r="AD56" s="5"/>
      <c r="AE56" s="5">
        <v>0</v>
      </c>
      <c r="AF56" s="5">
        <v>0</v>
      </c>
      <c r="AG56" s="5"/>
      <c r="AH56" s="5">
        <v>0</v>
      </c>
      <c r="AI56" s="5"/>
      <c r="AJ56" s="5"/>
      <c r="AK56" s="5"/>
      <c r="AL56" s="5">
        <v>0</v>
      </c>
      <c r="AM56" s="5"/>
      <c r="AN56" s="5">
        <v>0</v>
      </c>
      <c r="AO56" s="5"/>
      <c r="AP56" s="5"/>
      <c r="AQ56" s="5"/>
      <c r="AR56" s="5"/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61"/>
      <c r="BB56" s="61"/>
      <c r="BC56" s="61"/>
      <c r="BD56" s="61"/>
      <c r="BE56" s="61"/>
      <c r="BF56" s="61"/>
    </row>
    <row r="57" spans="1:58">
      <c r="A57" s="14">
        <v>55</v>
      </c>
      <c r="B57" s="23"/>
      <c r="C57" s="23"/>
      <c r="D57" s="26"/>
      <c r="E57" s="26"/>
      <c r="F57" s="9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5">
        <v>0</v>
      </c>
      <c r="Y57" s="5"/>
      <c r="Z57" s="5"/>
      <c r="AA57" s="5"/>
      <c r="AB57" s="5"/>
      <c r="AC57" s="5">
        <v>0</v>
      </c>
      <c r="AD57" s="5"/>
      <c r="AE57" s="5">
        <v>0</v>
      </c>
      <c r="AF57" s="5">
        <v>0</v>
      </c>
      <c r="AG57" s="5"/>
      <c r="AH57" s="5">
        <v>0</v>
      </c>
      <c r="AI57" s="5"/>
      <c r="AJ57" s="5"/>
      <c r="AK57" s="5"/>
      <c r="AL57" s="5">
        <v>0</v>
      </c>
      <c r="AM57" s="5"/>
      <c r="AN57" s="5">
        <v>0</v>
      </c>
      <c r="AO57" s="5"/>
      <c r="AP57" s="5"/>
      <c r="AQ57" s="5"/>
      <c r="AR57" s="5"/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61"/>
      <c r="BB57" s="61"/>
      <c r="BC57" s="61"/>
      <c r="BD57" s="61"/>
      <c r="BE57" s="61"/>
      <c r="BF57" s="61"/>
    </row>
    <row r="58" spans="1:58">
      <c r="A58" s="14">
        <v>56</v>
      </c>
      <c r="B58" s="23"/>
      <c r="C58" s="23"/>
      <c r="D58" s="26"/>
      <c r="E58" s="26"/>
      <c r="F58" s="9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5">
        <v>0</v>
      </c>
      <c r="Y58" s="5"/>
      <c r="Z58" s="5"/>
      <c r="AA58" s="5"/>
      <c r="AB58" s="5"/>
      <c r="AC58" s="5">
        <v>0</v>
      </c>
      <c r="AD58" s="5"/>
      <c r="AE58" s="5">
        <v>0</v>
      </c>
      <c r="AF58" s="5">
        <v>0</v>
      </c>
      <c r="AG58" s="5"/>
      <c r="AH58" s="5">
        <v>0</v>
      </c>
      <c r="AI58" s="5"/>
      <c r="AJ58" s="5"/>
      <c r="AK58" s="5"/>
      <c r="AL58" s="5">
        <v>0</v>
      </c>
      <c r="AM58" s="5"/>
      <c r="AN58" s="5">
        <v>0</v>
      </c>
      <c r="AO58" s="5"/>
      <c r="AP58" s="5"/>
      <c r="AQ58" s="5"/>
      <c r="AR58" s="5"/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61"/>
      <c r="BB58" s="61"/>
      <c r="BC58" s="61"/>
      <c r="BD58" s="61"/>
      <c r="BE58" s="61"/>
      <c r="BF58" s="61"/>
    </row>
    <row r="59" spans="1:58">
      <c r="A59" s="14">
        <v>57</v>
      </c>
      <c r="B59" s="23"/>
      <c r="C59" s="23"/>
      <c r="D59" s="26"/>
      <c r="E59" s="26"/>
      <c r="F59" s="9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5">
        <v>0</v>
      </c>
      <c r="Y59" s="5"/>
      <c r="Z59" s="5"/>
      <c r="AA59" s="5"/>
      <c r="AB59" s="5"/>
      <c r="AC59" s="5">
        <v>0</v>
      </c>
      <c r="AD59" s="5"/>
      <c r="AE59" s="5">
        <v>0</v>
      </c>
      <c r="AF59" s="5">
        <v>0</v>
      </c>
      <c r="AG59" s="5"/>
      <c r="AH59" s="5">
        <v>0</v>
      </c>
      <c r="AI59" s="5"/>
      <c r="AJ59" s="5"/>
      <c r="AK59" s="5"/>
      <c r="AL59" s="5">
        <v>0</v>
      </c>
      <c r="AM59" s="5"/>
      <c r="AN59" s="5">
        <v>0</v>
      </c>
      <c r="AO59" s="5"/>
      <c r="AP59" s="5"/>
      <c r="AQ59" s="5"/>
      <c r="AR59" s="5"/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61"/>
      <c r="BB59" s="61"/>
      <c r="BC59" s="61"/>
      <c r="BD59" s="61"/>
      <c r="BE59" s="61"/>
      <c r="BF59" s="61"/>
    </row>
    <row r="60" spans="1:58">
      <c r="A60" s="14">
        <v>58</v>
      </c>
      <c r="B60" s="23"/>
      <c r="C60" s="23"/>
      <c r="D60" s="26"/>
      <c r="E60" s="26"/>
      <c r="F60" s="9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5">
        <v>0</v>
      </c>
      <c r="Y60" s="5"/>
      <c r="Z60" s="5"/>
      <c r="AA60" s="5"/>
      <c r="AB60" s="5"/>
      <c r="AC60" s="5">
        <v>0</v>
      </c>
      <c r="AD60" s="5"/>
      <c r="AE60" s="5">
        <v>0</v>
      </c>
      <c r="AF60" s="5">
        <v>0</v>
      </c>
      <c r="AG60" s="5"/>
      <c r="AH60" s="5">
        <v>0</v>
      </c>
      <c r="AI60" s="5"/>
      <c r="AJ60" s="5"/>
      <c r="AK60" s="5"/>
      <c r="AL60" s="5">
        <v>0</v>
      </c>
      <c r="AM60" s="5"/>
      <c r="AN60" s="5">
        <v>0</v>
      </c>
      <c r="AO60" s="5"/>
      <c r="AP60" s="5"/>
      <c r="AQ60" s="5"/>
      <c r="AR60" s="5"/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61"/>
      <c r="BB60" s="61"/>
      <c r="BC60" s="61"/>
      <c r="BD60" s="61"/>
      <c r="BE60" s="61"/>
      <c r="BF60" s="61"/>
    </row>
    <row r="61" spans="1:58">
      <c r="A61" s="14">
        <v>59</v>
      </c>
      <c r="B61" s="23"/>
      <c r="C61" s="23"/>
      <c r="D61" s="26"/>
      <c r="E61" s="38"/>
      <c r="F61" s="91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5">
        <v>0</v>
      </c>
      <c r="Y61" s="5"/>
      <c r="Z61" s="5"/>
      <c r="AA61" s="5"/>
      <c r="AB61" s="5"/>
      <c r="AC61" s="5">
        <v>0</v>
      </c>
      <c r="AD61" s="5"/>
      <c r="AE61" s="5">
        <v>0</v>
      </c>
      <c r="AF61" s="5">
        <v>0</v>
      </c>
      <c r="AG61" s="5"/>
      <c r="AH61" s="5">
        <v>0</v>
      </c>
      <c r="AI61" s="5"/>
      <c r="AJ61" s="5"/>
      <c r="AK61" s="5"/>
      <c r="AL61" s="5">
        <v>0</v>
      </c>
      <c r="AM61" s="5"/>
      <c r="AN61" s="5">
        <v>0</v>
      </c>
      <c r="AO61" s="5"/>
      <c r="AP61" s="5"/>
      <c r="AQ61" s="5"/>
      <c r="AR61" s="5"/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61"/>
      <c r="BB61" s="61"/>
      <c r="BC61" s="61"/>
      <c r="BD61" s="61"/>
      <c r="BE61" s="61"/>
      <c r="BF61" s="61"/>
    </row>
    <row r="62" spans="1:58">
      <c r="A62" s="14">
        <v>60</v>
      </c>
      <c r="B62" s="5"/>
      <c r="C62" s="5"/>
      <c r="D62" s="5"/>
      <c r="E62" s="38"/>
      <c r="F62" s="91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5">
        <v>0</v>
      </c>
      <c r="Y62" s="5"/>
      <c r="Z62" s="5"/>
      <c r="AA62" s="5"/>
      <c r="AB62" s="5"/>
      <c r="AC62" s="5">
        <v>0</v>
      </c>
      <c r="AD62" s="5"/>
      <c r="AE62" s="5">
        <v>0</v>
      </c>
      <c r="AF62" s="5">
        <v>0</v>
      </c>
      <c r="AG62" s="5"/>
      <c r="AH62" s="5">
        <v>0</v>
      </c>
      <c r="AI62" s="5"/>
      <c r="AJ62" s="5"/>
      <c r="AK62" s="5"/>
      <c r="AL62" s="5">
        <v>0</v>
      </c>
      <c r="AM62" s="5"/>
      <c r="AN62" s="5">
        <v>0</v>
      </c>
      <c r="AO62" s="5"/>
      <c r="AP62" s="5"/>
      <c r="AQ62" s="5"/>
      <c r="AR62" s="5"/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61"/>
      <c r="BB62" s="61"/>
      <c r="BC62" s="61"/>
      <c r="BD62" s="61"/>
      <c r="BE62" s="61"/>
      <c r="BF62" s="61"/>
    </row>
    <row r="63" spans="1:58">
      <c r="A63" s="14">
        <v>61</v>
      </c>
      <c r="B63" s="23"/>
      <c r="C63" s="23"/>
      <c r="D63" s="26"/>
      <c r="E63" s="38"/>
      <c r="F63" s="91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5">
        <v>0</v>
      </c>
      <c r="Y63" s="5"/>
      <c r="Z63" s="5"/>
      <c r="AA63" s="5"/>
      <c r="AB63" s="5"/>
      <c r="AC63" s="5">
        <v>0</v>
      </c>
      <c r="AD63" s="5"/>
      <c r="AE63" s="5">
        <v>0</v>
      </c>
      <c r="AF63" s="5">
        <v>0</v>
      </c>
      <c r="AG63" s="5"/>
      <c r="AH63" s="5">
        <v>0</v>
      </c>
      <c r="AI63" s="5"/>
      <c r="AJ63" s="5"/>
      <c r="AK63" s="5"/>
      <c r="AL63" s="5">
        <v>0</v>
      </c>
      <c r="AM63" s="5"/>
      <c r="AN63" s="5">
        <v>0</v>
      </c>
      <c r="AO63" s="5"/>
      <c r="AP63" s="5"/>
      <c r="AQ63" s="5"/>
      <c r="AR63" s="5"/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61"/>
      <c r="BB63" s="61"/>
      <c r="BC63" s="61"/>
      <c r="BD63" s="61"/>
      <c r="BE63" s="61"/>
      <c r="BF63" s="61"/>
    </row>
    <row r="64" spans="1:58">
      <c r="A64" s="14">
        <v>62</v>
      </c>
      <c r="B64" s="5"/>
      <c r="C64" s="5"/>
      <c r="D64" s="26"/>
      <c r="E64" s="38"/>
      <c r="F64" s="91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5">
        <v>0</v>
      </c>
      <c r="Y64" s="5"/>
      <c r="Z64" s="5"/>
      <c r="AA64" s="5"/>
      <c r="AB64" s="5"/>
      <c r="AC64" s="5">
        <v>0</v>
      </c>
      <c r="AD64" s="5"/>
      <c r="AE64" s="5">
        <v>0</v>
      </c>
      <c r="AF64" s="5">
        <v>0</v>
      </c>
      <c r="AG64" s="5"/>
      <c r="AH64" s="5">
        <v>0</v>
      </c>
      <c r="AI64" s="5"/>
      <c r="AJ64" s="5"/>
      <c r="AK64" s="5"/>
      <c r="AL64" s="5">
        <v>0</v>
      </c>
      <c r="AM64" s="5"/>
      <c r="AN64" s="5">
        <v>0</v>
      </c>
      <c r="AO64" s="5"/>
      <c r="AP64" s="5"/>
      <c r="AQ64" s="5"/>
      <c r="AR64" s="5"/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61"/>
      <c r="BB64" s="61"/>
      <c r="BC64" s="61"/>
      <c r="BD64" s="61"/>
      <c r="BE64" s="61"/>
      <c r="BF64" s="61"/>
    </row>
    <row r="65" spans="1:58">
      <c r="A65" s="14">
        <v>63</v>
      </c>
      <c r="B65" s="23"/>
      <c r="C65" s="23"/>
      <c r="D65" s="26"/>
      <c r="E65" s="38"/>
      <c r="F65" s="91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5">
        <v>0</v>
      </c>
      <c r="Y65" s="5"/>
      <c r="Z65" s="5"/>
      <c r="AA65" s="5"/>
      <c r="AB65" s="5"/>
      <c r="AC65" s="5">
        <v>0</v>
      </c>
      <c r="AD65" s="5"/>
      <c r="AE65" s="5">
        <v>0</v>
      </c>
      <c r="AF65" s="5">
        <v>0</v>
      </c>
      <c r="AG65" s="5"/>
      <c r="AH65" s="5">
        <v>0</v>
      </c>
      <c r="AI65" s="5"/>
      <c r="AJ65" s="5"/>
      <c r="AK65" s="5"/>
      <c r="AL65" s="5">
        <v>0</v>
      </c>
      <c r="AM65" s="5"/>
      <c r="AN65" s="5">
        <v>0</v>
      </c>
      <c r="AO65" s="5"/>
      <c r="AP65" s="5"/>
      <c r="AQ65" s="5"/>
      <c r="AR65" s="5"/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61"/>
      <c r="BB65" s="61"/>
      <c r="BC65" s="61"/>
      <c r="BD65" s="61"/>
      <c r="BE65" s="61"/>
      <c r="BF65" s="61"/>
    </row>
    <row r="66" spans="1:58">
      <c r="A66" s="14">
        <v>64</v>
      </c>
      <c r="B66" s="28"/>
      <c r="C66" s="28"/>
      <c r="D66" s="26"/>
      <c r="E66" s="26"/>
      <c r="F66" s="92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5">
        <v>0</v>
      </c>
      <c r="Y66" s="5"/>
      <c r="Z66" s="5"/>
      <c r="AA66" s="5"/>
      <c r="AB66" s="5"/>
      <c r="AC66" s="5">
        <v>0</v>
      </c>
      <c r="AD66" s="5"/>
      <c r="AE66" s="5">
        <v>0</v>
      </c>
      <c r="AF66" s="5">
        <v>0</v>
      </c>
      <c r="AG66" s="5"/>
      <c r="AH66" s="5">
        <v>0</v>
      </c>
      <c r="AI66" s="5"/>
      <c r="AJ66" s="5"/>
      <c r="AK66" s="5"/>
      <c r="AL66" s="5">
        <v>0</v>
      </c>
      <c r="AM66" s="5"/>
      <c r="AN66" s="5">
        <v>0</v>
      </c>
      <c r="AO66" s="5"/>
      <c r="AP66" s="5"/>
      <c r="AQ66" s="5"/>
      <c r="AR66" s="5"/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61"/>
      <c r="BB66" s="61"/>
      <c r="BC66" s="61"/>
      <c r="BD66" s="61"/>
      <c r="BE66" s="61"/>
      <c r="BF66" s="61"/>
    </row>
    <row r="67" spans="1:58">
      <c r="A67" s="14">
        <v>65</v>
      </c>
      <c r="B67" s="5"/>
      <c r="C67" s="5"/>
      <c r="D67" s="26"/>
      <c r="E67" s="26"/>
      <c r="F67" s="92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5">
        <v>0</v>
      </c>
      <c r="Y67" s="5"/>
      <c r="Z67" s="5"/>
      <c r="AA67" s="5"/>
      <c r="AB67" s="5"/>
      <c r="AC67" s="5">
        <v>0</v>
      </c>
      <c r="AD67" s="5"/>
      <c r="AE67" s="5">
        <v>0</v>
      </c>
      <c r="AF67" s="5">
        <v>0</v>
      </c>
      <c r="AG67" s="5"/>
      <c r="AH67" s="5">
        <v>0</v>
      </c>
      <c r="AI67" s="5"/>
      <c r="AJ67" s="5"/>
      <c r="AK67" s="5"/>
      <c r="AL67" s="5">
        <v>0</v>
      </c>
      <c r="AM67" s="5"/>
      <c r="AN67" s="5">
        <v>0</v>
      </c>
      <c r="AO67" s="5"/>
      <c r="AP67" s="5"/>
      <c r="AQ67" s="5"/>
      <c r="AR67" s="5"/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61"/>
      <c r="BB67" s="61"/>
      <c r="BC67" s="61"/>
      <c r="BD67" s="61"/>
      <c r="BE67" s="61"/>
      <c r="BF67" s="61"/>
    </row>
    <row r="68" spans="1:58">
      <c r="A68" s="14">
        <v>66</v>
      </c>
      <c r="B68" s="28"/>
      <c r="C68" s="28"/>
      <c r="D68" s="26"/>
      <c r="E68" s="26"/>
      <c r="F68" s="92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5">
        <v>0</v>
      </c>
      <c r="Y68" s="5"/>
      <c r="Z68" s="5"/>
      <c r="AA68" s="5"/>
      <c r="AB68" s="5"/>
      <c r="AC68" s="5">
        <v>0</v>
      </c>
      <c r="AD68" s="5"/>
      <c r="AE68" s="5">
        <v>0</v>
      </c>
      <c r="AF68" s="5">
        <v>0</v>
      </c>
      <c r="AG68" s="5"/>
      <c r="AH68" s="5">
        <v>0</v>
      </c>
      <c r="AI68" s="5"/>
      <c r="AJ68" s="5"/>
      <c r="AK68" s="5"/>
      <c r="AL68" s="5">
        <v>0</v>
      </c>
      <c r="AM68" s="5"/>
      <c r="AN68" s="5">
        <v>0</v>
      </c>
      <c r="AO68" s="5"/>
      <c r="AP68" s="5"/>
      <c r="AQ68" s="5"/>
      <c r="AR68" s="5"/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61"/>
      <c r="BB68" s="61"/>
      <c r="BC68" s="61"/>
      <c r="BD68" s="61"/>
      <c r="BE68" s="61"/>
      <c r="BF68" s="61"/>
    </row>
    <row r="69" spans="1:58">
      <c r="A69" s="14">
        <v>67</v>
      </c>
      <c r="B69" s="28"/>
      <c r="C69" s="28"/>
      <c r="D69" s="26"/>
      <c r="E69" s="26"/>
      <c r="F69" s="92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5">
        <v>0</v>
      </c>
      <c r="Y69" s="5"/>
      <c r="Z69" s="5"/>
      <c r="AA69" s="5"/>
      <c r="AB69" s="5"/>
      <c r="AC69" s="5">
        <v>0</v>
      </c>
      <c r="AD69" s="5"/>
      <c r="AE69" s="5">
        <v>0</v>
      </c>
      <c r="AF69" s="5">
        <v>0</v>
      </c>
      <c r="AG69" s="5"/>
      <c r="AH69" s="5">
        <v>0</v>
      </c>
      <c r="AI69" s="5"/>
      <c r="AJ69" s="5"/>
      <c r="AK69" s="5"/>
      <c r="AL69" s="5">
        <v>0</v>
      </c>
      <c r="AM69" s="5"/>
      <c r="AN69" s="5">
        <v>0</v>
      </c>
      <c r="AO69" s="5"/>
      <c r="AP69" s="5"/>
      <c r="AQ69" s="5"/>
      <c r="AR69" s="5"/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61"/>
      <c r="BB69" s="61"/>
      <c r="BC69" s="61"/>
      <c r="BD69" s="61"/>
      <c r="BE69" s="61"/>
      <c r="BF69" s="61"/>
    </row>
    <row r="70" spans="1:58">
      <c r="A70" s="14">
        <v>68</v>
      </c>
      <c r="B70" s="28"/>
      <c r="C70" s="28"/>
      <c r="D70" s="26"/>
      <c r="E70" s="26"/>
      <c r="F70" s="92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5">
        <v>0</v>
      </c>
      <c r="Y70" s="5"/>
      <c r="Z70" s="5"/>
      <c r="AA70" s="5"/>
      <c r="AB70" s="5"/>
      <c r="AC70" s="5">
        <v>0</v>
      </c>
      <c r="AD70" s="5"/>
      <c r="AE70" s="5">
        <v>0</v>
      </c>
      <c r="AF70" s="5">
        <v>0</v>
      </c>
      <c r="AG70" s="5"/>
      <c r="AH70" s="5">
        <v>0</v>
      </c>
      <c r="AI70" s="5"/>
      <c r="AJ70" s="5"/>
      <c r="AK70" s="5"/>
      <c r="AL70" s="5">
        <v>0</v>
      </c>
      <c r="AM70" s="5"/>
      <c r="AN70" s="5">
        <v>0</v>
      </c>
      <c r="AO70" s="5"/>
      <c r="AP70" s="5"/>
      <c r="AQ70" s="5"/>
      <c r="AR70" s="5"/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61"/>
      <c r="BB70" s="61"/>
      <c r="BC70" s="61"/>
      <c r="BD70" s="61"/>
      <c r="BE70" s="61"/>
      <c r="BF70" s="61"/>
    </row>
    <row r="71" spans="1:58">
      <c r="A71" s="14">
        <v>69</v>
      </c>
      <c r="B71" s="5"/>
      <c r="C71" s="5"/>
      <c r="D71" s="5"/>
      <c r="E71" s="38"/>
      <c r="F71" s="91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5">
        <v>0</v>
      </c>
      <c r="Y71" s="5"/>
      <c r="Z71" s="5"/>
      <c r="AA71" s="5"/>
      <c r="AB71" s="5"/>
      <c r="AC71" s="5">
        <v>0</v>
      </c>
      <c r="AD71" s="5"/>
      <c r="AE71" s="5">
        <v>0</v>
      </c>
      <c r="AF71" s="5">
        <v>0</v>
      </c>
      <c r="AG71" s="5"/>
      <c r="AH71" s="5">
        <v>0</v>
      </c>
      <c r="AI71" s="5"/>
      <c r="AJ71" s="5"/>
      <c r="AK71" s="5"/>
      <c r="AL71" s="5">
        <v>0</v>
      </c>
      <c r="AM71" s="5"/>
      <c r="AN71" s="5">
        <v>0</v>
      </c>
      <c r="AO71" s="5"/>
      <c r="AP71" s="5"/>
      <c r="AQ71" s="5"/>
      <c r="AR71" s="5"/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61"/>
      <c r="BB71" s="61"/>
      <c r="BC71" s="61"/>
      <c r="BD71" s="61"/>
      <c r="BE71" s="61"/>
      <c r="BF71" s="61"/>
    </row>
    <row r="72" spans="1:58">
      <c r="A72" s="14">
        <v>70</v>
      </c>
      <c r="B72" s="5"/>
      <c r="C72" s="5"/>
      <c r="D72" s="5"/>
      <c r="E72" s="38"/>
      <c r="F72" s="91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5">
        <v>0</v>
      </c>
      <c r="Y72" s="5"/>
      <c r="Z72" s="5"/>
      <c r="AA72" s="5"/>
      <c r="AB72" s="5"/>
      <c r="AC72" s="5">
        <v>0</v>
      </c>
      <c r="AD72" s="5"/>
      <c r="AE72" s="5">
        <v>0</v>
      </c>
      <c r="AF72" s="5">
        <v>0</v>
      </c>
      <c r="AG72" s="5"/>
      <c r="AH72" s="5">
        <v>0</v>
      </c>
      <c r="AI72" s="5"/>
      <c r="AJ72" s="5"/>
      <c r="AK72" s="5"/>
      <c r="AL72" s="5">
        <v>0</v>
      </c>
      <c r="AM72" s="5"/>
      <c r="AN72" s="5">
        <v>0</v>
      </c>
      <c r="AO72" s="5"/>
      <c r="AP72" s="5"/>
      <c r="AQ72" s="5"/>
      <c r="AR72" s="5"/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61"/>
      <c r="BB72" s="61"/>
      <c r="BC72" s="61"/>
      <c r="BD72" s="61"/>
      <c r="BE72" s="61"/>
      <c r="BF72" s="61"/>
    </row>
    <row r="73" spans="1:58">
      <c r="A73" s="14">
        <v>71</v>
      </c>
      <c r="B73" s="5"/>
      <c r="C73" s="5"/>
      <c r="D73" s="5"/>
      <c r="E73" s="5"/>
      <c r="F73" s="5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0</v>
      </c>
      <c r="Y73" s="5"/>
      <c r="Z73" s="5"/>
      <c r="AA73" s="5"/>
      <c r="AB73" s="5"/>
      <c r="AC73" s="5">
        <v>0</v>
      </c>
      <c r="AD73" s="5"/>
      <c r="AE73" s="5">
        <v>0</v>
      </c>
      <c r="AF73" s="5">
        <v>0</v>
      </c>
      <c r="AG73" s="5"/>
      <c r="AH73" s="5">
        <v>0</v>
      </c>
      <c r="AI73" s="5"/>
      <c r="AJ73" s="5"/>
      <c r="AK73" s="5"/>
      <c r="AL73" s="5">
        <v>0</v>
      </c>
      <c r="AM73" s="5"/>
      <c r="AN73" s="5">
        <v>0</v>
      </c>
      <c r="AO73" s="5"/>
      <c r="AP73" s="5"/>
      <c r="AQ73" s="5"/>
      <c r="AR73" s="5"/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61"/>
      <c r="BB73" s="61"/>
      <c r="BC73" s="61"/>
      <c r="BD73" s="61"/>
      <c r="BE73" s="61"/>
      <c r="BF73" s="61"/>
    </row>
    <row r="74" spans="1:58">
      <c r="A74" s="14">
        <v>72</v>
      </c>
      <c r="B74" s="5"/>
      <c r="C74" s="5"/>
      <c r="D74" s="5"/>
      <c r="E74" s="5"/>
      <c r="F74" s="5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>
        <v>0</v>
      </c>
      <c r="Y74" s="5"/>
      <c r="Z74" s="5"/>
      <c r="AA74" s="5"/>
      <c r="AB74" s="5"/>
      <c r="AC74" s="5">
        <v>0</v>
      </c>
      <c r="AD74" s="5"/>
      <c r="AE74" s="5">
        <v>0</v>
      </c>
      <c r="AF74" s="5">
        <v>0</v>
      </c>
      <c r="AG74" s="5"/>
      <c r="AH74" s="5">
        <v>0</v>
      </c>
      <c r="AI74" s="5"/>
      <c r="AJ74" s="5"/>
      <c r="AK74" s="5"/>
      <c r="AL74" s="5">
        <v>0</v>
      </c>
      <c r="AM74" s="5"/>
      <c r="AN74" s="5">
        <v>0</v>
      </c>
      <c r="AO74" s="5"/>
      <c r="AP74" s="5"/>
      <c r="AQ74" s="5"/>
      <c r="AR74" s="5"/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61"/>
      <c r="BB74" s="61"/>
      <c r="BC74" s="61"/>
      <c r="BD74" s="61"/>
      <c r="BE74" s="61"/>
      <c r="BF74" s="61"/>
    </row>
    <row r="75" spans="1:58">
      <c r="A75" s="14">
        <v>73</v>
      </c>
      <c r="B75" s="5"/>
      <c r="C75" s="5"/>
      <c r="D75" s="5"/>
      <c r="E75" s="5"/>
      <c r="F75" s="5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>
        <v>0</v>
      </c>
      <c r="Y75" s="5"/>
      <c r="Z75" s="5"/>
      <c r="AA75" s="5"/>
      <c r="AB75" s="5"/>
      <c r="AC75" s="5">
        <v>0</v>
      </c>
      <c r="AD75" s="5"/>
      <c r="AE75" s="5">
        <v>0</v>
      </c>
      <c r="AF75" s="5">
        <v>0</v>
      </c>
      <c r="AG75" s="5"/>
      <c r="AH75" s="5">
        <v>0</v>
      </c>
      <c r="AI75" s="5"/>
      <c r="AJ75" s="5"/>
      <c r="AK75" s="5"/>
      <c r="AL75" s="5">
        <v>0</v>
      </c>
      <c r="AM75" s="5"/>
      <c r="AN75" s="5">
        <v>0</v>
      </c>
      <c r="AO75" s="5"/>
      <c r="AP75" s="5"/>
      <c r="AQ75" s="5"/>
      <c r="AR75" s="5"/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61"/>
      <c r="BB75" s="61"/>
      <c r="BC75" s="61"/>
      <c r="BD75" s="61"/>
      <c r="BE75" s="61"/>
      <c r="BF75" s="61"/>
    </row>
    <row r="76" spans="1:58">
      <c r="A76" s="14">
        <v>74</v>
      </c>
      <c r="B76" s="5"/>
      <c r="C76" s="5"/>
      <c r="D76" s="5"/>
      <c r="E76" s="5"/>
      <c r="F76" s="5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>
        <v>0</v>
      </c>
      <c r="Y76" s="5"/>
      <c r="Z76" s="5"/>
      <c r="AA76" s="5"/>
      <c r="AB76" s="5"/>
      <c r="AC76" s="5">
        <v>0</v>
      </c>
      <c r="AD76" s="5"/>
      <c r="AE76" s="5">
        <v>0</v>
      </c>
      <c r="AF76" s="5">
        <v>0</v>
      </c>
      <c r="AG76" s="5"/>
      <c r="AH76" s="5">
        <v>0</v>
      </c>
      <c r="AI76" s="5"/>
      <c r="AJ76" s="5"/>
      <c r="AK76" s="5"/>
      <c r="AL76" s="5">
        <v>0</v>
      </c>
      <c r="AM76" s="5"/>
      <c r="AN76" s="5">
        <v>0</v>
      </c>
      <c r="AO76" s="5"/>
      <c r="AP76" s="5"/>
      <c r="AQ76" s="5"/>
      <c r="AR76" s="5"/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61"/>
      <c r="BB76" s="61"/>
      <c r="BC76" s="61"/>
      <c r="BD76" s="61"/>
      <c r="BE76" s="61"/>
      <c r="BF76" s="61"/>
    </row>
    <row r="77" spans="1:58">
      <c r="A77" s="14">
        <v>75</v>
      </c>
      <c r="B77" s="5"/>
      <c r="C77" s="5"/>
      <c r="D77" s="5"/>
      <c r="E77" s="5"/>
      <c r="F77" s="5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>
        <v>0</v>
      </c>
      <c r="Y77" s="5"/>
      <c r="Z77" s="5"/>
      <c r="AA77" s="5"/>
      <c r="AB77" s="5"/>
      <c r="AC77" s="5">
        <v>0</v>
      </c>
      <c r="AD77" s="5"/>
      <c r="AE77" s="5">
        <v>0</v>
      </c>
      <c r="AF77" s="5">
        <v>0</v>
      </c>
      <c r="AG77" s="5"/>
      <c r="AH77" s="5">
        <v>0</v>
      </c>
      <c r="AI77" s="5"/>
      <c r="AJ77" s="5"/>
      <c r="AK77" s="5"/>
      <c r="AL77" s="5">
        <v>0</v>
      </c>
      <c r="AM77" s="5"/>
      <c r="AN77" s="5">
        <v>0</v>
      </c>
      <c r="AO77" s="5"/>
      <c r="AP77" s="5"/>
      <c r="AQ77" s="5"/>
      <c r="AR77" s="5"/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61"/>
      <c r="BB77" s="61"/>
      <c r="BC77" s="61"/>
      <c r="BD77" s="61"/>
      <c r="BE77" s="61"/>
      <c r="BF77" s="61"/>
    </row>
    <row r="78" spans="1:58">
      <c r="A78" s="14">
        <v>76</v>
      </c>
      <c r="B78" s="5"/>
      <c r="C78" s="5"/>
      <c r="D78" s="5"/>
      <c r="E78" s="5"/>
      <c r="F78" s="5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>
        <v>0</v>
      </c>
      <c r="Y78" s="5"/>
      <c r="Z78" s="5"/>
      <c r="AA78" s="5"/>
      <c r="AB78" s="5"/>
      <c r="AC78" s="5">
        <v>0</v>
      </c>
      <c r="AD78" s="5"/>
      <c r="AE78" s="5">
        <v>0</v>
      </c>
      <c r="AF78" s="5">
        <v>0</v>
      </c>
      <c r="AG78" s="5"/>
      <c r="AH78" s="5">
        <v>0</v>
      </c>
      <c r="AI78" s="5"/>
      <c r="AJ78" s="5"/>
      <c r="AK78" s="5"/>
      <c r="AL78" s="5">
        <v>0</v>
      </c>
      <c r="AM78" s="5"/>
      <c r="AN78" s="5">
        <v>0</v>
      </c>
      <c r="AO78" s="5"/>
      <c r="AP78" s="5"/>
      <c r="AQ78" s="5"/>
      <c r="AR78" s="5"/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61"/>
      <c r="BB78" s="61"/>
      <c r="BC78" s="61"/>
      <c r="BD78" s="61"/>
      <c r="BE78" s="61"/>
      <c r="BF78" s="61"/>
    </row>
    <row r="79" spans="1:58">
      <c r="A79" s="14">
        <v>77</v>
      </c>
      <c r="B79" s="5"/>
      <c r="C79" s="5"/>
      <c r="D79" s="5"/>
      <c r="E79" s="5"/>
      <c r="F79" s="5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>
        <v>0</v>
      </c>
      <c r="Y79" s="5"/>
      <c r="Z79" s="5"/>
      <c r="AA79" s="5"/>
      <c r="AB79" s="5"/>
      <c r="AC79" s="5">
        <v>0</v>
      </c>
      <c r="AD79" s="5"/>
      <c r="AE79" s="5">
        <v>0</v>
      </c>
      <c r="AF79" s="5">
        <v>0</v>
      </c>
      <c r="AG79" s="5"/>
      <c r="AH79" s="5">
        <v>0</v>
      </c>
      <c r="AI79" s="5"/>
      <c r="AJ79" s="5"/>
      <c r="AK79" s="5"/>
      <c r="AL79" s="5">
        <v>0</v>
      </c>
      <c r="AM79" s="5"/>
      <c r="AN79" s="5">
        <v>0</v>
      </c>
      <c r="AO79" s="5"/>
      <c r="AP79" s="5"/>
      <c r="AQ79" s="5"/>
      <c r="AR79" s="5"/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61"/>
      <c r="BB79" s="61"/>
      <c r="BC79" s="61"/>
      <c r="BD79" s="61"/>
      <c r="BE79" s="61"/>
      <c r="BF79" s="61"/>
    </row>
    <row r="80" spans="1:58">
      <c r="A80" s="14">
        <v>78</v>
      </c>
      <c r="B80" s="5"/>
      <c r="C80" s="5"/>
      <c r="D80" s="5"/>
      <c r="E80" s="5"/>
      <c r="F80" s="5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>
        <v>0</v>
      </c>
      <c r="Y80" s="5"/>
      <c r="Z80" s="5"/>
      <c r="AA80" s="5"/>
      <c r="AB80" s="5"/>
      <c r="AC80" s="5">
        <v>0</v>
      </c>
      <c r="AD80" s="5"/>
      <c r="AE80" s="5">
        <v>0</v>
      </c>
      <c r="AF80" s="5">
        <v>0</v>
      </c>
      <c r="AG80" s="5"/>
      <c r="AH80" s="5">
        <v>0</v>
      </c>
      <c r="AI80" s="5"/>
      <c r="AJ80" s="5"/>
      <c r="AK80" s="5"/>
      <c r="AL80" s="5">
        <v>0</v>
      </c>
      <c r="AM80" s="5"/>
      <c r="AN80" s="5">
        <v>0</v>
      </c>
      <c r="AO80" s="5"/>
      <c r="AP80" s="5"/>
      <c r="AQ80" s="5"/>
      <c r="AR80" s="5"/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61"/>
      <c r="BB80" s="61"/>
      <c r="BC80" s="61"/>
      <c r="BD80" s="61"/>
      <c r="BE80" s="61"/>
      <c r="BF80" s="61"/>
    </row>
    <row r="81" spans="1:58">
      <c r="A81" s="14">
        <v>79</v>
      </c>
      <c r="B81" s="5"/>
      <c r="C81" s="5"/>
      <c r="D81" s="5"/>
      <c r="E81" s="5"/>
      <c r="F81" s="5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>
        <v>0</v>
      </c>
      <c r="Y81" s="5"/>
      <c r="Z81" s="5"/>
      <c r="AA81" s="5"/>
      <c r="AB81" s="5"/>
      <c r="AC81" s="5">
        <v>0</v>
      </c>
      <c r="AD81" s="5"/>
      <c r="AE81" s="5">
        <v>0</v>
      </c>
      <c r="AF81" s="5">
        <v>0</v>
      </c>
      <c r="AG81" s="5"/>
      <c r="AH81" s="5">
        <v>0</v>
      </c>
      <c r="AI81" s="5"/>
      <c r="AJ81" s="5"/>
      <c r="AK81" s="5"/>
      <c r="AL81" s="5">
        <v>0</v>
      </c>
      <c r="AM81" s="5"/>
      <c r="AN81" s="5">
        <v>0</v>
      </c>
      <c r="AO81" s="5"/>
      <c r="AP81" s="5"/>
      <c r="AQ81" s="5"/>
      <c r="AR81" s="5"/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61"/>
      <c r="BB81" s="61"/>
      <c r="BC81" s="61"/>
      <c r="BD81" s="61"/>
      <c r="BE81" s="61"/>
      <c r="BF81" s="61"/>
    </row>
    <row r="82" spans="1:58">
      <c r="A82" s="14">
        <v>80</v>
      </c>
      <c r="B82" s="5"/>
      <c r="C82" s="5"/>
      <c r="D82" s="5"/>
      <c r="E82" s="5"/>
      <c r="F82" s="5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>
        <v>0</v>
      </c>
      <c r="Y82" s="5"/>
      <c r="Z82" s="5"/>
      <c r="AA82" s="5"/>
      <c r="AB82" s="5"/>
      <c r="AC82" s="5">
        <v>0</v>
      </c>
      <c r="AD82" s="5"/>
      <c r="AE82" s="5">
        <v>0</v>
      </c>
      <c r="AF82" s="5">
        <v>0</v>
      </c>
      <c r="AG82" s="5"/>
      <c r="AH82" s="5">
        <v>0</v>
      </c>
      <c r="AI82" s="5"/>
      <c r="AJ82" s="5"/>
      <c r="AK82" s="5"/>
      <c r="AL82" s="5">
        <v>0</v>
      </c>
      <c r="AM82" s="5"/>
      <c r="AN82" s="5">
        <v>0</v>
      </c>
      <c r="AO82" s="5"/>
      <c r="AP82" s="5"/>
      <c r="AQ82" s="5"/>
      <c r="AR82" s="5"/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61"/>
      <c r="BB82" s="61"/>
      <c r="BC82" s="61"/>
      <c r="BD82" s="61"/>
      <c r="BE82" s="61"/>
      <c r="BF82" s="61"/>
    </row>
    <row r="83" spans="1:58">
      <c r="A83" s="14">
        <v>81</v>
      </c>
      <c r="B83" s="5"/>
      <c r="C83" s="5"/>
      <c r="D83" s="5"/>
      <c r="E83" s="5"/>
      <c r="F83" s="5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>
        <v>0</v>
      </c>
      <c r="Y83" s="5"/>
      <c r="Z83" s="5"/>
      <c r="AA83" s="5"/>
      <c r="AB83" s="5"/>
      <c r="AC83" s="5">
        <v>0</v>
      </c>
      <c r="AD83" s="5"/>
      <c r="AE83" s="5">
        <v>0</v>
      </c>
      <c r="AF83" s="5">
        <v>0</v>
      </c>
      <c r="AG83" s="5"/>
      <c r="AH83" s="5">
        <v>0</v>
      </c>
      <c r="AI83" s="5"/>
      <c r="AJ83" s="5"/>
      <c r="AK83" s="5"/>
      <c r="AL83" s="5">
        <v>0</v>
      </c>
      <c r="AM83" s="5"/>
      <c r="AN83" s="5">
        <v>0</v>
      </c>
      <c r="AO83" s="5"/>
      <c r="AP83" s="5"/>
      <c r="AQ83" s="5"/>
      <c r="AR83" s="5"/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61"/>
      <c r="BB83" s="61"/>
      <c r="BC83" s="61"/>
      <c r="BD83" s="61"/>
      <c r="BE83" s="61"/>
      <c r="BF83" s="61"/>
    </row>
    <row r="84" spans="1:58">
      <c r="A84" s="14">
        <v>82</v>
      </c>
      <c r="B84" s="5"/>
      <c r="C84" s="5"/>
      <c r="D84" s="5"/>
      <c r="E84" s="5"/>
      <c r="F84" s="5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>
        <v>0</v>
      </c>
      <c r="Y84" s="5"/>
      <c r="Z84" s="5"/>
      <c r="AA84" s="5"/>
      <c r="AB84" s="5"/>
      <c r="AC84" s="5">
        <v>0</v>
      </c>
      <c r="AD84" s="5"/>
      <c r="AE84" s="5">
        <v>0</v>
      </c>
      <c r="AF84" s="5">
        <v>0</v>
      </c>
      <c r="AG84" s="5"/>
      <c r="AH84" s="5">
        <v>0</v>
      </c>
      <c r="AI84" s="5"/>
      <c r="AJ84" s="5"/>
      <c r="AK84" s="5"/>
      <c r="AL84" s="5">
        <v>0</v>
      </c>
      <c r="AM84" s="5"/>
      <c r="AN84" s="5">
        <v>0</v>
      </c>
      <c r="AO84" s="5"/>
      <c r="AP84" s="5"/>
      <c r="AQ84" s="5"/>
      <c r="AR84" s="5"/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61"/>
      <c r="BB84" s="61"/>
      <c r="BC84" s="61"/>
      <c r="BD84" s="61"/>
      <c r="BE84" s="61"/>
      <c r="BF84" s="61"/>
    </row>
    <row r="85" spans="1:58">
      <c r="A85" s="14">
        <v>83</v>
      </c>
      <c r="B85" s="5"/>
      <c r="C85" s="5"/>
      <c r="D85" s="5"/>
      <c r="E85" s="5"/>
      <c r="F85" s="5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0</v>
      </c>
      <c r="Y85" s="5"/>
      <c r="Z85" s="5"/>
      <c r="AA85" s="5"/>
      <c r="AB85" s="5"/>
      <c r="AC85" s="5">
        <v>0</v>
      </c>
      <c r="AD85" s="5"/>
      <c r="AE85" s="5">
        <v>0</v>
      </c>
      <c r="AF85" s="5">
        <v>0</v>
      </c>
      <c r="AG85" s="5"/>
      <c r="AH85" s="5">
        <v>0</v>
      </c>
      <c r="AI85" s="5"/>
      <c r="AJ85" s="5"/>
      <c r="AK85" s="5"/>
      <c r="AL85" s="5">
        <v>0</v>
      </c>
      <c r="AM85" s="5"/>
      <c r="AN85" s="5">
        <v>0</v>
      </c>
      <c r="AO85" s="5"/>
      <c r="AP85" s="5"/>
      <c r="AQ85" s="5"/>
      <c r="AR85" s="5"/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61"/>
      <c r="BB85" s="61"/>
      <c r="BC85" s="61"/>
      <c r="BD85" s="61"/>
      <c r="BE85" s="61"/>
      <c r="BF85" s="61"/>
    </row>
    <row r="86" spans="1:58">
      <c r="A86" s="14">
        <v>84</v>
      </c>
      <c r="B86" s="5"/>
      <c r="C86" s="5"/>
      <c r="D86" s="5"/>
      <c r="E86" s="5"/>
      <c r="F86" s="5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>
        <v>0</v>
      </c>
      <c r="Y86" s="5"/>
      <c r="Z86" s="5"/>
      <c r="AA86" s="5"/>
      <c r="AB86" s="5"/>
      <c r="AC86" s="5">
        <v>0</v>
      </c>
      <c r="AD86" s="5"/>
      <c r="AE86" s="5">
        <v>0</v>
      </c>
      <c r="AF86" s="5">
        <v>0</v>
      </c>
      <c r="AG86" s="5"/>
      <c r="AH86" s="5">
        <v>0</v>
      </c>
      <c r="AI86" s="5"/>
      <c r="AJ86" s="5"/>
      <c r="AK86" s="5"/>
      <c r="AL86" s="5">
        <v>0</v>
      </c>
      <c r="AM86" s="5"/>
      <c r="AN86" s="5">
        <v>0</v>
      </c>
      <c r="AO86" s="5"/>
      <c r="AP86" s="5"/>
      <c r="AQ86" s="5"/>
      <c r="AR86" s="5"/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61"/>
      <c r="BB86" s="61"/>
      <c r="BC86" s="61"/>
      <c r="BD86" s="61"/>
      <c r="BE86" s="61"/>
      <c r="BF86" s="61"/>
    </row>
    <row r="87" spans="1:58">
      <c r="A87" s="14">
        <v>85</v>
      </c>
      <c r="B87" s="5"/>
      <c r="C87" s="5"/>
      <c r="D87" s="5"/>
      <c r="E87" s="5"/>
      <c r="F87" s="5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>
        <v>0</v>
      </c>
      <c r="Y87" s="5"/>
      <c r="Z87" s="5"/>
      <c r="AA87" s="5"/>
      <c r="AB87" s="5"/>
      <c r="AC87" s="5">
        <v>0</v>
      </c>
      <c r="AD87" s="5"/>
      <c r="AE87" s="5">
        <v>0</v>
      </c>
      <c r="AF87" s="5">
        <v>0</v>
      </c>
      <c r="AG87" s="5"/>
      <c r="AH87" s="5">
        <v>0</v>
      </c>
      <c r="AI87" s="5"/>
      <c r="AJ87" s="5"/>
      <c r="AK87" s="5"/>
      <c r="AL87" s="5">
        <v>0</v>
      </c>
      <c r="AM87" s="5"/>
      <c r="AN87" s="5">
        <v>0</v>
      </c>
      <c r="AO87" s="5"/>
      <c r="AP87" s="5"/>
      <c r="AQ87" s="5"/>
      <c r="AR87" s="5"/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61"/>
      <c r="BB87" s="61"/>
      <c r="BC87" s="61"/>
      <c r="BD87" s="61"/>
      <c r="BE87" s="61"/>
      <c r="BF87" s="61"/>
    </row>
    <row r="88" spans="1:58">
      <c r="A88" s="14">
        <v>86</v>
      </c>
      <c r="B88" s="5"/>
      <c r="C88" s="5"/>
      <c r="D88" s="5"/>
      <c r="E88" s="5"/>
      <c r="F88" s="5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>
        <v>0</v>
      </c>
      <c r="Y88" s="5"/>
      <c r="Z88" s="5"/>
      <c r="AA88" s="5"/>
      <c r="AB88" s="5"/>
      <c r="AC88" s="5">
        <v>0</v>
      </c>
      <c r="AD88" s="5"/>
      <c r="AE88" s="5">
        <v>0</v>
      </c>
      <c r="AF88" s="5">
        <v>0</v>
      </c>
      <c r="AG88" s="5"/>
      <c r="AH88" s="5">
        <v>0</v>
      </c>
      <c r="AI88" s="5"/>
      <c r="AJ88" s="5"/>
      <c r="AK88" s="5"/>
      <c r="AL88" s="5">
        <v>0</v>
      </c>
      <c r="AM88" s="5"/>
      <c r="AN88" s="5">
        <v>0</v>
      </c>
      <c r="AO88" s="5"/>
      <c r="AP88" s="5"/>
      <c r="AQ88" s="5"/>
      <c r="AR88" s="5"/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61"/>
      <c r="BB88" s="61"/>
      <c r="BC88" s="61"/>
      <c r="BD88" s="61"/>
      <c r="BE88" s="61"/>
      <c r="BF88" s="61"/>
    </row>
    <row r="89" spans="1:58">
      <c r="A89" s="14">
        <v>87</v>
      </c>
      <c r="B89" s="5"/>
      <c r="C89" s="5"/>
      <c r="D89" s="5"/>
      <c r="E89" s="5"/>
      <c r="F89" s="5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>
        <v>0</v>
      </c>
      <c r="Y89" s="5"/>
      <c r="Z89" s="5"/>
      <c r="AA89" s="5"/>
      <c r="AB89" s="5"/>
      <c r="AC89" s="5">
        <v>0</v>
      </c>
      <c r="AD89" s="5"/>
      <c r="AE89" s="5">
        <v>0</v>
      </c>
      <c r="AF89" s="5">
        <v>0</v>
      </c>
      <c r="AG89" s="5"/>
      <c r="AH89" s="5">
        <v>0</v>
      </c>
      <c r="AI89" s="5"/>
      <c r="AJ89" s="5"/>
      <c r="AK89" s="5"/>
      <c r="AL89" s="5">
        <v>0</v>
      </c>
      <c r="AM89" s="5"/>
      <c r="AN89" s="5">
        <v>0</v>
      </c>
      <c r="AO89" s="5"/>
      <c r="AP89" s="5"/>
      <c r="AQ89" s="5"/>
      <c r="AR89" s="5"/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61"/>
      <c r="BB89" s="61"/>
      <c r="BC89" s="61"/>
      <c r="BD89" s="61"/>
      <c r="BE89" s="61"/>
      <c r="BF89" s="61"/>
    </row>
    <row r="90" spans="1:58">
      <c r="A90" s="14">
        <v>88</v>
      </c>
      <c r="B90" s="5"/>
      <c r="C90" s="5"/>
      <c r="D90" s="5"/>
      <c r="E90" s="5"/>
      <c r="F90" s="5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>
        <v>0</v>
      </c>
      <c r="Y90" s="5"/>
      <c r="Z90" s="5"/>
      <c r="AA90" s="5"/>
      <c r="AB90" s="5"/>
      <c r="AC90" s="5">
        <v>0</v>
      </c>
      <c r="AD90" s="5"/>
      <c r="AE90" s="5">
        <v>0</v>
      </c>
      <c r="AF90" s="5">
        <v>0</v>
      </c>
      <c r="AG90" s="5"/>
      <c r="AH90" s="5">
        <v>0</v>
      </c>
      <c r="AI90" s="5"/>
      <c r="AJ90" s="5"/>
      <c r="AK90" s="5"/>
      <c r="AL90" s="5">
        <v>0</v>
      </c>
      <c r="AM90" s="5"/>
      <c r="AN90" s="5">
        <v>0</v>
      </c>
      <c r="AO90" s="5"/>
      <c r="AP90" s="5"/>
      <c r="AQ90" s="5"/>
      <c r="AR90" s="5"/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61"/>
      <c r="BB90" s="61"/>
      <c r="BC90" s="61"/>
      <c r="BD90" s="61"/>
      <c r="BE90" s="61"/>
      <c r="BF90" s="61"/>
    </row>
    <row r="91" spans="1:58">
      <c r="A91" s="14">
        <v>89</v>
      </c>
      <c r="B91" s="5"/>
      <c r="C91" s="5"/>
      <c r="D91" s="5"/>
      <c r="E91" s="5"/>
      <c r="F91" s="5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>
        <v>0</v>
      </c>
      <c r="Y91" s="5"/>
      <c r="Z91" s="5"/>
      <c r="AA91" s="5"/>
      <c r="AB91" s="5"/>
      <c r="AC91" s="5">
        <v>0</v>
      </c>
      <c r="AD91" s="5"/>
      <c r="AE91" s="5">
        <v>0</v>
      </c>
      <c r="AF91" s="5">
        <v>0</v>
      </c>
      <c r="AG91" s="5"/>
      <c r="AH91" s="5">
        <v>0</v>
      </c>
      <c r="AI91" s="5"/>
      <c r="AJ91" s="5"/>
      <c r="AK91" s="5"/>
      <c r="AL91" s="5">
        <v>0</v>
      </c>
      <c r="AM91" s="5"/>
      <c r="AN91" s="5">
        <v>0</v>
      </c>
      <c r="AO91" s="5"/>
      <c r="AP91" s="5"/>
      <c r="AQ91" s="5"/>
      <c r="AR91" s="5"/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61"/>
      <c r="BB91" s="61"/>
      <c r="BC91" s="61"/>
      <c r="BD91" s="61"/>
      <c r="BE91" s="61"/>
      <c r="BF91" s="61"/>
    </row>
    <row r="92" spans="1:58">
      <c r="A92" s="14">
        <v>90</v>
      </c>
      <c r="B92" s="5"/>
      <c r="C92" s="5"/>
      <c r="D92" s="5"/>
      <c r="E92" s="5"/>
      <c r="F92" s="5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>
        <v>0</v>
      </c>
      <c r="Y92" s="5"/>
      <c r="Z92" s="5"/>
      <c r="AA92" s="5"/>
      <c r="AB92" s="5"/>
      <c r="AC92" s="5">
        <v>0</v>
      </c>
      <c r="AD92" s="5"/>
      <c r="AE92" s="5">
        <v>0</v>
      </c>
      <c r="AF92" s="5">
        <v>0</v>
      </c>
      <c r="AG92" s="5"/>
      <c r="AH92" s="5">
        <v>0</v>
      </c>
      <c r="AI92" s="5"/>
      <c r="AJ92" s="5"/>
      <c r="AK92" s="5"/>
      <c r="AL92" s="5">
        <v>0</v>
      </c>
      <c r="AM92" s="5"/>
      <c r="AN92" s="5">
        <v>0</v>
      </c>
      <c r="AO92" s="5"/>
      <c r="AP92" s="5"/>
      <c r="AQ92" s="5"/>
      <c r="AR92" s="5"/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61"/>
      <c r="BB92" s="61"/>
      <c r="BC92" s="61"/>
      <c r="BD92" s="61"/>
      <c r="BE92" s="61"/>
      <c r="BF92" s="61"/>
    </row>
    <row r="93" spans="1:58">
      <c r="A93" s="14">
        <v>91</v>
      </c>
      <c r="B93" s="5"/>
      <c r="C93" s="5"/>
      <c r="D93" s="5"/>
      <c r="E93" s="5"/>
      <c r="F93" s="5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>
        <v>0</v>
      </c>
      <c r="Y93" s="5"/>
      <c r="Z93" s="5"/>
      <c r="AA93" s="5"/>
      <c r="AB93" s="5"/>
      <c r="AC93" s="5">
        <v>0</v>
      </c>
      <c r="AD93" s="5"/>
      <c r="AE93" s="5">
        <v>0</v>
      </c>
      <c r="AF93" s="5">
        <v>0</v>
      </c>
      <c r="AG93" s="5"/>
      <c r="AH93" s="5">
        <v>0</v>
      </c>
      <c r="AI93" s="5"/>
      <c r="AJ93" s="5"/>
      <c r="AK93" s="5"/>
      <c r="AL93" s="5">
        <v>0</v>
      </c>
      <c r="AM93" s="5"/>
      <c r="AN93" s="5">
        <v>0</v>
      </c>
      <c r="AO93" s="5"/>
      <c r="AP93" s="5"/>
      <c r="AQ93" s="5"/>
      <c r="AR93" s="5"/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61"/>
      <c r="BB93" s="61"/>
      <c r="BC93" s="61"/>
      <c r="BD93" s="61"/>
      <c r="BE93" s="61"/>
      <c r="BF93" s="61"/>
    </row>
    <row r="94" spans="1:58">
      <c r="A94" s="14">
        <v>92</v>
      </c>
      <c r="B94" s="5"/>
      <c r="C94" s="5"/>
      <c r="D94" s="5"/>
      <c r="E94" s="5"/>
      <c r="F94" s="5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>
        <v>0</v>
      </c>
      <c r="Y94" s="5"/>
      <c r="Z94" s="5"/>
      <c r="AA94" s="5"/>
      <c r="AB94" s="5"/>
      <c r="AC94" s="5">
        <v>0</v>
      </c>
      <c r="AD94" s="5"/>
      <c r="AE94" s="5">
        <v>0</v>
      </c>
      <c r="AF94" s="5">
        <v>0</v>
      </c>
      <c r="AG94" s="5"/>
      <c r="AH94" s="5">
        <v>0</v>
      </c>
      <c r="AI94" s="5"/>
      <c r="AJ94" s="5"/>
      <c r="AK94" s="5"/>
      <c r="AL94" s="5">
        <v>0</v>
      </c>
      <c r="AM94" s="5"/>
      <c r="AN94" s="5">
        <v>0</v>
      </c>
      <c r="AO94" s="5"/>
      <c r="AP94" s="5"/>
      <c r="AQ94" s="5"/>
      <c r="AR94" s="5"/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61"/>
      <c r="BB94" s="61"/>
      <c r="BC94" s="61"/>
      <c r="BD94" s="61"/>
      <c r="BE94" s="61"/>
      <c r="BF94" s="61"/>
    </row>
    <row r="95" spans="1:58">
      <c r="A95" s="14">
        <v>93</v>
      </c>
      <c r="B95" s="5"/>
      <c r="C95" s="5"/>
      <c r="D95" s="5"/>
      <c r="E95" s="5"/>
      <c r="F95" s="5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>
        <v>0</v>
      </c>
      <c r="Y95" s="5"/>
      <c r="Z95" s="5"/>
      <c r="AA95" s="5"/>
      <c r="AB95" s="5"/>
      <c r="AC95" s="5">
        <v>0</v>
      </c>
      <c r="AD95" s="5"/>
      <c r="AE95" s="5">
        <v>0</v>
      </c>
      <c r="AF95" s="5">
        <v>0</v>
      </c>
      <c r="AG95" s="5"/>
      <c r="AH95" s="5">
        <v>0</v>
      </c>
      <c r="AI95" s="5"/>
      <c r="AJ95" s="5"/>
      <c r="AK95" s="5"/>
      <c r="AL95" s="5">
        <v>0</v>
      </c>
      <c r="AM95" s="5"/>
      <c r="AN95" s="5">
        <v>0</v>
      </c>
      <c r="AO95" s="5"/>
      <c r="AP95" s="5"/>
      <c r="AQ95" s="5"/>
      <c r="AR95" s="5"/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61"/>
      <c r="BB95" s="61"/>
      <c r="BC95" s="61"/>
      <c r="BD95" s="61"/>
      <c r="BE95" s="61"/>
      <c r="BF95" s="61"/>
    </row>
    <row r="96" spans="1:58">
      <c r="A96" s="14">
        <v>94</v>
      </c>
      <c r="B96" s="5"/>
      <c r="C96" s="5"/>
      <c r="D96" s="5"/>
      <c r="E96" s="5"/>
      <c r="F96" s="5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>
        <v>0</v>
      </c>
      <c r="Y96" s="5"/>
      <c r="Z96" s="5"/>
      <c r="AA96" s="5"/>
      <c r="AB96" s="5"/>
      <c r="AC96" s="5">
        <v>0</v>
      </c>
      <c r="AD96" s="5"/>
      <c r="AE96" s="5">
        <v>0</v>
      </c>
      <c r="AF96" s="5">
        <v>0</v>
      </c>
      <c r="AG96" s="5"/>
      <c r="AH96" s="5">
        <v>0</v>
      </c>
      <c r="AI96" s="5"/>
      <c r="AJ96" s="5"/>
      <c r="AK96" s="5"/>
      <c r="AL96" s="5">
        <v>0</v>
      </c>
      <c r="AM96" s="5"/>
      <c r="AN96" s="5">
        <v>0</v>
      </c>
      <c r="AO96" s="5"/>
      <c r="AP96" s="5"/>
      <c r="AQ96" s="5"/>
      <c r="AR96" s="5"/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61"/>
      <c r="BB96" s="61"/>
      <c r="BC96" s="61"/>
      <c r="BD96" s="61"/>
      <c r="BE96" s="61"/>
      <c r="BF96" s="61"/>
    </row>
    <row r="97" spans="1:58">
      <c r="A97" s="14">
        <v>95</v>
      </c>
      <c r="B97" s="5"/>
      <c r="C97" s="5"/>
      <c r="D97" s="5"/>
      <c r="E97" s="5"/>
      <c r="F97" s="5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>
        <v>0</v>
      </c>
      <c r="Y97" s="5"/>
      <c r="Z97" s="5"/>
      <c r="AA97" s="5"/>
      <c r="AB97" s="5"/>
      <c r="AC97" s="5">
        <v>0</v>
      </c>
      <c r="AD97" s="5"/>
      <c r="AE97" s="5">
        <v>0</v>
      </c>
      <c r="AF97" s="5">
        <v>0</v>
      </c>
      <c r="AG97" s="5"/>
      <c r="AH97" s="5">
        <v>0</v>
      </c>
      <c r="AI97" s="5"/>
      <c r="AJ97" s="5"/>
      <c r="AK97" s="5"/>
      <c r="AL97" s="5">
        <v>0</v>
      </c>
      <c r="AM97" s="5"/>
      <c r="AN97" s="5">
        <v>0</v>
      </c>
      <c r="AO97" s="5"/>
      <c r="AP97" s="5"/>
      <c r="AQ97" s="5"/>
      <c r="AR97" s="5"/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61"/>
      <c r="BB97" s="61"/>
      <c r="BC97" s="61"/>
      <c r="BD97" s="61"/>
      <c r="BE97" s="61"/>
      <c r="BF97" s="61"/>
    </row>
    <row r="98" spans="1:58">
      <c r="A98" s="14">
        <v>96</v>
      </c>
      <c r="B98" s="5"/>
      <c r="C98" s="5"/>
      <c r="D98" s="5"/>
      <c r="E98" s="5"/>
      <c r="F98" s="5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>
        <v>0</v>
      </c>
      <c r="Y98" s="5"/>
      <c r="Z98" s="5"/>
      <c r="AA98" s="5"/>
      <c r="AB98" s="5"/>
      <c r="AC98" s="5">
        <v>0</v>
      </c>
      <c r="AD98" s="5"/>
      <c r="AE98" s="5">
        <v>0</v>
      </c>
      <c r="AF98" s="5">
        <v>0</v>
      </c>
      <c r="AG98" s="5"/>
      <c r="AH98" s="5">
        <v>0</v>
      </c>
      <c r="AI98" s="5"/>
      <c r="AJ98" s="5"/>
      <c r="AK98" s="5"/>
      <c r="AL98" s="5">
        <v>0</v>
      </c>
      <c r="AM98" s="5"/>
      <c r="AN98" s="5">
        <v>0</v>
      </c>
      <c r="AO98" s="5"/>
      <c r="AP98" s="5"/>
      <c r="AQ98" s="5"/>
      <c r="AR98" s="5"/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61"/>
      <c r="BB98" s="61"/>
      <c r="BC98" s="61"/>
      <c r="BD98" s="61"/>
      <c r="BE98" s="61"/>
      <c r="BF98" s="61"/>
    </row>
    <row r="99" spans="1:58">
      <c r="A99" s="14">
        <v>97</v>
      </c>
      <c r="B99" s="5"/>
      <c r="C99" s="5"/>
      <c r="D99" s="5"/>
      <c r="E99" s="5"/>
      <c r="F99" s="5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>
        <v>0</v>
      </c>
      <c r="Y99" s="5"/>
      <c r="Z99" s="5"/>
      <c r="AA99" s="5"/>
      <c r="AB99" s="5"/>
      <c r="AC99" s="5">
        <v>0</v>
      </c>
      <c r="AD99" s="5"/>
      <c r="AE99" s="5">
        <v>0</v>
      </c>
      <c r="AF99" s="5">
        <v>0</v>
      </c>
      <c r="AG99" s="5"/>
      <c r="AH99" s="5">
        <v>0</v>
      </c>
      <c r="AI99" s="5"/>
      <c r="AJ99" s="5"/>
      <c r="AK99" s="5"/>
      <c r="AL99" s="5">
        <v>0</v>
      </c>
      <c r="AM99" s="5"/>
      <c r="AN99" s="5">
        <v>0</v>
      </c>
      <c r="AO99" s="5"/>
      <c r="AP99" s="5"/>
      <c r="AQ99" s="5"/>
      <c r="AR99" s="5"/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61"/>
      <c r="BB99" s="61"/>
      <c r="BC99" s="61"/>
      <c r="BD99" s="61"/>
      <c r="BE99" s="61"/>
      <c r="BF99" s="61"/>
    </row>
    <row r="100" spans="1:58">
      <c r="A100" s="14">
        <v>98</v>
      </c>
      <c r="B100" s="5"/>
      <c r="C100" s="5"/>
      <c r="D100" s="5"/>
      <c r="E100" s="5"/>
      <c r="F100" s="5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>
        <v>0</v>
      </c>
      <c r="Y100" s="5"/>
      <c r="Z100" s="5"/>
      <c r="AA100" s="5"/>
      <c r="AB100" s="5"/>
      <c r="AC100" s="5">
        <v>0</v>
      </c>
      <c r="AD100" s="5"/>
      <c r="AE100" s="5">
        <v>0</v>
      </c>
      <c r="AF100" s="5">
        <v>0</v>
      </c>
      <c r="AG100" s="5"/>
      <c r="AH100" s="5">
        <v>0</v>
      </c>
      <c r="AI100" s="5"/>
      <c r="AJ100" s="5"/>
      <c r="AK100" s="5"/>
      <c r="AL100" s="5">
        <v>0</v>
      </c>
      <c r="AM100" s="5"/>
      <c r="AN100" s="5">
        <v>0</v>
      </c>
      <c r="AO100" s="5"/>
      <c r="AP100" s="5"/>
      <c r="AQ100" s="5"/>
      <c r="AR100" s="5"/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61"/>
      <c r="BB100" s="61"/>
      <c r="BC100" s="61"/>
      <c r="BD100" s="61"/>
      <c r="BE100" s="61"/>
      <c r="BF100" s="61"/>
    </row>
    <row r="101" spans="1:58">
      <c r="A101" s="14">
        <v>99</v>
      </c>
      <c r="B101" s="5"/>
      <c r="C101" s="5"/>
      <c r="D101" s="5"/>
      <c r="E101" s="5"/>
      <c r="F101" s="5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>
        <v>0</v>
      </c>
      <c r="Y101" s="5"/>
      <c r="Z101" s="5"/>
      <c r="AA101" s="5"/>
      <c r="AB101" s="5"/>
      <c r="AC101" s="5">
        <v>0</v>
      </c>
      <c r="AD101" s="5"/>
      <c r="AE101" s="5">
        <v>0</v>
      </c>
      <c r="AF101" s="5">
        <v>0</v>
      </c>
      <c r="AG101" s="5"/>
      <c r="AH101" s="5">
        <v>0</v>
      </c>
      <c r="AI101" s="5"/>
      <c r="AJ101" s="5"/>
      <c r="AK101" s="5"/>
      <c r="AL101" s="5">
        <v>0</v>
      </c>
      <c r="AM101" s="5"/>
      <c r="AN101" s="5">
        <v>0</v>
      </c>
      <c r="AO101" s="5"/>
      <c r="AP101" s="5"/>
      <c r="AQ101" s="5"/>
      <c r="AR101" s="5"/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61"/>
      <c r="BB101" s="61"/>
      <c r="BC101" s="61"/>
      <c r="BD101" s="61"/>
      <c r="BE101" s="61"/>
      <c r="BF101" s="61"/>
    </row>
    <row r="102" spans="1:58">
      <c r="A102" s="38">
        <v>100</v>
      </c>
      <c r="B102" s="5"/>
      <c r="C102" s="5"/>
      <c r="D102" s="5"/>
      <c r="E102" s="5"/>
      <c r="F102" s="5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>
        <v>0</v>
      </c>
      <c r="Y102" s="5"/>
      <c r="Z102" s="5"/>
      <c r="AA102" s="5"/>
      <c r="AB102" s="5"/>
      <c r="AC102" s="5">
        <v>0</v>
      </c>
      <c r="AD102" s="5"/>
      <c r="AE102" s="5">
        <v>0</v>
      </c>
      <c r="AF102" s="5">
        <v>0</v>
      </c>
      <c r="AG102" s="5"/>
      <c r="AH102" s="5">
        <v>0</v>
      </c>
      <c r="AI102" s="5"/>
      <c r="AJ102" s="5"/>
      <c r="AK102" s="5"/>
      <c r="AL102" s="5">
        <v>0</v>
      </c>
      <c r="AM102" s="5"/>
      <c r="AN102" s="5">
        <v>0</v>
      </c>
      <c r="AO102" s="5"/>
      <c r="AP102" s="5"/>
      <c r="AQ102" s="5"/>
      <c r="AR102" s="5"/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61"/>
      <c r="BB102" s="61"/>
      <c r="BC102" s="61"/>
      <c r="BD102" s="61"/>
      <c r="BE102" s="61"/>
      <c r="BF102" s="61"/>
    </row>
    <row r="103" spans="1:58">
      <c r="A103" s="5"/>
      <c r="B103" s="5"/>
      <c r="C103" s="5"/>
      <c r="D103" s="5"/>
      <c r="E103" s="5"/>
      <c r="F103" s="93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</row>
    <row r="104" spans="1:58">
      <c r="A104" s="5"/>
      <c r="B104" s="5"/>
      <c r="C104" s="5"/>
      <c r="D104" s="5"/>
      <c r="E104" s="5"/>
      <c r="F104" s="93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</row>
    <row r="105" spans="1:58">
      <c r="A105" s="5"/>
      <c r="B105" s="5"/>
      <c r="C105" s="5"/>
      <c r="D105" s="5"/>
      <c r="E105" s="5"/>
      <c r="F105" s="93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</row>
    <row r="106" spans="1:58">
      <c r="A106" s="5"/>
      <c r="B106" s="5"/>
      <c r="C106" s="5"/>
      <c r="D106" s="5"/>
      <c r="E106" s="5"/>
      <c r="F106" s="93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</row>
    <row r="107" spans="1:58">
      <c r="A107" s="5"/>
      <c r="B107" s="5"/>
      <c r="C107" s="5"/>
      <c r="D107" s="5"/>
      <c r="E107" s="5"/>
      <c r="F107" s="93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</row>
    <row r="108" spans="1:58">
      <c r="A108" s="5"/>
      <c r="B108" s="5"/>
      <c r="C108" s="5"/>
      <c r="D108" s="5"/>
      <c r="E108" s="5"/>
      <c r="F108" s="93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</row>
    <row r="109" spans="1:58">
      <c r="A109" s="5"/>
      <c r="B109" s="5"/>
      <c r="C109" s="5"/>
      <c r="D109" s="5"/>
      <c r="E109" s="5"/>
      <c r="F109" s="93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</row>
    <row r="110" spans="1:58">
      <c r="A110" s="5"/>
      <c r="B110" s="5"/>
      <c r="C110" s="5"/>
      <c r="D110" s="5"/>
      <c r="E110" s="5"/>
      <c r="F110" s="93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</row>
    <row r="111" spans="1:58">
      <c r="A111" s="5"/>
      <c r="B111" s="5"/>
      <c r="C111" s="5"/>
      <c r="D111" s="5"/>
      <c r="E111" s="5"/>
      <c r="F111" s="93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</row>
    <row r="112" spans="1:58">
      <c r="A112" s="5"/>
      <c r="B112" s="5"/>
      <c r="C112" s="5"/>
      <c r="D112" s="5"/>
      <c r="E112" s="5"/>
      <c r="F112" s="93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</row>
    <row r="113" spans="1:31">
      <c r="A113" s="5"/>
      <c r="B113" s="5"/>
      <c r="C113" s="5"/>
      <c r="D113" s="5"/>
      <c r="E113" s="5"/>
      <c r="F113" s="93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</row>
    <row r="114" spans="1:31">
      <c r="A114" s="5"/>
      <c r="B114" s="5"/>
      <c r="C114" s="5"/>
      <c r="D114" s="5"/>
      <c r="E114" s="5"/>
      <c r="F114" s="93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</row>
    <row r="115" spans="1:31">
      <c r="A115" s="5"/>
      <c r="B115" s="5"/>
      <c r="C115" s="5"/>
      <c r="D115" s="5"/>
      <c r="E115" s="5"/>
      <c r="F115" s="93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</row>
    <row r="116" spans="1:31">
      <c r="A116" s="5"/>
      <c r="B116" s="5"/>
      <c r="C116" s="5"/>
      <c r="D116" s="5"/>
      <c r="E116" s="5"/>
      <c r="F116" s="93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</row>
  </sheetData>
  <mergeCells count="1">
    <mergeCell ref="C1:D1"/>
  </mergeCells>
  <conditionalFormatting sqref="D17:D1048576 C2:C16">
    <cfRule type="duplicateValues" dxfId="84" priority="15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>
      <pane xSplit="12" ySplit="10" topLeftCell="Q11" activePane="bottomRight" state="frozen"/>
      <selection pane="topRight" activeCell="L1" sqref="L1"/>
      <selection pane="bottomLeft" activeCell="A13" sqref="A13"/>
      <selection pane="bottomRight" activeCell="D21" sqref="D21"/>
    </sheetView>
  </sheetViews>
  <sheetFormatPr defaultRowHeight="15"/>
  <cols>
    <col min="1" max="1" width="6.140625" style="68" bestFit="1" customWidth="1"/>
    <col min="3" max="3" width="13.140625" bestFit="1" customWidth="1"/>
    <col min="5" max="5" width="11.5703125" customWidth="1"/>
  </cols>
  <sheetData>
    <row r="1" spans="1:26">
      <c r="A1" s="68" t="s">
        <v>51</v>
      </c>
      <c r="B1" t="s">
        <v>507</v>
      </c>
      <c r="C1" t="s">
        <v>59</v>
      </c>
      <c r="D1" t="s">
        <v>505</v>
      </c>
      <c r="E1" t="s">
        <v>504</v>
      </c>
      <c r="F1" t="s">
        <v>26</v>
      </c>
      <c r="G1" t="s">
        <v>35</v>
      </c>
      <c r="H1" t="s">
        <v>159</v>
      </c>
      <c r="I1" t="s">
        <v>601</v>
      </c>
      <c r="J1" t="s">
        <v>35</v>
      </c>
      <c r="K1" t="s">
        <v>60</v>
      </c>
      <c r="L1" t="s">
        <v>601</v>
      </c>
      <c r="M1" t="s">
        <v>35</v>
      </c>
      <c r="N1" t="s">
        <v>60</v>
      </c>
      <c r="O1" t="s">
        <v>601</v>
      </c>
      <c r="P1" t="s">
        <v>35</v>
      </c>
      <c r="Q1" t="s">
        <v>60</v>
      </c>
      <c r="R1" t="s">
        <v>601</v>
      </c>
      <c r="S1" t="s">
        <v>35</v>
      </c>
      <c r="T1" t="s">
        <v>60</v>
      </c>
      <c r="U1" t="s">
        <v>601</v>
      </c>
      <c r="V1" t="s">
        <v>35</v>
      </c>
      <c r="W1" t="s">
        <v>60</v>
      </c>
      <c r="X1" t="s">
        <v>506</v>
      </c>
      <c r="Y1" t="s">
        <v>26</v>
      </c>
    </row>
    <row r="2" spans="1:26">
      <c r="A2" s="68">
        <v>1</v>
      </c>
      <c r="B2" t="s">
        <v>41</v>
      </c>
      <c r="C2" t="s">
        <v>160</v>
      </c>
      <c r="D2" s="80">
        <v>44021</v>
      </c>
      <c r="E2" s="87">
        <v>30000</v>
      </c>
      <c r="F2" s="87">
        <f>E2-(I2+L2+O2+R2+U2)</f>
        <v>0</v>
      </c>
      <c r="G2">
        <f t="shared" ref="G2:G13" si="0">J2+M2+P2+S2+V2</f>
        <v>2070</v>
      </c>
      <c r="H2">
        <f t="shared" ref="H2:H13" si="1">E2+G2</f>
        <v>32070</v>
      </c>
      <c r="I2">
        <v>30000</v>
      </c>
      <c r="J2">
        <f>(I2*3%)/30*69</f>
        <v>2070</v>
      </c>
      <c r="K2" s="80">
        <v>44089</v>
      </c>
      <c r="M2">
        <f>(L2*3%)/30*68</f>
        <v>0</v>
      </c>
      <c r="N2" s="80"/>
      <c r="X2">
        <f>I2+L2+O2+R2+U2</f>
        <v>30000</v>
      </c>
      <c r="Y2">
        <f t="shared" ref="Y2:Y11" si="2">H2-X2</f>
        <v>2070</v>
      </c>
    </row>
    <row r="3" spans="1:26">
      <c r="A3" s="68">
        <v>4</v>
      </c>
      <c r="B3" t="s">
        <v>41</v>
      </c>
      <c r="C3" t="s">
        <v>502</v>
      </c>
      <c r="D3" s="80">
        <v>44060</v>
      </c>
      <c r="E3">
        <v>90000</v>
      </c>
      <c r="F3" s="87">
        <f t="shared" ref="F3:F14" si="3">E3-(I3+L3+O3+R3+U3)</f>
        <v>0</v>
      </c>
      <c r="G3">
        <f t="shared" si="0"/>
        <v>2646</v>
      </c>
      <c r="H3">
        <f t="shared" si="1"/>
        <v>92646</v>
      </c>
      <c r="I3">
        <v>12000</v>
      </c>
      <c r="J3">
        <f>(I3*3%)/30*19</f>
        <v>228</v>
      </c>
      <c r="K3" s="80">
        <v>44078</v>
      </c>
      <c r="L3">
        <v>78000</v>
      </c>
      <c r="M3">
        <f>(L3*3%)/30*31</f>
        <v>2418</v>
      </c>
      <c r="N3" s="80">
        <v>44090</v>
      </c>
      <c r="P3">
        <f>(O3*3%)/30*29</f>
        <v>0</v>
      </c>
      <c r="Q3" s="80">
        <v>44088</v>
      </c>
      <c r="S3">
        <f>(R3*3%)/30*29</f>
        <v>0</v>
      </c>
      <c r="T3" s="80">
        <v>44088</v>
      </c>
      <c r="V3">
        <f>(U3*3%)/30*29</f>
        <v>0</v>
      </c>
      <c r="W3" s="80">
        <v>44088</v>
      </c>
      <c r="X3">
        <f t="shared" ref="X3:X11" si="4">I3+L3+O3+R3+U3</f>
        <v>90000</v>
      </c>
      <c r="Y3">
        <f t="shared" si="2"/>
        <v>2646</v>
      </c>
      <c r="Z3">
        <f>E3-X3</f>
        <v>0</v>
      </c>
    </row>
    <row r="4" spans="1:26">
      <c r="A4" s="68">
        <v>5</v>
      </c>
      <c r="B4" t="s">
        <v>41</v>
      </c>
      <c r="C4" t="s">
        <v>325</v>
      </c>
      <c r="D4" s="80">
        <v>44027</v>
      </c>
      <c r="E4" s="87">
        <v>20000</v>
      </c>
      <c r="F4" s="87">
        <f t="shared" si="3"/>
        <v>0</v>
      </c>
      <c r="G4">
        <f t="shared" si="0"/>
        <v>1280</v>
      </c>
      <c r="H4">
        <f t="shared" si="1"/>
        <v>21280</v>
      </c>
      <c r="I4">
        <v>20000</v>
      </c>
      <c r="J4">
        <f>(I4*3%)/30*64</f>
        <v>1280</v>
      </c>
      <c r="K4" s="80">
        <v>44089</v>
      </c>
      <c r="X4">
        <f t="shared" si="4"/>
        <v>20000</v>
      </c>
      <c r="Y4">
        <f t="shared" si="2"/>
        <v>1280</v>
      </c>
    </row>
    <row r="5" spans="1:26">
      <c r="A5" s="68">
        <v>6</v>
      </c>
      <c r="B5" t="s">
        <v>41</v>
      </c>
      <c r="C5" t="s">
        <v>508</v>
      </c>
      <c r="D5" s="80">
        <v>44074</v>
      </c>
      <c r="E5" s="87">
        <v>15000</v>
      </c>
      <c r="F5" s="87">
        <f t="shared" si="3"/>
        <v>0</v>
      </c>
      <c r="G5">
        <f t="shared" si="0"/>
        <v>240</v>
      </c>
      <c r="H5">
        <f t="shared" si="1"/>
        <v>15240</v>
      </c>
      <c r="I5">
        <v>2855</v>
      </c>
      <c r="J5">
        <f>(I5*3%)/30*16</f>
        <v>45.679999999999993</v>
      </c>
      <c r="K5" s="80">
        <v>44089</v>
      </c>
      <c r="L5">
        <v>12145</v>
      </c>
      <c r="M5">
        <f>(L5*3%)/30*16</f>
        <v>194.32</v>
      </c>
      <c r="N5" s="80">
        <v>44090</v>
      </c>
      <c r="P5">
        <f>(O5*3%)/30*17</f>
        <v>0</v>
      </c>
      <c r="X5">
        <f t="shared" si="4"/>
        <v>15000</v>
      </c>
      <c r="Y5">
        <f t="shared" si="2"/>
        <v>240</v>
      </c>
    </row>
    <row r="6" spans="1:26">
      <c r="A6" s="68">
        <v>7</v>
      </c>
      <c r="B6" t="s">
        <v>41</v>
      </c>
      <c r="C6" t="s">
        <v>502</v>
      </c>
      <c r="D6" s="80">
        <v>44091</v>
      </c>
      <c r="E6">
        <v>182489</v>
      </c>
      <c r="F6" s="87">
        <f t="shared" si="3"/>
        <v>157994</v>
      </c>
      <c r="G6">
        <f t="shared" si="0"/>
        <v>0</v>
      </c>
      <c r="H6">
        <f t="shared" si="1"/>
        <v>182489</v>
      </c>
      <c r="I6">
        <v>24495</v>
      </c>
      <c r="K6" s="80">
        <v>44094</v>
      </c>
      <c r="X6">
        <f t="shared" si="4"/>
        <v>24495</v>
      </c>
      <c r="Y6">
        <f t="shared" si="2"/>
        <v>157994</v>
      </c>
    </row>
    <row r="7" spans="1:26">
      <c r="A7" s="68">
        <v>8</v>
      </c>
      <c r="B7" t="s">
        <v>41</v>
      </c>
      <c r="C7" t="s">
        <v>848</v>
      </c>
      <c r="D7" s="80">
        <v>44099</v>
      </c>
      <c r="E7">
        <f>10000</f>
        <v>10000</v>
      </c>
      <c r="F7" s="87">
        <f t="shared" si="3"/>
        <v>10000</v>
      </c>
      <c r="G7">
        <f t="shared" si="0"/>
        <v>0</v>
      </c>
      <c r="H7">
        <f t="shared" si="1"/>
        <v>10000</v>
      </c>
      <c r="I7">
        <v>0</v>
      </c>
      <c r="J7">
        <f>(I7*3%)/30*16</f>
        <v>0</v>
      </c>
      <c r="X7">
        <f t="shared" si="4"/>
        <v>0</v>
      </c>
      <c r="Y7">
        <f t="shared" si="2"/>
        <v>10000</v>
      </c>
    </row>
    <row r="8" spans="1:26">
      <c r="A8" s="68">
        <v>9</v>
      </c>
      <c r="B8" t="s">
        <v>41</v>
      </c>
      <c r="C8" t="s">
        <v>848</v>
      </c>
      <c r="D8" s="80">
        <v>44109</v>
      </c>
      <c r="E8">
        <v>20000</v>
      </c>
      <c r="F8" s="87">
        <f t="shared" si="3"/>
        <v>20000</v>
      </c>
      <c r="G8">
        <f t="shared" si="0"/>
        <v>0</v>
      </c>
      <c r="H8">
        <f t="shared" si="1"/>
        <v>20000</v>
      </c>
      <c r="X8">
        <f t="shared" si="4"/>
        <v>0</v>
      </c>
      <c r="Y8">
        <f t="shared" si="2"/>
        <v>20000</v>
      </c>
    </row>
    <row r="9" spans="1:26">
      <c r="A9" s="68">
        <v>10</v>
      </c>
      <c r="B9" t="s">
        <v>41</v>
      </c>
      <c r="C9" t="s">
        <v>37</v>
      </c>
      <c r="D9" s="80">
        <v>44111</v>
      </c>
      <c r="E9">
        <v>50000</v>
      </c>
      <c r="F9" s="87">
        <f t="shared" si="3"/>
        <v>50000</v>
      </c>
      <c r="G9">
        <f t="shared" si="0"/>
        <v>0</v>
      </c>
      <c r="H9">
        <f t="shared" si="1"/>
        <v>50000</v>
      </c>
      <c r="X9">
        <f t="shared" si="4"/>
        <v>0</v>
      </c>
      <c r="Y9">
        <f t="shared" si="2"/>
        <v>50000</v>
      </c>
    </row>
    <row r="10" spans="1:26">
      <c r="A10" s="68">
        <v>11</v>
      </c>
      <c r="B10" t="s">
        <v>41</v>
      </c>
      <c r="C10" t="s">
        <v>907</v>
      </c>
      <c r="E10">
        <v>20000</v>
      </c>
      <c r="F10" s="87">
        <f t="shared" si="3"/>
        <v>20000</v>
      </c>
      <c r="G10">
        <f t="shared" si="0"/>
        <v>0</v>
      </c>
      <c r="H10">
        <f t="shared" si="1"/>
        <v>20000</v>
      </c>
      <c r="X10">
        <f t="shared" si="4"/>
        <v>0</v>
      </c>
      <c r="Y10">
        <f t="shared" si="2"/>
        <v>20000</v>
      </c>
    </row>
    <row r="11" spans="1:26">
      <c r="A11" s="68">
        <v>12</v>
      </c>
      <c r="B11" t="s">
        <v>41</v>
      </c>
      <c r="C11" t="s">
        <v>909</v>
      </c>
      <c r="D11" s="80">
        <v>44120</v>
      </c>
      <c r="E11">
        <v>50000</v>
      </c>
      <c r="F11" s="87">
        <f t="shared" si="3"/>
        <v>50000</v>
      </c>
      <c r="G11">
        <f t="shared" si="0"/>
        <v>0</v>
      </c>
      <c r="H11">
        <f t="shared" si="1"/>
        <v>50000</v>
      </c>
      <c r="X11">
        <f t="shared" si="4"/>
        <v>0</v>
      </c>
      <c r="Y11">
        <f t="shared" si="2"/>
        <v>50000</v>
      </c>
    </row>
    <row r="12" spans="1:26">
      <c r="A12" s="68">
        <v>13</v>
      </c>
      <c r="B12" t="s">
        <v>41</v>
      </c>
      <c r="C12" t="s">
        <v>1031</v>
      </c>
      <c r="D12" s="80">
        <v>44125</v>
      </c>
      <c r="E12">
        <v>5000</v>
      </c>
      <c r="F12" s="87">
        <f t="shared" si="3"/>
        <v>5000</v>
      </c>
      <c r="G12">
        <f t="shared" si="0"/>
        <v>0</v>
      </c>
      <c r="H12">
        <f t="shared" si="1"/>
        <v>5000</v>
      </c>
    </row>
    <row r="13" spans="1:26">
      <c r="A13" s="68">
        <v>14</v>
      </c>
      <c r="B13" t="s">
        <v>41</v>
      </c>
      <c r="C13" t="s">
        <v>909</v>
      </c>
      <c r="D13" s="80">
        <v>44135</v>
      </c>
      <c r="E13">
        <v>50000</v>
      </c>
      <c r="F13" s="87">
        <f t="shared" si="3"/>
        <v>50000</v>
      </c>
      <c r="G13">
        <f t="shared" si="0"/>
        <v>0</v>
      </c>
      <c r="H13">
        <f t="shared" si="1"/>
        <v>50000</v>
      </c>
      <c r="J13">
        <f>(I13*3%)/30*64</f>
        <v>0</v>
      </c>
    </row>
    <row r="14" spans="1:26">
      <c r="A14" s="68">
        <v>15</v>
      </c>
      <c r="B14" t="s">
        <v>41</v>
      </c>
      <c r="C14" t="s">
        <v>289</v>
      </c>
      <c r="D14" s="80">
        <v>44156</v>
      </c>
      <c r="E14">
        <v>78020</v>
      </c>
      <c r="F14" s="87">
        <f t="shared" si="3"/>
        <v>78020</v>
      </c>
      <c r="G14">
        <f t="shared" ref="G14" si="5">J14+M14+P14+S14+V14</f>
        <v>0</v>
      </c>
      <c r="H14">
        <f t="shared" ref="H14" si="6">E14+G14</f>
        <v>78020</v>
      </c>
      <c r="J14">
        <f>(I14*3%)/30*19</f>
        <v>0</v>
      </c>
      <c r="K14" s="80"/>
      <c r="M14">
        <f>(L14*3%)/30*31</f>
        <v>0</v>
      </c>
      <c r="N14" s="80"/>
      <c r="P14">
        <f>(O14*3%)/30*29</f>
        <v>0</v>
      </c>
      <c r="Q14" s="80"/>
      <c r="S14">
        <f>(R14*3%)/30*29</f>
        <v>0</v>
      </c>
      <c r="T14" s="80"/>
      <c r="V14">
        <f>(U14*3%)/30*29</f>
        <v>0</v>
      </c>
      <c r="W14" s="80"/>
      <c r="X14">
        <f t="shared" ref="X14" si="7">I14+L14+O14+R14+U14</f>
        <v>0</v>
      </c>
      <c r="Y14">
        <f t="shared" ref="Y14" si="8">H14-X14</f>
        <v>78020</v>
      </c>
    </row>
    <row r="15" spans="1:26">
      <c r="A15" s="68">
        <v>16</v>
      </c>
      <c r="B15" t="s">
        <v>41</v>
      </c>
      <c r="C15" t="s">
        <v>909</v>
      </c>
      <c r="D15" s="80">
        <v>44159</v>
      </c>
      <c r="E15">
        <v>21000</v>
      </c>
      <c r="F15" s="87">
        <f t="shared" ref="F15:F18" si="9">E15-(I15+L15+O15+R15+U15)</f>
        <v>21000</v>
      </c>
      <c r="G15">
        <f t="shared" ref="G15:G18" si="10">J15+M15+P15+S15+V15</f>
        <v>0</v>
      </c>
      <c r="H15">
        <f t="shared" ref="H15:H18" si="11">E15+G15</f>
        <v>21000</v>
      </c>
      <c r="J15">
        <f>(I15*3%)/30*19</f>
        <v>0</v>
      </c>
      <c r="K15" s="80"/>
      <c r="M15">
        <f>(L15*3%)/30*31</f>
        <v>0</v>
      </c>
      <c r="N15" s="80"/>
      <c r="P15">
        <f>(O15*3%)/30*29</f>
        <v>0</v>
      </c>
      <c r="Q15" s="80"/>
      <c r="S15">
        <f>(R15*3%)/30*29</f>
        <v>0</v>
      </c>
      <c r="T15" s="80"/>
      <c r="V15">
        <f>(U15*3%)/30*29</f>
        <v>0</v>
      </c>
      <c r="W15" s="80"/>
      <c r="X15">
        <f t="shared" ref="X15:X18" si="12">I15+L15+O15+R15+U15</f>
        <v>0</v>
      </c>
    </row>
    <row r="16" spans="1:26">
      <c r="A16" s="68">
        <v>17</v>
      </c>
      <c r="B16" t="s">
        <v>41</v>
      </c>
      <c r="C16" s="5" t="s">
        <v>1110</v>
      </c>
      <c r="D16" s="80">
        <v>44159</v>
      </c>
      <c r="E16">
        <v>20000</v>
      </c>
      <c r="F16" s="87">
        <f t="shared" si="9"/>
        <v>20000</v>
      </c>
      <c r="G16">
        <f t="shared" si="10"/>
        <v>0</v>
      </c>
      <c r="H16">
        <f t="shared" si="11"/>
        <v>20000</v>
      </c>
      <c r="J16">
        <f>(I16*3%)/30*19</f>
        <v>0</v>
      </c>
      <c r="K16" s="80"/>
      <c r="M16">
        <f>(L16*3%)/30*31</f>
        <v>0</v>
      </c>
      <c r="N16" s="80"/>
      <c r="P16">
        <f>(O16*3%)/30*29</f>
        <v>0</v>
      </c>
      <c r="Q16" s="80"/>
      <c r="S16">
        <f>(R16*3%)/30*29</f>
        <v>0</v>
      </c>
      <c r="T16" s="80"/>
      <c r="V16">
        <f>(U16*3%)/30*29</f>
        <v>0</v>
      </c>
      <c r="W16" s="80"/>
      <c r="X16">
        <f t="shared" si="12"/>
        <v>0</v>
      </c>
    </row>
    <row r="17" spans="1:24">
      <c r="A17" s="68">
        <v>18</v>
      </c>
      <c r="B17" t="s">
        <v>41</v>
      </c>
      <c r="C17" s="30" t="s">
        <v>1111</v>
      </c>
      <c r="D17" s="80">
        <v>44159</v>
      </c>
      <c r="E17">
        <v>15000</v>
      </c>
      <c r="F17" s="87">
        <f t="shared" si="9"/>
        <v>15000</v>
      </c>
      <c r="G17">
        <f t="shared" si="10"/>
        <v>0</v>
      </c>
      <c r="H17">
        <f t="shared" si="11"/>
        <v>15000</v>
      </c>
      <c r="J17">
        <f>(I17*3%)/30*19</f>
        <v>0</v>
      </c>
      <c r="K17" s="80"/>
      <c r="M17">
        <f>(L17*3%)/30*31</f>
        <v>0</v>
      </c>
      <c r="N17" s="80"/>
      <c r="P17">
        <f>(O17*3%)/30*29</f>
        <v>0</v>
      </c>
      <c r="Q17" s="80"/>
      <c r="S17">
        <f>(R17*3%)/30*29</f>
        <v>0</v>
      </c>
      <c r="T17" s="80"/>
      <c r="V17">
        <f>(U17*3%)/30*29</f>
        <v>0</v>
      </c>
      <c r="W17" s="80"/>
      <c r="X17">
        <f t="shared" si="12"/>
        <v>0</v>
      </c>
    </row>
    <row r="18" spans="1:24">
      <c r="A18" s="68">
        <v>19</v>
      </c>
      <c r="B18" t="s">
        <v>41</v>
      </c>
      <c r="C18" s="30" t="s">
        <v>1112</v>
      </c>
      <c r="D18" s="80">
        <v>44159</v>
      </c>
      <c r="E18">
        <v>10000</v>
      </c>
      <c r="F18" s="87">
        <f t="shared" si="9"/>
        <v>10000</v>
      </c>
      <c r="G18">
        <f t="shared" si="10"/>
        <v>0</v>
      </c>
      <c r="H18">
        <f t="shared" si="11"/>
        <v>10000</v>
      </c>
      <c r="J18">
        <f>(I18*3%)/30*19</f>
        <v>0</v>
      </c>
      <c r="K18" s="80"/>
      <c r="M18">
        <f>(L18*3%)/30*31</f>
        <v>0</v>
      </c>
      <c r="N18" s="80"/>
      <c r="P18">
        <f>(O18*3%)/30*29</f>
        <v>0</v>
      </c>
      <c r="Q18" s="80"/>
      <c r="S18">
        <f>(R18*3%)/30*29</f>
        <v>0</v>
      </c>
      <c r="T18" s="80"/>
      <c r="V18">
        <f>(U18*3%)/30*29</f>
        <v>0</v>
      </c>
      <c r="W18" s="80"/>
      <c r="X18">
        <f t="shared" si="12"/>
        <v>0</v>
      </c>
    </row>
    <row r="19" spans="1:24">
      <c r="A19"/>
    </row>
    <row r="20" spans="1:24">
      <c r="A20"/>
    </row>
    <row r="21" spans="1:24">
      <c r="A21"/>
    </row>
    <row r="22" spans="1:24">
      <c r="A22"/>
    </row>
    <row r="23" spans="1:24">
      <c r="A23"/>
    </row>
    <row r="24" spans="1:24">
      <c r="A24"/>
    </row>
    <row r="25" spans="1:24">
      <c r="A25"/>
    </row>
    <row r="26" spans="1:24">
      <c r="A26"/>
    </row>
  </sheetData>
  <conditionalFormatting sqref="H2:H13 F3:F13">
    <cfRule type="cellIs" dxfId="83" priority="68" operator="equal">
      <formula>$X$2</formula>
    </cfRule>
  </conditionalFormatting>
  <conditionalFormatting sqref="H3">
    <cfRule type="cellIs" dxfId="82" priority="45" operator="equal">
      <formula>$X$3</formula>
    </cfRule>
    <cfRule type="cellIs" dxfId="81" priority="64" operator="equal">
      <formula>#REF!</formula>
    </cfRule>
  </conditionalFormatting>
  <conditionalFormatting sqref="H4">
    <cfRule type="cellIs" dxfId="80" priority="62" operator="equal">
      <formula>#REF!</formula>
    </cfRule>
  </conditionalFormatting>
  <conditionalFormatting sqref="H5">
    <cfRule type="cellIs" dxfId="79" priority="56" operator="equal">
      <formula>#REF!</formula>
    </cfRule>
  </conditionalFormatting>
  <conditionalFormatting sqref="H6">
    <cfRule type="cellIs" dxfId="78" priority="55" operator="equal">
      <formula>#REF!</formula>
    </cfRule>
  </conditionalFormatting>
  <conditionalFormatting sqref="H7">
    <cfRule type="cellIs" dxfId="77" priority="54" operator="equal">
      <formula>#REF!</formula>
    </cfRule>
  </conditionalFormatting>
  <conditionalFormatting sqref="H8">
    <cfRule type="cellIs" dxfId="76" priority="53" operator="equal">
      <formula>#REF!</formula>
    </cfRule>
  </conditionalFormatting>
  <conditionalFormatting sqref="H9">
    <cfRule type="cellIs" dxfId="75" priority="52" operator="equal">
      <formula>#REF!</formula>
    </cfRule>
  </conditionalFormatting>
  <conditionalFormatting sqref="H10">
    <cfRule type="cellIs" dxfId="74" priority="51" operator="equal">
      <formula>#REF!</formula>
    </cfRule>
  </conditionalFormatting>
  <conditionalFormatting sqref="H11">
    <cfRule type="cellIs" dxfId="73" priority="50" operator="equal">
      <formula>#REF!</formula>
    </cfRule>
  </conditionalFormatting>
  <conditionalFormatting sqref="H12">
    <cfRule type="cellIs" dxfId="72" priority="49" operator="equal">
      <formula>#REF!</formula>
    </cfRule>
  </conditionalFormatting>
  <conditionalFormatting sqref="H13">
    <cfRule type="cellIs" dxfId="71" priority="48" operator="equal">
      <formula>#REF!</formula>
    </cfRule>
  </conditionalFormatting>
  <conditionalFormatting sqref="H3">
    <cfRule type="cellIs" dxfId="70" priority="46" operator="equal">
      <formula>#REF!</formula>
    </cfRule>
  </conditionalFormatting>
  <conditionalFormatting sqref="E2:F2">
    <cfRule type="cellIs" dxfId="69" priority="44" operator="equal">
      <formula>$X$2</formula>
    </cfRule>
  </conditionalFormatting>
  <conditionalFormatting sqref="E3">
    <cfRule type="cellIs" dxfId="68" priority="40" operator="equal">
      <formula>$X$3</formula>
    </cfRule>
  </conditionalFormatting>
  <conditionalFormatting sqref="E4">
    <cfRule type="cellIs" dxfId="67" priority="39" operator="equal">
      <formula>$X$4</formula>
    </cfRule>
  </conditionalFormatting>
  <conditionalFormatting sqref="E5">
    <cfRule type="cellIs" dxfId="66" priority="37" operator="equal">
      <formula>$X$5</formula>
    </cfRule>
    <cfRule type="cellIs" dxfId="65" priority="38" operator="equal">
      <formula>$X$5</formula>
    </cfRule>
  </conditionalFormatting>
  <conditionalFormatting sqref="E6">
    <cfRule type="cellIs" dxfId="64" priority="36" operator="equal">
      <formula>$X$6</formula>
    </cfRule>
  </conditionalFormatting>
  <conditionalFormatting sqref="E7">
    <cfRule type="cellIs" dxfId="63" priority="32" operator="equal">
      <formula>$X$7</formula>
    </cfRule>
    <cfRule type="cellIs" dxfId="62" priority="35" operator="equal">
      <formula>$X$7</formula>
    </cfRule>
  </conditionalFormatting>
  <conditionalFormatting sqref="E8:E12 E15">
    <cfRule type="cellIs" dxfId="61" priority="34" operator="equal">
      <formula>$X$7</formula>
    </cfRule>
  </conditionalFormatting>
  <conditionalFormatting sqref="E12 E15">
    <cfRule type="cellIs" dxfId="60" priority="33" operator="equal">
      <formula>$X$12</formula>
    </cfRule>
  </conditionalFormatting>
  <conditionalFormatting sqref="E14">
    <cfRule type="cellIs" dxfId="59" priority="30" operator="equal">
      <formula>$X$7</formula>
    </cfRule>
  </conditionalFormatting>
  <conditionalFormatting sqref="F14">
    <cfRule type="cellIs" dxfId="58" priority="29" operator="equal">
      <formula>$X$2</formula>
    </cfRule>
  </conditionalFormatting>
  <conditionalFormatting sqref="H14">
    <cfRule type="cellIs" dxfId="57" priority="28" operator="equal">
      <formula>$X$2</formula>
    </cfRule>
  </conditionalFormatting>
  <conditionalFormatting sqref="H14">
    <cfRule type="cellIs" dxfId="56" priority="25" operator="equal">
      <formula>$X$3</formula>
    </cfRule>
    <cfRule type="cellIs" dxfId="55" priority="27" operator="equal">
      <formula>#REF!</formula>
    </cfRule>
  </conditionalFormatting>
  <conditionalFormatting sqref="H14">
    <cfRule type="cellIs" dxfId="54" priority="26" operator="equal">
      <formula>#REF!</formula>
    </cfRule>
  </conditionalFormatting>
  <conditionalFormatting sqref="E13">
    <cfRule type="cellIs" dxfId="53" priority="24" operator="equal">
      <formula>$X$7</formula>
    </cfRule>
  </conditionalFormatting>
  <conditionalFormatting sqref="C18">
    <cfRule type="duplicateValues" dxfId="52" priority="23"/>
  </conditionalFormatting>
  <conditionalFormatting sqref="C17">
    <cfRule type="duplicateValues" dxfId="51" priority="22"/>
  </conditionalFormatting>
  <conditionalFormatting sqref="C16">
    <cfRule type="duplicateValues" dxfId="50" priority="21"/>
  </conditionalFormatting>
  <conditionalFormatting sqref="F15">
    <cfRule type="cellIs" dxfId="49" priority="20" operator="equal">
      <formula>$X$2</formula>
    </cfRule>
  </conditionalFormatting>
  <conditionalFormatting sqref="H15">
    <cfRule type="cellIs" dxfId="48" priority="19" operator="equal">
      <formula>$X$2</formula>
    </cfRule>
  </conditionalFormatting>
  <conditionalFormatting sqref="H15">
    <cfRule type="cellIs" dxfId="47" priority="16" operator="equal">
      <formula>$X$3</formula>
    </cfRule>
    <cfRule type="cellIs" dxfId="46" priority="18" operator="equal">
      <formula>#REF!</formula>
    </cfRule>
  </conditionalFormatting>
  <conditionalFormatting sqref="H15">
    <cfRule type="cellIs" dxfId="45" priority="17" operator="equal">
      <formula>#REF!</formula>
    </cfRule>
  </conditionalFormatting>
  <conditionalFormatting sqref="F16">
    <cfRule type="cellIs" dxfId="44" priority="15" operator="equal">
      <formula>$X$2</formula>
    </cfRule>
  </conditionalFormatting>
  <conditionalFormatting sqref="H16">
    <cfRule type="cellIs" dxfId="43" priority="14" operator="equal">
      <formula>$X$2</formula>
    </cfRule>
  </conditionalFormatting>
  <conditionalFormatting sqref="H16">
    <cfRule type="cellIs" dxfId="42" priority="11" operator="equal">
      <formula>$X$3</formula>
    </cfRule>
    <cfRule type="cellIs" dxfId="41" priority="13" operator="equal">
      <formula>#REF!</formula>
    </cfRule>
  </conditionalFormatting>
  <conditionalFormatting sqref="H16">
    <cfRule type="cellIs" dxfId="40" priority="12" operator="equal">
      <formula>#REF!</formula>
    </cfRule>
  </conditionalFormatting>
  <conditionalFormatting sqref="F17">
    <cfRule type="cellIs" dxfId="39" priority="10" operator="equal">
      <formula>$X$2</formula>
    </cfRule>
  </conditionalFormatting>
  <conditionalFormatting sqref="H17">
    <cfRule type="cellIs" dxfId="38" priority="9" operator="equal">
      <formula>$X$2</formula>
    </cfRule>
  </conditionalFormatting>
  <conditionalFormatting sqref="H17">
    <cfRule type="cellIs" dxfId="37" priority="6" operator="equal">
      <formula>$X$3</formula>
    </cfRule>
    <cfRule type="cellIs" dxfId="36" priority="8" operator="equal">
      <formula>#REF!</formula>
    </cfRule>
  </conditionalFormatting>
  <conditionalFormatting sqref="H17">
    <cfRule type="cellIs" dxfId="35" priority="7" operator="equal">
      <formula>#REF!</formula>
    </cfRule>
  </conditionalFormatting>
  <conditionalFormatting sqref="F18">
    <cfRule type="cellIs" dxfId="34" priority="5" operator="equal">
      <formula>$X$2</formula>
    </cfRule>
  </conditionalFormatting>
  <conditionalFormatting sqref="H18">
    <cfRule type="cellIs" dxfId="33" priority="4" operator="equal">
      <formula>$X$2</formula>
    </cfRule>
  </conditionalFormatting>
  <conditionalFormatting sqref="H18">
    <cfRule type="cellIs" dxfId="32" priority="1" operator="equal">
      <formula>$X$3</formula>
    </cfRule>
    <cfRule type="cellIs" dxfId="31" priority="3" operator="equal">
      <formula>#REF!</formula>
    </cfRule>
  </conditionalFormatting>
  <conditionalFormatting sqref="H18">
    <cfRule type="cellIs" dxfId="30" priority="2" operator="equal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E114"/>
  <sheetViews>
    <sheetView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4" sqref="F4"/>
    </sheetView>
  </sheetViews>
  <sheetFormatPr defaultRowHeight="15"/>
  <cols>
    <col min="1" max="1" width="6.140625" bestFit="1" customWidth="1"/>
    <col min="2" max="2" width="16" bestFit="1" customWidth="1"/>
    <col min="3" max="3" width="26.5703125" bestFit="1" customWidth="1"/>
    <col min="4" max="4" width="11.7109375" customWidth="1"/>
    <col min="5" max="5" width="9.42578125" style="68" customWidth="1"/>
    <col min="6" max="6" width="15.42578125" style="68" bestFit="1" customWidth="1"/>
    <col min="7" max="7" width="12.140625" bestFit="1" customWidth="1"/>
    <col min="8" max="8" width="13.7109375" style="127" customWidth="1"/>
    <col min="9" max="10" width="10.42578125" style="128" customWidth="1"/>
    <col min="11" max="11" width="8.28515625" customWidth="1"/>
    <col min="12" max="12" width="10.5703125" customWidth="1"/>
    <col min="13" max="13" width="11.85546875" customWidth="1"/>
    <col min="14" max="15" width="8.85546875" customWidth="1"/>
    <col min="16" max="16" width="10" customWidth="1"/>
    <col min="17" max="17" width="10.7109375" customWidth="1"/>
    <col min="18" max="18" width="12.7109375" customWidth="1"/>
    <col min="19" max="19" width="10" customWidth="1"/>
    <col min="20" max="20" width="9.42578125" bestFit="1" customWidth="1"/>
    <col min="21" max="21" width="9.28515625" customWidth="1"/>
    <col min="22" max="22" width="7.5703125" bestFit="1" customWidth="1"/>
    <col min="23" max="23" width="8.7109375" customWidth="1"/>
    <col min="24" max="24" width="14.140625" bestFit="1" customWidth="1"/>
    <col min="25" max="25" width="9.28515625" bestFit="1" customWidth="1"/>
    <col min="26" max="26" width="9.5703125" bestFit="1" customWidth="1"/>
    <col min="27" max="27" width="8.42578125" customWidth="1"/>
    <col min="28" max="28" width="8.5703125" bestFit="1" customWidth="1"/>
    <col min="29" max="29" width="8" customWidth="1"/>
    <col min="30" max="30" width="9.5703125" bestFit="1" customWidth="1"/>
    <col min="31" max="31" width="7.140625" bestFit="1" customWidth="1"/>
    <col min="32" max="32" width="9.140625" bestFit="1" customWidth="1"/>
    <col min="33" max="33" width="18.140625" bestFit="1" customWidth="1"/>
    <col min="34" max="34" width="12.140625" customWidth="1"/>
    <col min="35" max="35" width="12.5703125" bestFit="1" customWidth="1"/>
    <col min="36" max="36" width="13.28515625" bestFit="1" customWidth="1"/>
    <col min="37" max="37" width="14.7109375" bestFit="1" customWidth="1"/>
    <col min="38" max="38" width="12.42578125" bestFit="1" customWidth="1"/>
    <col min="39" max="39" width="17.140625" bestFit="1" customWidth="1"/>
    <col min="40" max="40" width="12.7109375" bestFit="1" customWidth="1"/>
    <col min="41" max="41" width="15.7109375" customWidth="1"/>
    <col min="42" max="42" width="6.85546875" customWidth="1"/>
    <col min="43" max="43" width="12.5703125" bestFit="1" customWidth="1"/>
    <col min="44" max="44" width="9.7109375" bestFit="1" customWidth="1"/>
    <col min="45" max="45" width="9.140625" customWidth="1"/>
    <col min="46" max="46" width="12.42578125" bestFit="1" customWidth="1"/>
    <col min="47" max="47" width="17.140625" bestFit="1" customWidth="1"/>
    <col min="48" max="48" width="14.42578125" bestFit="1" customWidth="1"/>
    <col min="49" max="49" width="17.7109375" bestFit="1" customWidth="1"/>
    <col min="50" max="51" width="13.7109375" bestFit="1" customWidth="1"/>
    <col min="52" max="52" width="12.140625" bestFit="1" customWidth="1"/>
    <col min="53" max="53" width="9.85546875" bestFit="1" customWidth="1"/>
    <col min="54" max="54" width="15.28515625" bestFit="1" customWidth="1"/>
    <col min="55" max="55" width="5" bestFit="1" customWidth="1"/>
    <col min="56" max="56" width="5.7109375" bestFit="1" customWidth="1"/>
    <col min="57" max="58" width="9" bestFit="1" customWidth="1"/>
    <col min="59" max="59" width="8.7109375" customWidth="1"/>
    <col min="60" max="60" width="9.7109375" customWidth="1"/>
    <col min="61" max="61" width="7.7109375" customWidth="1"/>
    <col min="62" max="62" width="4.7109375" customWidth="1"/>
    <col min="63" max="63" width="8.42578125" bestFit="1" customWidth="1"/>
    <col min="64" max="64" width="8.5703125" customWidth="1"/>
    <col min="65" max="65" width="9.42578125" customWidth="1"/>
    <col min="66" max="66" width="6.140625" customWidth="1"/>
    <col min="67" max="67" width="6" customWidth="1"/>
    <col min="68" max="68" width="6.28515625" customWidth="1"/>
    <col min="69" max="69" width="5.28515625" customWidth="1"/>
  </cols>
  <sheetData>
    <row r="1" spans="1:83" s="110" customFormat="1" ht="30.75" thickBot="1">
      <c r="A1" s="119"/>
      <c r="B1" s="119"/>
      <c r="C1" s="133" t="s">
        <v>28</v>
      </c>
      <c r="D1" s="137">
        <f>SUM(D3:D100)+I1</f>
        <v>288980</v>
      </c>
      <c r="E1" s="121">
        <f>SUM(E3:E100)</f>
        <v>25000</v>
      </c>
      <c r="F1" s="121">
        <f>SUM(F3:F100)</f>
        <v>12181</v>
      </c>
      <c r="G1" s="121">
        <f>SUM(G3:G100)</f>
        <v>657513</v>
      </c>
      <c r="H1" s="120" t="s">
        <v>303</v>
      </c>
      <c r="I1" s="140">
        <f>SUM(I3:I100)</f>
        <v>271212</v>
      </c>
      <c r="J1" s="161">
        <f>SUM(J3:J100)</f>
        <v>288980</v>
      </c>
      <c r="K1" s="114">
        <f>SUM(K3:K100)</f>
        <v>4602</v>
      </c>
      <c r="L1" s="114">
        <f t="shared" ref="L1:BQ1" si="0">SUM(L3:L100)</f>
        <v>7425</v>
      </c>
      <c r="M1" s="114">
        <f t="shared" si="0"/>
        <v>14500</v>
      </c>
      <c r="N1" s="114">
        <f t="shared" si="0"/>
        <v>3450</v>
      </c>
      <c r="O1" s="114">
        <f t="shared" si="0"/>
        <v>24500</v>
      </c>
      <c r="P1" s="114">
        <f t="shared" si="0"/>
        <v>1287</v>
      </c>
      <c r="Q1" s="114">
        <f t="shared" si="0"/>
        <v>6663</v>
      </c>
      <c r="R1" s="114">
        <f t="shared" si="0"/>
        <v>45000</v>
      </c>
      <c r="S1" s="114">
        <f t="shared" si="0"/>
        <v>7300</v>
      </c>
      <c r="T1" s="114">
        <f t="shared" si="0"/>
        <v>6000</v>
      </c>
      <c r="U1" s="114">
        <f t="shared" si="0"/>
        <v>1980</v>
      </c>
      <c r="V1" s="114">
        <f t="shared" si="0"/>
        <v>19754</v>
      </c>
      <c r="W1" s="114">
        <f t="shared" si="0"/>
        <v>3035</v>
      </c>
      <c r="X1" s="114">
        <f t="shared" si="0"/>
        <v>5000</v>
      </c>
      <c r="Y1" s="114">
        <f t="shared" si="0"/>
        <v>5376</v>
      </c>
      <c r="Z1" s="114">
        <f t="shared" si="0"/>
        <v>0</v>
      </c>
      <c r="AA1" s="114">
        <f t="shared" si="0"/>
        <v>13508</v>
      </c>
      <c r="AB1" s="114">
        <f t="shared" si="0"/>
        <v>5000</v>
      </c>
      <c r="AC1" s="114">
        <f t="shared" si="0"/>
        <v>9527</v>
      </c>
      <c r="AD1" s="114">
        <f t="shared" si="0"/>
        <v>3000</v>
      </c>
      <c r="AE1" s="114">
        <f t="shared" si="0"/>
        <v>10000</v>
      </c>
      <c r="AF1" s="114">
        <f t="shared" si="0"/>
        <v>4000</v>
      </c>
      <c r="AG1" s="114">
        <f t="shared" si="0"/>
        <v>1900</v>
      </c>
      <c r="AH1" s="114">
        <f t="shared" si="0"/>
        <v>87300</v>
      </c>
      <c r="AI1" s="114">
        <f t="shared" si="0"/>
        <v>2661</v>
      </c>
      <c r="AJ1" s="114">
        <f t="shared" si="0"/>
        <v>3385</v>
      </c>
      <c r="AK1" s="114">
        <f t="shared" si="0"/>
        <v>5148</v>
      </c>
      <c r="AL1" s="114">
        <f t="shared" si="0"/>
        <v>0</v>
      </c>
      <c r="AM1" s="114">
        <f t="shared" si="0"/>
        <v>0</v>
      </c>
      <c r="AN1" s="114">
        <f t="shared" si="0"/>
        <v>0</v>
      </c>
      <c r="AO1" s="114">
        <f t="shared" si="0"/>
        <v>0</v>
      </c>
      <c r="AP1" s="114">
        <f t="shared" si="0"/>
        <v>0</v>
      </c>
      <c r="AQ1" s="114">
        <f t="shared" si="0"/>
        <v>0</v>
      </c>
      <c r="AR1" s="114">
        <f t="shared" si="0"/>
        <v>0</v>
      </c>
      <c r="AS1" s="114">
        <f t="shared" si="0"/>
        <v>25000</v>
      </c>
      <c r="AT1" s="114">
        <f t="shared" si="0"/>
        <v>0</v>
      </c>
      <c r="AU1" s="114">
        <f t="shared" si="0"/>
        <v>0</v>
      </c>
      <c r="AV1" s="114">
        <f t="shared" si="0"/>
        <v>0</v>
      </c>
      <c r="AW1" s="114">
        <f t="shared" si="0"/>
        <v>0</v>
      </c>
      <c r="AX1" s="114">
        <f t="shared" si="0"/>
        <v>0</v>
      </c>
      <c r="AY1" s="114">
        <f t="shared" si="0"/>
        <v>0</v>
      </c>
      <c r="AZ1" s="114">
        <f t="shared" si="0"/>
        <v>0</v>
      </c>
      <c r="BA1" s="114">
        <f t="shared" si="0"/>
        <v>0</v>
      </c>
      <c r="BB1" s="114">
        <f t="shared" si="0"/>
        <v>0</v>
      </c>
      <c r="BC1" s="114">
        <f t="shared" si="0"/>
        <v>0</v>
      </c>
      <c r="BD1" s="114">
        <f t="shared" si="0"/>
        <v>0</v>
      </c>
      <c r="BE1" s="114">
        <f t="shared" si="0"/>
        <v>0</v>
      </c>
      <c r="BF1" s="114">
        <f t="shared" si="0"/>
        <v>0</v>
      </c>
      <c r="BG1" s="114">
        <f t="shared" si="0"/>
        <v>0</v>
      </c>
      <c r="BH1" s="114">
        <f t="shared" si="0"/>
        <v>0</v>
      </c>
      <c r="BI1" s="114">
        <f t="shared" si="0"/>
        <v>0</v>
      </c>
      <c r="BJ1" s="114">
        <f t="shared" si="0"/>
        <v>0</v>
      </c>
      <c r="BK1" s="114">
        <f t="shared" si="0"/>
        <v>0</v>
      </c>
      <c r="BL1" s="114">
        <f t="shared" si="0"/>
        <v>60000</v>
      </c>
      <c r="BM1" s="114">
        <f t="shared" si="0"/>
        <v>0</v>
      </c>
      <c r="BN1" s="114">
        <f t="shared" si="0"/>
        <v>0</v>
      </c>
      <c r="BO1" s="114">
        <f t="shared" si="0"/>
        <v>0</v>
      </c>
      <c r="BP1" s="114">
        <f t="shared" si="0"/>
        <v>0</v>
      </c>
      <c r="BQ1" s="114">
        <f t="shared" si="0"/>
        <v>0</v>
      </c>
      <c r="BR1" s="2"/>
    </row>
    <row r="2" spans="1:83" s="110" customFormat="1" ht="60">
      <c r="A2" s="115" t="s">
        <v>51</v>
      </c>
      <c r="B2" s="115" t="s">
        <v>302</v>
      </c>
      <c r="C2" s="116" t="s">
        <v>313</v>
      </c>
      <c r="D2" s="116" t="s">
        <v>852</v>
      </c>
      <c r="E2" s="117" t="s">
        <v>378</v>
      </c>
      <c r="F2" s="117" t="s">
        <v>1092</v>
      </c>
      <c r="G2" s="117" t="str">
        <f>Kotak!G3</f>
        <v>Kotak Bank</v>
      </c>
      <c r="H2" s="122" t="s">
        <v>496</v>
      </c>
      <c r="I2" s="156" t="s">
        <v>26</v>
      </c>
      <c r="J2" s="159" t="s">
        <v>1156</v>
      </c>
      <c r="K2" s="111" t="str">
        <f>Kotak!K3</f>
        <v>Zoom</v>
      </c>
      <c r="L2" s="111" t="str">
        <f>Kotak!L3</f>
        <v>All Star Manjunath</v>
      </c>
      <c r="M2" s="111" t="str">
        <f>Kotak!M3</f>
        <v>Abhipsa Mohanty</v>
      </c>
      <c r="N2" s="111" t="str">
        <f>Kotak!N3</f>
        <v>Subhadeep Banarjee</v>
      </c>
      <c r="O2" s="111" t="str">
        <f>Kotak!O3</f>
        <v>Aradhana Singh</v>
      </c>
      <c r="P2" s="111" t="str">
        <f>Kotak!P3</f>
        <v>Sadanand Sharma</v>
      </c>
      <c r="Q2" s="111" t="str">
        <f>Kotak!Q3</f>
        <v>Sandeep Mishra</v>
      </c>
      <c r="R2" s="111" t="str">
        <f>Kotak!R3</f>
        <v>IDFC</v>
      </c>
      <c r="S2" s="111" t="str">
        <f>Kotak!S3</f>
        <v>Vipin</v>
      </c>
      <c r="T2" s="111" t="str">
        <f>Kotak!T3</f>
        <v>Citi credit card</v>
      </c>
      <c r="U2" s="111" t="str">
        <f>Kotak!U3</f>
        <v>Hemant Arora</v>
      </c>
      <c r="V2" s="111" t="str">
        <f>Kotak!V3</f>
        <v>Dinesh Chimaji</v>
      </c>
      <c r="W2" s="111" t="str">
        <f>Kotak!W3</f>
        <v>Alok Majumdar</v>
      </c>
      <c r="X2" s="111" t="str">
        <f>Kotak!X3</f>
        <v>Karan</v>
      </c>
      <c r="Y2" s="111" t="str">
        <f>Kotak!Y3</f>
        <v>K K PANCHAL</v>
      </c>
      <c r="Z2" s="111" t="str">
        <f>Kotak!Z3</f>
        <v>Nalin Sharma</v>
      </c>
      <c r="AA2" s="111" t="str">
        <f>Kotak!AA3</f>
        <v>Axis Card</v>
      </c>
      <c r="AB2" s="111" t="str">
        <f>Kotak!AB3</f>
        <v>Rahul</v>
      </c>
      <c r="AC2" s="111" t="str">
        <f>Kotak!AC3</f>
        <v>Train Ticket</v>
      </c>
      <c r="AD2" s="111" t="str">
        <f>Kotak!AD3</f>
        <v>CA</v>
      </c>
      <c r="AE2" s="111" t="str">
        <f>Kotak!AE3</f>
        <v>RAJINDER PANIKAR</v>
      </c>
      <c r="AF2" s="111" t="str">
        <f>Kotak!AF3</f>
        <v>HARISH</v>
      </c>
      <c r="AG2" s="111" t="str">
        <f>Kotak!AG3</f>
        <v>RAJNISH KUMAR JHA</v>
      </c>
      <c r="AH2" s="111" t="str">
        <f>Kotak!AH3</f>
        <v xml:space="preserve">DAS TELECOM </v>
      </c>
      <c r="AI2" s="111" t="str">
        <f>Kotak!AI3</f>
        <v>BHAVESH TULSIRAM</v>
      </c>
      <c r="AJ2" s="111" t="str">
        <f>Kotak!AJ3</f>
        <v>AMANDEEP SINGH</v>
      </c>
      <c r="AK2" s="111" t="str">
        <f>Kotak!AK3</f>
        <v>SANTOSH</v>
      </c>
      <c r="AL2" s="111" t="str">
        <f>Kotak!AL3</f>
        <v>Krishan Kumar Jha</v>
      </c>
      <c r="AM2" s="111" t="str">
        <f>Kotak!AM3</f>
        <v>Rajnish Kumar Jha</v>
      </c>
      <c r="AN2" s="111" t="str">
        <f>Kotak!AN3</f>
        <v>Ratan R Gaud</v>
      </c>
      <c r="AO2" s="111" t="str">
        <f>Kotak!AO3</f>
        <v>Insight Market Research</v>
      </c>
      <c r="AP2" s="111" t="str">
        <f>Kotak!AP3</f>
        <v>Ritz</v>
      </c>
      <c r="AQ2" s="111" t="str">
        <f>Kotak!AQ3</f>
        <v>Rupali Sarkar</v>
      </c>
      <c r="AR2" s="111" t="str">
        <f>Kotak!AR3</f>
        <v>Sadanand</v>
      </c>
      <c r="AS2" s="111" t="str">
        <f>Kotak!AS3</f>
        <v>Ashok Iyear</v>
      </c>
      <c r="AT2" s="111" t="str">
        <f>Kotak!AT3</f>
        <v>SIDDHESH LKO</v>
      </c>
      <c r="AU2" s="111" t="str">
        <f>Kotak!AU3</f>
        <v>Sangeeta Massion</v>
      </c>
      <c r="AV2" s="111" t="str">
        <f>Kotak!AV3</f>
        <v>Sheetal Mishra</v>
      </c>
      <c r="AW2" s="111" t="str">
        <f>Kotak!AW3</f>
        <v>Total Link Solution</v>
      </c>
      <c r="AX2" s="111" t="str">
        <f>Kotak!AX3</f>
        <v>Sheetal Kanse</v>
      </c>
      <c r="AY2" s="111" t="str">
        <f>Kotak!AY3</f>
        <v>Raj Mangal Sharma</v>
      </c>
      <c r="AZ2" s="111" t="str">
        <f>Kotak!AZ3</f>
        <v>Veenu Berry</v>
      </c>
      <c r="BA2" s="111" t="str">
        <f>Kotak!BA3</f>
        <v>VAISNAVI</v>
      </c>
      <c r="BB2" s="111" t="str">
        <f>Kotak!BB3</f>
        <v>VIKASH MISHRA</v>
      </c>
      <c r="BC2" s="111" t="str">
        <f>Kotak!BC3</f>
        <v>Dr. Pallav</v>
      </c>
      <c r="BD2" s="111" t="str">
        <f>Kotak!BD3</f>
        <v>YASH</v>
      </c>
      <c r="BE2" s="111" t="str">
        <f>Kotak!BE3</f>
        <v>Subrat</v>
      </c>
      <c r="BF2" s="111" t="str">
        <f>Kotak!BF3</f>
        <v>Payment</v>
      </c>
      <c r="BG2" s="111" t="str">
        <f>Kotak!BG3</f>
        <v>Payment</v>
      </c>
      <c r="BH2" s="111" t="str">
        <f>Kotak!BH3</f>
        <v>RT</v>
      </c>
      <c r="BI2" s="111" t="str">
        <f>Kotak!BI3</f>
        <v>AT</v>
      </c>
      <c r="BJ2" s="111" t="str">
        <f>Kotak!BJ3</f>
        <v>SB</v>
      </c>
      <c r="BK2" s="111" t="str">
        <f>Kotak!BK3</f>
        <v>GCP</v>
      </c>
      <c r="BL2" s="111" t="str">
        <f>Kotak!BL3</f>
        <v>PM</v>
      </c>
      <c r="BM2" s="111" t="str">
        <f>Kotak!BM3</f>
        <v>Other Expenses</v>
      </c>
      <c r="BN2" s="111" t="str">
        <f>Kotak!BN3</f>
        <v xml:space="preserve">Loan to New </v>
      </c>
      <c r="BO2" s="111">
        <f>Kotak!BO3</f>
        <v>0</v>
      </c>
      <c r="BP2" s="111">
        <f>Kotak!BP3</f>
        <v>0</v>
      </c>
      <c r="BQ2" s="111">
        <f>Kotak!BQ3</f>
        <v>0</v>
      </c>
      <c r="BR2" s="2"/>
    </row>
    <row r="3" spans="1:83">
      <c r="A3" s="38">
        <v>1</v>
      </c>
      <c r="B3" s="30" t="s">
        <v>1091</v>
      </c>
      <c r="C3" s="5"/>
      <c r="D3" s="5"/>
      <c r="E3" s="38"/>
      <c r="F3" s="38"/>
      <c r="G3" s="38">
        <f>Kotak!G4</f>
        <v>84406</v>
      </c>
      <c r="H3" s="129">
        <f t="shared" ref="H3:H15" si="1">SUM(K3:ZH3)</f>
        <v>73217</v>
      </c>
      <c r="I3" s="130">
        <f t="shared" ref="I3:I66" si="2">G3-H3</f>
        <v>11189</v>
      </c>
      <c r="J3" s="160">
        <f>D3+I3</f>
        <v>11189</v>
      </c>
      <c r="K3" s="104">
        <f>Kotak!K4</f>
        <v>3068</v>
      </c>
      <c r="L3" s="104">
        <f>Kotak!L4</f>
        <v>7425</v>
      </c>
      <c r="M3" s="104">
        <f>Kotak!M4</f>
        <v>8000</v>
      </c>
      <c r="N3" s="104">
        <f>Kotak!N4</f>
        <v>3450</v>
      </c>
      <c r="O3" s="104">
        <f>Kotak!O4</f>
        <v>24500</v>
      </c>
      <c r="P3" s="104">
        <f>Kotak!P4</f>
        <v>1287</v>
      </c>
      <c r="Q3" s="104">
        <f>Kotak!Q4</f>
        <v>1287</v>
      </c>
      <c r="R3" s="104">
        <f>Kotak!R4</f>
        <v>0</v>
      </c>
      <c r="S3" s="104">
        <f>Kotak!S4</f>
        <v>7300</v>
      </c>
      <c r="T3" s="104">
        <f>Kotak!T4</f>
        <v>6000</v>
      </c>
      <c r="U3" s="104">
        <f>Kotak!U4</f>
        <v>0</v>
      </c>
      <c r="V3" s="104">
        <f>Kotak!V4</f>
        <v>0</v>
      </c>
      <c r="W3" s="104">
        <f>Kotak!W4</f>
        <v>0</v>
      </c>
      <c r="X3" s="104">
        <f>Kotak!X4</f>
        <v>0</v>
      </c>
      <c r="Y3" s="104">
        <f>Kotak!Y4</f>
        <v>0</v>
      </c>
      <c r="Z3" s="104">
        <f>Kotak!Z4</f>
        <v>0</v>
      </c>
      <c r="AA3" s="104">
        <f>Kotak!AA4</f>
        <v>6000</v>
      </c>
      <c r="AB3" s="104">
        <f>Kotak!AB4</f>
        <v>0</v>
      </c>
      <c r="AC3" s="104">
        <f>Kotak!AC4</f>
        <v>0</v>
      </c>
      <c r="AD3" s="104">
        <f>Kotak!AD4</f>
        <v>3000</v>
      </c>
      <c r="AE3" s="104">
        <f>Kotak!AE4</f>
        <v>0</v>
      </c>
      <c r="AF3" s="104">
        <f>Kotak!AF4</f>
        <v>0</v>
      </c>
      <c r="AG3" s="104">
        <f>Kotak!AG4</f>
        <v>1900</v>
      </c>
      <c r="AH3" s="104">
        <f>Kotak!AH4</f>
        <v>0</v>
      </c>
      <c r="AI3" s="104">
        <f>Kotak!AI4</f>
        <v>0</v>
      </c>
      <c r="AJ3" s="104">
        <f>Kotak!AJ4</f>
        <v>0</v>
      </c>
      <c r="AK3" s="104">
        <f>Kotak!AK4</f>
        <v>0</v>
      </c>
      <c r="AL3" s="104">
        <f>Kotak!AL4</f>
        <v>0</v>
      </c>
      <c r="AM3" s="104">
        <f>Kotak!AM4</f>
        <v>0</v>
      </c>
      <c r="AN3" s="104">
        <f>Kotak!AN4</f>
        <v>0</v>
      </c>
      <c r="AO3" s="104">
        <f>Kotak!AO4</f>
        <v>0</v>
      </c>
      <c r="AP3" s="104">
        <f>Kotak!AP4</f>
        <v>0</v>
      </c>
      <c r="AQ3" s="104">
        <f>Kotak!AQ4</f>
        <v>0</v>
      </c>
      <c r="AR3" s="104">
        <f>Kotak!AR4</f>
        <v>0</v>
      </c>
      <c r="AS3" s="104">
        <f>Kotak!AS4</f>
        <v>0</v>
      </c>
      <c r="AT3" s="104">
        <f>Kotak!AT4</f>
        <v>0</v>
      </c>
      <c r="AU3" s="104">
        <f>Kotak!AU4</f>
        <v>0</v>
      </c>
      <c r="AV3" s="104">
        <f>Kotak!AV4</f>
        <v>0</v>
      </c>
      <c r="AW3" s="104">
        <f>Kotak!AW4</f>
        <v>0</v>
      </c>
      <c r="AX3" s="104">
        <f>Kotak!AX4</f>
        <v>0</v>
      </c>
      <c r="AY3" s="104">
        <f>Kotak!AY4</f>
        <v>0</v>
      </c>
      <c r="AZ3" s="104">
        <f>Kotak!AZ4</f>
        <v>0</v>
      </c>
      <c r="BA3" s="104">
        <f>Kotak!BA4</f>
        <v>0</v>
      </c>
      <c r="BB3" s="104">
        <f>Kotak!BB4</f>
        <v>0</v>
      </c>
      <c r="BC3" s="104">
        <f>Kotak!BC4</f>
        <v>0</v>
      </c>
      <c r="BD3" s="104">
        <f>Kotak!BD4</f>
        <v>0</v>
      </c>
      <c r="BE3" s="104">
        <f>Kotak!BE4</f>
        <v>0</v>
      </c>
      <c r="BF3" s="104">
        <f>Kotak!BF4</f>
        <v>0</v>
      </c>
      <c r="BG3" s="104">
        <f>Kotak!BG4</f>
        <v>0</v>
      </c>
      <c r="BH3" s="104">
        <f>Kotak!BH4</f>
        <v>0</v>
      </c>
      <c r="BI3" s="104">
        <f>Kotak!BI4</f>
        <v>0</v>
      </c>
      <c r="BJ3" s="104">
        <f>Kotak!BJ4</f>
        <v>0</v>
      </c>
      <c r="BK3" s="104">
        <f>Kotak!BK4</f>
        <v>0</v>
      </c>
      <c r="BL3" s="104">
        <f>Kotak!BL4</f>
        <v>0</v>
      </c>
      <c r="BM3" s="104">
        <f>Kotak!BM4</f>
        <v>0</v>
      </c>
      <c r="BN3" s="104">
        <f>Kotak!BN4</f>
        <v>0</v>
      </c>
      <c r="BO3" s="104">
        <f>Kotak!BO4</f>
        <v>0</v>
      </c>
      <c r="BP3" s="104">
        <f>Kotak!BP4</f>
        <v>0</v>
      </c>
      <c r="BQ3" s="104">
        <f>Kotak!BQ4</f>
        <v>0</v>
      </c>
      <c r="BR3" s="3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</row>
    <row r="4" spans="1:83" s="40" customFormat="1">
      <c r="A4" s="104">
        <v>2</v>
      </c>
      <c r="B4" s="30" t="s">
        <v>1038</v>
      </c>
      <c r="C4" s="30"/>
      <c r="D4" s="30">
        <f>Kotak!D5</f>
        <v>17768</v>
      </c>
      <c r="E4" s="104"/>
      <c r="F4" s="104">
        <f>IDFC!I4</f>
        <v>11807</v>
      </c>
      <c r="G4" s="38">
        <f>Kotak!G5</f>
        <v>0</v>
      </c>
      <c r="H4" s="131">
        <f t="shared" si="1"/>
        <v>10000</v>
      </c>
      <c r="I4" s="130">
        <f t="shared" si="2"/>
        <v>-10000</v>
      </c>
      <c r="J4" s="160">
        <f t="shared" ref="J4:J67" si="3">D4+I4</f>
        <v>7768</v>
      </c>
      <c r="K4" s="104">
        <f>Kotak!K5</f>
        <v>0</v>
      </c>
      <c r="L4" s="104">
        <f>Kotak!L5</f>
        <v>0</v>
      </c>
      <c r="M4" s="104">
        <f>Kotak!M5</f>
        <v>0</v>
      </c>
      <c r="N4" s="104">
        <f>Kotak!N5</f>
        <v>0</v>
      </c>
      <c r="O4" s="104">
        <f>Kotak!O5</f>
        <v>0</v>
      </c>
      <c r="P4" s="104">
        <f>Kotak!P5</f>
        <v>0</v>
      </c>
      <c r="Q4" s="104">
        <f>Kotak!Q5</f>
        <v>0</v>
      </c>
      <c r="R4" s="104">
        <f>Kotak!R5</f>
        <v>0</v>
      </c>
      <c r="S4" s="104">
        <f>Kotak!S5</f>
        <v>0</v>
      </c>
      <c r="T4" s="104">
        <f>Kotak!T5</f>
        <v>0</v>
      </c>
      <c r="U4" s="104">
        <f>Kotak!U5</f>
        <v>0</v>
      </c>
      <c r="V4" s="104">
        <f>Kotak!V5</f>
        <v>0</v>
      </c>
      <c r="W4" s="104">
        <f>Kotak!W5</f>
        <v>0</v>
      </c>
      <c r="X4" s="104">
        <f>Kotak!X5</f>
        <v>0</v>
      </c>
      <c r="Y4" s="104">
        <f>Kotak!Y5</f>
        <v>0</v>
      </c>
      <c r="Z4" s="104">
        <f>Kotak!Z5</f>
        <v>0</v>
      </c>
      <c r="AA4" s="104">
        <f>Kotak!AA5</f>
        <v>0</v>
      </c>
      <c r="AB4" s="104">
        <f>Kotak!AB5</f>
        <v>0</v>
      </c>
      <c r="AC4" s="104">
        <f>Kotak!AC5</f>
        <v>0</v>
      </c>
      <c r="AD4" s="104">
        <f>Kotak!AD5</f>
        <v>0</v>
      </c>
      <c r="AE4" s="104">
        <f>Kotak!AE5</f>
        <v>0</v>
      </c>
      <c r="AF4" s="104">
        <f>Kotak!AF5</f>
        <v>0</v>
      </c>
      <c r="AG4" s="104">
        <f>Kotak!AG5</f>
        <v>0</v>
      </c>
      <c r="AH4" s="104">
        <f>Kotak!AH5</f>
        <v>0</v>
      </c>
      <c r="AI4" s="104">
        <f>Kotak!AI5</f>
        <v>0</v>
      </c>
      <c r="AJ4" s="104">
        <f>Kotak!AJ5</f>
        <v>0</v>
      </c>
      <c r="AK4" s="104">
        <f>Kotak!AK5</f>
        <v>0</v>
      </c>
      <c r="AL4" s="104">
        <f>Kotak!AL5</f>
        <v>0</v>
      </c>
      <c r="AM4" s="104">
        <f>Kotak!AM5</f>
        <v>0</v>
      </c>
      <c r="AN4" s="104">
        <f>Kotak!AN5</f>
        <v>0</v>
      </c>
      <c r="AO4" s="104">
        <f>Kotak!AO5</f>
        <v>0</v>
      </c>
      <c r="AP4" s="104">
        <f>Kotak!AP5</f>
        <v>0</v>
      </c>
      <c r="AQ4" s="104">
        <f>Kotak!AQ5</f>
        <v>0</v>
      </c>
      <c r="AR4" s="104">
        <f>Kotak!AR5</f>
        <v>0</v>
      </c>
      <c r="AS4" s="104">
        <f>Kotak!AS5</f>
        <v>0</v>
      </c>
      <c r="AT4" s="104">
        <f>Kotak!AT5</f>
        <v>0</v>
      </c>
      <c r="AU4" s="104">
        <f>Kotak!AU5</f>
        <v>0</v>
      </c>
      <c r="AV4" s="104">
        <f>Kotak!AV5</f>
        <v>0</v>
      </c>
      <c r="AW4" s="104">
        <f>Kotak!AW5</f>
        <v>0</v>
      </c>
      <c r="AX4" s="104">
        <f>Kotak!AX5</f>
        <v>0</v>
      </c>
      <c r="AY4" s="104">
        <f>Kotak!AY5</f>
        <v>0</v>
      </c>
      <c r="AZ4" s="104">
        <f>Kotak!AZ5</f>
        <v>0</v>
      </c>
      <c r="BA4" s="104">
        <f>Kotak!BA5</f>
        <v>0</v>
      </c>
      <c r="BB4" s="104">
        <f>Kotak!BB5</f>
        <v>0</v>
      </c>
      <c r="BC4" s="104">
        <f>Kotak!BC5</f>
        <v>0</v>
      </c>
      <c r="BD4" s="104">
        <f>Kotak!BD5</f>
        <v>0</v>
      </c>
      <c r="BE4" s="104">
        <f>Kotak!BE5</f>
        <v>0</v>
      </c>
      <c r="BF4" s="104">
        <f>Kotak!BF5</f>
        <v>0</v>
      </c>
      <c r="BG4" s="104">
        <f>Kotak!BG5</f>
        <v>0</v>
      </c>
      <c r="BH4" s="104">
        <f>Kotak!BH5</f>
        <v>0</v>
      </c>
      <c r="BI4" s="104">
        <f>Kotak!BI5</f>
        <v>0</v>
      </c>
      <c r="BJ4" s="104">
        <f>Kotak!BJ5</f>
        <v>0</v>
      </c>
      <c r="BK4" s="104">
        <f>Kotak!BK5</f>
        <v>0</v>
      </c>
      <c r="BL4" s="104">
        <f>Kotak!BL5</f>
        <v>10000</v>
      </c>
      <c r="BM4" s="104">
        <f>Kotak!BM5</f>
        <v>0</v>
      </c>
      <c r="BN4" s="104">
        <f>Kotak!BN5</f>
        <v>0</v>
      </c>
      <c r="BO4" s="104">
        <f>Kotak!BO5</f>
        <v>0</v>
      </c>
      <c r="BP4" s="104">
        <f>Kotak!BP5</f>
        <v>0</v>
      </c>
      <c r="BQ4" s="104">
        <f>Kotak!BQ5</f>
        <v>0</v>
      </c>
      <c r="BR4" s="104">
        <f>Kotak!BR5</f>
        <v>0</v>
      </c>
    </row>
    <row r="5" spans="1:83">
      <c r="A5" s="38">
        <v>4</v>
      </c>
      <c r="B5" s="5" t="s">
        <v>33</v>
      </c>
      <c r="C5" s="5" t="s">
        <v>1079</v>
      </c>
      <c r="D5" s="5"/>
      <c r="E5" s="38"/>
      <c r="F5" s="38"/>
      <c r="G5" s="38">
        <f>Kotak!G6</f>
        <v>221000</v>
      </c>
      <c r="H5" s="129">
        <f t="shared" si="1"/>
        <v>149833</v>
      </c>
      <c r="I5" s="130">
        <f t="shared" si="2"/>
        <v>71167</v>
      </c>
      <c r="J5" s="160">
        <f t="shared" si="3"/>
        <v>71167</v>
      </c>
      <c r="K5" s="104">
        <f>Kotak!K6</f>
        <v>0</v>
      </c>
      <c r="L5" s="104">
        <f>Kotak!L6</f>
        <v>0</v>
      </c>
      <c r="M5" s="104">
        <f>Kotak!M6</f>
        <v>0</v>
      </c>
      <c r="N5" s="104">
        <f>Kotak!N6</f>
        <v>0</v>
      </c>
      <c r="O5" s="104">
        <f>Kotak!O6</f>
        <v>0</v>
      </c>
      <c r="P5" s="104">
        <f>Kotak!P6</f>
        <v>0</v>
      </c>
      <c r="Q5" s="104">
        <f>Kotak!Q6</f>
        <v>5376</v>
      </c>
      <c r="R5" s="104">
        <f>Kotak!R6</f>
        <v>45000</v>
      </c>
      <c r="S5" s="104">
        <f>Kotak!S6</f>
        <v>0</v>
      </c>
      <c r="T5" s="104">
        <f>Kotak!T6</f>
        <v>0</v>
      </c>
      <c r="U5" s="104">
        <f>Kotak!U6</f>
        <v>0</v>
      </c>
      <c r="V5" s="104">
        <f>Kotak!V6</f>
        <v>0</v>
      </c>
      <c r="W5" s="104">
        <f>Kotak!W6</f>
        <v>3035</v>
      </c>
      <c r="X5" s="104">
        <f>Kotak!X6</f>
        <v>5000</v>
      </c>
      <c r="Y5" s="104">
        <f>Kotak!Y6</f>
        <v>5376</v>
      </c>
      <c r="Z5" s="104">
        <f>Kotak!Z6</f>
        <v>0</v>
      </c>
      <c r="AA5" s="104">
        <f>Kotak!AA6</f>
        <v>0</v>
      </c>
      <c r="AB5" s="104">
        <f>Kotak!AB6</f>
        <v>5000</v>
      </c>
      <c r="AC5" s="104">
        <f>Kotak!AC6</f>
        <v>0</v>
      </c>
      <c r="AD5" s="104">
        <f>Kotak!AD6</f>
        <v>0</v>
      </c>
      <c r="AE5" s="104">
        <f>Kotak!AE6</f>
        <v>0</v>
      </c>
      <c r="AF5" s="104">
        <f>Kotak!AF6</f>
        <v>0</v>
      </c>
      <c r="AG5" s="104">
        <f>Kotak!AG6</f>
        <v>0</v>
      </c>
      <c r="AH5" s="104">
        <f>Kotak!AH6</f>
        <v>0</v>
      </c>
      <c r="AI5" s="104">
        <f>Kotak!AI6</f>
        <v>2661</v>
      </c>
      <c r="AJ5" s="104">
        <f>Kotak!AJ6</f>
        <v>3385</v>
      </c>
      <c r="AK5" s="104">
        <f>Kotak!AK6</f>
        <v>0</v>
      </c>
      <c r="AL5" s="104">
        <f>Kotak!AL6</f>
        <v>0</v>
      </c>
      <c r="AM5" s="104">
        <f>Kotak!AM6</f>
        <v>0</v>
      </c>
      <c r="AN5" s="104">
        <f>Kotak!AN6</f>
        <v>0</v>
      </c>
      <c r="AO5" s="104">
        <f>Kotak!AO6</f>
        <v>0</v>
      </c>
      <c r="AP5" s="104">
        <f>Kotak!AP6</f>
        <v>0</v>
      </c>
      <c r="AQ5" s="104">
        <f>Kotak!AQ6</f>
        <v>0</v>
      </c>
      <c r="AR5" s="104">
        <f>Kotak!AR6</f>
        <v>0</v>
      </c>
      <c r="AS5" s="104">
        <f>Kotak!AS6</f>
        <v>25000</v>
      </c>
      <c r="AT5" s="104">
        <f>Kotak!AT6</f>
        <v>0</v>
      </c>
      <c r="AU5" s="104">
        <f>Kotak!AU6</f>
        <v>0</v>
      </c>
      <c r="AV5" s="104">
        <f>Kotak!AV6</f>
        <v>0</v>
      </c>
      <c r="AW5" s="104">
        <f>Kotak!AW6</f>
        <v>0</v>
      </c>
      <c r="AX5" s="104">
        <f>Kotak!AX6</f>
        <v>0</v>
      </c>
      <c r="AY5" s="104">
        <f>Kotak!AY6</f>
        <v>0</v>
      </c>
      <c r="AZ5" s="104">
        <f>Kotak!AZ6</f>
        <v>0</v>
      </c>
      <c r="BA5" s="104">
        <f>Kotak!BA6</f>
        <v>0</v>
      </c>
      <c r="BB5" s="104">
        <f>Kotak!BB6</f>
        <v>0</v>
      </c>
      <c r="BC5" s="104">
        <f>Kotak!BC6</f>
        <v>0</v>
      </c>
      <c r="BD5" s="104">
        <f>Kotak!BD6</f>
        <v>0</v>
      </c>
      <c r="BE5" s="104">
        <f>Kotak!BE6</f>
        <v>0</v>
      </c>
      <c r="BF5" s="104">
        <f>Kotak!BF6</f>
        <v>0</v>
      </c>
      <c r="BG5" s="104">
        <f>Kotak!BG6</f>
        <v>0</v>
      </c>
      <c r="BH5" s="104">
        <f>Kotak!BH6</f>
        <v>0</v>
      </c>
      <c r="BI5" s="104">
        <f>Kotak!BI6</f>
        <v>0</v>
      </c>
      <c r="BJ5" s="104">
        <f>Kotak!BJ6</f>
        <v>0</v>
      </c>
      <c r="BK5" s="104">
        <f>Kotak!BK6</f>
        <v>0</v>
      </c>
      <c r="BL5" s="104">
        <f>Kotak!BL6</f>
        <v>50000</v>
      </c>
      <c r="BM5" s="104">
        <f>Kotak!BM6</f>
        <v>0</v>
      </c>
      <c r="BN5" s="104">
        <f>Kotak!BN6</f>
        <v>0</v>
      </c>
      <c r="BO5" s="104">
        <f>Kotak!BO6</f>
        <v>0</v>
      </c>
      <c r="BP5" s="104">
        <f>Kotak!BP6</f>
        <v>0</v>
      </c>
      <c r="BQ5" s="104">
        <f>Kotak!BQ6</f>
        <v>0</v>
      </c>
      <c r="BR5" s="104">
        <f>Kotak!BR6</f>
        <v>0</v>
      </c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</row>
    <row r="6" spans="1:83">
      <c r="A6" s="38">
        <v>7</v>
      </c>
      <c r="B6" s="5" t="s">
        <v>502</v>
      </c>
      <c r="C6" s="5"/>
      <c r="D6" s="38"/>
      <c r="E6" s="104"/>
      <c r="F6" s="38">
        <f>IDFC!I6</f>
        <v>374</v>
      </c>
      <c r="G6" s="38">
        <f>Kotak!G7</f>
        <v>0</v>
      </c>
      <c r="H6" s="129">
        <f t="shared" si="1"/>
        <v>0</v>
      </c>
      <c r="I6" s="130">
        <f t="shared" si="2"/>
        <v>0</v>
      </c>
      <c r="J6" s="160">
        <f t="shared" si="3"/>
        <v>0</v>
      </c>
      <c r="K6" s="104">
        <f>Kotak!K7</f>
        <v>0</v>
      </c>
      <c r="L6" s="104">
        <f>Kotak!L7</f>
        <v>0</v>
      </c>
      <c r="M6" s="104">
        <f>Kotak!M7</f>
        <v>0</v>
      </c>
      <c r="N6" s="104">
        <f>Kotak!N7</f>
        <v>0</v>
      </c>
      <c r="O6" s="104">
        <f>Kotak!O7</f>
        <v>0</v>
      </c>
      <c r="P6" s="104">
        <f>Kotak!P7</f>
        <v>0</v>
      </c>
      <c r="Q6" s="104">
        <f>Kotak!Q7</f>
        <v>0</v>
      </c>
      <c r="R6" s="104">
        <f>Kotak!R7</f>
        <v>0</v>
      </c>
      <c r="S6" s="104">
        <f>Kotak!S7</f>
        <v>0</v>
      </c>
      <c r="T6" s="104">
        <f>Kotak!T7</f>
        <v>0</v>
      </c>
      <c r="U6" s="104">
        <f>Kotak!U7</f>
        <v>0</v>
      </c>
      <c r="V6" s="104">
        <f>Kotak!V7</f>
        <v>0</v>
      </c>
      <c r="W6" s="104">
        <f>Kotak!W7</f>
        <v>0</v>
      </c>
      <c r="X6" s="104">
        <f>Kotak!X7</f>
        <v>0</v>
      </c>
      <c r="Y6" s="104">
        <f>Kotak!Y7</f>
        <v>0</v>
      </c>
      <c r="Z6" s="104">
        <f>Kotak!Z7</f>
        <v>0</v>
      </c>
      <c r="AA6" s="104">
        <f>Kotak!AA7</f>
        <v>0</v>
      </c>
      <c r="AB6" s="104">
        <f>Kotak!AB7</f>
        <v>0</v>
      </c>
      <c r="AC6" s="104">
        <f>Kotak!AC7</f>
        <v>0</v>
      </c>
      <c r="AD6" s="104">
        <f>Kotak!AD7</f>
        <v>0</v>
      </c>
      <c r="AE6" s="104">
        <f>Kotak!AE7</f>
        <v>0</v>
      </c>
      <c r="AF6" s="104">
        <f>Kotak!AF7</f>
        <v>0</v>
      </c>
      <c r="AG6" s="104">
        <f>Kotak!AG7</f>
        <v>0</v>
      </c>
      <c r="AH6" s="104">
        <f>Kotak!AH7</f>
        <v>0</v>
      </c>
      <c r="AI6" s="104">
        <f>Kotak!AI7</f>
        <v>0</v>
      </c>
      <c r="AJ6" s="104">
        <f>Kotak!AJ7</f>
        <v>0</v>
      </c>
      <c r="AK6" s="104">
        <f>Kotak!AK7</f>
        <v>0</v>
      </c>
      <c r="AL6" s="104">
        <f>Kotak!AL7</f>
        <v>0</v>
      </c>
      <c r="AM6" s="104">
        <f>Kotak!AM7</f>
        <v>0</v>
      </c>
      <c r="AN6" s="104">
        <f>Kotak!AN7</f>
        <v>0</v>
      </c>
      <c r="AO6" s="104">
        <f>Kotak!AO7</f>
        <v>0</v>
      </c>
      <c r="AP6" s="104">
        <f>Kotak!AP7</f>
        <v>0</v>
      </c>
      <c r="AQ6" s="104">
        <f>Kotak!AQ7</f>
        <v>0</v>
      </c>
      <c r="AR6" s="104">
        <f>Kotak!AR7</f>
        <v>0</v>
      </c>
      <c r="AS6" s="104">
        <f>Kotak!AS7</f>
        <v>0</v>
      </c>
      <c r="AT6" s="104">
        <f>Kotak!AT7</f>
        <v>0</v>
      </c>
      <c r="AU6" s="104">
        <f>Kotak!AU7</f>
        <v>0</v>
      </c>
      <c r="AV6" s="104">
        <f>Kotak!AV7</f>
        <v>0</v>
      </c>
      <c r="AW6" s="104">
        <f>Kotak!AW7</f>
        <v>0</v>
      </c>
      <c r="AX6" s="104">
        <f>Kotak!AX7</f>
        <v>0</v>
      </c>
      <c r="AY6" s="104">
        <f>Kotak!AY7</f>
        <v>0</v>
      </c>
      <c r="AZ6" s="104">
        <f>Kotak!AZ7</f>
        <v>0</v>
      </c>
      <c r="BA6" s="104">
        <f>Kotak!BA7</f>
        <v>0</v>
      </c>
      <c r="BB6" s="104">
        <f>Kotak!BB7</f>
        <v>0</v>
      </c>
      <c r="BC6" s="104">
        <f>Kotak!BC7</f>
        <v>0</v>
      </c>
      <c r="BD6" s="104">
        <f>Kotak!BD7</f>
        <v>0</v>
      </c>
      <c r="BE6" s="104">
        <f>Kotak!BE7</f>
        <v>0</v>
      </c>
      <c r="BF6" s="104">
        <f>Kotak!BF7</f>
        <v>0</v>
      </c>
      <c r="BG6" s="104">
        <f>Kotak!BG7</f>
        <v>0</v>
      </c>
      <c r="BH6" s="104">
        <f>Kotak!BH7</f>
        <v>0</v>
      </c>
      <c r="BI6" s="104">
        <f>Kotak!BI7</f>
        <v>0</v>
      </c>
      <c r="BJ6" s="104">
        <f>Kotak!BJ7</f>
        <v>0</v>
      </c>
      <c r="BK6" s="104">
        <f>Kotak!BK7</f>
        <v>0</v>
      </c>
      <c r="BL6" s="104">
        <f>Kotak!BL7</f>
        <v>0</v>
      </c>
      <c r="BM6" s="104">
        <f>Kotak!BM7</f>
        <v>0</v>
      </c>
      <c r="BN6" s="104">
        <f>Kotak!BN7</f>
        <v>0</v>
      </c>
      <c r="BO6" s="104">
        <f>Kotak!BO7</f>
        <v>0</v>
      </c>
      <c r="BP6" s="104">
        <f>Kotak!BP7</f>
        <v>0</v>
      </c>
      <c r="BQ6" s="104">
        <f>Kotak!BQ7</f>
        <v>0</v>
      </c>
      <c r="BR6" s="104">
        <f>Kotak!BR7</f>
        <v>0</v>
      </c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</row>
    <row r="7" spans="1:83">
      <c r="A7" s="38">
        <v>5</v>
      </c>
      <c r="B7" s="5" t="str">
        <f>Kotak!B8</f>
        <v>RT_Loan</v>
      </c>
      <c r="C7" s="5" t="str">
        <f>Kotak!C8</f>
        <v>Wellness 360</v>
      </c>
      <c r="D7" s="5"/>
      <c r="E7" s="104"/>
      <c r="F7" s="38">
        <f>IDFC!I7</f>
        <v>0</v>
      </c>
      <c r="G7" s="38">
        <f>Kotak!G8</f>
        <v>21000</v>
      </c>
      <c r="H7" s="129">
        <f t="shared" ref="H7" si="4">SUM(K7:ZH7)</f>
        <v>12230</v>
      </c>
      <c r="I7" s="130">
        <f t="shared" si="2"/>
        <v>8770</v>
      </c>
      <c r="J7" s="160">
        <f t="shared" si="3"/>
        <v>8770</v>
      </c>
      <c r="K7" s="104">
        <f>Kotak!K8</f>
        <v>0</v>
      </c>
      <c r="L7" s="104">
        <f>Kotak!L8</f>
        <v>0</v>
      </c>
      <c r="M7" s="104">
        <f>Kotak!M8</f>
        <v>0</v>
      </c>
      <c r="N7" s="104">
        <f>Kotak!N8</f>
        <v>0</v>
      </c>
      <c r="O7" s="104">
        <f>Kotak!O8</f>
        <v>0</v>
      </c>
      <c r="P7" s="104">
        <f>Kotak!P8</f>
        <v>0</v>
      </c>
      <c r="Q7" s="104">
        <f>Kotak!Q8</f>
        <v>0</v>
      </c>
      <c r="R7" s="104">
        <f>Kotak!R8</f>
        <v>0</v>
      </c>
      <c r="S7" s="104">
        <f>Kotak!S8</f>
        <v>0</v>
      </c>
      <c r="T7" s="104">
        <f>Kotak!T8</f>
        <v>0</v>
      </c>
      <c r="U7" s="104">
        <f>Kotak!U8</f>
        <v>0</v>
      </c>
      <c r="V7" s="104">
        <f>Kotak!V8</f>
        <v>12230</v>
      </c>
      <c r="W7" s="104">
        <f>Kotak!W8</f>
        <v>0</v>
      </c>
      <c r="X7" s="104">
        <f>Kotak!X8</f>
        <v>0</v>
      </c>
      <c r="Y7" s="104">
        <f>Kotak!Y8</f>
        <v>0</v>
      </c>
      <c r="Z7" s="104">
        <f>Kotak!Z8</f>
        <v>0</v>
      </c>
      <c r="AA7" s="104">
        <f>Kotak!AA8</f>
        <v>0</v>
      </c>
      <c r="AB7" s="104">
        <f>Kotak!AB8</f>
        <v>0</v>
      </c>
      <c r="AC7" s="104">
        <f>Kotak!AC8</f>
        <v>0</v>
      </c>
      <c r="AD7" s="104">
        <f>Kotak!AD8</f>
        <v>0</v>
      </c>
      <c r="AE7" s="104">
        <f>Kotak!AE8</f>
        <v>0</v>
      </c>
      <c r="AF7" s="104">
        <f>Kotak!AF8</f>
        <v>0</v>
      </c>
      <c r="AG7" s="104">
        <f>Kotak!AG8</f>
        <v>0</v>
      </c>
      <c r="AH7" s="104">
        <f>Kotak!AH8</f>
        <v>0</v>
      </c>
      <c r="AI7" s="104">
        <f>Kotak!AI8</f>
        <v>0</v>
      </c>
      <c r="AJ7" s="104">
        <f>Kotak!AJ8</f>
        <v>0</v>
      </c>
      <c r="AK7" s="104">
        <f>Kotak!AK8</f>
        <v>0</v>
      </c>
      <c r="AL7" s="104">
        <f>Kotak!AL8</f>
        <v>0</v>
      </c>
      <c r="AM7" s="104">
        <f>Kotak!AM8</f>
        <v>0</v>
      </c>
      <c r="AN7" s="104">
        <f>Kotak!AN8</f>
        <v>0</v>
      </c>
      <c r="AO7" s="104">
        <f>Kotak!AO8</f>
        <v>0</v>
      </c>
      <c r="AP7" s="104">
        <f>Kotak!AP8</f>
        <v>0</v>
      </c>
      <c r="AQ7" s="104">
        <f>Kotak!AQ8</f>
        <v>0</v>
      </c>
      <c r="AR7" s="104">
        <f>Kotak!AR8</f>
        <v>0</v>
      </c>
      <c r="AS7" s="104">
        <f>Kotak!AS8</f>
        <v>0</v>
      </c>
      <c r="AT7" s="104">
        <f>Kotak!AT8</f>
        <v>0</v>
      </c>
      <c r="AU7" s="104">
        <f>Kotak!AU8</f>
        <v>0</v>
      </c>
      <c r="AV7" s="104">
        <f>Kotak!AV8</f>
        <v>0</v>
      </c>
      <c r="AW7" s="104">
        <f>Kotak!AW8</f>
        <v>0</v>
      </c>
      <c r="AX7" s="104">
        <f>Kotak!AX8</f>
        <v>0</v>
      </c>
      <c r="AY7" s="104">
        <f>Kotak!AY8</f>
        <v>0</v>
      </c>
      <c r="AZ7" s="104">
        <f>Kotak!AZ8</f>
        <v>0</v>
      </c>
      <c r="BA7" s="104">
        <f>Kotak!BA8</f>
        <v>0</v>
      </c>
      <c r="BB7" s="104">
        <f>Kotak!BB8</f>
        <v>0</v>
      </c>
      <c r="BC7" s="104">
        <f>Kotak!BC8</f>
        <v>0</v>
      </c>
      <c r="BD7" s="104">
        <f>Kotak!BD8</f>
        <v>0</v>
      </c>
      <c r="BE7" s="104">
        <f>Kotak!BE8</f>
        <v>0</v>
      </c>
      <c r="BF7" s="104">
        <f>Kotak!BF8</f>
        <v>0</v>
      </c>
      <c r="BG7" s="104">
        <f>Kotak!BG8</f>
        <v>0</v>
      </c>
      <c r="BH7" s="104">
        <f>Kotak!BH8</f>
        <v>0</v>
      </c>
      <c r="BI7" s="104">
        <f>Kotak!BI8</f>
        <v>0</v>
      </c>
      <c r="BJ7" s="104">
        <f>Kotak!BJ8</f>
        <v>0</v>
      </c>
      <c r="BK7" s="104">
        <f>Kotak!BK8</f>
        <v>0</v>
      </c>
      <c r="BL7" s="104">
        <f>Kotak!BL8</f>
        <v>0</v>
      </c>
      <c r="BM7" s="104">
        <f>Kotak!BM8</f>
        <v>0</v>
      </c>
      <c r="BN7" s="104">
        <f>Kotak!BN8</f>
        <v>0</v>
      </c>
      <c r="BO7" s="104">
        <f>Kotak!BO8</f>
        <v>0</v>
      </c>
      <c r="BP7" s="104">
        <f>Kotak!BP8</f>
        <v>0</v>
      </c>
      <c r="BQ7" s="104">
        <f>Kotak!BQ8</f>
        <v>0</v>
      </c>
      <c r="BR7" s="104">
        <f>Kotak!BR8</f>
        <v>0</v>
      </c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</row>
    <row r="8" spans="1:83">
      <c r="A8" s="38">
        <v>6</v>
      </c>
      <c r="B8" s="5" t="str">
        <f>Kotak!B9</f>
        <v>RT_Loan</v>
      </c>
      <c r="C8" s="5" t="str">
        <f>Kotak!C9</f>
        <v>Fluant Wave2</v>
      </c>
      <c r="D8" s="5">
        <f>Kotak!D9</f>
        <v>0</v>
      </c>
      <c r="E8" s="5">
        <f>Kotak!E9</f>
        <v>10000</v>
      </c>
      <c r="F8" s="38">
        <f>IDFC!I8</f>
        <v>0</v>
      </c>
      <c r="G8" s="38">
        <f>Kotak!G9</f>
        <v>10000</v>
      </c>
      <c r="H8" s="129">
        <f t="shared" ref="H8:H9" si="5">SUM(K8:ZH8)</f>
        <v>4752</v>
      </c>
      <c r="I8" s="130">
        <f t="shared" si="2"/>
        <v>5248</v>
      </c>
      <c r="J8" s="160">
        <f t="shared" si="3"/>
        <v>5248</v>
      </c>
      <c r="K8" s="104">
        <f>Kotak!K9</f>
        <v>0</v>
      </c>
      <c r="L8" s="104">
        <f>Kotak!L9</f>
        <v>0</v>
      </c>
      <c r="M8" s="104">
        <f>Kotak!M9</f>
        <v>0</v>
      </c>
      <c r="N8" s="104">
        <f>Kotak!N9</f>
        <v>0</v>
      </c>
      <c r="O8" s="104">
        <f>Kotak!O9</f>
        <v>0</v>
      </c>
      <c r="P8" s="104">
        <f>Kotak!P9</f>
        <v>0</v>
      </c>
      <c r="Q8" s="104">
        <f>Kotak!Q9</f>
        <v>0</v>
      </c>
      <c r="R8" s="104">
        <f>Kotak!R9</f>
        <v>0</v>
      </c>
      <c r="S8" s="104">
        <f>Kotak!S9</f>
        <v>0</v>
      </c>
      <c r="T8" s="104">
        <f>Kotak!T9</f>
        <v>0</v>
      </c>
      <c r="U8" s="104">
        <f>Kotak!U9</f>
        <v>1980</v>
      </c>
      <c r="V8" s="104">
        <f>Kotak!V9</f>
        <v>2772</v>
      </c>
      <c r="W8" s="104">
        <f>Kotak!W9</f>
        <v>0</v>
      </c>
      <c r="X8" s="104">
        <f>Kotak!X9</f>
        <v>0</v>
      </c>
      <c r="Y8" s="104">
        <f>Kotak!Y9</f>
        <v>0</v>
      </c>
      <c r="Z8" s="104">
        <f>Kotak!Z9</f>
        <v>0</v>
      </c>
      <c r="AA8" s="104">
        <f>Kotak!AA9</f>
        <v>0</v>
      </c>
      <c r="AB8" s="104">
        <f>Kotak!AB9</f>
        <v>0</v>
      </c>
      <c r="AC8" s="104">
        <f>Kotak!AC9</f>
        <v>0</v>
      </c>
      <c r="AD8" s="104">
        <f>Kotak!AD9</f>
        <v>0</v>
      </c>
      <c r="AE8" s="104">
        <f>Kotak!AE9</f>
        <v>0</v>
      </c>
      <c r="AF8" s="104">
        <f>Kotak!AF9</f>
        <v>0</v>
      </c>
      <c r="AG8" s="104">
        <f>Kotak!AG9</f>
        <v>0</v>
      </c>
      <c r="AH8" s="104">
        <f>Kotak!AH9</f>
        <v>0</v>
      </c>
      <c r="AI8" s="104">
        <f>Kotak!AI9</f>
        <v>0</v>
      </c>
      <c r="AJ8" s="104">
        <f>Kotak!AJ9</f>
        <v>0</v>
      </c>
      <c r="AK8" s="104">
        <f>Kotak!AK9</f>
        <v>0</v>
      </c>
      <c r="AL8" s="104">
        <f>Kotak!AL9</f>
        <v>0</v>
      </c>
      <c r="AM8" s="104">
        <f>Kotak!AM9</f>
        <v>0</v>
      </c>
      <c r="AN8" s="104">
        <f>Kotak!AN9</f>
        <v>0</v>
      </c>
      <c r="AO8" s="104">
        <f>Kotak!AO9</f>
        <v>0</v>
      </c>
      <c r="AP8" s="104">
        <f>Kotak!AP9</f>
        <v>0</v>
      </c>
      <c r="AQ8" s="104">
        <f>Kotak!AQ9</f>
        <v>0</v>
      </c>
      <c r="AR8" s="104">
        <f>Kotak!AR9</f>
        <v>0</v>
      </c>
      <c r="AS8" s="104">
        <f>Kotak!AS9</f>
        <v>0</v>
      </c>
      <c r="AT8" s="104">
        <f>Kotak!AT9</f>
        <v>0</v>
      </c>
      <c r="AU8" s="104">
        <f>Kotak!AU9</f>
        <v>0</v>
      </c>
      <c r="AV8" s="104">
        <f>Kotak!AV9</f>
        <v>0</v>
      </c>
      <c r="AW8" s="104">
        <f>Kotak!AW9</f>
        <v>0</v>
      </c>
      <c r="AX8" s="104">
        <f>Kotak!AX9</f>
        <v>0</v>
      </c>
      <c r="AY8" s="104">
        <f>Kotak!AY9</f>
        <v>0</v>
      </c>
      <c r="AZ8" s="104">
        <f>Kotak!AZ9</f>
        <v>0</v>
      </c>
      <c r="BA8" s="104">
        <f>Kotak!BA9</f>
        <v>0</v>
      </c>
      <c r="BB8" s="104">
        <f>Kotak!BB9</f>
        <v>0</v>
      </c>
      <c r="BC8" s="104">
        <f>Kotak!BC9</f>
        <v>0</v>
      </c>
      <c r="BD8" s="104">
        <f>Kotak!BD9</f>
        <v>0</v>
      </c>
      <c r="BE8" s="104">
        <f>Kotak!BE9</f>
        <v>0</v>
      </c>
      <c r="BF8" s="104">
        <f>Kotak!BF9</f>
        <v>0</v>
      </c>
      <c r="BG8" s="104">
        <f>Kotak!BG9</f>
        <v>0</v>
      </c>
      <c r="BH8" s="104">
        <f>Kotak!BH9</f>
        <v>0</v>
      </c>
      <c r="BI8" s="104">
        <f>Kotak!BI9</f>
        <v>0</v>
      </c>
      <c r="BJ8" s="104">
        <f>Kotak!BJ9</f>
        <v>0</v>
      </c>
      <c r="BK8" s="104">
        <f>Kotak!BK9</f>
        <v>0</v>
      </c>
      <c r="BL8" s="104">
        <f>Kotak!BL9</f>
        <v>0</v>
      </c>
      <c r="BM8" s="104">
        <f>Kotak!BM9</f>
        <v>0</v>
      </c>
      <c r="BN8" s="104">
        <f>Kotak!BN9</f>
        <v>0</v>
      </c>
      <c r="BO8" s="104">
        <f>Kotak!BO9</f>
        <v>0</v>
      </c>
      <c r="BP8" s="104">
        <f>Kotak!BP9</f>
        <v>0</v>
      </c>
      <c r="BQ8" s="104">
        <f>Kotak!BQ9</f>
        <v>0</v>
      </c>
      <c r="BR8" s="104">
        <f>Kotak!BR9</f>
        <v>0</v>
      </c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</row>
    <row r="9" spans="1:83" s="40" customFormat="1">
      <c r="A9" s="104">
        <v>3</v>
      </c>
      <c r="B9" s="5" t="str">
        <f>Kotak!B10</f>
        <v>RT_Loan</v>
      </c>
      <c r="C9" s="5" t="str">
        <f>Kotak!C10</f>
        <v>Nebula</v>
      </c>
      <c r="D9" s="30"/>
      <c r="E9" s="5">
        <f>Kotak!E10</f>
        <v>15000</v>
      </c>
      <c r="F9" s="38">
        <f>IDFC!I9</f>
        <v>0</v>
      </c>
      <c r="G9" s="38">
        <f>Kotak!G10</f>
        <v>0</v>
      </c>
      <c r="H9" s="124">
        <f t="shared" si="5"/>
        <v>0</v>
      </c>
      <c r="I9" s="130">
        <f t="shared" si="2"/>
        <v>0</v>
      </c>
      <c r="J9" s="160">
        <f t="shared" si="3"/>
        <v>0</v>
      </c>
      <c r="K9" s="104">
        <f>Kotak!K10</f>
        <v>0</v>
      </c>
      <c r="L9" s="104">
        <f>Kotak!L10</f>
        <v>0</v>
      </c>
      <c r="M9" s="104">
        <f>Kotak!M10</f>
        <v>0</v>
      </c>
      <c r="N9" s="104">
        <f>Kotak!N10</f>
        <v>0</v>
      </c>
      <c r="O9" s="104">
        <f>Kotak!O10</f>
        <v>0</v>
      </c>
      <c r="P9" s="104">
        <f>Kotak!P10</f>
        <v>0</v>
      </c>
      <c r="Q9" s="104">
        <f>Kotak!Q10</f>
        <v>0</v>
      </c>
      <c r="R9" s="104">
        <f>Kotak!R10</f>
        <v>0</v>
      </c>
      <c r="S9" s="104">
        <f>Kotak!S10</f>
        <v>0</v>
      </c>
      <c r="T9" s="104">
        <f>Kotak!T10</f>
        <v>0</v>
      </c>
      <c r="U9" s="104">
        <f>Kotak!U10</f>
        <v>0</v>
      </c>
      <c r="V9" s="104">
        <f>Kotak!V10</f>
        <v>0</v>
      </c>
      <c r="W9" s="104">
        <f>Kotak!W10</f>
        <v>0</v>
      </c>
      <c r="X9" s="104">
        <f>Kotak!X10</f>
        <v>0</v>
      </c>
      <c r="Y9" s="104">
        <f>Kotak!Y10</f>
        <v>0</v>
      </c>
      <c r="Z9" s="104">
        <f>Kotak!Z10</f>
        <v>0</v>
      </c>
      <c r="AA9" s="104">
        <f>Kotak!AA10</f>
        <v>0</v>
      </c>
      <c r="AB9" s="104">
        <f>Kotak!AB10</f>
        <v>0</v>
      </c>
      <c r="AC9" s="104">
        <f>Kotak!AC10</f>
        <v>0</v>
      </c>
      <c r="AD9" s="104">
        <f>Kotak!AD10</f>
        <v>0</v>
      </c>
      <c r="AE9" s="104">
        <f>Kotak!AE10</f>
        <v>0</v>
      </c>
      <c r="AF9" s="104">
        <f>Kotak!AF10</f>
        <v>0</v>
      </c>
      <c r="AG9" s="104">
        <f>Kotak!AG10</f>
        <v>0</v>
      </c>
      <c r="AH9" s="104">
        <f>Kotak!AH10</f>
        <v>0</v>
      </c>
      <c r="AI9" s="104">
        <f>Kotak!AI10</f>
        <v>0</v>
      </c>
      <c r="AJ9" s="104">
        <f>Kotak!AJ10</f>
        <v>0</v>
      </c>
      <c r="AK9" s="104">
        <f>Kotak!AK10</f>
        <v>0</v>
      </c>
      <c r="AL9" s="104">
        <f>Kotak!AL10</f>
        <v>0</v>
      </c>
      <c r="AM9" s="104">
        <f>Kotak!AM10</f>
        <v>0</v>
      </c>
      <c r="AN9" s="104">
        <f>Kotak!AN10</f>
        <v>0</v>
      </c>
      <c r="AO9" s="104">
        <f>Kotak!AO10</f>
        <v>0</v>
      </c>
      <c r="AP9" s="104">
        <f>Kotak!AP10</f>
        <v>0</v>
      </c>
      <c r="AQ9" s="104">
        <f>Kotak!AQ10</f>
        <v>0</v>
      </c>
      <c r="AR9" s="104">
        <f>Kotak!AR10</f>
        <v>0</v>
      </c>
      <c r="AS9" s="104">
        <f>Kotak!AS10</f>
        <v>0</v>
      </c>
      <c r="AT9" s="104">
        <f>Kotak!AT10</f>
        <v>0</v>
      </c>
      <c r="AU9" s="104">
        <f>Kotak!AU10</f>
        <v>0</v>
      </c>
      <c r="AV9" s="104">
        <f>Kotak!AV10</f>
        <v>0</v>
      </c>
      <c r="AW9" s="104">
        <f>Kotak!AW10</f>
        <v>0</v>
      </c>
      <c r="AX9" s="104">
        <f>Kotak!AX10</f>
        <v>0</v>
      </c>
      <c r="AY9" s="104">
        <f>Kotak!AY10</f>
        <v>0</v>
      </c>
      <c r="AZ9" s="104">
        <f>Kotak!AZ10</f>
        <v>0</v>
      </c>
      <c r="BA9" s="104">
        <f>Kotak!BA10</f>
        <v>0</v>
      </c>
      <c r="BB9" s="104">
        <f>Kotak!BB10</f>
        <v>0</v>
      </c>
      <c r="BC9" s="104">
        <f>Kotak!BC10</f>
        <v>0</v>
      </c>
      <c r="BD9" s="104">
        <f>Kotak!BD10</f>
        <v>0</v>
      </c>
      <c r="BE9" s="104">
        <f>Kotak!BE10</f>
        <v>0</v>
      </c>
      <c r="BF9" s="104">
        <f>Kotak!BF10</f>
        <v>0</v>
      </c>
      <c r="BG9" s="104">
        <f>Kotak!BG10</f>
        <v>0</v>
      </c>
      <c r="BH9" s="104">
        <f>Kotak!BH10</f>
        <v>0</v>
      </c>
      <c r="BI9" s="104">
        <f>Kotak!BI10</f>
        <v>0</v>
      </c>
      <c r="BJ9" s="104">
        <f>Kotak!BJ10</f>
        <v>0</v>
      </c>
      <c r="BK9" s="104">
        <f>Kotak!BK10</f>
        <v>0</v>
      </c>
      <c r="BL9" s="104">
        <f>Kotak!BL10</f>
        <v>0</v>
      </c>
      <c r="BM9" s="104">
        <f>Kotak!BM10</f>
        <v>0</v>
      </c>
      <c r="BN9" s="104">
        <f>Kotak!BN10</f>
        <v>0</v>
      </c>
      <c r="BO9" s="104">
        <f>Kotak!BO10</f>
        <v>0</v>
      </c>
      <c r="BP9" s="104">
        <f>Kotak!BP10</f>
        <v>0</v>
      </c>
      <c r="BQ9" s="104">
        <f>Kotak!BQ10</f>
        <v>0</v>
      </c>
      <c r="BR9" s="104">
        <f>Kotak!BR10</f>
        <v>0</v>
      </c>
    </row>
    <row r="10" spans="1:83">
      <c r="A10" s="104">
        <v>10</v>
      </c>
      <c r="B10" s="5" t="str">
        <f>Kotak!B11</f>
        <v>RT_Loan</v>
      </c>
      <c r="C10" s="5" t="str">
        <f>Kotak!C11</f>
        <v>Rare</v>
      </c>
      <c r="D10" s="30"/>
      <c r="E10" s="5">
        <f>Kotak!E11</f>
        <v>0</v>
      </c>
      <c r="F10" s="38">
        <f>IDFC!I10</f>
        <v>0</v>
      </c>
      <c r="G10" s="38">
        <f>Kotak!G11</f>
        <v>10000</v>
      </c>
      <c r="H10" s="131">
        <f t="shared" si="1"/>
        <v>0</v>
      </c>
      <c r="I10" s="130">
        <f t="shared" si="2"/>
        <v>10000</v>
      </c>
      <c r="J10" s="160">
        <f t="shared" si="3"/>
        <v>10000</v>
      </c>
      <c r="K10" s="104">
        <f>Kotak!K11</f>
        <v>0</v>
      </c>
      <c r="L10" s="104">
        <f>Kotak!L11</f>
        <v>0</v>
      </c>
      <c r="M10" s="104">
        <f>Kotak!M11</f>
        <v>0</v>
      </c>
      <c r="N10" s="104">
        <f>Kotak!N11</f>
        <v>0</v>
      </c>
      <c r="O10" s="104">
        <f>Kotak!O11</f>
        <v>0</v>
      </c>
      <c r="P10" s="104">
        <f>Kotak!P11</f>
        <v>0</v>
      </c>
      <c r="Q10" s="104">
        <f>Kotak!Q11</f>
        <v>0</v>
      </c>
      <c r="R10" s="104">
        <f>Kotak!R11</f>
        <v>0</v>
      </c>
      <c r="S10" s="104">
        <f>Kotak!S11</f>
        <v>0</v>
      </c>
      <c r="T10" s="104">
        <f>Kotak!T11</f>
        <v>0</v>
      </c>
      <c r="U10" s="104">
        <f>Kotak!U11</f>
        <v>0</v>
      </c>
      <c r="V10" s="104">
        <f>Kotak!V11</f>
        <v>0</v>
      </c>
      <c r="W10" s="104">
        <f>Kotak!W11</f>
        <v>0</v>
      </c>
      <c r="X10" s="104">
        <f>Kotak!X11</f>
        <v>0</v>
      </c>
      <c r="Y10" s="104">
        <f>Kotak!Y11</f>
        <v>0</v>
      </c>
      <c r="Z10" s="104">
        <f>Kotak!Z11</f>
        <v>0</v>
      </c>
      <c r="AA10" s="104">
        <f>Kotak!AA11</f>
        <v>0</v>
      </c>
      <c r="AB10" s="104">
        <f>Kotak!AB11</f>
        <v>0</v>
      </c>
      <c r="AC10" s="104">
        <f>Kotak!AC11</f>
        <v>0</v>
      </c>
      <c r="AD10" s="104">
        <f>Kotak!AD11</f>
        <v>0</v>
      </c>
      <c r="AE10" s="104">
        <f>Kotak!AE11</f>
        <v>0</v>
      </c>
      <c r="AF10" s="104">
        <f>Kotak!AF11</f>
        <v>0</v>
      </c>
      <c r="AG10" s="104">
        <f>Kotak!AG11</f>
        <v>0</v>
      </c>
      <c r="AH10" s="104">
        <f>Kotak!AH11</f>
        <v>0</v>
      </c>
      <c r="AI10" s="104">
        <f>Kotak!AI11</f>
        <v>0</v>
      </c>
      <c r="AJ10" s="104">
        <f>Kotak!AJ11</f>
        <v>0</v>
      </c>
      <c r="AK10" s="104">
        <f>Kotak!AK11</f>
        <v>0</v>
      </c>
      <c r="AL10" s="104">
        <f>Kotak!AL11</f>
        <v>0</v>
      </c>
      <c r="AM10" s="104">
        <f>Kotak!AM11</f>
        <v>0</v>
      </c>
      <c r="AN10" s="104">
        <f>Kotak!AN11</f>
        <v>0</v>
      </c>
      <c r="AO10" s="104">
        <f>Kotak!AO11</f>
        <v>0</v>
      </c>
      <c r="AP10" s="104">
        <f>Kotak!AP11</f>
        <v>0</v>
      </c>
      <c r="AQ10" s="104">
        <f>Kotak!AQ11</f>
        <v>0</v>
      </c>
      <c r="AR10" s="104">
        <f>Kotak!AR11</f>
        <v>0</v>
      </c>
      <c r="AS10" s="104">
        <f>Kotak!AS11</f>
        <v>0</v>
      </c>
      <c r="AT10" s="104">
        <f>Kotak!AT11</f>
        <v>0</v>
      </c>
      <c r="AU10" s="104">
        <f>Kotak!AU11</f>
        <v>0</v>
      </c>
      <c r="AV10" s="104">
        <f>Kotak!AV11</f>
        <v>0</v>
      </c>
      <c r="AW10" s="104">
        <f>Kotak!AW11</f>
        <v>0</v>
      </c>
      <c r="AX10" s="104">
        <f>Kotak!AX11</f>
        <v>0</v>
      </c>
      <c r="AY10" s="104">
        <f>Kotak!AY11</f>
        <v>0</v>
      </c>
      <c r="AZ10" s="104">
        <f>Kotak!AZ11</f>
        <v>0</v>
      </c>
      <c r="BA10" s="104">
        <f>Kotak!BA11</f>
        <v>0</v>
      </c>
      <c r="BB10" s="104">
        <f>Kotak!BB11</f>
        <v>0</v>
      </c>
      <c r="BC10" s="104">
        <f>Kotak!BC11</f>
        <v>0</v>
      </c>
      <c r="BD10" s="104">
        <f>Kotak!BD11</f>
        <v>0</v>
      </c>
      <c r="BE10" s="104">
        <f>Kotak!BE11</f>
        <v>0</v>
      </c>
      <c r="BF10" s="104">
        <f>Kotak!BF11</f>
        <v>0</v>
      </c>
      <c r="BG10" s="104">
        <f>Kotak!BG11</f>
        <v>0</v>
      </c>
      <c r="BH10" s="104">
        <f>Kotak!BH11</f>
        <v>0</v>
      </c>
      <c r="BI10" s="104">
        <f>Kotak!BI11</f>
        <v>0</v>
      </c>
      <c r="BJ10" s="104">
        <f>Kotak!BJ11</f>
        <v>0</v>
      </c>
      <c r="BK10" s="104">
        <f>Kotak!BK11</f>
        <v>0</v>
      </c>
      <c r="BL10" s="104">
        <f>Kotak!BL11</f>
        <v>0</v>
      </c>
      <c r="BM10" s="104">
        <f>Kotak!BM11</f>
        <v>0</v>
      </c>
      <c r="BN10" s="104">
        <f>Kotak!BN11</f>
        <v>0</v>
      </c>
      <c r="BO10" s="104">
        <f>Kotak!BO11</f>
        <v>0</v>
      </c>
      <c r="BP10" s="104">
        <f>Kotak!BP11</f>
        <v>0</v>
      </c>
      <c r="BQ10" s="104">
        <f>Kotak!BQ11</f>
        <v>0</v>
      </c>
      <c r="BR10" s="104">
        <f>Kotak!BR11</f>
        <v>0</v>
      </c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</row>
    <row r="11" spans="1:83">
      <c r="A11" s="104">
        <v>11</v>
      </c>
      <c r="B11" s="5" t="str">
        <f>Kotak!B12</f>
        <v>RT_Loan</v>
      </c>
      <c r="C11" s="5" t="str">
        <f>Kotak!C12</f>
        <v>Journey</v>
      </c>
      <c r="D11" s="30"/>
      <c r="E11" s="5">
        <f>Kotak!E12</f>
        <v>0</v>
      </c>
      <c r="F11" s="38">
        <f>IDFC!I11</f>
        <v>0</v>
      </c>
      <c r="G11" s="38">
        <f>Kotak!G12</f>
        <v>0</v>
      </c>
      <c r="H11" s="131">
        <f t="shared" si="1"/>
        <v>11061</v>
      </c>
      <c r="I11" s="130">
        <f t="shared" si="2"/>
        <v>-11061</v>
      </c>
      <c r="J11" s="160">
        <f t="shared" si="3"/>
        <v>-11061</v>
      </c>
      <c r="K11" s="104">
        <f>Kotak!K12</f>
        <v>1534</v>
      </c>
      <c r="L11" s="104">
        <f>Kotak!L12</f>
        <v>0</v>
      </c>
      <c r="M11" s="104">
        <f>Kotak!M12</f>
        <v>0</v>
      </c>
      <c r="N11" s="104">
        <f>Kotak!N12</f>
        <v>0</v>
      </c>
      <c r="O11" s="104">
        <f>Kotak!O12</f>
        <v>0</v>
      </c>
      <c r="P11" s="104">
        <f>Kotak!P12</f>
        <v>0</v>
      </c>
      <c r="Q11" s="104">
        <f>Kotak!Q12</f>
        <v>0</v>
      </c>
      <c r="R11" s="104">
        <f>Kotak!R12</f>
        <v>0</v>
      </c>
      <c r="S11" s="104">
        <f>Kotak!S12</f>
        <v>0</v>
      </c>
      <c r="T11" s="104">
        <f>Kotak!T12</f>
        <v>0</v>
      </c>
      <c r="U11" s="104">
        <f>Kotak!U12</f>
        <v>0</v>
      </c>
      <c r="V11" s="104">
        <f>Kotak!V12</f>
        <v>0</v>
      </c>
      <c r="W11" s="104">
        <f>Kotak!W12</f>
        <v>0</v>
      </c>
      <c r="X11" s="104">
        <f>Kotak!X12</f>
        <v>0</v>
      </c>
      <c r="Y11" s="104">
        <f>Kotak!Y12</f>
        <v>0</v>
      </c>
      <c r="Z11" s="104">
        <f>Kotak!Z12</f>
        <v>0</v>
      </c>
      <c r="AA11" s="104">
        <f>Kotak!AA12</f>
        <v>0</v>
      </c>
      <c r="AB11" s="104">
        <f>Kotak!AB12</f>
        <v>0</v>
      </c>
      <c r="AC11" s="104">
        <f>Kotak!AC12</f>
        <v>9527</v>
      </c>
      <c r="AD11" s="104">
        <f>Kotak!AD12</f>
        <v>0</v>
      </c>
      <c r="AE11" s="104">
        <f>Kotak!AE12</f>
        <v>0</v>
      </c>
      <c r="AF11" s="104">
        <f>Kotak!AF12</f>
        <v>0</v>
      </c>
      <c r="AG11" s="104">
        <f>Kotak!AG12</f>
        <v>0</v>
      </c>
      <c r="AH11" s="104">
        <f>Kotak!AH12</f>
        <v>0</v>
      </c>
      <c r="AI11" s="104">
        <f>Kotak!AI12</f>
        <v>0</v>
      </c>
      <c r="AJ11" s="104">
        <f>Kotak!AJ12</f>
        <v>0</v>
      </c>
      <c r="AK11" s="104">
        <f>Kotak!AK12</f>
        <v>0</v>
      </c>
      <c r="AL11" s="104">
        <f>Kotak!AL12</f>
        <v>0</v>
      </c>
      <c r="AM11" s="104">
        <f>Kotak!AM12</f>
        <v>0</v>
      </c>
      <c r="AN11" s="104">
        <f>Kotak!AN12</f>
        <v>0</v>
      </c>
      <c r="AO11" s="104">
        <f>Kotak!AO12</f>
        <v>0</v>
      </c>
      <c r="AP11" s="104">
        <f>Kotak!AP12</f>
        <v>0</v>
      </c>
      <c r="AQ11" s="104">
        <f>Kotak!AQ12</f>
        <v>0</v>
      </c>
      <c r="AR11" s="104">
        <f>Kotak!AR12</f>
        <v>0</v>
      </c>
      <c r="AS11" s="104">
        <f>Kotak!AS12</f>
        <v>0</v>
      </c>
      <c r="AT11" s="104">
        <f>Kotak!AT12</f>
        <v>0</v>
      </c>
      <c r="AU11" s="104">
        <f>Kotak!AU12</f>
        <v>0</v>
      </c>
      <c r="AV11" s="104">
        <f>Kotak!AV12</f>
        <v>0</v>
      </c>
      <c r="AW11" s="104">
        <f>Kotak!AW12</f>
        <v>0</v>
      </c>
      <c r="AX11" s="104">
        <f>Kotak!AX12</f>
        <v>0</v>
      </c>
      <c r="AY11" s="104">
        <f>Kotak!AY12</f>
        <v>0</v>
      </c>
      <c r="AZ11" s="104">
        <f>Kotak!AZ12</f>
        <v>0</v>
      </c>
      <c r="BA11" s="104">
        <f>Kotak!BA12</f>
        <v>0</v>
      </c>
      <c r="BB11" s="104">
        <f>Kotak!BB12</f>
        <v>0</v>
      </c>
      <c r="BC11" s="104">
        <f>Kotak!BC12</f>
        <v>0</v>
      </c>
      <c r="BD11" s="104">
        <f>Kotak!BD12</f>
        <v>0</v>
      </c>
      <c r="BE11" s="104">
        <f>Kotak!BE12</f>
        <v>0</v>
      </c>
      <c r="BF11" s="104">
        <f>Kotak!BF12</f>
        <v>0</v>
      </c>
      <c r="BG11" s="104">
        <f>Kotak!BG12</f>
        <v>0</v>
      </c>
      <c r="BH11" s="104">
        <f>Kotak!BH12</f>
        <v>0</v>
      </c>
      <c r="BI11" s="104">
        <f>Kotak!BI12</f>
        <v>0</v>
      </c>
      <c r="BJ11" s="104">
        <f>Kotak!BJ12</f>
        <v>0</v>
      </c>
      <c r="BK11" s="104">
        <f>Kotak!BK12</f>
        <v>0</v>
      </c>
      <c r="BL11" s="104">
        <f>Kotak!BL12</f>
        <v>0</v>
      </c>
      <c r="BM11" s="104">
        <f>Kotak!BM12</f>
        <v>0</v>
      </c>
      <c r="BN11" s="104">
        <f>Kotak!BN12</f>
        <v>0</v>
      </c>
      <c r="BO11" s="104">
        <f>Kotak!BO12</f>
        <v>0</v>
      </c>
      <c r="BP11" s="104">
        <f>Kotak!BP12</f>
        <v>0</v>
      </c>
      <c r="BQ11" s="104">
        <f>Kotak!BQ12</f>
        <v>0</v>
      </c>
      <c r="BR11" s="104">
        <f>Kotak!BR12</f>
        <v>0</v>
      </c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</row>
    <row r="12" spans="1:83">
      <c r="A12" s="104">
        <v>12</v>
      </c>
      <c r="B12" s="5" t="str">
        <f>Kotak!B13</f>
        <v>RT_Loan</v>
      </c>
      <c r="C12" s="5" t="str">
        <f>Kotak!C13</f>
        <v>Recall 2</v>
      </c>
      <c r="D12" s="30"/>
      <c r="E12" s="5">
        <f>Kotak!E13</f>
        <v>0</v>
      </c>
      <c r="F12" s="38">
        <f>IDFC!I12</f>
        <v>0</v>
      </c>
      <c r="G12" s="38">
        <f>Kotak!G13</f>
        <v>0</v>
      </c>
      <c r="H12" s="131">
        <f>SUM(K12:BQ12)</f>
        <v>10500</v>
      </c>
      <c r="I12" s="130">
        <f t="shared" si="2"/>
        <v>-10500</v>
      </c>
      <c r="J12" s="160">
        <f t="shared" si="3"/>
        <v>-10500</v>
      </c>
      <c r="K12" s="104">
        <f>Kotak!K13</f>
        <v>0</v>
      </c>
      <c r="L12" s="104">
        <f>Kotak!L13</f>
        <v>0</v>
      </c>
      <c r="M12" s="104">
        <f>Kotak!M13</f>
        <v>6500</v>
      </c>
      <c r="N12" s="104">
        <f>Kotak!N13</f>
        <v>0</v>
      </c>
      <c r="O12" s="104">
        <f>Kotak!O13</f>
        <v>0</v>
      </c>
      <c r="P12" s="104">
        <f>Kotak!P13</f>
        <v>0</v>
      </c>
      <c r="Q12" s="104">
        <f>Kotak!Q13</f>
        <v>0</v>
      </c>
      <c r="R12" s="104">
        <f>Kotak!R13</f>
        <v>0</v>
      </c>
      <c r="S12" s="104">
        <f>Kotak!S13</f>
        <v>0</v>
      </c>
      <c r="T12" s="104">
        <f>Kotak!T13</f>
        <v>0</v>
      </c>
      <c r="U12" s="104">
        <f>Kotak!U13</f>
        <v>0</v>
      </c>
      <c r="V12" s="104">
        <f>Kotak!V13</f>
        <v>0</v>
      </c>
      <c r="W12" s="104">
        <f>Kotak!W13</f>
        <v>0</v>
      </c>
      <c r="X12" s="104">
        <f>Kotak!X13</f>
        <v>0</v>
      </c>
      <c r="Y12" s="104">
        <f>Kotak!Y13</f>
        <v>0</v>
      </c>
      <c r="Z12" s="104">
        <f>Kotak!Z13</f>
        <v>0</v>
      </c>
      <c r="AA12" s="104">
        <f>Kotak!AA13</f>
        <v>0</v>
      </c>
      <c r="AB12" s="104">
        <f>Kotak!AB13</f>
        <v>0</v>
      </c>
      <c r="AC12" s="104">
        <f>Kotak!AC13</f>
        <v>0</v>
      </c>
      <c r="AD12" s="104">
        <f>Kotak!AD13</f>
        <v>0</v>
      </c>
      <c r="AE12" s="104">
        <f>Kotak!AE13</f>
        <v>0</v>
      </c>
      <c r="AF12" s="104">
        <f>Kotak!AF13</f>
        <v>4000</v>
      </c>
      <c r="AG12" s="104">
        <f>Kotak!AG13</f>
        <v>0</v>
      </c>
      <c r="AH12" s="104">
        <f>Kotak!AH13</f>
        <v>0</v>
      </c>
      <c r="AI12" s="104">
        <f>Kotak!AI13</f>
        <v>0</v>
      </c>
      <c r="AJ12" s="104">
        <f>Kotak!AJ13</f>
        <v>0</v>
      </c>
      <c r="AK12" s="104">
        <f>Kotak!AK13</f>
        <v>0</v>
      </c>
      <c r="AL12" s="104">
        <f>Kotak!AL13</f>
        <v>0</v>
      </c>
      <c r="AM12" s="104">
        <f>Kotak!AM13</f>
        <v>0</v>
      </c>
      <c r="AN12" s="104">
        <f>Kotak!AN13</f>
        <v>0</v>
      </c>
      <c r="AO12" s="104">
        <f>Kotak!AO13</f>
        <v>0</v>
      </c>
      <c r="AP12" s="104">
        <f>Kotak!AP13</f>
        <v>0</v>
      </c>
      <c r="AQ12" s="104">
        <f>Kotak!AQ13</f>
        <v>0</v>
      </c>
      <c r="AR12" s="104">
        <f>Kotak!AR13</f>
        <v>0</v>
      </c>
      <c r="AS12" s="104">
        <f>Kotak!AS13</f>
        <v>0</v>
      </c>
      <c r="AT12" s="104">
        <f>Kotak!AT13</f>
        <v>0</v>
      </c>
      <c r="AU12" s="104">
        <f>Kotak!AU13</f>
        <v>0</v>
      </c>
      <c r="AV12" s="104">
        <f>Kotak!AV13</f>
        <v>0</v>
      </c>
      <c r="AW12" s="104">
        <f>Kotak!AW13</f>
        <v>0</v>
      </c>
      <c r="AX12" s="104">
        <f>Kotak!AX13</f>
        <v>0</v>
      </c>
      <c r="AY12" s="104">
        <f>Kotak!AY13</f>
        <v>0</v>
      </c>
      <c r="AZ12" s="104">
        <f>Kotak!AZ13</f>
        <v>0</v>
      </c>
      <c r="BA12" s="104">
        <f>Kotak!BA13</f>
        <v>0</v>
      </c>
      <c r="BB12" s="104">
        <f>Kotak!BB13</f>
        <v>0</v>
      </c>
      <c r="BC12" s="104">
        <f>Kotak!BC13</f>
        <v>0</v>
      </c>
      <c r="BD12" s="104">
        <f>Kotak!BD13</f>
        <v>0</v>
      </c>
      <c r="BE12" s="104">
        <f>Kotak!BE13</f>
        <v>0</v>
      </c>
      <c r="BF12" s="104">
        <f>Kotak!BF13</f>
        <v>0</v>
      </c>
      <c r="BG12" s="104">
        <f>Kotak!BG13</f>
        <v>0</v>
      </c>
      <c r="BH12" s="104">
        <f>Kotak!BH13</f>
        <v>0</v>
      </c>
      <c r="BI12" s="104">
        <f>Kotak!BI13</f>
        <v>0</v>
      </c>
      <c r="BJ12" s="104">
        <f>Kotak!BJ13</f>
        <v>0</v>
      </c>
      <c r="BK12" s="104">
        <f>Kotak!BK13</f>
        <v>0</v>
      </c>
      <c r="BL12" s="104">
        <f>Kotak!BL13</f>
        <v>0</v>
      </c>
      <c r="BM12" s="104">
        <f>Kotak!BM13</f>
        <v>0</v>
      </c>
      <c r="BN12" s="104">
        <f>Kotak!BN13</f>
        <v>0</v>
      </c>
      <c r="BO12" s="104">
        <f>Kotak!BO13</f>
        <v>0</v>
      </c>
      <c r="BP12" s="104">
        <f>Kotak!BP13</f>
        <v>0</v>
      </c>
      <c r="BQ12" s="104">
        <f>Kotak!BQ13</f>
        <v>0</v>
      </c>
      <c r="BR12" s="104">
        <f>Kotak!BR13</f>
        <v>0</v>
      </c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</row>
    <row r="13" spans="1:83">
      <c r="A13" s="104">
        <v>13</v>
      </c>
      <c r="B13" s="5" t="str">
        <f>Kotak!B14</f>
        <v>G C PANT</v>
      </c>
      <c r="C13" s="5" t="str">
        <f>Kotak!C14</f>
        <v>AWC BASELINE SURVEY</v>
      </c>
      <c r="D13" s="30"/>
      <c r="E13" s="5">
        <f>Kotak!E14</f>
        <v>0</v>
      </c>
      <c r="F13" s="38">
        <f>IDFC!I13</f>
        <v>0</v>
      </c>
      <c r="G13" s="38">
        <f>Kotak!G14</f>
        <v>25000</v>
      </c>
      <c r="H13" s="131">
        <f t="shared" si="1"/>
        <v>104808</v>
      </c>
      <c r="I13" s="130">
        <f t="shared" si="2"/>
        <v>-79808</v>
      </c>
      <c r="J13" s="160">
        <f t="shared" si="3"/>
        <v>-79808</v>
      </c>
      <c r="K13" s="104">
        <f>Kotak!K14</f>
        <v>0</v>
      </c>
      <c r="L13" s="104">
        <f>Kotak!L14</f>
        <v>0</v>
      </c>
      <c r="M13" s="104">
        <f>Kotak!M14</f>
        <v>0</v>
      </c>
      <c r="N13" s="104">
        <f>Kotak!N14</f>
        <v>0</v>
      </c>
      <c r="O13" s="104">
        <f>Kotak!O14</f>
        <v>0</v>
      </c>
      <c r="P13" s="104">
        <f>Kotak!P14</f>
        <v>0</v>
      </c>
      <c r="Q13" s="104">
        <f>Kotak!Q14</f>
        <v>0</v>
      </c>
      <c r="R13" s="104">
        <f>Kotak!R14</f>
        <v>0</v>
      </c>
      <c r="S13" s="104">
        <f>Kotak!S14</f>
        <v>0</v>
      </c>
      <c r="T13" s="104">
        <f>Kotak!T14</f>
        <v>0</v>
      </c>
      <c r="U13" s="104">
        <f>Kotak!U14</f>
        <v>0</v>
      </c>
      <c r="V13" s="104">
        <f>Kotak!V14</f>
        <v>0</v>
      </c>
      <c r="W13" s="104">
        <f>Kotak!W14</f>
        <v>0</v>
      </c>
      <c r="X13" s="104">
        <f>Kotak!X14</f>
        <v>0</v>
      </c>
      <c r="Y13" s="104">
        <f>Kotak!Y14</f>
        <v>0</v>
      </c>
      <c r="Z13" s="104">
        <f>Kotak!Z14</f>
        <v>0</v>
      </c>
      <c r="AA13" s="104">
        <f>Kotak!AA14</f>
        <v>7508</v>
      </c>
      <c r="AB13" s="104">
        <f>Kotak!AB14</f>
        <v>0</v>
      </c>
      <c r="AC13" s="104">
        <f>Kotak!AC14</f>
        <v>0</v>
      </c>
      <c r="AD13" s="104">
        <f>Kotak!AD14</f>
        <v>0</v>
      </c>
      <c r="AE13" s="104">
        <f>Kotak!AE14</f>
        <v>10000</v>
      </c>
      <c r="AF13" s="104">
        <f>Kotak!AF14</f>
        <v>0</v>
      </c>
      <c r="AG13" s="104">
        <f>Kotak!AG14</f>
        <v>0</v>
      </c>
      <c r="AH13" s="104">
        <f>Kotak!AH14</f>
        <v>87300</v>
      </c>
      <c r="AI13" s="104">
        <f>Kotak!AI14</f>
        <v>0</v>
      </c>
      <c r="AJ13" s="104">
        <f>Kotak!AJ14</f>
        <v>0</v>
      </c>
      <c r="AK13" s="104">
        <f>Kotak!AK14</f>
        <v>0</v>
      </c>
      <c r="AL13" s="104">
        <f>Kotak!AL14</f>
        <v>0</v>
      </c>
      <c r="AM13" s="104">
        <f>Kotak!AM14</f>
        <v>0</v>
      </c>
      <c r="AN13" s="104">
        <f>Kotak!AN14</f>
        <v>0</v>
      </c>
      <c r="AO13" s="104">
        <f>Kotak!AO14</f>
        <v>0</v>
      </c>
      <c r="AP13" s="104">
        <f>Kotak!AP14</f>
        <v>0</v>
      </c>
      <c r="AQ13" s="104">
        <f>Kotak!AQ14</f>
        <v>0</v>
      </c>
      <c r="AR13" s="104">
        <f>Kotak!AR14</f>
        <v>0</v>
      </c>
      <c r="AS13" s="104">
        <f>Kotak!AS14</f>
        <v>0</v>
      </c>
      <c r="AT13" s="104">
        <f>Kotak!AT14</f>
        <v>0</v>
      </c>
      <c r="AU13" s="104">
        <f>Kotak!AU14</f>
        <v>0</v>
      </c>
      <c r="AV13" s="104">
        <f>Kotak!AV14</f>
        <v>0</v>
      </c>
      <c r="AW13" s="104">
        <f>Kotak!AW14</f>
        <v>0</v>
      </c>
      <c r="AX13" s="104">
        <f>Kotak!AX14</f>
        <v>0</v>
      </c>
      <c r="AY13" s="104">
        <f>Kotak!AY14</f>
        <v>0</v>
      </c>
      <c r="AZ13" s="104">
        <f>Kotak!AZ14</f>
        <v>0</v>
      </c>
      <c r="BA13" s="104">
        <f>Kotak!BA14</f>
        <v>0</v>
      </c>
      <c r="BB13" s="104">
        <f>Kotak!BB14</f>
        <v>0</v>
      </c>
      <c r="BC13" s="104">
        <f>Kotak!BC14</f>
        <v>0</v>
      </c>
      <c r="BD13" s="104">
        <f>Kotak!BD14</f>
        <v>0</v>
      </c>
      <c r="BE13" s="104">
        <f>Kotak!BE14</f>
        <v>0</v>
      </c>
      <c r="BF13" s="104">
        <f>Kotak!BF14</f>
        <v>0</v>
      </c>
      <c r="BG13" s="104">
        <f>Kotak!BG14</f>
        <v>0</v>
      </c>
      <c r="BH13" s="104">
        <f>Kotak!BH14</f>
        <v>0</v>
      </c>
      <c r="BI13" s="104">
        <f>Kotak!BI14</f>
        <v>0</v>
      </c>
      <c r="BJ13" s="104">
        <f>Kotak!BJ14</f>
        <v>0</v>
      </c>
      <c r="BK13" s="104">
        <f>Kotak!BK14</f>
        <v>0</v>
      </c>
      <c r="BL13" s="104">
        <f>Kotak!BL14</f>
        <v>0</v>
      </c>
      <c r="BM13" s="104">
        <f>Kotak!BM14</f>
        <v>0</v>
      </c>
      <c r="BN13" s="104">
        <f>Kotak!BN14</f>
        <v>0</v>
      </c>
      <c r="BO13" s="104">
        <f>Kotak!BO14</f>
        <v>0</v>
      </c>
      <c r="BP13" s="104">
        <f>Kotak!BP14</f>
        <v>0</v>
      </c>
      <c r="BQ13" s="104">
        <f>Kotak!BQ14</f>
        <v>0</v>
      </c>
      <c r="BR13" s="104">
        <f>Kotak!BR14</f>
        <v>0</v>
      </c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</row>
    <row r="14" spans="1:83">
      <c r="A14" s="104">
        <v>14</v>
      </c>
      <c r="B14" s="5" t="str">
        <f>Kotak!B15</f>
        <v>G C PANT</v>
      </c>
      <c r="C14" s="5" t="str">
        <f>Kotak!C15</f>
        <v>VELOCITY</v>
      </c>
      <c r="D14" s="30"/>
      <c r="E14" s="5">
        <f>Kotak!E15</f>
        <v>0</v>
      </c>
      <c r="F14" s="38">
        <f>IDFC!I14</f>
        <v>0</v>
      </c>
      <c r="G14" s="38">
        <f>Kotak!G15</f>
        <v>0</v>
      </c>
      <c r="H14" s="131">
        <f t="shared" si="1"/>
        <v>9900</v>
      </c>
      <c r="I14" s="130">
        <f t="shared" si="2"/>
        <v>-9900</v>
      </c>
      <c r="J14" s="160">
        <f t="shared" si="3"/>
        <v>-9900</v>
      </c>
      <c r="K14" s="104">
        <f>Kotak!K15</f>
        <v>0</v>
      </c>
      <c r="L14" s="104">
        <f>Kotak!L15</f>
        <v>0</v>
      </c>
      <c r="M14" s="104">
        <f>Kotak!M15</f>
        <v>0</v>
      </c>
      <c r="N14" s="104">
        <f>Kotak!N15</f>
        <v>0</v>
      </c>
      <c r="O14" s="104">
        <f>Kotak!O15</f>
        <v>0</v>
      </c>
      <c r="P14" s="104">
        <f>Kotak!P15</f>
        <v>0</v>
      </c>
      <c r="Q14" s="104">
        <f>Kotak!Q15</f>
        <v>0</v>
      </c>
      <c r="R14" s="104">
        <f>Kotak!R15</f>
        <v>0</v>
      </c>
      <c r="S14" s="104">
        <f>Kotak!S15</f>
        <v>0</v>
      </c>
      <c r="T14" s="104">
        <f>Kotak!T15</f>
        <v>0</v>
      </c>
      <c r="U14" s="104">
        <f>Kotak!U15</f>
        <v>0</v>
      </c>
      <c r="V14" s="104">
        <f>Kotak!V15</f>
        <v>4752</v>
      </c>
      <c r="W14" s="104">
        <f>Kotak!W15</f>
        <v>0</v>
      </c>
      <c r="X14" s="104">
        <f>Kotak!X15</f>
        <v>0</v>
      </c>
      <c r="Y14" s="104">
        <f>Kotak!Y15</f>
        <v>0</v>
      </c>
      <c r="Z14" s="104">
        <f>Kotak!Z15</f>
        <v>0</v>
      </c>
      <c r="AA14" s="104">
        <f>Kotak!AA15</f>
        <v>0</v>
      </c>
      <c r="AB14" s="104">
        <f>Kotak!AB15</f>
        <v>0</v>
      </c>
      <c r="AC14" s="104">
        <f>Kotak!AC15</f>
        <v>0</v>
      </c>
      <c r="AD14" s="104">
        <f>Kotak!AD15</f>
        <v>0</v>
      </c>
      <c r="AE14" s="104">
        <f>Kotak!AE15</f>
        <v>0</v>
      </c>
      <c r="AF14" s="104">
        <f>Kotak!AF15</f>
        <v>0</v>
      </c>
      <c r="AG14" s="104">
        <f>Kotak!AG15</f>
        <v>0</v>
      </c>
      <c r="AH14" s="104">
        <f>Kotak!AH15</f>
        <v>0</v>
      </c>
      <c r="AI14" s="104">
        <f>Kotak!AI15</f>
        <v>0</v>
      </c>
      <c r="AJ14" s="104">
        <f>Kotak!AJ15</f>
        <v>0</v>
      </c>
      <c r="AK14" s="104">
        <f>Kotak!AK15</f>
        <v>5148</v>
      </c>
      <c r="AL14" s="104">
        <f>Kotak!AL15</f>
        <v>0</v>
      </c>
      <c r="AM14" s="104">
        <f>Kotak!AM15</f>
        <v>0</v>
      </c>
      <c r="AN14" s="104">
        <f>Kotak!AN15</f>
        <v>0</v>
      </c>
      <c r="AO14" s="104">
        <f>Kotak!AO15</f>
        <v>0</v>
      </c>
      <c r="AP14" s="104">
        <f>Kotak!AP15</f>
        <v>0</v>
      </c>
      <c r="AQ14" s="104">
        <f>Kotak!AQ15</f>
        <v>0</v>
      </c>
      <c r="AR14" s="104">
        <f>Kotak!AR15</f>
        <v>0</v>
      </c>
      <c r="AS14" s="104">
        <f>Kotak!AS15</f>
        <v>0</v>
      </c>
      <c r="AT14" s="104">
        <f>Kotak!AT15</f>
        <v>0</v>
      </c>
      <c r="AU14" s="104">
        <f>Kotak!AU15</f>
        <v>0</v>
      </c>
      <c r="AV14" s="104">
        <f>Kotak!AV15</f>
        <v>0</v>
      </c>
      <c r="AW14" s="104">
        <f>Kotak!AW15</f>
        <v>0</v>
      </c>
      <c r="AX14" s="104">
        <f>Kotak!AX15</f>
        <v>0</v>
      </c>
      <c r="AY14" s="104">
        <f>Kotak!AY15</f>
        <v>0</v>
      </c>
      <c r="AZ14" s="104">
        <f>Kotak!AZ15</f>
        <v>0</v>
      </c>
      <c r="BA14" s="104">
        <f>Kotak!BA15</f>
        <v>0</v>
      </c>
      <c r="BB14" s="104">
        <f>Kotak!BB15</f>
        <v>0</v>
      </c>
      <c r="BC14" s="104">
        <f>Kotak!BC15</f>
        <v>0</v>
      </c>
      <c r="BD14" s="104">
        <f>Kotak!BD15</f>
        <v>0</v>
      </c>
      <c r="BE14" s="104">
        <f>Kotak!BE15</f>
        <v>0</v>
      </c>
      <c r="BF14" s="104">
        <f>Kotak!BF15</f>
        <v>0</v>
      </c>
      <c r="BG14" s="104">
        <f>Kotak!BG15</f>
        <v>0</v>
      </c>
      <c r="BH14" s="104">
        <f>Kotak!BH15</f>
        <v>0</v>
      </c>
      <c r="BI14" s="104">
        <f>Kotak!BI15</f>
        <v>0</v>
      </c>
      <c r="BJ14" s="104">
        <f>Kotak!BJ15</f>
        <v>0</v>
      </c>
      <c r="BK14" s="104">
        <f>Kotak!BK15</f>
        <v>0</v>
      </c>
      <c r="BL14" s="104">
        <f>Kotak!BL15</f>
        <v>0</v>
      </c>
      <c r="BM14" s="104">
        <f>Kotak!BM15</f>
        <v>0</v>
      </c>
      <c r="BN14" s="104">
        <f>Kotak!BN15</f>
        <v>0</v>
      </c>
      <c r="BO14" s="104">
        <f>Kotak!BO15</f>
        <v>0</v>
      </c>
      <c r="BP14" s="104">
        <f>Kotak!BP15</f>
        <v>0</v>
      </c>
      <c r="BQ14" s="104">
        <f>Kotak!BQ15</f>
        <v>0</v>
      </c>
      <c r="BR14" s="104">
        <f>Kotak!BR15</f>
        <v>0</v>
      </c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</row>
    <row r="15" spans="1:83" s="87" customFormat="1">
      <c r="A15" s="104">
        <v>15</v>
      </c>
      <c r="B15" s="5" t="str">
        <f>Kotak!B16</f>
        <v>G C PANT</v>
      </c>
      <c r="C15" s="5" t="str">
        <f>Kotak!C16</f>
        <v>Landscaping Research Study on Women Enterpreneurs</v>
      </c>
      <c r="D15" s="30"/>
      <c r="E15" s="5">
        <f>Kotak!E16</f>
        <v>0</v>
      </c>
      <c r="F15" s="38">
        <f>IDFC!I15</f>
        <v>0</v>
      </c>
      <c r="G15" s="38">
        <f>Kotak!G16</f>
        <v>286107</v>
      </c>
      <c r="H15" s="131">
        <f t="shared" si="1"/>
        <v>0</v>
      </c>
      <c r="I15" s="130">
        <f t="shared" si="2"/>
        <v>286107</v>
      </c>
      <c r="J15" s="160">
        <f t="shared" si="3"/>
        <v>286107</v>
      </c>
      <c r="K15" s="104">
        <f>Kotak!K16</f>
        <v>0</v>
      </c>
      <c r="L15" s="104">
        <f>Kotak!L16</f>
        <v>0</v>
      </c>
      <c r="M15" s="104">
        <f>Kotak!M16</f>
        <v>0</v>
      </c>
      <c r="N15" s="104">
        <f>Kotak!N16</f>
        <v>0</v>
      </c>
      <c r="O15" s="104">
        <f>Kotak!O16</f>
        <v>0</v>
      </c>
      <c r="P15" s="104">
        <f>Kotak!P16</f>
        <v>0</v>
      </c>
      <c r="Q15" s="104">
        <f>Kotak!Q16</f>
        <v>0</v>
      </c>
      <c r="R15" s="104">
        <f>Kotak!R16</f>
        <v>0</v>
      </c>
      <c r="S15" s="104">
        <f>Kotak!S16</f>
        <v>0</v>
      </c>
      <c r="T15" s="104">
        <f>Kotak!T16</f>
        <v>0</v>
      </c>
      <c r="U15" s="104">
        <f>Kotak!U16</f>
        <v>0</v>
      </c>
      <c r="V15" s="104">
        <f>Kotak!V16</f>
        <v>0</v>
      </c>
      <c r="W15" s="104">
        <f>Kotak!W16</f>
        <v>0</v>
      </c>
      <c r="X15" s="104">
        <f>Kotak!X16</f>
        <v>0</v>
      </c>
      <c r="Y15" s="104">
        <f>Kotak!Y16</f>
        <v>0</v>
      </c>
      <c r="Z15" s="104">
        <f>Kotak!Z16</f>
        <v>0</v>
      </c>
      <c r="AA15" s="104">
        <f>Kotak!AA16</f>
        <v>0</v>
      </c>
      <c r="AB15" s="104">
        <f>Kotak!AB16</f>
        <v>0</v>
      </c>
      <c r="AC15" s="104">
        <f>Kotak!AC16</f>
        <v>0</v>
      </c>
      <c r="AD15" s="104">
        <f>Kotak!AD16</f>
        <v>0</v>
      </c>
      <c r="AE15" s="104">
        <f>Kotak!AE16</f>
        <v>0</v>
      </c>
      <c r="AF15" s="104">
        <f>Kotak!AF16</f>
        <v>0</v>
      </c>
      <c r="AG15" s="104">
        <f>Kotak!AG16</f>
        <v>0</v>
      </c>
      <c r="AH15" s="104">
        <f>Kotak!AH16</f>
        <v>0</v>
      </c>
      <c r="AI15" s="104">
        <f>Kotak!AI16</f>
        <v>0</v>
      </c>
      <c r="AJ15" s="104">
        <f>Kotak!AJ16</f>
        <v>0</v>
      </c>
      <c r="AK15" s="104">
        <f>Kotak!AK16</f>
        <v>0</v>
      </c>
      <c r="AL15" s="104">
        <f>Kotak!AL16</f>
        <v>0</v>
      </c>
      <c r="AM15" s="104">
        <f>Kotak!AM16</f>
        <v>0</v>
      </c>
      <c r="AN15" s="104">
        <f>Kotak!AN16</f>
        <v>0</v>
      </c>
      <c r="AO15" s="104">
        <f>Kotak!AO16</f>
        <v>0</v>
      </c>
      <c r="AP15" s="104">
        <f>Kotak!AP16</f>
        <v>0</v>
      </c>
      <c r="AQ15" s="104">
        <f>Kotak!AQ16</f>
        <v>0</v>
      </c>
      <c r="AR15" s="104">
        <f>Kotak!AR16</f>
        <v>0</v>
      </c>
      <c r="AS15" s="104">
        <f>Kotak!AS16</f>
        <v>0</v>
      </c>
      <c r="AT15" s="104">
        <f>Kotak!AT16</f>
        <v>0</v>
      </c>
      <c r="AU15" s="104">
        <f>Kotak!AU16</f>
        <v>0</v>
      </c>
      <c r="AV15" s="104">
        <f>Kotak!AV16</f>
        <v>0</v>
      </c>
      <c r="AW15" s="104">
        <f>Kotak!AW16</f>
        <v>0</v>
      </c>
      <c r="AX15" s="104">
        <f>Kotak!AX16</f>
        <v>0</v>
      </c>
      <c r="AY15" s="104">
        <f>Kotak!AY16</f>
        <v>0</v>
      </c>
      <c r="AZ15" s="104">
        <f>Kotak!AZ16</f>
        <v>0</v>
      </c>
      <c r="BA15" s="104">
        <f>Kotak!BA16</f>
        <v>0</v>
      </c>
      <c r="BB15" s="104">
        <f>Kotak!BB16</f>
        <v>0</v>
      </c>
      <c r="BC15" s="104">
        <f>Kotak!BC16</f>
        <v>0</v>
      </c>
      <c r="BD15" s="104">
        <f>Kotak!BD16</f>
        <v>0</v>
      </c>
      <c r="BE15" s="104">
        <f>Kotak!BE16</f>
        <v>0</v>
      </c>
      <c r="BF15" s="104">
        <f>Kotak!BF16</f>
        <v>0</v>
      </c>
      <c r="BG15" s="104">
        <f>Kotak!BG16</f>
        <v>0</v>
      </c>
      <c r="BH15" s="104">
        <f>Kotak!BH16</f>
        <v>0</v>
      </c>
      <c r="BI15" s="104">
        <f>Kotak!BI16</f>
        <v>0</v>
      </c>
      <c r="BJ15" s="104">
        <f>Kotak!BJ16</f>
        <v>0</v>
      </c>
      <c r="BK15" s="104">
        <f>Kotak!BK16</f>
        <v>0</v>
      </c>
      <c r="BL15" s="104">
        <f>Kotak!BL16</f>
        <v>0</v>
      </c>
      <c r="BM15" s="104">
        <f>Kotak!BM16</f>
        <v>0</v>
      </c>
      <c r="BN15" s="104">
        <f>Kotak!BN16</f>
        <v>0</v>
      </c>
      <c r="BO15" s="104">
        <f>Kotak!BO16</f>
        <v>0</v>
      </c>
      <c r="BP15" s="104">
        <f>Kotak!BP16</f>
        <v>0</v>
      </c>
      <c r="BQ15" s="104">
        <f>Kotak!BQ16</f>
        <v>0</v>
      </c>
      <c r="BR15" s="104">
        <f>Kotak!BR16</f>
        <v>0</v>
      </c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</row>
    <row r="16" spans="1:83">
      <c r="A16" s="104">
        <v>16</v>
      </c>
      <c r="B16" s="5">
        <f>Kotak!B17</f>
        <v>0</v>
      </c>
      <c r="C16" s="5">
        <f>Kotak!C17</f>
        <v>0</v>
      </c>
      <c r="D16" s="30"/>
      <c r="E16" s="5">
        <f>Kotak!E17</f>
        <v>0</v>
      </c>
      <c r="F16" s="38">
        <f>IDFC!I16</f>
        <v>0</v>
      </c>
      <c r="G16" s="38">
        <f>Kotak!G17</f>
        <v>0</v>
      </c>
      <c r="H16" s="131">
        <f t="shared" ref="H16:H79" si="6">SUM(K16:ZH16)</f>
        <v>0</v>
      </c>
      <c r="I16" s="130">
        <f t="shared" si="2"/>
        <v>0</v>
      </c>
      <c r="J16" s="160">
        <f t="shared" si="3"/>
        <v>0</v>
      </c>
      <c r="K16" s="104">
        <f>Kotak!K17</f>
        <v>0</v>
      </c>
      <c r="L16" s="104">
        <f>Kotak!L17</f>
        <v>0</v>
      </c>
      <c r="M16" s="104">
        <f>Kotak!M17</f>
        <v>0</v>
      </c>
      <c r="N16" s="104">
        <f>Kotak!N17</f>
        <v>0</v>
      </c>
      <c r="O16" s="104">
        <f>Kotak!O17</f>
        <v>0</v>
      </c>
      <c r="P16" s="104">
        <f>Kotak!P17</f>
        <v>0</v>
      </c>
      <c r="Q16" s="104">
        <f>Kotak!Q17</f>
        <v>0</v>
      </c>
      <c r="R16" s="104">
        <f>Kotak!R17</f>
        <v>0</v>
      </c>
      <c r="S16" s="104">
        <f>Kotak!S17</f>
        <v>0</v>
      </c>
      <c r="T16" s="104">
        <f>Kotak!T17</f>
        <v>0</v>
      </c>
      <c r="U16" s="104">
        <f>Kotak!U17</f>
        <v>0</v>
      </c>
      <c r="V16" s="104">
        <f>Kotak!V17</f>
        <v>0</v>
      </c>
      <c r="W16" s="104">
        <f>Kotak!W17</f>
        <v>0</v>
      </c>
      <c r="X16" s="104">
        <f>Kotak!X17</f>
        <v>0</v>
      </c>
      <c r="Y16" s="104">
        <f>Kotak!Y17</f>
        <v>0</v>
      </c>
      <c r="Z16" s="104">
        <f>Kotak!Z17</f>
        <v>0</v>
      </c>
      <c r="AA16" s="104">
        <f>Kotak!AA17</f>
        <v>0</v>
      </c>
      <c r="AB16" s="104">
        <f>Kotak!AB17</f>
        <v>0</v>
      </c>
      <c r="AC16" s="104">
        <f>Kotak!AC17</f>
        <v>0</v>
      </c>
      <c r="AD16" s="104">
        <f>Kotak!AD17</f>
        <v>0</v>
      </c>
      <c r="AE16" s="104">
        <f>Kotak!AE17</f>
        <v>0</v>
      </c>
      <c r="AF16" s="104">
        <f>Kotak!AF17</f>
        <v>0</v>
      </c>
      <c r="AG16" s="104">
        <f>Kotak!AG17</f>
        <v>0</v>
      </c>
      <c r="AH16" s="104">
        <f>Kotak!AH17</f>
        <v>0</v>
      </c>
      <c r="AI16" s="104">
        <f>Kotak!AI17</f>
        <v>0</v>
      </c>
      <c r="AJ16" s="104">
        <f>Kotak!AJ17</f>
        <v>0</v>
      </c>
      <c r="AK16" s="104">
        <f>Kotak!AK17</f>
        <v>0</v>
      </c>
      <c r="AL16" s="104">
        <f>Kotak!AL17</f>
        <v>0</v>
      </c>
      <c r="AM16" s="104">
        <f>Kotak!AM17</f>
        <v>0</v>
      </c>
      <c r="AN16" s="104">
        <f>Kotak!AN17</f>
        <v>0</v>
      </c>
      <c r="AO16" s="104">
        <f>Kotak!AO17</f>
        <v>0</v>
      </c>
      <c r="AP16" s="104">
        <f>Kotak!AP17</f>
        <v>0</v>
      </c>
      <c r="AQ16" s="104">
        <f>Kotak!AQ17</f>
        <v>0</v>
      </c>
      <c r="AR16" s="104">
        <f>Kotak!AR17</f>
        <v>0</v>
      </c>
      <c r="AS16" s="104">
        <f>Kotak!AS17</f>
        <v>0</v>
      </c>
      <c r="AT16" s="104">
        <f>Kotak!AT17</f>
        <v>0</v>
      </c>
      <c r="AU16" s="104">
        <f>Kotak!AU17</f>
        <v>0</v>
      </c>
      <c r="AV16" s="104">
        <f>Kotak!AV17</f>
        <v>0</v>
      </c>
      <c r="AW16" s="104">
        <f>Kotak!AW17</f>
        <v>0</v>
      </c>
      <c r="AX16" s="104">
        <f>Kotak!AX17</f>
        <v>0</v>
      </c>
      <c r="AY16" s="104">
        <f>Kotak!AY17</f>
        <v>0</v>
      </c>
      <c r="AZ16" s="104">
        <f>Kotak!AZ17</f>
        <v>0</v>
      </c>
      <c r="BA16" s="104">
        <f>Kotak!BA17</f>
        <v>0</v>
      </c>
      <c r="BB16" s="104">
        <f>Kotak!BB17</f>
        <v>0</v>
      </c>
      <c r="BC16" s="104">
        <f>Kotak!BC17</f>
        <v>0</v>
      </c>
      <c r="BD16" s="104">
        <f>Kotak!BD17</f>
        <v>0</v>
      </c>
      <c r="BE16" s="104">
        <f>Kotak!BE17</f>
        <v>0</v>
      </c>
      <c r="BF16" s="104">
        <f>Kotak!BF17</f>
        <v>0</v>
      </c>
      <c r="BG16" s="104">
        <f>Kotak!BG17</f>
        <v>0</v>
      </c>
      <c r="BH16" s="104">
        <f>Kotak!BH17</f>
        <v>0</v>
      </c>
      <c r="BI16" s="104">
        <f>Kotak!BI17</f>
        <v>0</v>
      </c>
      <c r="BJ16" s="104">
        <f>Kotak!BJ17</f>
        <v>0</v>
      </c>
      <c r="BK16" s="104">
        <f>Kotak!BK17</f>
        <v>0</v>
      </c>
      <c r="BL16" s="104">
        <f>Kotak!BL17</f>
        <v>0</v>
      </c>
      <c r="BM16" s="104">
        <f>Kotak!BM17</f>
        <v>0</v>
      </c>
      <c r="BN16" s="104">
        <f>Kotak!BN17</f>
        <v>0</v>
      </c>
      <c r="BO16" s="104">
        <f>Kotak!BO17</f>
        <v>0</v>
      </c>
      <c r="BP16" s="104">
        <f>Kotak!BP17</f>
        <v>0</v>
      </c>
      <c r="BQ16" s="104">
        <f>Kotak!BQ17</f>
        <v>0</v>
      </c>
      <c r="BR16" s="104">
        <f>Kotak!BR17</f>
        <v>0</v>
      </c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</row>
    <row r="17" spans="1:83">
      <c r="A17" s="104">
        <v>17</v>
      </c>
      <c r="B17" s="5">
        <f>Kotak!B18</f>
        <v>0</v>
      </c>
      <c r="C17" s="5">
        <f>Kotak!C18</f>
        <v>0</v>
      </c>
      <c r="D17" s="30"/>
      <c r="E17" s="5">
        <f>Kotak!E18</f>
        <v>0</v>
      </c>
      <c r="F17" s="38">
        <f>IDFC!I17</f>
        <v>0</v>
      </c>
      <c r="G17" s="38">
        <f>Kotak!G18</f>
        <v>0</v>
      </c>
      <c r="H17" s="131">
        <f t="shared" si="6"/>
        <v>0</v>
      </c>
      <c r="I17" s="130">
        <f t="shared" si="2"/>
        <v>0</v>
      </c>
      <c r="J17" s="160">
        <f t="shared" si="3"/>
        <v>0</v>
      </c>
      <c r="K17" s="104">
        <f>Kotak!K18</f>
        <v>0</v>
      </c>
      <c r="L17" s="104">
        <f>Kotak!L18</f>
        <v>0</v>
      </c>
      <c r="M17" s="104">
        <f>Kotak!M18</f>
        <v>0</v>
      </c>
      <c r="N17" s="104">
        <f>Kotak!N18</f>
        <v>0</v>
      </c>
      <c r="O17" s="104">
        <f>Kotak!O18</f>
        <v>0</v>
      </c>
      <c r="P17" s="104">
        <f>Kotak!P18</f>
        <v>0</v>
      </c>
      <c r="Q17" s="104">
        <f>Kotak!Q18</f>
        <v>0</v>
      </c>
      <c r="R17" s="104">
        <f>Kotak!R18</f>
        <v>0</v>
      </c>
      <c r="S17" s="104">
        <f>Kotak!S18</f>
        <v>0</v>
      </c>
      <c r="T17" s="104">
        <f>Kotak!T18</f>
        <v>0</v>
      </c>
      <c r="U17" s="104">
        <f>Kotak!U18</f>
        <v>0</v>
      </c>
      <c r="V17" s="104">
        <f>Kotak!V18</f>
        <v>0</v>
      </c>
      <c r="W17" s="104">
        <f>Kotak!W18</f>
        <v>0</v>
      </c>
      <c r="X17" s="104">
        <f>Kotak!X18</f>
        <v>0</v>
      </c>
      <c r="Y17" s="104">
        <f>Kotak!Y18</f>
        <v>0</v>
      </c>
      <c r="Z17" s="104">
        <f>Kotak!Z18</f>
        <v>0</v>
      </c>
      <c r="AA17" s="104">
        <f>Kotak!AA18</f>
        <v>0</v>
      </c>
      <c r="AB17" s="104">
        <f>Kotak!AB18</f>
        <v>0</v>
      </c>
      <c r="AC17" s="104">
        <f>Kotak!AC18</f>
        <v>0</v>
      </c>
      <c r="AD17" s="104">
        <f>Kotak!AD18</f>
        <v>0</v>
      </c>
      <c r="AE17" s="104">
        <f>Kotak!AE18</f>
        <v>0</v>
      </c>
      <c r="AF17" s="104">
        <f>Kotak!AF18</f>
        <v>0</v>
      </c>
      <c r="AG17" s="104">
        <f>Kotak!AG18</f>
        <v>0</v>
      </c>
      <c r="AH17" s="104">
        <f>Kotak!AH18</f>
        <v>0</v>
      </c>
      <c r="AI17" s="104">
        <f>Kotak!AI18</f>
        <v>0</v>
      </c>
      <c r="AJ17" s="104">
        <f>Kotak!AJ18</f>
        <v>0</v>
      </c>
      <c r="AK17" s="104">
        <f>Kotak!AK18</f>
        <v>0</v>
      </c>
      <c r="AL17" s="104">
        <f>Kotak!AL18</f>
        <v>0</v>
      </c>
      <c r="AM17" s="104">
        <f>Kotak!AM18</f>
        <v>0</v>
      </c>
      <c r="AN17" s="104">
        <f>Kotak!AN18</f>
        <v>0</v>
      </c>
      <c r="AO17" s="104">
        <f>Kotak!AO18</f>
        <v>0</v>
      </c>
      <c r="AP17" s="104">
        <f>Kotak!AP18</f>
        <v>0</v>
      </c>
      <c r="AQ17" s="104">
        <f>Kotak!AQ18</f>
        <v>0</v>
      </c>
      <c r="AR17" s="104">
        <f>Kotak!AR18</f>
        <v>0</v>
      </c>
      <c r="AS17" s="104">
        <f>Kotak!AS18</f>
        <v>0</v>
      </c>
      <c r="AT17" s="104">
        <f>Kotak!AT18</f>
        <v>0</v>
      </c>
      <c r="AU17" s="104">
        <f>Kotak!AU18</f>
        <v>0</v>
      </c>
      <c r="AV17" s="104">
        <f>Kotak!AV18</f>
        <v>0</v>
      </c>
      <c r="AW17" s="104">
        <f>Kotak!AW18</f>
        <v>0</v>
      </c>
      <c r="AX17" s="104">
        <f>Kotak!AX18</f>
        <v>0</v>
      </c>
      <c r="AY17" s="104">
        <f>Kotak!AY18</f>
        <v>0</v>
      </c>
      <c r="AZ17" s="104">
        <f>Kotak!AZ18</f>
        <v>0</v>
      </c>
      <c r="BA17" s="104">
        <f>Kotak!BA18</f>
        <v>0</v>
      </c>
      <c r="BB17" s="104">
        <f>Kotak!BB18</f>
        <v>0</v>
      </c>
      <c r="BC17" s="104">
        <f>Kotak!BC18</f>
        <v>0</v>
      </c>
      <c r="BD17" s="104">
        <f>Kotak!BD18</f>
        <v>0</v>
      </c>
      <c r="BE17" s="104">
        <f>Kotak!BE18</f>
        <v>0</v>
      </c>
      <c r="BF17" s="104">
        <f>Kotak!BF18</f>
        <v>0</v>
      </c>
      <c r="BG17" s="104">
        <f>Kotak!BG18</f>
        <v>0</v>
      </c>
      <c r="BH17" s="104">
        <f>Kotak!BH18</f>
        <v>0</v>
      </c>
      <c r="BI17" s="104">
        <f>Kotak!BI18</f>
        <v>0</v>
      </c>
      <c r="BJ17" s="104">
        <f>Kotak!BJ18</f>
        <v>0</v>
      </c>
      <c r="BK17" s="104">
        <f>Kotak!BK18</f>
        <v>0</v>
      </c>
      <c r="BL17" s="104">
        <f>Kotak!BL18</f>
        <v>0</v>
      </c>
      <c r="BM17" s="104">
        <f>Kotak!BM18</f>
        <v>0</v>
      </c>
      <c r="BN17" s="104">
        <f>Kotak!BN18</f>
        <v>0</v>
      </c>
      <c r="BO17" s="104">
        <f>Kotak!BO18</f>
        <v>0</v>
      </c>
      <c r="BP17" s="104">
        <f>Kotak!BP18</f>
        <v>0</v>
      </c>
      <c r="BQ17" s="104">
        <f>Kotak!BQ18</f>
        <v>0</v>
      </c>
      <c r="BR17" s="104">
        <f>Kotak!BR18</f>
        <v>0</v>
      </c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</row>
    <row r="18" spans="1:83">
      <c r="A18" s="104">
        <v>18</v>
      </c>
      <c r="B18" s="5">
        <f>Kotak!B19</f>
        <v>0</v>
      </c>
      <c r="C18" s="5">
        <f>Kotak!C19</f>
        <v>0</v>
      </c>
      <c r="D18" s="30"/>
      <c r="E18" s="5">
        <f>Kotak!E19</f>
        <v>0</v>
      </c>
      <c r="F18" s="38">
        <f>IDFC!I18</f>
        <v>0</v>
      </c>
      <c r="G18" s="38">
        <f>Kotak!G19</f>
        <v>0</v>
      </c>
      <c r="H18" s="131">
        <f t="shared" si="6"/>
        <v>0</v>
      </c>
      <c r="I18" s="130">
        <f t="shared" si="2"/>
        <v>0</v>
      </c>
      <c r="J18" s="160">
        <f t="shared" si="3"/>
        <v>0</v>
      </c>
      <c r="K18" s="104">
        <f>Kotak!K19</f>
        <v>0</v>
      </c>
      <c r="L18" s="104">
        <f>Kotak!L19</f>
        <v>0</v>
      </c>
      <c r="M18" s="104">
        <f>Kotak!M19</f>
        <v>0</v>
      </c>
      <c r="N18" s="104">
        <f>Kotak!N19</f>
        <v>0</v>
      </c>
      <c r="O18" s="104">
        <f>Kotak!O19</f>
        <v>0</v>
      </c>
      <c r="P18" s="104">
        <f>Kotak!P19</f>
        <v>0</v>
      </c>
      <c r="Q18" s="104">
        <f>Kotak!Q19</f>
        <v>0</v>
      </c>
      <c r="R18" s="104">
        <f>Kotak!R19</f>
        <v>0</v>
      </c>
      <c r="S18" s="104">
        <f>Kotak!S19</f>
        <v>0</v>
      </c>
      <c r="T18" s="104">
        <f>Kotak!T19</f>
        <v>0</v>
      </c>
      <c r="U18" s="104">
        <f>Kotak!U19</f>
        <v>0</v>
      </c>
      <c r="V18" s="104">
        <f>Kotak!V19</f>
        <v>0</v>
      </c>
      <c r="W18" s="104">
        <f>Kotak!W19</f>
        <v>0</v>
      </c>
      <c r="X18" s="104">
        <f>Kotak!X19</f>
        <v>0</v>
      </c>
      <c r="Y18" s="104">
        <f>Kotak!Y19</f>
        <v>0</v>
      </c>
      <c r="Z18" s="104">
        <f>Kotak!Z19</f>
        <v>0</v>
      </c>
      <c r="AA18" s="104">
        <f>Kotak!AA19</f>
        <v>0</v>
      </c>
      <c r="AB18" s="104">
        <f>Kotak!AB19</f>
        <v>0</v>
      </c>
      <c r="AC18" s="104">
        <f>Kotak!AC19</f>
        <v>0</v>
      </c>
      <c r="AD18" s="104">
        <f>Kotak!AD19</f>
        <v>0</v>
      </c>
      <c r="AE18" s="104">
        <f>Kotak!AE19</f>
        <v>0</v>
      </c>
      <c r="AF18" s="104">
        <f>Kotak!AF19</f>
        <v>0</v>
      </c>
      <c r="AG18" s="104">
        <f>Kotak!AG19</f>
        <v>0</v>
      </c>
      <c r="AH18" s="104">
        <f>Kotak!AH19</f>
        <v>0</v>
      </c>
      <c r="AI18" s="104">
        <f>Kotak!AI19</f>
        <v>0</v>
      </c>
      <c r="AJ18" s="104">
        <f>Kotak!AJ19</f>
        <v>0</v>
      </c>
      <c r="AK18" s="104">
        <f>Kotak!AK19</f>
        <v>0</v>
      </c>
      <c r="AL18" s="104">
        <f>Kotak!AL19</f>
        <v>0</v>
      </c>
      <c r="AM18" s="104">
        <f>Kotak!AM19</f>
        <v>0</v>
      </c>
      <c r="AN18" s="104">
        <f>Kotak!AN19</f>
        <v>0</v>
      </c>
      <c r="AO18" s="104">
        <f>Kotak!AO19</f>
        <v>0</v>
      </c>
      <c r="AP18" s="104">
        <f>Kotak!AP19</f>
        <v>0</v>
      </c>
      <c r="AQ18" s="104">
        <f>Kotak!AQ19</f>
        <v>0</v>
      </c>
      <c r="AR18" s="104">
        <f>Kotak!AR19</f>
        <v>0</v>
      </c>
      <c r="AS18" s="104">
        <f>Kotak!AS19</f>
        <v>0</v>
      </c>
      <c r="AT18" s="104">
        <f>Kotak!AT19</f>
        <v>0</v>
      </c>
      <c r="AU18" s="104">
        <f>Kotak!AU19</f>
        <v>0</v>
      </c>
      <c r="AV18" s="104">
        <f>Kotak!AV19</f>
        <v>0</v>
      </c>
      <c r="AW18" s="104">
        <f>Kotak!AW19</f>
        <v>0</v>
      </c>
      <c r="AX18" s="104">
        <f>Kotak!AX19</f>
        <v>0</v>
      </c>
      <c r="AY18" s="104">
        <f>Kotak!AY19</f>
        <v>0</v>
      </c>
      <c r="AZ18" s="104">
        <f>Kotak!AZ19</f>
        <v>0</v>
      </c>
      <c r="BA18" s="104">
        <f>Kotak!BA19</f>
        <v>0</v>
      </c>
      <c r="BB18" s="104">
        <f>Kotak!BB19</f>
        <v>0</v>
      </c>
      <c r="BC18" s="104">
        <f>Kotak!BC19</f>
        <v>0</v>
      </c>
      <c r="BD18" s="104">
        <f>Kotak!BD19</f>
        <v>0</v>
      </c>
      <c r="BE18" s="104">
        <f>Kotak!BE19</f>
        <v>0</v>
      </c>
      <c r="BF18" s="104">
        <f>Kotak!BF19</f>
        <v>0</v>
      </c>
      <c r="BG18" s="104">
        <f>Kotak!BG19</f>
        <v>0</v>
      </c>
      <c r="BH18" s="104">
        <f>Kotak!BH19</f>
        <v>0</v>
      </c>
      <c r="BI18" s="104">
        <f>Kotak!BI19</f>
        <v>0</v>
      </c>
      <c r="BJ18" s="104">
        <f>Kotak!BJ19</f>
        <v>0</v>
      </c>
      <c r="BK18" s="104">
        <f>Kotak!BK19</f>
        <v>0</v>
      </c>
      <c r="BL18" s="104">
        <f>Kotak!BL19</f>
        <v>0</v>
      </c>
      <c r="BM18" s="104">
        <f>Kotak!BM19</f>
        <v>0</v>
      </c>
      <c r="BN18" s="104">
        <f>Kotak!BN19</f>
        <v>0</v>
      </c>
      <c r="BO18" s="104">
        <f>Kotak!BO19</f>
        <v>0</v>
      </c>
      <c r="BP18" s="104">
        <f>Kotak!BP19</f>
        <v>0</v>
      </c>
      <c r="BQ18" s="104">
        <f>Kotak!BQ19</f>
        <v>0</v>
      </c>
      <c r="BR18" s="104">
        <f>Kotak!BR19</f>
        <v>0</v>
      </c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</row>
    <row r="19" spans="1:83">
      <c r="A19" s="104">
        <v>19</v>
      </c>
      <c r="B19" s="5">
        <f>Kotak!B20</f>
        <v>0</v>
      </c>
      <c r="C19" s="5">
        <f>Kotak!C20</f>
        <v>0</v>
      </c>
      <c r="D19" s="30"/>
      <c r="E19" s="5">
        <f>Kotak!E20</f>
        <v>0</v>
      </c>
      <c r="F19" s="38">
        <f>IDFC!I19</f>
        <v>0</v>
      </c>
      <c r="G19" s="38">
        <f>Kotak!G20</f>
        <v>0</v>
      </c>
      <c r="H19" s="131">
        <f t="shared" si="6"/>
        <v>0</v>
      </c>
      <c r="I19" s="130">
        <f t="shared" si="2"/>
        <v>0</v>
      </c>
      <c r="J19" s="160">
        <f t="shared" si="3"/>
        <v>0</v>
      </c>
      <c r="K19" s="104">
        <f>Kotak!K20</f>
        <v>0</v>
      </c>
      <c r="L19" s="104">
        <f>Kotak!L20</f>
        <v>0</v>
      </c>
      <c r="M19" s="104">
        <f>Kotak!M20</f>
        <v>0</v>
      </c>
      <c r="N19" s="104">
        <f>Kotak!N20</f>
        <v>0</v>
      </c>
      <c r="O19" s="104">
        <f>Kotak!O20</f>
        <v>0</v>
      </c>
      <c r="P19" s="104">
        <f>Kotak!P20</f>
        <v>0</v>
      </c>
      <c r="Q19" s="104">
        <f>Kotak!Q20</f>
        <v>0</v>
      </c>
      <c r="R19" s="104">
        <f>Kotak!R20</f>
        <v>0</v>
      </c>
      <c r="S19" s="104">
        <f>Kotak!S20</f>
        <v>0</v>
      </c>
      <c r="T19" s="104">
        <f>Kotak!T20</f>
        <v>0</v>
      </c>
      <c r="U19" s="104">
        <f>Kotak!U20</f>
        <v>0</v>
      </c>
      <c r="V19" s="104">
        <f>Kotak!V20</f>
        <v>0</v>
      </c>
      <c r="W19" s="104">
        <f>Kotak!W20</f>
        <v>0</v>
      </c>
      <c r="X19" s="104">
        <f>Kotak!X20</f>
        <v>0</v>
      </c>
      <c r="Y19" s="104">
        <f>Kotak!Y20</f>
        <v>0</v>
      </c>
      <c r="Z19" s="104">
        <f>Kotak!Z20</f>
        <v>0</v>
      </c>
      <c r="AA19" s="104">
        <f>Kotak!AA20</f>
        <v>0</v>
      </c>
      <c r="AB19" s="104">
        <f>Kotak!AB20</f>
        <v>0</v>
      </c>
      <c r="AC19" s="104">
        <f>Kotak!AC20</f>
        <v>0</v>
      </c>
      <c r="AD19" s="104">
        <f>Kotak!AD20</f>
        <v>0</v>
      </c>
      <c r="AE19" s="104">
        <f>Kotak!AE20</f>
        <v>0</v>
      </c>
      <c r="AF19" s="104">
        <f>Kotak!AF20</f>
        <v>0</v>
      </c>
      <c r="AG19" s="104">
        <f>Kotak!AG20</f>
        <v>0</v>
      </c>
      <c r="AH19" s="104">
        <f>Kotak!AH20</f>
        <v>0</v>
      </c>
      <c r="AI19" s="104">
        <f>Kotak!AI20</f>
        <v>0</v>
      </c>
      <c r="AJ19" s="104">
        <f>Kotak!AJ20</f>
        <v>0</v>
      </c>
      <c r="AK19" s="104">
        <f>Kotak!AK20</f>
        <v>0</v>
      </c>
      <c r="AL19" s="104">
        <f>Kotak!AL20</f>
        <v>0</v>
      </c>
      <c r="AM19" s="104">
        <f>Kotak!AM20</f>
        <v>0</v>
      </c>
      <c r="AN19" s="104">
        <f>Kotak!AN20</f>
        <v>0</v>
      </c>
      <c r="AO19" s="104">
        <f>Kotak!AO20</f>
        <v>0</v>
      </c>
      <c r="AP19" s="104">
        <f>Kotak!AP20</f>
        <v>0</v>
      </c>
      <c r="AQ19" s="104">
        <f>Kotak!AQ20</f>
        <v>0</v>
      </c>
      <c r="AR19" s="104">
        <f>Kotak!AR20</f>
        <v>0</v>
      </c>
      <c r="AS19" s="104">
        <f>Kotak!AS20</f>
        <v>0</v>
      </c>
      <c r="AT19" s="104">
        <f>Kotak!AT20</f>
        <v>0</v>
      </c>
      <c r="AU19" s="104">
        <f>Kotak!AU20</f>
        <v>0</v>
      </c>
      <c r="AV19" s="104">
        <f>Kotak!AV20</f>
        <v>0</v>
      </c>
      <c r="AW19" s="104">
        <f>Kotak!AW20</f>
        <v>0</v>
      </c>
      <c r="AX19" s="104">
        <f>Kotak!AX20</f>
        <v>0</v>
      </c>
      <c r="AY19" s="104">
        <f>Kotak!AY20</f>
        <v>0</v>
      </c>
      <c r="AZ19" s="104">
        <f>Kotak!AZ20</f>
        <v>0</v>
      </c>
      <c r="BA19" s="104">
        <f>Kotak!BA20</f>
        <v>0</v>
      </c>
      <c r="BB19" s="104">
        <f>Kotak!BB20</f>
        <v>0</v>
      </c>
      <c r="BC19" s="104">
        <f>Kotak!BC20</f>
        <v>0</v>
      </c>
      <c r="BD19" s="104">
        <f>Kotak!BD20</f>
        <v>0</v>
      </c>
      <c r="BE19" s="104">
        <f>Kotak!BE20</f>
        <v>0</v>
      </c>
      <c r="BF19" s="104">
        <f>Kotak!BF20</f>
        <v>0</v>
      </c>
      <c r="BG19" s="104">
        <f>Kotak!BG20</f>
        <v>0</v>
      </c>
      <c r="BH19" s="104">
        <f>Kotak!BH20</f>
        <v>0</v>
      </c>
      <c r="BI19" s="104">
        <f>Kotak!BI20</f>
        <v>0</v>
      </c>
      <c r="BJ19" s="104">
        <f>Kotak!BJ20</f>
        <v>0</v>
      </c>
      <c r="BK19" s="104">
        <f>Kotak!BK20</f>
        <v>0</v>
      </c>
      <c r="BL19" s="104">
        <f>Kotak!BL20</f>
        <v>0</v>
      </c>
      <c r="BM19" s="104">
        <f>Kotak!BM20</f>
        <v>0</v>
      </c>
      <c r="BN19" s="104">
        <f>Kotak!BN20</f>
        <v>0</v>
      </c>
      <c r="BO19" s="104">
        <f>Kotak!BO20</f>
        <v>0</v>
      </c>
      <c r="BP19" s="104">
        <f>Kotak!BP20</f>
        <v>0</v>
      </c>
      <c r="BQ19" s="104">
        <f>Kotak!BQ20</f>
        <v>0</v>
      </c>
      <c r="BR19" s="104">
        <f>Kotak!BR20</f>
        <v>0</v>
      </c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>
      <c r="A20" s="104">
        <v>20</v>
      </c>
      <c r="B20" s="5">
        <f>Kotak!B21</f>
        <v>0</v>
      </c>
      <c r="C20" s="5">
        <f>Kotak!C21</f>
        <v>0</v>
      </c>
      <c r="D20" s="30"/>
      <c r="E20" s="5">
        <f>Kotak!E21</f>
        <v>0</v>
      </c>
      <c r="F20" s="38">
        <f>IDFC!I20</f>
        <v>0</v>
      </c>
      <c r="G20" s="38">
        <f>Kotak!G21</f>
        <v>0</v>
      </c>
      <c r="H20" s="131">
        <f t="shared" si="6"/>
        <v>0</v>
      </c>
      <c r="I20" s="130">
        <f t="shared" si="2"/>
        <v>0</v>
      </c>
      <c r="J20" s="160">
        <f t="shared" si="3"/>
        <v>0</v>
      </c>
      <c r="K20" s="104">
        <f>Kotak!K21</f>
        <v>0</v>
      </c>
      <c r="L20" s="104">
        <f>Kotak!L21</f>
        <v>0</v>
      </c>
      <c r="M20" s="104">
        <f>Kotak!M21</f>
        <v>0</v>
      </c>
      <c r="N20" s="104">
        <f>Kotak!N21</f>
        <v>0</v>
      </c>
      <c r="O20" s="104">
        <f>Kotak!O21</f>
        <v>0</v>
      </c>
      <c r="P20" s="104">
        <f>Kotak!P21</f>
        <v>0</v>
      </c>
      <c r="Q20" s="104">
        <f>Kotak!Q21</f>
        <v>0</v>
      </c>
      <c r="R20" s="104">
        <f>Kotak!R21</f>
        <v>0</v>
      </c>
      <c r="S20" s="104">
        <f>Kotak!S21</f>
        <v>0</v>
      </c>
      <c r="T20" s="104">
        <f>Kotak!T21</f>
        <v>0</v>
      </c>
      <c r="U20" s="104">
        <f>Kotak!U21</f>
        <v>0</v>
      </c>
      <c r="V20" s="104">
        <f>Kotak!V21</f>
        <v>0</v>
      </c>
      <c r="W20" s="104">
        <f>Kotak!W21</f>
        <v>0</v>
      </c>
      <c r="X20" s="104">
        <f>Kotak!X21</f>
        <v>0</v>
      </c>
      <c r="Y20" s="104">
        <f>Kotak!Y21</f>
        <v>0</v>
      </c>
      <c r="Z20" s="104">
        <f>Kotak!Z21</f>
        <v>0</v>
      </c>
      <c r="AA20" s="104">
        <f>Kotak!AA21</f>
        <v>0</v>
      </c>
      <c r="AB20" s="104">
        <f>Kotak!AB21</f>
        <v>0</v>
      </c>
      <c r="AC20" s="104">
        <f>Kotak!AC21</f>
        <v>0</v>
      </c>
      <c r="AD20" s="104">
        <f>Kotak!AD21</f>
        <v>0</v>
      </c>
      <c r="AE20" s="104">
        <f>Kotak!AE21</f>
        <v>0</v>
      </c>
      <c r="AF20" s="104">
        <f>Kotak!AF21</f>
        <v>0</v>
      </c>
      <c r="AG20" s="104">
        <f>Kotak!AG21</f>
        <v>0</v>
      </c>
      <c r="AH20" s="104">
        <f>Kotak!AH21</f>
        <v>0</v>
      </c>
      <c r="AI20" s="104">
        <f>Kotak!AI21</f>
        <v>0</v>
      </c>
      <c r="AJ20" s="104">
        <f>Kotak!AJ21</f>
        <v>0</v>
      </c>
      <c r="AK20" s="104">
        <f>Kotak!AK21</f>
        <v>0</v>
      </c>
      <c r="AL20" s="104">
        <f>Kotak!AL21</f>
        <v>0</v>
      </c>
      <c r="AM20" s="104">
        <f>Kotak!AM21</f>
        <v>0</v>
      </c>
      <c r="AN20" s="104">
        <f>Kotak!AN21</f>
        <v>0</v>
      </c>
      <c r="AO20" s="104">
        <f>Kotak!AO21</f>
        <v>0</v>
      </c>
      <c r="AP20" s="104">
        <f>Kotak!AP21</f>
        <v>0</v>
      </c>
      <c r="AQ20" s="104">
        <f>Kotak!AQ21</f>
        <v>0</v>
      </c>
      <c r="AR20" s="104">
        <f>Kotak!AR21</f>
        <v>0</v>
      </c>
      <c r="AS20" s="104">
        <f>Kotak!AS21</f>
        <v>0</v>
      </c>
      <c r="AT20" s="104">
        <f>Kotak!AT21</f>
        <v>0</v>
      </c>
      <c r="AU20" s="104">
        <f>Kotak!AU21</f>
        <v>0</v>
      </c>
      <c r="AV20" s="104">
        <f>Kotak!AV21</f>
        <v>0</v>
      </c>
      <c r="AW20" s="104">
        <f>Kotak!AW21</f>
        <v>0</v>
      </c>
      <c r="AX20" s="104">
        <f>Kotak!AX21</f>
        <v>0</v>
      </c>
      <c r="AY20" s="104">
        <f>Kotak!AY21</f>
        <v>0</v>
      </c>
      <c r="AZ20" s="104">
        <f>Kotak!AZ21</f>
        <v>0</v>
      </c>
      <c r="BA20" s="104">
        <f>Kotak!BA21</f>
        <v>0</v>
      </c>
      <c r="BB20" s="104">
        <f>Kotak!BB21</f>
        <v>0</v>
      </c>
      <c r="BC20" s="104">
        <f>Kotak!BC21</f>
        <v>0</v>
      </c>
      <c r="BD20" s="104">
        <f>Kotak!BD21</f>
        <v>0</v>
      </c>
      <c r="BE20" s="104">
        <f>Kotak!BE21</f>
        <v>0</v>
      </c>
      <c r="BF20" s="104">
        <f>Kotak!BF21</f>
        <v>0</v>
      </c>
      <c r="BG20" s="104">
        <f>Kotak!BG21</f>
        <v>0</v>
      </c>
      <c r="BH20" s="104">
        <f>Kotak!BH21</f>
        <v>0</v>
      </c>
      <c r="BI20" s="104">
        <f>Kotak!BI21</f>
        <v>0</v>
      </c>
      <c r="BJ20" s="104">
        <f>Kotak!BJ21</f>
        <v>0</v>
      </c>
      <c r="BK20" s="104">
        <f>Kotak!BK21</f>
        <v>0</v>
      </c>
      <c r="BL20" s="104">
        <f>Kotak!BL21</f>
        <v>0</v>
      </c>
      <c r="BM20" s="104">
        <f>Kotak!BM21</f>
        <v>0</v>
      </c>
      <c r="BN20" s="104">
        <f>Kotak!BN21</f>
        <v>0</v>
      </c>
      <c r="BO20" s="104">
        <f>Kotak!BO21</f>
        <v>0</v>
      </c>
      <c r="BP20" s="104">
        <f>Kotak!BP21</f>
        <v>0</v>
      </c>
      <c r="BQ20" s="104">
        <f>Kotak!BQ21</f>
        <v>0</v>
      </c>
      <c r="BR20" s="104">
        <f>Kotak!BR21</f>
        <v>0</v>
      </c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>
      <c r="A21" s="104">
        <v>21</v>
      </c>
      <c r="B21" s="5">
        <f>Kotak!B22</f>
        <v>0</v>
      </c>
      <c r="C21" s="5">
        <f>Kotak!C22</f>
        <v>0</v>
      </c>
      <c r="D21" s="30"/>
      <c r="E21" s="5">
        <f>Kotak!E22</f>
        <v>0</v>
      </c>
      <c r="F21" s="38">
        <f>IDFC!I21</f>
        <v>0</v>
      </c>
      <c r="G21" s="38">
        <f>Kotak!G22</f>
        <v>0</v>
      </c>
      <c r="H21" s="131">
        <f t="shared" si="6"/>
        <v>0</v>
      </c>
      <c r="I21" s="130">
        <f t="shared" si="2"/>
        <v>0</v>
      </c>
      <c r="J21" s="160">
        <f t="shared" si="3"/>
        <v>0</v>
      </c>
      <c r="K21" s="104">
        <f>Kotak!K22</f>
        <v>0</v>
      </c>
      <c r="L21" s="104">
        <f>Kotak!L22</f>
        <v>0</v>
      </c>
      <c r="M21" s="104">
        <f>Kotak!M22</f>
        <v>0</v>
      </c>
      <c r="N21" s="104">
        <f>Kotak!N22</f>
        <v>0</v>
      </c>
      <c r="O21" s="104">
        <f>Kotak!O22</f>
        <v>0</v>
      </c>
      <c r="P21" s="104">
        <f>Kotak!P22</f>
        <v>0</v>
      </c>
      <c r="Q21" s="104">
        <f>Kotak!Q22</f>
        <v>0</v>
      </c>
      <c r="R21" s="104">
        <f>Kotak!R22</f>
        <v>0</v>
      </c>
      <c r="S21" s="104">
        <f>Kotak!S22</f>
        <v>0</v>
      </c>
      <c r="T21" s="104">
        <f>Kotak!T22</f>
        <v>0</v>
      </c>
      <c r="U21" s="104">
        <f>Kotak!U22</f>
        <v>0</v>
      </c>
      <c r="V21" s="104">
        <f>Kotak!V22</f>
        <v>0</v>
      </c>
      <c r="W21" s="104">
        <f>Kotak!W22</f>
        <v>0</v>
      </c>
      <c r="X21" s="104">
        <f>Kotak!X22</f>
        <v>0</v>
      </c>
      <c r="Y21" s="104">
        <f>Kotak!Y22</f>
        <v>0</v>
      </c>
      <c r="Z21" s="104">
        <f>Kotak!Z22</f>
        <v>0</v>
      </c>
      <c r="AA21" s="104">
        <f>Kotak!AA22</f>
        <v>0</v>
      </c>
      <c r="AB21" s="104">
        <f>Kotak!AB22</f>
        <v>0</v>
      </c>
      <c r="AC21" s="104">
        <f>Kotak!AC22</f>
        <v>0</v>
      </c>
      <c r="AD21" s="104">
        <f>Kotak!AD22</f>
        <v>0</v>
      </c>
      <c r="AE21" s="104">
        <f>Kotak!AE22</f>
        <v>0</v>
      </c>
      <c r="AF21" s="104">
        <f>Kotak!AF22</f>
        <v>0</v>
      </c>
      <c r="AG21" s="104">
        <f>Kotak!AG22</f>
        <v>0</v>
      </c>
      <c r="AH21" s="104">
        <f>Kotak!AH22</f>
        <v>0</v>
      </c>
      <c r="AI21" s="104">
        <f>Kotak!AI22</f>
        <v>0</v>
      </c>
      <c r="AJ21" s="104">
        <f>Kotak!AJ22</f>
        <v>0</v>
      </c>
      <c r="AK21" s="104">
        <f>Kotak!AK22</f>
        <v>0</v>
      </c>
      <c r="AL21" s="104">
        <f>Kotak!AL22</f>
        <v>0</v>
      </c>
      <c r="AM21" s="104">
        <f>Kotak!AM22</f>
        <v>0</v>
      </c>
      <c r="AN21" s="104">
        <f>Kotak!AN22</f>
        <v>0</v>
      </c>
      <c r="AO21" s="104">
        <f>Kotak!AO22</f>
        <v>0</v>
      </c>
      <c r="AP21" s="104">
        <f>Kotak!AP22</f>
        <v>0</v>
      </c>
      <c r="AQ21" s="104">
        <f>Kotak!AQ22</f>
        <v>0</v>
      </c>
      <c r="AR21" s="104">
        <f>Kotak!AR22</f>
        <v>0</v>
      </c>
      <c r="AS21" s="104">
        <f>Kotak!AS22</f>
        <v>0</v>
      </c>
      <c r="AT21" s="104">
        <f>Kotak!AT22</f>
        <v>0</v>
      </c>
      <c r="AU21" s="104">
        <f>Kotak!AU22</f>
        <v>0</v>
      </c>
      <c r="AV21" s="104">
        <f>Kotak!AV22</f>
        <v>0</v>
      </c>
      <c r="AW21" s="104">
        <f>Kotak!AW22</f>
        <v>0</v>
      </c>
      <c r="AX21" s="104">
        <f>Kotak!AX22</f>
        <v>0</v>
      </c>
      <c r="AY21" s="104">
        <f>Kotak!AY22</f>
        <v>0</v>
      </c>
      <c r="AZ21" s="104">
        <f>Kotak!AZ22</f>
        <v>0</v>
      </c>
      <c r="BA21" s="104">
        <f>Kotak!BA22</f>
        <v>0</v>
      </c>
      <c r="BB21" s="104">
        <f>Kotak!BB22</f>
        <v>0</v>
      </c>
      <c r="BC21" s="104">
        <f>Kotak!BC22</f>
        <v>0</v>
      </c>
      <c r="BD21" s="104">
        <f>Kotak!BD22</f>
        <v>0</v>
      </c>
      <c r="BE21" s="104">
        <f>Kotak!BE22</f>
        <v>0</v>
      </c>
      <c r="BF21" s="104">
        <f>Kotak!BF22</f>
        <v>0</v>
      </c>
      <c r="BG21" s="104">
        <f>Kotak!BG22</f>
        <v>0</v>
      </c>
      <c r="BH21" s="104">
        <f>Kotak!BH22</f>
        <v>0</v>
      </c>
      <c r="BI21" s="104">
        <f>Kotak!BI22</f>
        <v>0</v>
      </c>
      <c r="BJ21" s="104">
        <f>Kotak!BJ22</f>
        <v>0</v>
      </c>
      <c r="BK21" s="104">
        <f>Kotak!BK22</f>
        <v>0</v>
      </c>
      <c r="BL21" s="104">
        <f>Kotak!BL22</f>
        <v>0</v>
      </c>
      <c r="BM21" s="104">
        <f>Kotak!BM22</f>
        <v>0</v>
      </c>
      <c r="BN21" s="104">
        <f>Kotak!BN22</f>
        <v>0</v>
      </c>
      <c r="BO21" s="104">
        <f>Kotak!BO22</f>
        <v>0</v>
      </c>
      <c r="BP21" s="104">
        <f>Kotak!BP22</f>
        <v>0</v>
      </c>
      <c r="BQ21" s="104">
        <f>Kotak!BQ22</f>
        <v>0</v>
      </c>
      <c r="BR21" s="104">
        <f>Kotak!BR22</f>
        <v>0</v>
      </c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</row>
    <row r="22" spans="1:83">
      <c r="A22" s="104">
        <v>22</v>
      </c>
      <c r="B22" s="5">
        <f>Kotak!B23</f>
        <v>0</v>
      </c>
      <c r="C22" s="5">
        <f>Kotak!C23</f>
        <v>0</v>
      </c>
      <c r="D22" s="30"/>
      <c r="E22" s="5">
        <f>Kotak!E23</f>
        <v>0</v>
      </c>
      <c r="F22" s="38">
        <f>IDFC!I22</f>
        <v>0</v>
      </c>
      <c r="G22" s="38">
        <f>Kotak!G23</f>
        <v>0</v>
      </c>
      <c r="H22" s="131">
        <f t="shared" si="6"/>
        <v>0</v>
      </c>
      <c r="I22" s="130">
        <f t="shared" si="2"/>
        <v>0</v>
      </c>
      <c r="J22" s="160">
        <f t="shared" si="3"/>
        <v>0</v>
      </c>
      <c r="K22" s="104">
        <f>Kotak!K23</f>
        <v>0</v>
      </c>
      <c r="L22" s="104">
        <f>Kotak!L23</f>
        <v>0</v>
      </c>
      <c r="M22" s="104">
        <f>Kotak!M23</f>
        <v>0</v>
      </c>
      <c r="N22" s="104">
        <f>Kotak!N23</f>
        <v>0</v>
      </c>
      <c r="O22" s="104">
        <f>Kotak!O23</f>
        <v>0</v>
      </c>
      <c r="P22" s="104">
        <f>Kotak!P23</f>
        <v>0</v>
      </c>
      <c r="Q22" s="104">
        <f>Kotak!Q23</f>
        <v>0</v>
      </c>
      <c r="R22" s="104">
        <f>Kotak!R23</f>
        <v>0</v>
      </c>
      <c r="S22" s="104">
        <f>Kotak!S23</f>
        <v>0</v>
      </c>
      <c r="T22" s="104">
        <f>Kotak!T23</f>
        <v>0</v>
      </c>
      <c r="U22" s="104">
        <f>Kotak!U23</f>
        <v>0</v>
      </c>
      <c r="V22" s="104">
        <f>Kotak!V23</f>
        <v>0</v>
      </c>
      <c r="W22" s="104">
        <f>Kotak!W23</f>
        <v>0</v>
      </c>
      <c r="X22" s="104">
        <f>Kotak!X23</f>
        <v>0</v>
      </c>
      <c r="Y22" s="104">
        <f>Kotak!Y23</f>
        <v>0</v>
      </c>
      <c r="Z22" s="104">
        <f>Kotak!Z23</f>
        <v>0</v>
      </c>
      <c r="AA22" s="104">
        <f>Kotak!AA23</f>
        <v>0</v>
      </c>
      <c r="AB22" s="104">
        <f>Kotak!AB23</f>
        <v>0</v>
      </c>
      <c r="AC22" s="104">
        <f>Kotak!AC23</f>
        <v>0</v>
      </c>
      <c r="AD22" s="104">
        <f>Kotak!AD23</f>
        <v>0</v>
      </c>
      <c r="AE22" s="104">
        <f>Kotak!AE23</f>
        <v>0</v>
      </c>
      <c r="AF22" s="104">
        <f>Kotak!AF23</f>
        <v>0</v>
      </c>
      <c r="AG22" s="104">
        <f>Kotak!AG23</f>
        <v>0</v>
      </c>
      <c r="AH22" s="104">
        <f>Kotak!AH23</f>
        <v>0</v>
      </c>
      <c r="AI22" s="104">
        <f>Kotak!AI23</f>
        <v>0</v>
      </c>
      <c r="AJ22" s="104">
        <f>Kotak!AJ23</f>
        <v>0</v>
      </c>
      <c r="AK22" s="104">
        <f>Kotak!AK23</f>
        <v>0</v>
      </c>
      <c r="AL22" s="104">
        <f>Kotak!AL23</f>
        <v>0</v>
      </c>
      <c r="AM22" s="104">
        <f>Kotak!AM23</f>
        <v>0</v>
      </c>
      <c r="AN22" s="104">
        <f>Kotak!AN23</f>
        <v>0</v>
      </c>
      <c r="AO22" s="104">
        <f>Kotak!AO23</f>
        <v>0</v>
      </c>
      <c r="AP22" s="104">
        <f>Kotak!AP23</f>
        <v>0</v>
      </c>
      <c r="AQ22" s="104">
        <f>Kotak!AQ23</f>
        <v>0</v>
      </c>
      <c r="AR22" s="104">
        <f>Kotak!AR23</f>
        <v>0</v>
      </c>
      <c r="AS22" s="104">
        <f>Kotak!AS23</f>
        <v>0</v>
      </c>
      <c r="AT22" s="104">
        <f>Kotak!AT23</f>
        <v>0</v>
      </c>
      <c r="AU22" s="104">
        <f>Kotak!AU23</f>
        <v>0</v>
      </c>
      <c r="AV22" s="104">
        <f>Kotak!AV23</f>
        <v>0</v>
      </c>
      <c r="AW22" s="104">
        <f>Kotak!AW23</f>
        <v>0</v>
      </c>
      <c r="AX22" s="104">
        <f>Kotak!AX23</f>
        <v>0</v>
      </c>
      <c r="AY22" s="104">
        <f>Kotak!AY23</f>
        <v>0</v>
      </c>
      <c r="AZ22" s="104">
        <f>Kotak!AZ23</f>
        <v>0</v>
      </c>
      <c r="BA22" s="104">
        <f>Kotak!BA23</f>
        <v>0</v>
      </c>
      <c r="BB22" s="104">
        <f>Kotak!BB23</f>
        <v>0</v>
      </c>
      <c r="BC22" s="104">
        <f>Kotak!BC23</f>
        <v>0</v>
      </c>
      <c r="BD22" s="104">
        <f>Kotak!BD23</f>
        <v>0</v>
      </c>
      <c r="BE22" s="104">
        <f>Kotak!BE23</f>
        <v>0</v>
      </c>
      <c r="BF22" s="104">
        <f>Kotak!BF23</f>
        <v>0</v>
      </c>
      <c r="BG22" s="104">
        <f>Kotak!BG23</f>
        <v>0</v>
      </c>
      <c r="BH22" s="104">
        <f>Kotak!BH23</f>
        <v>0</v>
      </c>
      <c r="BI22" s="104">
        <f>Kotak!BI23</f>
        <v>0</v>
      </c>
      <c r="BJ22" s="104">
        <f>Kotak!BJ23</f>
        <v>0</v>
      </c>
      <c r="BK22" s="104">
        <f>Kotak!BK23</f>
        <v>0</v>
      </c>
      <c r="BL22" s="104">
        <f>Kotak!BL23</f>
        <v>0</v>
      </c>
      <c r="BM22" s="104">
        <f>Kotak!BM23</f>
        <v>0</v>
      </c>
      <c r="BN22" s="104">
        <f>Kotak!BN23</f>
        <v>0</v>
      </c>
      <c r="BO22" s="104">
        <f>Kotak!BO23</f>
        <v>0</v>
      </c>
      <c r="BP22" s="104">
        <f>Kotak!BP23</f>
        <v>0</v>
      </c>
      <c r="BQ22" s="104">
        <f>Kotak!BQ23</f>
        <v>0</v>
      </c>
      <c r="BR22" s="104">
        <f>Kotak!BR23</f>
        <v>0</v>
      </c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>
      <c r="A23" s="104">
        <v>23</v>
      </c>
      <c r="B23" s="5">
        <f>Kotak!B24</f>
        <v>0</v>
      </c>
      <c r="C23" s="5">
        <f>Kotak!C24</f>
        <v>0</v>
      </c>
      <c r="D23" s="30"/>
      <c r="E23" s="5">
        <f>Kotak!E24</f>
        <v>0</v>
      </c>
      <c r="F23" s="38">
        <f>IDFC!I23</f>
        <v>0</v>
      </c>
      <c r="G23" s="38">
        <f>Kotak!G24</f>
        <v>0</v>
      </c>
      <c r="H23" s="131">
        <f t="shared" si="6"/>
        <v>0</v>
      </c>
      <c r="I23" s="130">
        <f t="shared" si="2"/>
        <v>0</v>
      </c>
      <c r="J23" s="160">
        <f t="shared" si="3"/>
        <v>0</v>
      </c>
      <c r="K23" s="104">
        <f>Kotak!K24</f>
        <v>0</v>
      </c>
      <c r="L23" s="104">
        <f>Kotak!L24</f>
        <v>0</v>
      </c>
      <c r="M23" s="104">
        <f>Kotak!M24</f>
        <v>0</v>
      </c>
      <c r="N23" s="104">
        <f>Kotak!N24</f>
        <v>0</v>
      </c>
      <c r="O23" s="104">
        <f>Kotak!O24</f>
        <v>0</v>
      </c>
      <c r="P23" s="104">
        <f>Kotak!P24</f>
        <v>0</v>
      </c>
      <c r="Q23" s="104">
        <f>Kotak!Q24</f>
        <v>0</v>
      </c>
      <c r="R23" s="104">
        <f>Kotak!R24</f>
        <v>0</v>
      </c>
      <c r="S23" s="104">
        <f>Kotak!S24</f>
        <v>0</v>
      </c>
      <c r="T23" s="104">
        <f>Kotak!T24</f>
        <v>0</v>
      </c>
      <c r="U23" s="104">
        <f>Kotak!U24</f>
        <v>0</v>
      </c>
      <c r="V23" s="104">
        <f>Kotak!V24</f>
        <v>0</v>
      </c>
      <c r="W23" s="104">
        <f>Kotak!W24</f>
        <v>0</v>
      </c>
      <c r="X23" s="104">
        <f>Kotak!X24</f>
        <v>0</v>
      </c>
      <c r="Y23" s="104">
        <f>Kotak!Y24</f>
        <v>0</v>
      </c>
      <c r="Z23" s="104">
        <f>Kotak!Z24</f>
        <v>0</v>
      </c>
      <c r="AA23" s="104">
        <f>Kotak!AA24</f>
        <v>0</v>
      </c>
      <c r="AB23" s="104">
        <f>Kotak!AB24</f>
        <v>0</v>
      </c>
      <c r="AC23" s="104">
        <f>Kotak!AC24</f>
        <v>0</v>
      </c>
      <c r="AD23" s="104">
        <f>Kotak!AD24</f>
        <v>0</v>
      </c>
      <c r="AE23" s="104">
        <f>Kotak!AE24</f>
        <v>0</v>
      </c>
      <c r="AF23" s="104">
        <f>Kotak!AF24</f>
        <v>0</v>
      </c>
      <c r="AG23" s="104">
        <f>Kotak!AG24</f>
        <v>0</v>
      </c>
      <c r="AH23" s="104">
        <f>Kotak!AH24</f>
        <v>0</v>
      </c>
      <c r="AI23" s="104">
        <f>Kotak!AI24</f>
        <v>0</v>
      </c>
      <c r="AJ23" s="104">
        <f>Kotak!AJ24</f>
        <v>0</v>
      </c>
      <c r="AK23" s="104">
        <f>Kotak!AK24</f>
        <v>0</v>
      </c>
      <c r="AL23" s="104">
        <f>Kotak!AL24</f>
        <v>0</v>
      </c>
      <c r="AM23" s="104">
        <f>Kotak!AM24</f>
        <v>0</v>
      </c>
      <c r="AN23" s="104">
        <f>Kotak!AN24</f>
        <v>0</v>
      </c>
      <c r="AO23" s="104">
        <f>Kotak!AO24</f>
        <v>0</v>
      </c>
      <c r="AP23" s="104">
        <f>Kotak!AP24</f>
        <v>0</v>
      </c>
      <c r="AQ23" s="104">
        <f>Kotak!AQ24</f>
        <v>0</v>
      </c>
      <c r="AR23" s="104">
        <f>Kotak!AR24</f>
        <v>0</v>
      </c>
      <c r="AS23" s="104">
        <f>Kotak!AS24</f>
        <v>0</v>
      </c>
      <c r="AT23" s="104">
        <f>Kotak!AT24</f>
        <v>0</v>
      </c>
      <c r="AU23" s="104">
        <f>Kotak!AU24</f>
        <v>0</v>
      </c>
      <c r="AV23" s="104">
        <f>Kotak!AV24</f>
        <v>0</v>
      </c>
      <c r="AW23" s="104">
        <f>Kotak!AW24</f>
        <v>0</v>
      </c>
      <c r="AX23" s="104">
        <f>Kotak!AX24</f>
        <v>0</v>
      </c>
      <c r="AY23" s="104">
        <f>Kotak!AY24</f>
        <v>0</v>
      </c>
      <c r="AZ23" s="104">
        <f>Kotak!AZ24</f>
        <v>0</v>
      </c>
      <c r="BA23" s="104">
        <f>Kotak!BA24</f>
        <v>0</v>
      </c>
      <c r="BB23" s="104">
        <f>Kotak!BB24</f>
        <v>0</v>
      </c>
      <c r="BC23" s="104">
        <f>Kotak!BC24</f>
        <v>0</v>
      </c>
      <c r="BD23" s="104">
        <f>Kotak!BD24</f>
        <v>0</v>
      </c>
      <c r="BE23" s="104">
        <f>Kotak!BE24</f>
        <v>0</v>
      </c>
      <c r="BF23" s="104">
        <f>Kotak!BF24</f>
        <v>0</v>
      </c>
      <c r="BG23" s="104">
        <f>Kotak!BG24</f>
        <v>0</v>
      </c>
      <c r="BH23" s="104">
        <f>Kotak!BH24</f>
        <v>0</v>
      </c>
      <c r="BI23" s="104">
        <f>Kotak!BI24</f>
        <v>0</v>
      </c>
      <c r="BJ23" s="104">
        <f>Kotak!BJ24</f>
        <v>0</v>
      </c>
      <c r="BK23" s="104">
        <f>Kotak!BK24</f>
        <v>0</v>
      </c>
      <c r="BL23" s="104">
        <f>Kotak!BL24</f>
        <v>0</v>
      </c>
      <c r="BM23" s="104">
        <f>Kotak!BM24</f>
        <v>0</v>
      </c>
      <c r="BN23" s="104">
        <f>Kotak!BN24</f>
        <v>0</v>
      </c>
      <c r="BO23" s="104">
        <f>Kotak!BO24</f>
        <v>0</v>
      </c>
      <c r="BP23" s="104">
        <f>Kotak!BP24</f>
        <v>0</v>
      </c>
      <c r="BQ23" s="104">
        <f>Kotak!BQ24</f>
        <v>0</v>
      </c>
      <c r="BR23" s="104">
        <f>Kotak!BR24</f>
        <v>0</v>
      </c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>
      <c r="A24" s="104">
        <v>24</v>
      </c>
      <c r="B24" s="5">
        <f>Kotak!B25</f>
        <v>0</v>
      </c>
      <c r="C24" s="5">
        <f>Kotak!C25</f>
        <v>0</v>
      </c>
      <c r="D24" s="30"/>
      <c r="E24" s="5">
        <f>Kotak!E25</f>
        <v>0</v>
      </c>
      <c r="F24" s="38">
        <f>IDFC!I24</f>
        <v>0</v>
      </c>
      <c r="G24" s="38">
        <f>Kotak!G25</f>
        <v>0</v>
      </c>
      <c r="H24" s="131">
        <f t="shared" si="6"/>
        <v>0</v>
      </c>
      <c r="I24" s="130">
        <f t="shared" si="2"/>
        <v>0</v>
      </c>
      <c r="J24" s="160">
        <f t="shared" si="3"/>
        <v>0</v>
      </c>
      <c r="K24" s="104">
        <f>Kotak!K25</f>
        <v>0</v>
      </c>
      <c r="L24" s="104">
        <f>Kotak!L25</f>
        <v>0</v>
      </c>
      <c r="M24" s="104">
        <f>Kotak!M25</f>
        <v>0</v>
      </c>
      <c r="N24" s="104">
        <f>Kotak!N25</f>
        <v>0</v>
      </c>
      <c r="O24" s="104">
        <f>Kotak!O25</f>
        <v>0</v>
      </c>
      <c r="P24" s="104">
        <f>Kotak!P25</f>
        <v>0</v>
      </c>
      <c r="Q24" s="104">
        <f>Kotak!Q25</f>
        <v>0</v>
      </c>
      <c r="R24" s="104">
        <f>Kotak!R25</f>
        <v>0</v>
      </c>
      <c r="S24" s="104">
        <f>Kotak!S25</f>
        <v>0</v>
      </c>
      <c r="T24" s="104">
        <f>Kotak!T25</f>
        <v>0</v>
      </c>
      <c r="U24" s="104">
        <f>Kotak!U25</f>
        <v>0</v>
      </c>
      <c r="V24" s="104">
        <f>Kotak!V25</f>
        <v>0</v>
      </c>
      <c r="W24" s="104">
        <f>Kotak!W25</f>
        <v>0</v>
      </c>
      <c r="X24" s="104">
        <f>Kotak!X25</f>
        <v>0</v>
      </c>
      <c r="Y24" s="104">
        <f>Kotak!Y25</f>
        <v>0</v>
      </c>
      <c r="Z24" s="104">
        <f>Kotak!Z25</f>
        <v>0</v>
      </c>
      <c r="AA24" s="104">
        <f>Kotak!AA25</f>
        <v>0</v>
      </c>
      <c r="AB24" s="104">
        <f>Kotak!AB25</f>
        <v>0</v>
      </c>
      <c r="AC24" s="104">
        <f>Kotak!AC25</f>
        <v>0</v>
      </c>
      <c r="AD24" s="104">
        <f>Kotak!AD25</f>
        <v>0</v>
      </c>
      <c r="AE24" s="104">
        <f>Kotak!AE25</f>
        <v>0</v>
      </c>
      <c r="AF24" s="104">
        <f>Kotak!AF25</f>
        <v>0</v>
      </c>
      <c r="AG24" s="104">
        <f>Kotak!AG25</f>
        <v>0</v>
      </c>
      <c r="AH24" s="104">
        <f>Kotak!AH25</f>
        <v>0</v>
      </c>
      <c r="AI24" s="104">
        <f>Kotak!AI25</f>
        <v>0</v>
      </c>
      <c r="AJ24" s="104">
        <f>Kotak!AJ25</f>
        <v>0</v>
      </c>
      <c r="AK24" s="104">
        <f>Kotak!AK25</f>
        <v>0</v>
      </c>
      <c r="AL24" s="104">
        <f>Kotak!AL25</f>
        <v>0</v>
      </c>
      <c r="AM24" s="104">
        <f>Kotak!AM25</f>
        <v>0</v>
      </c>
      <c r="AN24" s="104">
        <f>Kotak!AN25</f>
        <v>0</v>
      </c>
      <c r="AO24" s="104">
        <f>Kotak!AO25</f>
        <v>0</v>
      </c>
      <c r="AP24" s="104">
        <f>Kotak!AP25</f>
        <v>0</v>
      </c>
      <c r="AQ24" s="104">
        <f>Kotak!AQ25</f>
        <v>0</v>
      </c>
      <c r="AR24" s="104">
        <f>Kotak!AR25</f>
        <v>0</v>
      </c>
      <c r="AS24" s="104">
        <f>Kotak!AS25</f>
        <v>0</v>
      </c>
      <c r="AT24" s="104">
        <f>Kotak!AT25</f>
        <v>0</v>
      </c>
      <c r="AU24" s="104">
        <f>Kotak!AU25</f>
        <v>0</v>
      </c>
      <c r="AV24" s="104">
        <f>Kotak!AV25</f>
        <v>0</v>
      </c>
      <c r="AW24" s="104">
        <f>Kotak!AW25</f>
        <v>0</v>
      </c>
      <c r="AX24" s="104">
        <f>Kotak!AX25</f>
        <v>0</v>
      </c>
      <c r="AY24" s="104">
        <f>Kotak!AY25</f>
        <v>0</v>
      </c>
      <c r="AZ24" s="104">
        <f>Kotak!AZ25</f>
        <v>0</v>
      </c>
      <c r="BA24" s="104">
        <f>Kotak!BA25</f>
        <v>0</v>
      </c>
      <c r="BB24" s="104">
        <f>Kotak!BB25</f>
        <v>0</v>
      </c>
      <c r="BC24" s="104">
        <f>Kotak!BC25</f>
        <v>0</v>
      </c>
      <c r="BD24" s="104">
        <f>Kotak!BD25</f>
        <v>0</v>
      </c>
      <c r="BE24" s="104">
        <f>Kotak!BE25</f>
        <v>0</v>
      </c>
      <c r="BF24" s="104">
        <f>Kotak!BF25</f>
        <v>0</v>
      </c>
      <c r="BG24" s="104">
        <f>Kotak!BG25</f>
        <v>0</v>
      </c>
      <c r="BH24" s="104">
        <f>Kotak!BH25</f>
        <v>0</v>
      </c>
      <c r="BI24" s="104">
        <f>Kotak!BI25</f>
        <v>0</v>
      </c>
      <c r="BJ24" s="104">
        <f>Kotak!BJ25</f>
        <v>0</v>
      </c>
      <c r="BK24" s="104">
        <f>Kotak!BK25</f>
        <v>0</v>
      </c>
      <c r="BL24" s="104">
        <f>Kotak!BL25</f>
        <v>0</v>
      </c>
      <c r="BM24" s="104">
        <f>Kotak!BM25</f>
        <v>0</v>
      </c>
      <c r="BN24" s="104">
        <f>Kotak!BN25</f>
        <v>0</v>
      </c>
      <c r="BO24" s="104">
        <f>Kotak!BO25</f>
        <v>0</v>
      </c>
      <c r="BP24" s="104">
        <f>Kotak!BP25</f>
        <v>0</v>
      </c>
      <c r="BQ24" s="104">
        <f>Kotak!BQ25</f>
        <v>0</v>
      </c>
      <c r="BR24" s="104">
        <f>Kotak!BR25</f>
        <v>0</v>
      </c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>
      <c r="A25" s="104">
        <v>25</v>
      </c>
      <c r="B25" s="5">
        <f>Kotak!B26</f>
        <v>0</v>
      </c>
      <c r="C25" s="5">
        <f>Kotak!C26</f>
        <v>0</v>
      </c>
      <c r="D25" s="30"/>
      <c r="E25" s="5">
        <f>Kotak!E26</f>
        <v>0</v>
      </c>
      <c r="F25" s="38">
        <f>IDFC!I25</f>
        <v>0</v>
      </c>
      <c r="G25" s="38">
        <f>Kotak!G26</f>
        <v>0</v>
      </c>
      <c r="H25" s="131">
        <f t="shared" si="6"/>
        <v>0</v>
      </c>
      <c r="I25" s="130">
        <f t="shared" si="2"/>
        <v>0</v>
      </c>
      <c r="J25" s="160">
        <f t="shared" si="3"/>
        <v>0</v>
      </c>
      <c r="K25" s="104">
        <f>Kotak!K26</f>
        <v>0</v>
      </c>
      <c r="L25" s="104">
        <f>Kotak!L26</f>
        <v>0</v>
      </c>
      <c r="M25" s="104">
        <f>Kotak!M26</f>
        <v>0</v>
      </c>
      <c r="N25" s="104">
        <f>Kotak!N26</f>
        <v>0</v>
      </c>
      <c r="O25" s="104">
        <f>Kotak!O26</f>
        <v>0</v>
      </c>
      <c r="P25" s="104">
        <f>Kotak!P26</f>
        <v>0</v>
      </c>
      <c r="Q25" s="104">
        <f>Kotak!Q26</f>
        <v>0</v>
      </c>
      <c r="R25" s="104">
        <f>Kotak!R26</f>
        <v>0</v>
      </c>
      <c r="S25" s="104">
        <f>Kotak!S26</f>
        <v>0</v>
      </c>
      <c r="T25" s="104">
        <f>Kotak!T26</f>
        <v>0</v>
      </c>
      <c r="U25" s="104">
        <f>Kotak!U26</f>
        <v>0</v>
      </c>
      <c r="V25" s="104">
        <f>Kotak!V26</f>
        <v>0</v>
      </c>
      <c r="W25" s="104">
        <f>Kotak!W26</f>
        <v>0</v>
      </c>
      <c r="X25" s="104">
        <f>Kotak!X26</f>
        <v>0</v>
      </c>
      <c r="Y25" s="104">
        <f>Kotak!Y26</f>
        <v>0</v>
      </c>
      <c r="Z25" s="104">
        <f>Kotak!Z26</f>
        <v>0</v>
      </c>
      <c r="AA25" s="104">
        <f>Kotak!AA26</f>
        <v>0</v>
      </c>
      <c r="AB25" s="104">
        <f>Kotak!AB26</f>
        <v>0</v>
      </c>
      <c r="AC25" s="104">
        <f>Kotak!AC26</f>
        <v>0</v>
      </c>
      <c r="AD25" s="104">
        <f>Kotak!AD26</f>
        <v>0</v>
      </c>
      <c r="AE25" s="104">
        <f>Kotak!AE26</f>
        <v>0</v>
      </c>
      <c r="AF25" s="104">
        <f>Kotak!AF26</f>
        <v>0</v>
      </c>
      <c r="AG25" s="104">
        <f>Kotak!AG26</f>
        <v>0</v>
      </c>
      <c r="AH25" s="104">
        <f>Kotak!AH26</f>
        <v>0</v>
      </c>
      <c r="AI25" s="104">
        <f>Kotak!AI26</f>
        <v>0</v>
      </c>
      <c r="AJ25" s="104">
        <f>Kotak!AJ26</f>
        <v>0</v>
      </c>
      <c r="AK25" s="104">
        <f>Kotak!AK26</f>
        <v>0</v>
      </c>
      <c r="AL25" s="104">
        <f>Kotak!AL26</f>
        <v>0</v>
      </c>
      <c r="AM25" s="104">
        <f>Kotak!AM26</f>
        <v>0</v>
      </c>
      <c r="AN25" s="104">
        <f>Kotak!AN26</f>
        <v>0</v>
      </c>
      <c r="AO25" s="104">
        <f>Kotak!AO26</f>
        <v>0</v>
      </c>
      <c r="AP25" s="104">
        <f>Kotak!AP26</f>
        <v>0</v>
      </c>
      <c r="AQ25" s="104">
        <f>Kotak!AQ26</f>
        <v>0</v>
      </c>
      <c r="AR25" s="104">
        <f>Kotak!AR26</f>
        <v>0</v>
      </c>
      <c r="AS25" s="104">
        <f>Kotak!AS26</f>
        <v>0</v>
      </c>
      <c r="AT25" s="104">
        <f>Kotak!AT26</f>
        <v>0</v>
      </c>
      <c r="AU25" s="104">
        <f>Kotak!AU26</f>
        <v>0</v>
      </c>
      <c r="AV25" s="104">
        <f>Kotak!AV26</f>
        <v>0</v>
      </c>
      <c r="AW25" s="104">
        <f>Kotak!AW26</f>
        <v>0</v>
      </c>
      <c r="AX25" s="104">
        <f>Kotak!AX26</f>
        <v>0</v>
      </c>
      <c r="AY25" s="104">
        <f>Kotak!AY26</f>
        <v>0</v>
      </c>
      <c r="AZ25" s="104">
        <f>Kotak!AZ26</f>
        <v>0</v>
      </c>
      <c r="BA25" s="104">
        <f>Kotak!BA26</f>
        <v>0</v>
      </c>
      <c r="BB25" s="104">
        <f>Kotak!BB26</f>
        <v>0</v>
      </c>
      <c r="BC25" s="104">
        <f>Kotak!BC26</f>
        <v>0</v>
      </c>
      <c r="BD25" s="104">
        <f>Kotak!BD26</f>
        <v>0</v>
      </c>
      <c r="BE25" s="104">
        <f>Kotak!BE26</f>
        <v>0</v>
      </c>
      <c r="BF25" s="104">
        <f>Kotak!BF26</f>
        <v>0</v>
      </c>
      <c r="BG25" s="104">
        <f>Kotak!BG26</f>
        <v>0</v>
      </c>
      <c r="BH25" s="104">
        <f>Kotak!BH26</f>
        <v>0</v>
      </c>
      <c r="BI25" s="104">
        <f>Kotak!BI26</f>
        <v>0</v>
      </c>
      <c r="BJ25" s="104">
        <f>Kotak!BJ26</f>
        <v>0</v>
      </c>
      <c r="BK25" s="104">
        <f>Kotak!BK26</f>
        <v>0</v>
      </c>
      <c r="BL25" s="104">
        <f>Kotak!BL26</f>
        <v>0</v>
      </c>
      <c r="BM25" s="104">
        <f>Kotak!BM26</f>
        <v>0</v>
      </c>
      <c r="BN25" s="104">
        <f>Kotak!BN26</f>
        <v>0</v>
      </c>
      <c r="BO25" s="104">
        <f>Kotak!BO26</f>
        <v>0</v>
      </c>
      <c r="BP25" s="104">
        <f>Kotak!BP26</f>
        <v>0</v>
      </c>
      <c r="BQ25" s="104">
        <f>Kotak!BQ26</f>
        <v>0</v>
      </c>
      <c r="BR25" s="104">
        <f>Kotak!BR26</f>
        <v>0</v>
      </c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</row>
    <row r="26" spans="1:83">
      <c r="A26" s="104">
        <v>26</v>
      </c>
      <c r="B26" s="5">
        <f>Kotak!B27</f>
        <v>0</v>
      </c>
      <c r="C26" s="5">
        <f>Kotak!C27</f>
        <v>0</v>
      </c>
      <c r="D26" s="30"/>
      <c r="E26" s="5">
        <f>Kotak!E27</f>
        <v>0</v>
      </c>
      <c r="F26" s="38">
        <f>IDFC!I26</f>
        <v>0</v>
      </c>
      <c r="G26" s="38">
        <f>Kotak!G27</f>
        <v>0</v>
      </c>
      <c r="H26" s="131">
        <f t="shared" si="6"/>
        <v>0</v>
      </c>
      <c r="I26" s="130">
        <f t="shared" si="2"/>
        <v>0</v>
      </c>
      <c r="J26" s="160">
        <f t="shared" si="3"/>
        <v>0</v>
      </c>
      <c r="K26" s="104">
        <f>Kotak!K27</f>
        <v>0</v>
      </c>
      <c r="L26" s="104">
        <f>Kotak!L27</f>
        <v>0</v>
      </c>
      <c r="M26" s="104">
        <f>Kotak!M27</f>
        <v>0</v>
      </c>
      <c r="N26" s="104">
        <f>Kotak!N27</f>
        <v>0</v>
      </c>
      <c r="O26" s="104">
        <f>Kotak!O27</f>
        <v>0</v>
      </c>
      <c r="P26" s="104">
        <f>Kotak!P27</f>
        <v>0</v>
      </c>
      <c r="Q26" s="104">
        <f>Kotak!Q27</f>
        <v>0</v>
      </c>
      <c r="R26" s="104">
        <f>Kotak!R27</f>
        <v>0</v>
      </c>
      <c r="S26" s="104">
        <f>Kotak!S27</f>
        <v>0</v>
      </c>
      <c r="T26" s="104">
        <f>Kotak!T27</f>
        <v>0</v>
      </c>
      <c r="U26" s="104">
        <f>Kotak!U27</f>
        <v>0</v>
      </c>
      <c r="V26" s="104">
        <f>Kotak!V27</f>
        <v>0</v>
      </c>
      <c r="W26" s="104">
        <f>Kotak!W27</f>
        <v>0</v>
      </c>
      <c r="X26" s="104">
        <f>Kotak!X27</f>
        <v>0</v>
      </c>
      <c r="Y26" s="104">
        <f>Kotak!Y27</f>
        <v>0</v>
      </c>
      <c r="Z26" s="104">
        <f>Kotak!Z27</f>
        <v>0</v>
      </c>
      <c r="AA26" s="104">
        <f>Kotak!AA27</f>
        <v>0</v>
      </c>
      <c r="AB26" s="104">
        <f>Kotak!AB27</f>
        <v>0</v>
      </c>
      <c r="AC26" s="104">
        <f>Kotak!AC27</f>
        <v>0</v>
      </c>
      <c r="AD26" s="104">
        <f>Kotak!AD27</f>
        <v>0</v>
      </c>
      <c r="AE26" s="104">
        <f>Kotak!AE27</f>
        <v>0</v>
      </c>
      <c r="AF26" s="104">
        <f>Kotak!AF27</f>
        <v>0</v>
      </c>
      <c r="AG26" s="104">
        <f>Kotak!AG27</f>
        <v>0</v>
      </c>
      <c r="AH26" s="104">
        <f>Kotak!AH27</f>
        <v>0</v>
      </c>
      <c r="AI26" s="104">
        <f>Kotak!AI27</f>
        <v>0</v>
      </c>
      <c r="AJ26" s="104">
        <f>Kotak!AJ27</f>
        <v>0</v>
      </c>
      <c r="AK26" s="104">
        <f>Kotak!AK27</f>
        <v>0</v>
      </c>
      <c r="AL26" s="104">
        <f>Kotak!AL27</f>
        <v>0</v>
      </c>
      <c r="AM26" s="104">
        <f>Kotak!AM27</f>
        <v>0</v>
      </c>
      <c r="AN26" s="104">
        <f>Kotak!AN27</f>
        <v>0</v>
      </c>
      <c r="AO26" s="104">
        <f>Kotak!AO27</f>
        <v>0</v>
      </c>
      <c r="AP26" s="104">
        <f>Kotak!AP27</f>
        <v>0</v>
      </c>
      <c r="AQ26" s="104">
        <f>Kotak!AQ27</f>
        <v>0</v>
      </c>
      <c r="AR26" s="104">
        <f>Kotak!AR27</f>
        <v>0</v>
      </c>
      <c r="AS26" s="104">
        <f>Kotak!AS27</f>
        <v>0</v>
      </c>
      <c r="AT26" s="104">
        <f>Kotak!AT27</f>
        <v>0</v>
      </c>
      <c r="AU26" s="104">
        <f>Kotak!AU27</f>
        <v>0</v>
      </c>
      <c r="AV26" s="104">
        <f>Kotak!AV27</f>
        <v>0</v>
      </c>
      <c r="AW26" s="104">
        <f>Kotak!AW27</f>
        <v>0</v>
      </c>
      <c r="AX26" s="104">
        <f>Kotak!AX27</f>
        <v>0</v>
      </c>
      <c r="AY26" s="104">
        <f>Kotak!AY27</f>
        <v>0</v>
      </c>
      <c r="AZ26" s="104">
        <f>Kotak!AZ27</f>
        <v>0</v>
      </c>
      <c r="BA26" s="104">
        <f>Kotak!BA27</f>
        <v>0</v>
      </c>
      <c r="BB26" s="104">
        <f>Kotak!BB27</f>
        <v>0</v>
      </c>
      <c r="BC26" s="104">
        <f>Kotak!BC27</f>
        <v>0</v>
      </c>
      <c r="BD26" s="104">
        <f>Kotak!BD27</f>
        <v>0</v>
      </c>
      <c r="BE26" s="104">
        <f>Kotak!BE27</f>
        <v>0</v>
      </c>
      <c r="BF26" s="104">
        <f>Kotak!BF27</f>
        <v>0</v>
      </c>
      <c r="BG26" s="104">
        <f>Kotak!BG27</f>
        <v>0</v>
      </c>
      <c r="BH26" s="104">
        <f>Kotak!BH27</f>
        <v>0</v>
      </c>
      <c r="BI26" s="104">
        <f>Kotak!BI27</f>
        <v>0</v>
      </c>
      <c r="BJ26" s="104">
        <f>Kotak!BJ27</f>
        <v>0</v>
      </c>
      <c r="BK26" s="104">
        <f>Kotak!BK27</f>
        <v>0</v>
      </c>
      <c r="BL26" s="104">
        <f>Kotak!BL27</f>
        <v>0</v>
      </c>
      <c r="BM26" s="104">
        <f>Kotak!BM27</f>
        <v>0</v>
      </c>
      <c r="BN26" s="104">
        <f>Kotak!BN27</f>
        <v>0</v>
      </c>
      <c r="BO26" s="104">
        <f>Kotak!BO27</f>
        <v>0</v>
      </c>
      <c r="BP26" s="104">
        <f>Kotak!BP27</f>
        <v>0</v>
      </c>
      <c r="BQ26" s="104">
        <f>Kotak!BQ27</f>
        <v>0</v>
      </c>
      <c r="BR26" s="104">
        <f>Kotak!BR27</f>
        <v>0</v>
      </c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>
      <c r="A27" s="104">
        <v>27</v>
      </c>
      <c r="B27" s="5">
        <f>Kotak!B28</f>
        <v>0</v>
      </c>
      <c r="C27" s="5">
        <f>Kotak!C28</f>
        <v>0</v>
      </c>
      <c r="D27" s="30"/>
      <c r="E27" s="5">
        <f>Kotak!E28</f>
        <v>0</v>
      </c>
      <c r="F27" s="38">
        <f>IDFC!I27</f>
        <v>0</v>
      </c>
      <c r="G27" s="38">
        <f>Kotak!G28</f>
        <v>0</v>
      </c>
      <c r="H27" s="131">
        <f t="shared" si="6"/>
        <v>0</v>
      </c>
      <c r="I27" s="130">
        <f t="shared" si="2"/>
        <v>0</v>
      </c>
      <c r="J27" s="160">
        <f t="shared" si="3"/>
        <v>0</v>
      </c>
      <c r="K27" s="104">
        <f>Kotak!K28</f>
        <v>0</v>
      </c>
      <c r="L27" s="104">
        <f>Kotak!L28</f>
        <v>0</v>
      </c>
      <c r="M27" s="104">
        <f>Kotak!M28</f>
        <v>0</v>
      </c>
      <c r="N27" s="104">
        <f>Kotak!N28</f>
        <v>0</v>
      </c>
      <c r="O27" s="104">
        <f>Kotak!O28</f>
        <v>0</v>
      </c>
      <c r="P27" s="104">
        <f>Kotak!P28</f>
        <v>0</v>
      </c>
      <c r="Q27" s="104">
        <f>Kotak!Q28</f>
        <v>0</v>
      </c>
      <c r="R27" s="104">
        <f>Kotak!R28</f>
        <v>0</v>
      </c>
      <c r="S27" s="104">
        <f>Kotak!S28</f>
        <v>0</v>
      </c>
      <c r="T27" s="104">
        <f>Kotak!T28</f>
        <v>0</v>
      </c>
      <c r="U27" s="104">
        <f>Kotak!U28</f>
        <v>0</v>
      </c>
      <c r="V27" s="104">
        <f>Kotak!V28</f>
        <v>0</v>
      </c>
      <c r="W27" s="104">
        <f>Kotak!W28</f>
        <v>0</v>
      </c>
      <c r="X27" s="104">
        <f>Kotak!X28</f>
        <v>0</v>
      </c>
      <c r="Y27" s="104">
        <f>Kotak!Y28</f>
        <v>0</v>
      </c>
      <c r="Z27" s="104">
        <f>Kotak!Z28</f>
        <v>0</v>
      </c>
      <c r="AA27" s="104">
        <f>Kotak!AA28</f>
        <v>0</v>
      </c>
      <c r="AB27" s="104">
        <f>Kotak!AB28</f>
        <v>0</v>
      </c>
      <c r="AC27" s="104">
        <f>Kotak!AC28</f>
        <v>0</v>
      </c>
      <c r="AD27" s="104">
        <f>Kotak!AD28</f>
        <v>0</v>
      </c>
      <c r="AE27" s="104">
        <f>Kotak!AE28</f>
        <v>0</v>
      </c>
      <c r="AF27" s="104">
        <f>Kotak!AF28</f>
        <v>0</v>
      </c>
      <c r="AG27" s="104">
        <f>Kotak!AG28</f>
        <v>0</v>
      </c>
      <c r="AH27" s="104">
        <f>Kotak!AH28</f>
        <v>0</v>
      </c>
      <c r="AI27" s="104">
        <f>Kotak!AI28</f>
        <v>0</v>
      </c>
      <c r="AJ27" s="104">
        <f>Kotak!AJ28</f>
        <v>0</v>
      </c>
      <c r="AK27" s="104">
        <f>Kotak!AK28</f>
        <v>0</v>
      </c>
      <c r="AL27" s="104">
        <f>Kotak!AL28</f>
        <v>0</v>
      </c>
      <c r="AM27" s="104">
        <f>Kotak!AM28</f>
        <v>0</v>
      </c>
      <c r="AN27" s="104">
        <f>Kotak!AN28</f>
        <v>0</v>
      </c>
      <c r="AO27" s="104">
        <f>Kotak!AO28</f>
        <v>0</v>
      </c>
      <c r="AP27" s="104">
        <f>Kotak!AP28</f>
        <v>0</v>
      </c>
      <c r="AQ27" s="104">
        <f>Kotak!AQ28</f>
        <v>0</v>
      </c>
      <c r="AR27" s="104">
        <f>Kotak!AR28</f>
        <v>0</v>
      </c>
      <c r="AS27" s="104">
        <f>Kotak!AS28</f>
        <v>0</v>
      </c>
      <c r="AT27" s="104">
        <f>Kotak!AT28</f>
        <v>0</v>
      </c>
      <c r="AU27" s="104">
        <f>Kotak!AU28</f>
        <v>0</v>
      </c>
      <c r="AV27" s="104">
        <f>Kotak!AV28</f>
        <v>0</v>
      </c>
      <c r="AW27" s="104">
        <f>Kotak!AW28</f>
        <v>0</v>
      </c>
      <c r="AX27" s="104">
        <f>Kotak!AX28</f>
        <v>0</v>
      </c>
      <c r="AY27" s="104">
        <f>Kotak!AY28</f>
        <v>0</v>
      </c>
      <c r="AZ27" s="104">
        <f>Kotak!AZ28</f>
        <v>0</v>
      </c>
      <c r="BA27" s="104">
        <f>Kotak!BA28</f>
        <v>0</v>
      </c>
      <c r="BB27" s="104">
        <f>Kotak!BB28</f>
        <v>0</v>
      </c>
      <c r="BC27" s="104">
        <f>Kotak!BC28</f>
        <v>0</v>
      </c>
      <c r="BD27" s="104">
        <f>Kotak!BD28</f>
        <v>0</v>
      </c>
      <c r="BE27" s="104">
        <f>Kotak!BE28</f>
        <v>0</v>
      </c>
      <c r="BF27" s="104">
        <f>Kotak!BF28</f>
        <v>0</v>
      </c>
      <c r="BG27" s="104">
        <f>Kotak!BG28</f>
        <v>0</v>
      </c>
      <c r="BH27" s="104">
        <f>Kotak!BH28</f>
        <v>0</v>
      </c>
      <c r="BI27" s="104">
        <f>Kotak!BI28</f>
        <v>0</v>
      </c>
      <c r="BJ27" s="104">
        <f>Kotak!BJ28</f>
        <v>0</v>
      </c>
      <c r="BK27" s="104">
        <f>Kotak!BK28</f>
        <v>0</v>
      </c>
      <c r="BL27" s="104">
        <f>Kotak!BL28</f>
        <v>0</v>
      </c>
      <c r="BM27" s="104">
        <f>Kotak!BM28</f>
        <v>0</v>
      </c>
      <c r="BN27" s="104">
        <f>Kotak!BN28</f>
        <v>0</v>
      </c>
      <c r="BO27" s="104">
        <f>Kotak!BO28</f>
        <v>0</v>
      </c>
      <c r="BP27" s="104">
        <f>Kotak!BP28</f>
        <v>0</v>
      </c>
      <c r="BQ27" s="104">
        <f>Kotak!BQ28</f>
        <v>0</v>
      </c>
      <c r="BR27" s="104">
        <f>Kotak!BR28</f>
        <v>0</v>
      </c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>
      <c r="A28" s="104">
        <v>28</v>
      </c>
      <c r="B28" s="5">
        <f>Kotak!B29</f>
        <v>0</v>
      </c>
      <c r="C28" s="5">
        <f>Kotak!C29</f>
        <v>0</v>
      </c>
      <c r="D28" s="30"/>
      <c r="E28" s="5">
        <f>Kotak!E29</f>
        <v>0</v>
      </c>
      <c r="F28" s="38">
        <f>IDFC!I28</f>
        <v>0</v>
      </c>
      <c r="G28" s="38">
        <f>Kotak!G29</f>
        <v>0</v>
      </c>
      <c r="H28" s="131">
        <f t="shared" si="6"/>
        <v>0</v>
      </c>
      <c r="I28" s="130">
        <f t="shared" si="2"/>
        <v>0</v>
      </c>
      <c r="J28" s="160">
        <f t="shared" si="3"/>
        <v>0</v>
      </c>
      <c r="K28" s="104">
        <f>Kotak!K29</f>
        <v>0</v>
      </c>
      <c r="L28" s="104">
        <f>Kotak!L29</f>
        <v>0</v>
      </c>
      <c r="M28" s="104">
        <f>Kotak!M29</f>
        <v>0</v>
      </c>
      <c r="N28" s="104">
        <f>Kotak!N29</f>
        <v>0</v>
      </c>
      <c r="O28" s="104">
        <f>Kotak!O29</f>
        <v>0</v>
      </c>
      <c r="P28" s="104">
        <f>Kotak!P29</f>
        <v>0</v>
      </c>
      <c r="Q28" s="104">
        <f>Kotak!Q29</f>
        <v>0</v>
      </c>
      <c r="R28" s="104">
        <f>Kotak!R29</f>
        <v>0</v>
      </c>
      <c r="S28" s="104">
        <f>Kotak!S29</f>
        <v>0</v>
      </c>
      <c r="T28" s="104">
        <f>Kotak!T29</f>
        <v>0</v>
      </c>
      <c r="U28" s="104">
        <f>Kotak!U29</f>
        <v>0</v>
      </c>
      <c r="V28" s="104">
        <f>Kotak!V29</f>
        <v>0</v>
      </c>
      <c r="W28" s="104">
        <f>Kotak!W29</f>
        <v>0</v>
      </c>
      <c r="X28" s="104">
        <f>Kotak!X29</f>
        <v>0</v>
      </c>
      <c r="Y28" s="104">
        <f>Kotak!Y29</f>
        <v>0</v>
      </c>
      <c r="Z28" s="104">
        <f>Kotak!Z29</f>
        <v>0</v>
      </c>
      <c r="AA28" s="104">
        <f>Kotak!AA29</f>
        <v>0</v>
      </c>
      <c r="AB28" s="104">
        <f>Kotak!AB29</f>
        <v>0</v>
      </c>
      <c r="AC28" s="104">
        <f>Kotak!AC29</f>
        <v>0</v>
      </c>
      <c r="AD28" s="104">
        <f>Kotak!AD29</f>
        <v>0</v>
      </c>
      <c r="AE28" s="104">
        <f>Kotak!AE29</f>
        <v>0</v>
      </c>
      <c r="AF28" s="104">
        <f>Kotak!AF29</f>
        <v>0</v>
      </c>
      <c r="AG28" s="104">
        <f>Kotak!AG29</f>
        <v>0</v>
      </c>
      <c r="AH28" s="104">
        <f>Kotak!AH29</f>
        <v>0</v>
      </c>
      <c r="AI28" s="104">
        <f>Kotak!AI29</f>
        <v>0</v>
      </c>
      <c r="AJ28" s="104">
        <f>Kotak!AJ29</f>
        <v>0</v>
      </c>
      <c r="AK28" s="104">
        <f>Kotak!AK29</f>
        <v>0</v>
      </c>
      <c r="AL28" s="104">
        <f>Kotak!AL29</f>
        <v>0</v>
      </c>
      <c r="AM28" s="104">
        <f>Kotak!AM29</f>
        <v>0</v>
      </c>
      <c r="AN28" s="104">
        <f>Kotak!AN29</f>
        <v>0</v>
      </c>
      <c r="AO28" s="104">
        <f>Kotak!AO29</f>
        <v>0</v>
      </c>
      <c r="AP28" s="104">
        <f>Kotak!AP29</f>
        <v>0</v>
      </c>
      <c r="AQ28" s="104">
        <f>Kotak!AQ29</f>
        <v>0</v>
      </c>
      <c r="AR28" s="104">
        <f>Kotak!AR29</f>
        <v>0</v>
      </c>
      <c r="AS28" s="104">
        <f>Kotak!AS29</f>
        <v>0</v>
      </c>
      <c r="AT28" s="104">
        <f>Kotak!AT29</f>
        <v>0</v>
      </c>
      <c r="AU28" s="104">
        <f>Kotak!AU29</f>
        <v>0</v>
      </c>
      <c r="AV28" s="104">
        <f>Kotak!AV29</f>
        <v>0</v>
      </c>
      <c r="AW28" s="104">
        <f>Kotak!AW29</f>
        <v>0</v>
      </c>
      <c r="AX28" s="104">
        <f>Kotak!AX29</f>
        <v>0</v>
      </c>
      <c r="AY28" s="104">
        <f>Kotak!AY29</f>
        <v>0</v>
      </c>
      <c r="AZ28" s="104">
        <f>Kotak!AZ29</f>
        <v>0</v>
      </c>
      <c r="BA28" s="104">
        <f>Kotak!BA29</f>
        <v>0</v>
      </c>
      <c r="BB28" s="104">
        <f>Kotak!BB29</f>
        <v>0</v>
      </c>
      <c r="BC28" s="104">
        <f>Kotak!BC29</f>
        <v>0</v>
      </c>
      <c r="BD28" s="104">
        <f>Kotak!BD29</f>
        <v>0</v>
      </c>
      <c r="BE28" s="104">
        <f>Kotak!BE29</f>
        <v>0</v>
      </c>
      <c r="BF28" s="104">
        <f>Kotak!BF29</f>
        <v>0</v>
      </c>
      <c r="BG28" s="104">
        <f>Kotak!BG29</f>
        <v>0</v>
      </c>
      <c r="BH28" s="104">
        <f>Kotak!BH29</f>
        <v>0</v>
      </c>
      <c r="BI28" s="104">
        <f>Kotak!BI29</f>
        <v>0</v>
      </c>
      <c r="BJ28" s="104">
        <f>Kotak!BJ29</f>
        <v>0</v>
      </c>
      <c r="BK28" s="104">
        <f>Kotak!BK29</f>
        <v>0</v>
      </c>
      <c r="BL28" s="104">
        <f>Kotak!BL29</f>
        <v>0</v>
      </c>
      <c r="BM28" s="104">
        <f>Kotak!BM29</f>
        <v>0</v>
      </c>
      <c r="BN28" s="104">
        <f>Kotak!BN29</f>
        <v>0</v>
      </c>
      <c r="BO28" s="104">
        <f>Kotak!BO29</f>
        <v>0</v>
      </c>
      <c r="BP28" s="104">
        <f>Kotak!BP29</f>
        <v>0</v>
      </c>
      <c r="BQ28" s="104">
        <f>Kotak!BQ29</f>
        <v>0</v>
      </c>
      <c r="BR28" s="104">
        <f>Kotak!BR29</f>
        <v>0</v>
      </c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</row>
    <row r="29" spans="1:83">
      <c r="A29" s="104">
        <v>29</v>
      </c>
      <c r="B29" s="5">
        <f>Kotak!B30</f>
        <v>0</v>
      </c>
      <c r="C29" s="5">
        <f>Kotak!C30</f>
        <v>0</v>
      </c>
      <c r="D29" s="30"/>
      <c r="E29" s="5">
        <f>Kotak!E30</f>
        <v>0</v>
      </c>
      <c r="F29" s="38">
        <f>IDFC!I29</f>
        <v>0</v>
      </c>
      <c r="G29" s="38">
        <f>Kotak!G30</f>
        <v>0</v>
      </c>
      <c r="H29" s="131">
        <f t="shared" si="6"/>
        <v>0</v>
      </c>
      <c r="I29" s="130">
        <f t="shared" si="2"/>
        <v>0</v>
      </c>
      <c r="J29" s="160">
        <f t="shared" si="3"/>
        <v>0</v>
      </c>
      <c r="K29" s="104">
        <f>Kotak!K30</f>
        <v>0</v>
      </c>
      <c r="L29" s="104">
        <f>Kotak!L30</f>
        <v>0</v>
      </c>
      <c r="M29" s="104">
        <f>Kotak!M30</f>
        <v>0</v>
      </c>
      <c r="N29" s="104">
        <f>Kotak!N30</f>
        <v>0</v>
      </c>
      <c r="O29" s="104">
        <f>Kotak!O30</f>
        <v>0</v>
      </c>
      <c r="P29" s="104">
        <f>Kotak!P30</f>
        <v>0</v>
      </c>
      <c r="Q29" s="104">
        <f>Kotak!Q30</f>
        <v>0</v>
      </c>
      <c r="R29" s="104">
        <f>Kotak!R30</f>
        <v>0</v>
      </c>
      <c r="S29" s="104">
        <f>Kotak!S30</f>
        <v>0</v>
      </c>
      <c r="T29" s="104">
        <f>Kotak!T30</f>
        <v>0</v>
      </c>
      <c r="U29" s="104">
        <f>Kotak!U30</f>
        <v>0</v>
      </c>
      <c r="V29" s="104">
        <f>Kotak!V30</f>
        <v>0</v>
      </c>
      <c r="W29" s="104">
        <f>Kotak!W30</f>
        <v>0</v>
      </c>
      <c r="X29" s="104">
        <f>Kotak!X30</f>
        <v>0</v>
      </c>
      <c r="Y29" s="104">
        <f>Kotak!Y30</f>
        <v>0</v>
      </c>
      <c r="Z29" s="104">
        <f>Kotak!Z30</f>
        <v>0</v>
      </c>
      <c r="AA29" s="104">
        <f>Kotak!AA30</f>
        <v>0</v>
      </c>
      <c r="AB29" s="104">
        <f>Kotak!AB30</f>
        <v>0</v>
      </c>
      <c r="AC29" s="104">
        <f>Kotak!AC30</f>
        <v>0</v>
      </c>
      <c r="AD29" s="104">
        <f>Kotak!AD30</f>
        <v>0</v>
      </c>
      <c r="AE29" s="104">
        <f>Kotak!AE30</f>
        <v>0</v>
      </c>
      <c r="AF29" s="104">
        <f>Kotak!AF30</f>
        <v>0</v>
      </c>
      <c r="AG29" s="104">
        <f>Kotak!AG30</f>
        <v>0</v>
      </c>
      <c r="AH29" s="104">
        <f>Kotak!AH30</f>
        <v>0</v>
      </c>
      <c r="AI29" s="104">
        <f>Kotak!AI30</f>
        <v>0</v>
      </c>
      <c r="AJ29" s="104">
        <f>Kotak!AJ30</f>
        <v>0</v>
      </c>
      <c r="AK29" s="104">
        <f>Kotak!AK30</f>
        <v>0</v>
      </c>
      <c r="AL29" s="104">
        <f>Kotak!AL30</f>
        <v>0</v>
      </c>
      <c r="AM29" s="104">
        <f>Kotak!AM30</f>
        <v>0</v>
      </c>
      <c r="AN29" s="104">
        <f>Kotak!AN30</f>
        <v>0</v>
      </c>
      <c r="AO29" s="104">
        <f>Kotak!AO30</f>
        <v>0</v>
      </c>
      <c r="AP29" s="104">
        <f>Kotak!AP30</f>
        <v>0</v>
      </c>
      <c r="AQ29" s="104">
        <f>Kotak!AQ30</f>
        <v>0</v>
      </c>
      <c r="AR29" s="104">
        <f>Kotak!AR30</f>
        <v>0</v>
      </c>
      <c r="AS29" s="104">
        <f>Kotak!AS30</f>
        <v>0</v>
      </c>
      <c r="AT29" s="104">
        <f>Kotak!AT30</f>
        <v>0</v>
      </c>
      <c r="AU29" s="104">
        <f>Kotak!AU30</f>
        <v>0</v>
      </c>
      <c r="AV29" s="104">
        <f>Kotak!AV30</f>
        <v>0</v>
      </c>
      <c r="AW29" s="104">
        <f>Kotak!AW30</f>
        <v>0</v>
      </c>
      <c r="AX29" s="104">
        <f>Kotak!AX30</f>
        <v>0</v>
      </c>
      <c r="AY29" s="104">
        <f>Kotak!AY30</f>
        <v>0</v>
      </c>
      <c r="AZ29" s="104">
        <f>Kotak!AZ30</f>
        <v>0</v>
      </c>
      <c r="BA29" s="104">
        <f>Kotak!BA30</f>
        <v>0</v>
      </c>
      <c r="BB29" s="104">
        <f>Kotak!BB30</f>
        <v>0</v>
      </c>
      <c r="BC29" s="104">
        <f>Kotak!BC30</f>
        <v>0</v>
      </c>
      <c r="BD29" s="104">
        <f>Kotak!BD30</f>
        <v>0</v>
      </c>
      <c r="BE29" s="104">
        <f>Kotak!BE30</f>
        <v>0</v>
      </c>
      <c r="BF29" s="104">
        <f>Kotak!BF30</f>
        <v>0</v>
      </c>
      <c r="BG29" s="104">
        <f>Kotak!BG30</f>
        <v>0</v>
      </c>
      <c r="BH29" s="104">
        <f>Kotak!BH30</f>
        <v>0</v>
      </c>
      <c r="BI29" s="104">
        <f>Kotak!BI30</f>
        <v>0</v>
      </c>
      <c r="BJ29" s="104">
        <f>Kotak!BJ30</f>
        <v>0</v>
      </c>
      <c r="BK29" s="104">
        <f>Kotak!BK30</f>
        <v>0</v>
      </c>
      <c r="BL29" s="104">
        <f>Kotak!BL30</f>
        <v>0</v>
      </c>
      <c r="BM29" s="104">
        <f>Kotak!BM30</f>
        <v>0</v>
      </c>
      <c r="BN29" s="104">
        <f>Kotak!BN30</f>
        <v>0</v>
      </c>
      <c r="BO29" s="104">
        <f>Kotak!BO30</f>
        <v>0</v>
      </c>
      <c r="BP29" s="104">
        <f>Kotak!BP30</f>
        <v>0</v>
      </c>
      <c r="BQ29" s="104">
        <f>Kotak!BQ30</f>
        <v>0</v>
      </c>
      <c r="BR29" s="104">
        <f>Kotak!BR30</f>
        <v>0</v>
      </c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</row>
    <row r="30" spans="1:83">
      <c r="A30" s="104">
        <v>30</v>
      </c>
      <c r="B30" s="5">
        <f>Kotak!B31</f>
        <v>0</v>
      </c>
      <c r="C30" s="5">
        <f>Kotak!C31</f>
        <v>0</v>
      </c>
      <c r="D30" s="30"/>
      <c r="E30" s="5">
        <f>Kotak!E31</f>
        <v>0</v>
      </c>
      <c r="F30" s="38">
        <f>IDFC!I30</f>
        <v>0</v>
      </c>
      <c r="G30" s="38">
        <f>Kotak!G31</f>
        <v>0</v>
      </c>
      <c r="H30" s="131">
        <f t="shared" si="6"/>
        <v>0</v>
      </c>
      <c r="I30" s="130">
        <f t="shared" si="2"/>
        <v>0</v>
      </c>
      <c r="J30" s="160">
        <f t="shared" si="3"/>
        <v>0</v>
      </c>
      <c r="K30" s="104">
        <f>Kotak!K31</f>
        <v>0</v>
      </c>
      <c r="L30" s="104">
        <f>Kotak!L31</f>
        <v>0</v>
      </c>
      <c r="M30" s="104">
        <f>Kotak!M31</f>
        <v>0</v>
      </c>
      <c r="N30" s="104">
        <f>Kotak!N31</f>
        <v>0</v>
      </c>
      <c r="O30" s="104">
        <f>Kotak!O31</f>
        <v>0</v>
      </c>
      <c r="P30" s="104">
        <f>Kotak!P31</f>
        <v>0</v>
      </c>
      <c r="Q30" s="104">
        <f>Kotak!Q31</f>
        <v>0</v>
      </c>
      <c r="R30" s="104">
        <f>Kotak!R31</f>
        <v>0</v>
      </c>
      <c r="S30" s="104">
        <f>Kotak!S31</f>
        <v>0</v>
      </c>
      <c r="T30" s="104">
        <f>Kotak!T31</f>
        <v>0</v>
      </c>
      <c r="U30" s="104">
        <f>Kotak!U31</f>
        <v>0</v>
      </c>
      <c r="V30" s="104">
        <f>Kotak!V31</f>
        <v>0</v>
      </c>
      <c r="W30" s="104">
        <f>Kotak!W31</f>
        <v>0</v>
      </c>
      <c r="X30" s="104">
        <f>Kotak!X31</f>
        <v>0</v>
      </c>
      <c r="Y30" s="104">
        <f>Kotak!Y31</f>
        <v>0</v>
      </c>
      <c r="Z30" s="104">
        <f>Kotak!Z31</f>
        <v>0</v>
      </c>
      <c r="AA30" s="104">
        <f>Kotak!AA31</f>
        <v>0</v>
      </c>
      <c r="AB30" s="104">
        <f>Kotak!AB31</f>
        <v>0</v>
      </c>
      <c r="AC30" s="104">
        <f>Kotak!AC31</f>
        <v>0</v>
      </c>
      <c r="AD30" s="104">
        <f>Kotak!AD31</f>
        <v>0</v>
      </c>
      <c r="AE30" s="104">
        <f>Kotak!AE31</f>
        <v>0</v>
      </c>
      <c r="AF30" s="104">
        <f>Kotak!AF31</f>
        <v>0</v>
      </c>
      <c r="AG30" s="104">
        <f>Kotak!AG31</f>
        <v>0</v>
      </c>
      <c r="AH30" s="104">
        <f>Kotak!AH31</f>
        <v>0</v>
      </c>
      <c r="AI30" s="104">
        <f>Kotak!AI31</f>
        <v>0</v>
      </c>
      <c r="AJ30" s="104">
        <f>Kotak!AJ31</f>
        <v>0</v>
      </c>
      <c r="AK30" s="104">
        <f>Kotak!AK31</f>
        <v>0</v>
      </c>
      <c r="AL30" s="104">
        <f>Kotak!AL31</f>
        <v>0</v>
      </c>
      <c r="AM30" s="104">
        <f>Kotak!AM31</f>
        <v>0</v>
      </c>
      <c r="AN30" s="104">
        <f>Kotak!AN31</f>
        <v>0</v>
      </c>
      <c r="AO30" s="104">
        <f>Kotak!AO31</f>
        <v>0</v>
      </c>
      <c r="AP30" s="104">
        <f>Kotak!AP31</f>
        <v>0</v>
      </c>
      <c r="AQ30" s="104">
        <f>Kotak!AQ31</f>
        <v>0</v>
      </c>
      <c r="AR30" s="104">
        <f>Kotak!AR31</f>
        <v>0</v>
      </c>
      <c r="AS30" s="104">
        <f>Kotak!AS31</f>
        <v>0</v>
      </c>
      <c r="AT30" s="104">
        <f>Kotak!AT31</f>
        <v>0</v>
      </c>
      <c r="AU30" s="104">
        <f>Kotak!AU31</f>
        <v>0</v>
      </c>
      <c r="AV30" s="104">
        <f>Kotak!AV31</f>
        <v>0</v>
      </c>
      <c r="AW30" s="104">
        <f>Kotak!AW31</f>
        <v>0</v>
      </c>
      <c r="AX30" s="104">
        <f>Kotak!AX31</f>
        <v>0</v>
      </c>
      <c r="AY30" s="104">
        <f>Kotak!AY31</f>
        <v>0</v>
      </c>
      <c r="AZ30" s="104">
        <f>Kotak!AZ31</f>
        <v>0</v>
      </c>
      <c r="BA30" s="104">
        <f>Kotak!BA31</f>
        <v>0</v>
      </c>
      <c r="BB30" s="104">
        <f>Kotak!BB31</f>
        <v>0</v>
      </c>
      <c r="BC30" s="104">
        <f>Kotak!BC31</f>
        <v>0</v>
      </c>
      <c r="BD30" s="104">
        <f>Kotak!BD31</f>
        <v>0</v>
      </c>
      <c r="BE30" s="104">
        <f>Kotak!BE31</f>
        <v>0</v>
      </c>
      <c r="BF30" s="104">
        <f>Kotak!BF31</f>
        <v>0</v>
      </c>
      <c r="BG30" s="104">
        <f>Kotak!BG31</f>
        <v>0</v>
      </c>
      <c r="BH30" s="104">
        <f>Kotak!BH31</f>
        <v>0</v>
      </c>
      <c r="BI30" s="104">
        <f>Kotak!BI31</f>
        <v>0</v>
      </c>
      <c r="BJ30" s="104">
        <f>Kotak!BJ31</f>
        <v>0</v>
      </c>
      <c r="BK30" s="104">
        <f>Kotak!BK31</f>
        <v>0</v>
      </c>
      <c r="BL30" s="104">
        <f>Kotak!BL31</f>
        <v>0</v>
      </c>
      <c r="BM30" s="104">
        <f>Kotak!BM31</f>
        <v>0</v>
      </c>
      <c r="BN30" s="104">
        <f>Kotak!BN31</f>
        <v>0</v>
      </c>
      <c r="BO30" s="104">
        <f>Kotak!BO31</f>
        <v>0</v>
      </c>
      <c r="BP30" s="104">
        <f>Kotak!BP31</f>
        <v>0</v>
      </c>
      <c r="BQ30" s="104">
        <f>Kotak!BQ31</f>
        <v>0</v>
      </c>
      <c r="BR30" s="104">
        <f>Kotak!BR31</f>
        <v>0</v>
      </c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</row>
    <row r="31" spans="1:83">
      <c r="A31" s="104">
        <v>31</v>
      </c>
      <c r="B31" s="5">
        <f>Kotak!B32</f>
        <v>0</v>
      </c>
      <c r="C31" s="5">
        <f>Kotak!C32</f>
        <v>0</v>
      </c>
      <c r="D31" s="30"/>
      <c r="E31" s="5">
        <f>Kotak!E32</f>
        <v>0</v>
      </c>
      <c r="F31" s="38">
        <f>IDFC!I31</f>
        <v>0</v>
      </c>
      <c r="G31" s="38">
        <f>Kotak!G32</f>
        <v>0</v>
      </c>
      <c r="H31" s="131">
        <f t="shared" si="6"/>
        <v>0</v>
      </c>
      <c r="I31" s="130">
        <f t="shared" si="2"/>
        <v>0</v>
      </c>
      <c r="J31" s="160">
        <f t="shared" si="3"/>
        <v>0</v>
      </c>
      <c r="K31" s="104">
        <f>Kotak!K32</f>
        <v>0</v>
      </c>
      <c r="L31" s="104">
        <f>Kotak!L32</f>
        <v>0</v>
      </c>
      <c r="M31" s="104">
        <f>Kotak!M32</f>
        <v>0</v>
      </c>
      <c r="N31" s="104">
        <f>Kotak!N32</f>
        <v>0</v>
      </c>
      <c r="O31" s="104">
        <f>Kotak!O32</f>
        <v>0</v>
      </c>
      <c r="P31" s="104">
        <f>Kotak!P32</f>
        <v>0</v>
      </c>
      <c r="Q31" s="104">
        <f>Kotak!Q32</f>
        <v>0</v>
      </c>
      <c r="R31" s="104">
        <f>Kotak!R32</f>
        <v>0</v>
      </c>
      <c r="S31" s="104">
        <f>Kotak!S32</f>
        <v>0</v>
      </c>
      <c r="T31" s="104">
        <f>Kotak!T32</f>
        <v>0</v>
      </c>
      <c r="U31" s="104">
        <f>Kotak!U32</f>
        <v>0</v>
      </c>
      <c r="V31" s="104">
        <f>Kotak!V32</f>
        <v>0</v>
      </c>
      <c r="W31" s="104">
        <f>Kotak!W32</f>
        <v>0</v>
      </c>
      <c r="X31" s="104">
        <f>Kotak!X32</f>
        <v>0</v>
      </c>
      <c r="Y31" s="104">
        <f>Kotak!Y32</f>
        <v>0</v>
      </c>
      <c r="Z31" s="104">
        <f>Kotak!Z32</f>
        <v>0</v>
      </c>
      <c r="AA31" s="104">
        <f>Kotak!AA32</f>
        <v>0</v>
      </c>
      <c r="AB31" s="104">
        <f>Kotak!AB32</f>
        <v>0</v>
      </c>
      <c r="AC31" s="104">
        <f>Kotak!AC32</f>
        <v>0</v>
      </c>
      <c r="AD31" s="104">
        <f>Kotak!AD32</f>
        <v>0</v>
      </c>
      <c r="AE31" s="104">
        <f>Kotak!AE32</f>
        <v>0</v>
      </c>
      <c r="AF31" s="104">
        <f>Kotak!AF32</f>
        <v>0</v>
      </c>
      <c r="AG31" s="104">
        <f>Kotak!AG32</f>
        <v>0</v>
      </c>
      <c r="AH31" s="104">
        <f>Kotak!AH32</f>
        <v>0</v>
      </c>
      <c r="AI31" s="104">
        <f>Kotak!AI32</f>
        <v>0</v>
      </c>
      <c r="AJ31" s="104">
        <f>Kotak!AJ32</f>
        <v>0</v>
      </c>
      <c r="AK31" s="104">
        <f>Kotak!AK32</f>
        <v>0</v>
      </c>
      <c r="AL31" s="104">
        <f>Kotak!AL32</f>
        <v>0</v>
      </c>
      <c r="AM31" s="104">
        <f>Kotak!AM32</f>
        <v>0</v>
      </c>
      <c r="AN31" s="104">
        <f>Kotak!AN32</f>
        <v>0</v>
      </c>
      <c r="AO31" s="104">
        <f>Kotak!AO32</f>
        <v>0</v>
      </c>
      <c r="AP31" s="104">
        <f>Kotak!AP32</f>
        <v>0</v>
      </c>
      <c r="AQ31" s="104">
        <f>Kotak!AQ32</f>
        <v>0</v>
      </c>
      <c r="AR31" s="104">
        <f>Kotak!AR32</f>
        <v>0</v>
      </c>
      <c r="AS31" s="104">
        <f>Kotak!AS32</f>
        <v>0</v>
      </c>
      <c r="AT31" s="104">
        <f>Kotak!AT32</f>
        <v>0</v>
      </c>
      <c r="AU31" s="104">
        <f>Kotak!AU32</f>
        <v>0</v>
      </c>
      <c r="AV31" s="104">
        <f>Kotak!AV32</f>
        <v>0</v>
      </c>
      <c r="AW31" s="104">
        <f>Kotak!AW32</f>
        <v>0</v>
      </c>
      <c r="AX31" s="104">
        <f>Kotak!AX32</f>
        <v>0</v>
      </c>
      <c r="AY31" s="104">
        <f>Kotak!AY32</f>
        <v>0</v>
      </c>
      <c r="AZ31" s="104">
        <f>Kotak!AZ32</f>
        <v>0</v>
      </c>
      <c r="BA31" s="104">
        <f>Kotak!BA32</f>
        <v>0</v>
      </c>
      <c r="BB31" s="104">
        <f>Kotak!BB32</f>
        <v>0</v>
      </c>
      <c r="BC31" s="104">
        <f>Kotak!BC32</f>
        <v>0</v>
      </c>
      <c r="BD31" s="104">
        <f>Kotak!BD32</f>
        <v>0</v>
      </c>
      <c r="BE31" s="104">
        <f>Kotak!BE32</f>
        <v>0</v>
      </c>
      <c r="BF31" s="104">
        <f>Kotak!BF32</f>
        <v>0</v>
      </c>
      <c r="BG31" s="104">
        <f>Kotak!BG32</f>
        <v>0</v>
      </c>
      <c r="BH31" s="104">
        <f>Kotak!BH32</f>
        <v>0</v>
      </c>
      <c r="BI31" s="104">
        <f>Kotak!BI32</f>
        <v>0</v>
      </c>
      <c r="BJ31" s="104">
        <f>Kotak!BJ32</f>
        <v>0</v>
      </c>
      <c r="BK31" s="104">
        <f>Kotak!BK32</f>
        <v>0</v>
      </c>
      <c r="BL31" s="104">
        <f>Kotak!BL32</f>
        <v>0</v>
      </c>
      <c r="BM31" s="104">
        <f>Kotak!BM32</f>
        <v>0</v>
      </c>
      <c r="BN31" s="104">
        <f>Kotak!BN32</f>
        <v>0</v>
      </c>
      <c r="BO31" s="104">
        <f>Kotak!BO32</f>
        <v>0</v>
      </c>
      <c r="BP31" s="104">
        <f>Kotak!BP32</f>
        <v>0</v>
      </c>
      <c r="BQ31" s="104">
        <f>Kotak!BQ32</f>
        <v>0</v>
      </c>
      <c r="BR31" s="104">
        <f>Kotak!BR32</f>
        <v>0</v>
      </c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</row>
    <row r="32" spans="1:83">
      <c r="A32" s="104">
        <v>32</v>
      </c>
      <c r="B32" s="5">
        <f>Kotak!B33</f>
        <v>0</v>
      </c>
      <c r="C32" s="5">
        <f>Kotak!C33</f>
        <v>0</v>
      </c>
      <c r="D32" s="30"/>
      <c r="E32" s="5">
        <f>Kotak!E33</f>
        <v>0</v>
      </c>
      <c r="F32" s="38">
        <f>IDFC!I32</f>
        <v>0</v>
      </c>
      <c r="G32" s="38">
        <f>Kotak!G33</f>
        <v>0</v>
      </c>
      <c r="H32" s="131">
        <f t="shared" si="6"/>
        <v>0</v>
      </c>
      <c r="I32" s="130">
        <f t="shared" si="2"/>
        <v>0</v>
      </c>
      <c r="J32" s="160">
        <f t="shared" si="3"/>
        <v>0</v>
      </c>
      <c r="K32" s="104">
        <f>Kotak!K33</f>
        <v>0</v>
      </c>
      <c r="L32" s="104">
        <f>Kotak!L33</f>
        <v>0</v>
      </c>
      <c r="M32" s="104">
        <f>Kotak!M33</f>
        <v>0</v>
      </c>
      <c r="N32" s="104">
        <f>Kotak!N33</f>
        <v>0</v>
      </c>
      <c r="O32" s="104">
        <f>Kotak!O33</f>
        <v>0</v>
      </c>
      <c r="P32" s="104">
        <f>Kotak!P33</f>
        <v>0</v>
      </c>
      <c r="Q32" s="104">
        <f>Kotak!Q33</f>
        <v>0</v>
      </c>
      <c r="R32" s="104">
        <f>Kotak!R33</f>
        <v>0</v>
      </c>
      <c r="S32" s="104">
        <f>Kotak!S33</f>
        <v>0</v>
      </c>
      <c r="T32" s="104">
        <f>Kotak!T33</f>
        <v>0</v>
      </c>
      <c r="U32" s="104">
        <f>Kotak!U33</f>
        <v>0</v>
      </c>
      <c r="V32" s="104">
        <f>Kotak!V33</f>
        <v>0</v>
      </c>
      <c r="W32" s="104">
        <f>Kotak!W33</f>
        <v>0</v>
      </c>
      <c r="X32" s="104">
        <f>Kotak!X33</f>
        <v>0</v>
      </c>
      <c r="Y32" s="104">
        <f>Kotak!Y33</f>
        <v>0</v>
      </c>
      <c r="Z32" s="104">
        <f>Kotak!Z33</f>
        <v>0</v>
      </c>
      <c r="AA32" s="104">
        <f>Kotak!AA33</f>
        <v>0</v>
      </c>
      <c r="AB32" s="104">
        <f>Kotak!AB33</f>
        <v>0</v>
      </c>
      <c r="AC32" s="104">
        <f>Kotak!AC33</f>
        <v>0</v>
      </c>
      <c r="AD32" s="104">
        <f>Kotak!AD33</f>
        <v>0</v>
      </c>
      <c r="AE32" s="104">
        <f>Kotak!AE33</f>
        <v>0</v>
      </c>
      <c r="AF32" s="104">
        <f>Kotak!AF33</f>
        <v>0</v>
      </c>
      <c r="AG32" s="104">
        <f>Kotak!AG33</f>
        <v>0</v>
      </c>
      <c r="AH32" s="104">
        <f>Kotak!AH33</f>
        <v>0</v>
      </c>
      <c r="AI32" s="104">
        <f>Kotak!AI33</f>
        <v>0</v>
      </c>
      <c r="AJ32" s="104">
        <f>Kotak!AJ33</f>
        <v>0</v>
      </c>
      <c r="AK32" s="104">
        <f>Kotak!AK33</f>
        <v>0</v>
      </c>
      <c r="AL32" s="104">
        <f>Kotak!AL33</f>
        <v>0</v>
      </c>
      <c r="AM32" s="104">
        <f>Kotak!AM33</f>
        <v>0</v>
      </c>
      <c r="AN32" s="104">
        <f>Kotak!AN33</f>
        <v>0</v>
      </c>
      <c r="AO32" s="104">
        <f>Kotak!AO33</f>
        <v>0</v>
      </c>
      <c r="AP32" s="104">
        <f>Kotak!AP33</f>
        <v>0</v>
      </c>
      <c r="AQ32" s="104">
        <f>Kotak!AQ33</f>
        <v>0</v>
      </c>
      <c r="AR32" s="104">
        <f>Kotak!AR33</f>
        <v>0</v>
      </c>
      <c r="AS32" s="104">
        <f>Kotak!AS33</f>
        <v>0</v>
      </c>
      <c r="AT32" s="104">
        <f>Kotak!AT33</f>
        <v>0</v>
      </c>
      <c r="AU32" s="104">
        <f>Kotak!AU33</f>
        <v>0</v>
      </c>
      <c r="AV32" s="104">
        <f>Kotak!AV33</f>
        <v>0</v>
      </c>
      <c r="AW32" s="104">
        <f>Kotak!AW33</f>
        <v>0</v>
      </c>
      <c r="AX32" s="104">
        <f>Kotak!AX33</f>
        <v>0</v>
      </c>
      <c r="AY32" s="104">
        <f>Kotak!AY33</f>
        <v>0</v>
      </c>
      <c r="AZ32" s="104">
        <f>Kotak!AZ33</f>
        <v>0</v>
      </c>
      <c r="BA32" s="104">
        <f>Kotak!BA33</f>
        <v>0</v>
      </c>
      <c r="BB32" s="104">
        <f>Kotak!BB33</f>
        <v>0</v>
      </c>
      <c r="BC32" s="104">
        <f>Kotak!BC33</f>
        <v>0</v>
      </c>
      <c r="BD32" s="104">
        <f>Kotak!BD33</f>
        <v>0</v>
      </c>
      <c r="BE32" s="104">
        <f>Kotak!BE33</f>
        <v>0</v>
      </c>
      <c r="BF32" s="104">
        <f>Kotak!BF33</f>
        <v>0</v>
      </c>
      <c r="BG32" s="104">
        <f>Kotak!BG33</f>
        <v>0</v>
      </c>
      <c r="BH32" s="104">
        <f>Kotak!BH33</f>
        <v>0</v>
      </c>
      <c r="BI32" s="104">
        <f>Kotak!BI33</f>
        <v>0</v>
      </c>
      <c r="BJ32" s="104">
        <f>Kotak!BJ33</f>
        <v>0</v>
      </c>
      <c r="BK32" s="104">
        <f>Kotak!BK33</f>
        <v>0</v>
      </c>
      <c r="BL32" s="104">
        <f>Kotak!BL33</f>
        <v>0</v>
      </c>
      <c r="BM32" s="104">
        <f>Kotak!BM33</f>
        <v>0</v>
      </c>
      <c r="BN32" s="104">
        <f>Kotak!BN33</f>
        <v>0</v>
      </c>
      <c r="BO32" s="104">
        <f>Kotak!BO33</f>
        <v>0</v>
      </c>
      <c r="BP32" s="104">
        <f>Kotak!BP33</f>
        <v>0</v>
      </c>
      <c r="BQ32" s="104">
        <f>Kotak!BQ33</f>
        <v>0</v>
      </c>
      <c r="BR32" s="104">
        <f>Kotak!BR33</f>
        <v>0</v>
      </c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</row>
    <row r="33" spans="1:83">
      <c r="A33" s="104">
        <v>33</v>
      </c>
      <c r="B33" s="5">
        <f>Kotak!B34</f>
        <v>0</v>
      </c>
      <c r="C33" s="5">
        <f>Kotak!C34</f>
        <v>0</v>
      </c>
      <c r="D33" s="30"/>
      <c r="E33" s="5">
        <f>Kotak!E34</f>
        <v>0</v>
      </c>
      <c r="F33" s="38">
        <f>IDFC!I33</f>
        <v>0</v>
      </c>
      <c r="G33" s="38">
        <f>Kotak!G34</f>
        <v>0</v>
      </c>
      <c r="H33" s="131">
        <f t="shared" si="6"/>
        <v>0</v>
      </c>
      <c r="I33" s="130">
        <f t="shared" si="2"/>
        <v>0</v>
      </c>
      <c r="J33" s="160">
        <f t="shared" si="3"/>
        <v>0</v>
      </c>
      <c r="K33" s="104">
        <f>Kotak!K34</f>
        <v>0</v>
      </c>
      <c r="L33" s="104">
        <f>Kotak!L34</f>
        <v>0</v>
      </c>
      <c r="M33" s="104">
        <f>Kotak!M34</f>
        <v>0</v>
      </c>
      <c r="N33" s="104">
        <f>Kotak!N34</f>
        <v>0</v>
      </c>
      <c r="O33" s="104">
        <f>Kotak!O34</f>
        <v>0</v>
      </c>
      <c r="P33" s="104">
        <f>Kotak!P34</f>
        <v>0</v>
      </c>
      <c r="Q33" s="104">
        <f>Kotak!Q34</f>
        <v>0</v>
      </c>
      <c r="R33" s="104">
        <f>Kotak!R34</f>
        <v>0</v>
      </c>
      <c r="S33" s="104">
        <f>Kotak!S34</f>
        <v>0</v>
      </c>
      <c r="T33" s="104">
        <f>Kotak!T34</f>
        <v>0</v>
      </c>
      <c r="U33" s="104">
        <f>Kotak!U34</f>
        <v>0</v>
      </c>
      <c r="V33" s="104">
        <f>Kotak!V34</f>
        <v>0</v>
      </c>
      <c r="W33" s="104">
        <f>Kotak!W34</f>
        <v>0</v>
      </c>
      <c r="X33" s="104">
        <f>Kotak!X34</f>
        <v>0</v>
      </c>
      <c r="Y33" s="104">
        <f>Kotak!Y34</f>
        <v>0</v>
      </c>
      <c r="Z33" s="104">
        <f>Kotak!Z34</f>
        <v>0</v>
      </c>
      <c r="AA33" s="104">
        <f>Kotak!AA34</f>
        <v>0</v>
      </c>
      <c r="AB33" s="104">
        <f>Kotak!AB34</f>
        <v>0</v>
      </c>
      <c r="AC33" s="104">
        <f>Kotak!AC34</f>
        <v>0</v>
      </c>
      <c r="AD33" s="104">
        <f>Kotak!AD34</f>
        <v>0</v>
      </c>
      <c r="AE33" s="104">
        <f>Kotak!AE34</f>
        <v>0</v>
      </c>
      <c r="AF33" s="104">
        <f>Kotak!AF34</f>
        <v>0</v>
      </c>
      <c r="AG33" s="104">
        <f>Kotak!AG34</f>
        <v>0</v>
      </c>
      <c r="AH33" s="104">
        <f>Kotak!AH34</f>
        <v>0</v>
      </c>
      <c r="AI33" s="104">
        <f>Kotak!AI34</f>
        <v>0</v>
      </c>
      <c r="AJ33" s="104">
        <f>Kotak!AJ34</f>
        <v>0</v>
      </c>
      <c r="AK33" s="104">
        <f>Kotak!AK34</f>
        <v>0</v>
      </c>
      <c r="AL33" s="104">
        <f>Kotak!AL34</f>
        <v>0</v>
      </c>
      <c r="AM33" s="104">
        <f>Kotak!AM34</f>
        <v>0</v>
      </c>
      <c r="AN33" s="104">
        <f>Kotak!AN34</f>
        <v>0</v>
      </c>
      <c r="AO33" s="104">
        <f>Kotak!AO34</f>
        <v>0</v>
      </c>
      <c r="AP33" s="104">
        <f>Kotak!AP34</f>
        <v>0</v>
      </c>
      <c r="AQ33" s="104">
        <f>Kotak!AQ34</f>
        <v>0</v>
      </c>
      <c r="AR33" s="104">
        <f>Kotak!AR34</f>
        <v>0</v>
      </c>
      <c r="AS33" s="104">
        <f>Kotak!AS34</f>
        <v>0</v>
      </c>
      <c r="AT33" s="104">
        <f>Kotak!AT34</f>
        <v>0</v>
      </c>
      <c r="AU33" s="104">
        <f>Kotak!AU34</f>
        <v>0</v>
      </c>
      <c r="AV33" s="104">
        <f>Kotak!AV34</f>
        <v>0</v>
      </c>
      <c r="AW33" s="104">
        <f>Kotak!AW34</f>
        <v>0</v>
      </c>
      <c r="AX33" s="104">
        <f>Kotak!AX34</f>
        <v>0</v>
      </c>
      <c r="AY33" s="104">
        <f>Kotak!AY34</f>
        <v>0</v>
      </c>
      <c r="AZ33" s="104">
        <f>Kotak!AZ34</f>
        <v>0</v>
      </c>
      <c r="BA33" s="104">
        <f>Kotak!BA34</f>
        <v>0</v>
      </c>
      <c r="BB33" s="104">
        <f>Kotak!BB34</f>
        <v>0</v>
      </c>
      <c r="BC33" s="104">
        <f>Kotak!BC34</f>
        <v>0</v>
      </c>
      <c r="BD33" s="104">
        <f>Kotak!BD34</f>
        <v>0</v>
      </c>
      <c r="BE33" s="104">
        <f>Kotak!BE34</f>
        <v>0</v>
      </c>
      <c r="BF33" s="104">
        <f>Kotak!BF34</f>
        <v>0</v>
      </c>
      <c r="BG33" s="104">
        <f>Kotak!BG34</f>
        <v>0</v>
      </c>
      <c r="BH33" s="104">
        <f>Kotak!BH34</f>
        <v>0</v>
      </c>
      <c r="BI33" s="104">
        <f>Kotak!BI34</f>
        <v>0</v>
      </c>
      <c r="BJ33" s="104">
        <f>Kotak!BJ34</f>
        <v>0</v>
      </c>
      <c r="BK33" s="104">
        <f>Kotak!BK34</f>
        <v>0</v>
      </c>
      <c r="BL33" s="104">
        <f>Kotak!BL34</f>
        <v>0</v>
      </c>
      <c r="BM33" s="104">
        <f>Kotak!BM34</f>
        <v>0</v>
      </c>
      <c r="BN33" s="104">
        <f>Kotak!BN34</f>
        <v>0</v>
      </c>
      <c r="BO33" s="104">
        <f>Kotak!BO34</f>
        <v>0</v>
      </c>
      <c r="BP33" s="104">
        <f>Kotak!BP34</f>
        <v>0</v>
      </c>
      <c r="BQ33" s="104">
        <f>Kotak!BQ34</f>
        <v>0</v>
      </c>
      <c r="BR33" s="104">
        <f>Kotak!BR34</f>
        <v>0</v>
      </c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</row>
    <row r="34" spans="1:83">
      <c r="A34" s="104">
        <v>34</v>
      </c>
      <c r="B34" s="5">
        <f>Kotak!B35</f>
        <v>0</v>
      </c>
      <c r="C34" s="5">
        <f>Kotak!C35</f>
        <v>0</v>
      </c>
      <c r="D34" s="30"/>
      <c r="E34" s="5">
        <f>Kotak!E35</f>
        <v>0</v>
      </c>
      <c r="F34" s="38">
        <f>IDFC!I34</f>
        <v>0</v>
      </c>
      <c r="G34" s="38">
        <f>Kotak!G35</f>
        <v>0</v>
      </c>
      <c r="H34" s="131">
        <f t="shared" si="6"/>
        <v>0</v>
      </c>
      <c r="I34" s="130">
        <f t="shared" si="2"/>
        <v>0</v>
      </c>
      <c r="J34" s="160">
        <f t="shared" si="3"/>
        <v>0</v>
      </c>
      <c r="K34" s="104">
        <f>Kotak!K35</f>
        <v>0</v>
      </c>
      <c r="L34" s="104">
        <f>Kotak!L35</f>
        <v>0</v>
      </c>
      <c r="M34" s="104">
        <f>Kotak!M35</f>
        <v>0</v>
      </c>
      <c r="N34" s="104">
        <f>Kotak!N35</f>
        <v>0</v>
      </c>
      <c r="O34" s="104">
        <f>Kotak!O35</f>
        <v>0</v>
      </c>
      <c r="P34" s="104">
        <f>Kotak!P35</f>
        <v>0</v>
      </c>
      <c r="Q34" s="104">
        <f>Kotak!Q35</f>
        <v>0</v>
      </c>
      <c r="R34" s="104">
        <f>Kotak!R35</f>
        <v>0</v>
      </c>
      <c r="S34" s="104">
        <f>Kotak!S35</f>
        <v>0</v>
      </c>
      <c r="T34" s="104">
        <f>Kotak!T35</f>
        <v>0</v>
      </c>
      <c r="U34" s="104">
        <f>Kotak!U35</f>
        <v>0</v>
      </c>
      <c r="V34" s="104">
        <f>Kotak!V35</f>
        <v>0</v>
      </c>
      <c r="W34" s="104">
        <f>Kotak!W35</f>
        <v>0</v>
      </c>
      <c r="X34" s="104">
        <f>Kotak!X35</f>
        <v>0</v>
      </c>
      <c r="Y34" s="104">
        <f>Kotak!Y35</f>
        <v>0</v>
      </c>
      <c r="Z34" s="104">
        <f>Kotak!Z35</f>
        <v>0</v>
      </c>
      <c r="AA34" s="104">
        <f>Kotak!AA35</f>
        <v>0</v>
      </c>
      <c r="AB34" s="104">
        <f>Kotak!AB35</f>
        <v>0</v>
      </c>
      <c r="AC34" s="104">
        <f>Kotak!AC35</f>
        <v>0</v>
      </c>
      <c r="AD34" s="104">
        <f>Kotak!AD35</f>
        <v>0</v>
      </c>
      <c r="AE34" s="104">
        <f>Kotak!AE35</f>
        <v>0</v>
      </c>
      <c r="AF34" s="104">
        <f>Kotak!AF35</f>
        <v>0</v>
      </c>
      <c r="AG34" s="104">
        <f>Kotak!AG35</f>
        <v>0</v>
      </c>
      <c r="AH34" s="104">
        <f>Kotak!AH35</f>
        <v>0</v>
      </c>
      <c r="AI34" s="104">
        <f>Kotak!AI35</f>
        <v>0</v>
      </c>
      <c r="AJ34" s="104">
        <f>Kotak!AJ35</f>
        <v>0</v>
      </c>
      <c r="AK34" s="104">
        <f>Kotak!AK35</f>
        <v>0</v>
      </c>
      <c r="AL34" s="104">
        <f>Kotak!AL35</f>
        <v>0</v>
      </c>
      <c r="AM34" s="104">
        <f>Kotak!AM35</f>
        <v>0</v>
      </c>
      <c r="AN34" s="104">
        <f>Kotak!AN35</f>
        <v>0</v>
      </c>
      <c r="AO34" s="104">
        <f>Kotak!AO35</f>
        <v>0</v>
      </c>
      <c r="AP34" s="104">
        <f>Kotak!AP35</f>
        <v>0</v>
      </c>
      <c r="AQ34" s="104">
        <f>Kotak!AQ35</f>
        <v>0</v>
      </c>
      <c r="AR34" s="104">
        <f>Kotak!AR35</f>
        <v>0</v>
      </c>
      <c r="AS34" s="104">
        <f>Kotak!AS35</f>
        <v>0</v>
      </c>
      <c r="AT34" s="104">
        <f>Kotak!AT35</f>
        <v>0</v>
      </c>
      <c r="AU34" s="104">
        <f>Kotak!AU35</f>
        <v>0</v>
      </c>
      <c r="AV34" s="104">
        <f>Kotak!AV35</f>
        <v>0</v>
      </c>
      <c r="AW34" s="104">
        <f>Kotak!AW35</f>
        <v>0</v>
      </c>
      <c r="AX34" s="104">
        <f>Kotak!AX35</f>
        <v>0</v>
      </c>
      <c r="AY34" s="104">
        <f>Kotak!AY35</f>
        <v>0</v>
      </c>
      <c r="AZ34" s="104">
        <f>Kotak!AZ35</f>
        <v>0</v>
      </c>
      <c r="BA34" s="104">
        <f>Kotak!BA35</f>
        <v>0</v>
      </c>
      <c r="BB34" s="104">
        <f>Kotak!BB35</f>
        <v>0</v>
      </c>
      <c r="BC34" s="104">
        <f>Kotak!BC35</f>
        <v>0</v>
      </c>
      <c r="BD34" s="104">
        <f>Kotak!BD35</f>
        <v>0</v>
      </c>
      <c r="BE34" s="104">
        <f>Kotak!BE35</f>
        <v>0</v>
      </c>
      <c r="BF34" s="104">
        <f>Kotak!BF35</f>
        <v>0</v>
      </c>
      <c r="BG34" s="104">
        <f>Kotak!BG35</f>
        <v>0</v>
      </c>
      <c r="BH34" s="104">
        <f>Kotak!BH35</f>
        <v>0</v>
      </c>
      <c r="BI34" s="104">
        <f>Kotak!BI35</f>
        <v>0</v>
      </c>
      <c r="BJ34" s="104">
        <f>Kotak!BJ35</f>
        <v>0</v>
      </c>
      <c r="BK34" s="104">
        <f>Kotak!BK35</f>
        <v>0</v>
      </c>
      <c r="BL34" s="104">
        <f>Kotak!BL35</f>
        <v>0</v>
      </c>
      <c r="BM34" s="104">
        <f>Kotak!BM35</f>
        <v>0</v>
      </c>
      <c r="BN34" s="104">
        <f>Kotak!BN35</f>
        <v>0</v>
      </c>
      <c r="BO34" s="104">
        <f>Kotak!BO35</f>
        <v>0</v>
      </c>
      <c r="BP34" s="104">
        <f>Kotak!BP35</f>
        <v>0</v>
      </c>
      <c r="BQ34" s="104">
        <f>Kotak!BQ35</f>
        <v>0</v>
      </c>
      <c r="BR34" s="104">
        <f>Kotak!BR35</f>
        <v>0</v>
      </c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</row>
    <row r="35" spans="1:83">
      <c r="A35" s="104">
        <v>35</v>
      </c>
      <c r="B35" s="5">
        <f>Kotak!B36</f>
        <v>0</v>
      </c>
      <c r="C35" s="5">
        <f>Kotak!C36</f>
        <v>0</v>
      </c>
      <c r="D35" s="30"/>
      <c r="E35" s="5">
        <f>Kotak!E36</f>
        <v>0</v>
      </c>
      <c r="F35" s="38">
        <f>IDFC!I35</f>
        <v>0</v>
      </c>
      <c r="G35" s="38">
        <f>Kotak!G36</f>
        <v>0</v>
      </c>
      <c r="H35" s="131">
        <f t="shared" si="6"/>
        <v>0</v>
      </c>
      <c r="I35" s="130">
        <f t="shared" si="2"/>
        <v>0</v>
      </c>
      <c r="J35" s="160">
        <f t="shared" si="3"/>
        <v>0</v>
      </c>
      <c r="K35" s="104">
        <f>Kotak!K36</f>
        <v>0</v>
      </c>
      <c r="L35" s="104">
        <f>Kotak!L36</f>
        <v>0</v>
      </c>
      <c r="M35" s="104">
        <f>Kotak!M36</f>
        <v>0</v>
      </c>
      <c r="N35" s="104">
        <f>Kotak!N36</f>
        <v>0</v>
      </c>
      <c r="O35" s="104">
        <f>Kotak!O36</f>
        <v>0</v>
      </c>
      <c r="P35" s="104">
        <f>Kotak!P36</f>
        <v>0</v>
      </c>
      <c r="Q35" s="104">
        <f>Kotak!Q36</f>
        <v>0</v>
      </c>
      <c r="R35" s="104">
        <f>Kotak!R36</f>
        <v>0</v>
      </c>
      <c r="S35" s="104">
        <f>Kotak!S36</f>
        <v>0</v>
      </c>
      <c r="T35" s="104">
        <f>Kotak!T36</f>
        <v>0</v>
      </c>
      <c r="U35" s="104">
        <f>Kotak!U36</f>
        <v>0</v>
      </c>
      <c r="V35" s="104">
        <f>Kotak!V36</f>
        <v>0</v>
      </c>
      <c r="W35" s="104">
        <f>Kotak!W36</f>
        <v>0</v>
      </c>
      <c r="X35" s="104">
        <f>Kotak!X36</f>
        <v>0</v>
      </c>
      <c r="Y35" s="104">
        <f>Kotak!Y36</f>
        <v>0</v>
      </c>
      <c r="Z35" s="104">
        <f>Kotak!Z36</f>
        <v>0</v>
      </c>
      <c r="AA35" s="104">
        <f>Kotak!AA36</f>
        <v>0</v>
      </c>
      <c r="AB35" s="104">
        <f>Kotak!AB36</f>
        <v>0</v>
      </c>
      <c r="AC35" s="104">
        <f>Kotak!AC36</f>
        <v>0</v>
      </c>
      <c r="AD35" s="104">
        <f>Kotak!AD36</f>
        <v>0</v>
      </c>
      <c r="AE35" s="104">
        <f>Kotak!AE36</f>
        <v>0</v>
      </c>
      <c r="AF35" s="104">
        <f>Kotak!AF36</f>
        <v>0</v>
      </c>
      <c r="AG35" s="104">
        <f>Kotak!AG36</f>
        <v>0</v>
      </c>
      <c r="AH35" s="104">
        <f>Kotak!AH36</f>
        <v>0</v>
      </c>
      <c r="AI35" s="104">
        <f>Kotak!AI36</f>
        <v>0</v>
      </c>
      <c r="AJ35" s="104">
        <f>Kotak!AJ36</f>
        <v>0</v>
      </c>
      <c r="AK35" s="104">
        <f>Kotak!AK36</f>
        <v>0</v>
      </c>
      <c r="AL35" s="104">
        <f>Kotak!AL36</f>
        <v>0</v>
      </c>
      <c r="AM35" s="104">
        <f>Kotak!AM36</f>
        <v>0</v>
      </c>
      <c r="AN35" s="104">
        <f>Kotak!AN36</f>
        <v>0</v>
      </c>
      <c r="AO35" s="104">
        <f>Kotak!AO36</f>
        <v>0</v>
      </c>
      <c r="AP35" s="104">
        <f>Kotak!AP36</f>
        <v>0</v>
      </c>
      <c r="AQ35" s="104">
        <f>Kotak!AQ36</f>
        <v>0</v>
      </c>
      <c r="AR35" s="104">
        <f>Kotak!AR36</f>
        <v>0</v>
      </c>
      <c r="AS35" s="104">
        <f>Kotak!AS36</f>
        <v>0</v>
      </c>
      <c r="AT35" s="104">
        <f>Kotak!AT36</f>
        <v>0</v>
      </c>
      <c r="AU35" s="104">
        <f>Kotak!AU36</f>
        <v>0</v>
      </c>
      <c r="AV35" s="104">
        <f>Kotak!AV36</f>
        <v>0</v>
      </c>
      <c r="AW35" s="104">
        <f>Kotak!AW36</f>
        <v>0</v>
      </c>
      <c r="AX35" s="104">
        <f>Kotak!AX36</f>
        <v>0</v>
      </c>
      <c r="AY35" s="104">
        <f>Kotak!AY36</f>
        <v>0</v>
      </c>
      <c r="AZ35" s="104">
        <f>Kotak!AZ36</f>
        <v>0</v>
      </c>
      <c r="BA35" s="104">
        <f>Kotak!BA36</f>
        <v>0</v>
      </c>
      <c r="BB35" s="104">
        <f>Kotak!BB36</f>
        <v>0</v>
      </c>
      <c r="BC35" s="104">
        <f>Kotak!BC36</f>
        <v>0</v>
      </c>
      <c r="BD35" s="104">
        <f>Kotak!BD36</f>
        <v>0</v>
      </c>
      <c r="BE35" s="104">
        <f>Kotak!BE36</f>
        <v>0</v>
      </c>
      <c r="BF35" s="104">
        <f>Kotak!BF36</f>
        <v>0</v>
      </c>
      <c r="BG35" s="104">
        <f>Kotak!BG36</f>
        <v>0</v>
      </c>
      <c r="BH35" s="104">
        <f>Kotak!BH36</f>
        <v>0</v>
      </c>
      <c r="BI35" s="104">
        <f>Kotak!BI36</f>
        <v>0</v>
      </c>
      <c r="BJ35" s="104">
        <f>Kotak!BJ36</f>
        <v>0</v>
      </c>
      <c r="BK35" s="104">
        <f>Kotak!BK36</f>
        <v>0</v>
      </c>
      <c r="BL35" s="104">
        <f>Kotak!BL36</f>
        <v>0</v>
      </c>
      <c r="BM35" s="104">
        <f>Kotak!BM36</f>
        <v>0</v>
      </c>
      <c r="BN35" s="104">
        <f>Kotak!BN36</f>
        <v>0</v>
      </c>
      <c r="BO35" s="104">
        <f>Kotak!BO36</f>
        <v>0</v>
      </c>
      <c r="BP35" s="104">
        <f>Kotak!BP36</f>
        <v>0</v>
      </c>
      <c r="BQ35" s="104">
        <f>Kotak!BQ36</f>
        <v>0</v>
      </c>
      <c r="BR35" s="104">
        <f>Kotak!BR36</f>
        <v>0</v>
      </c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</row>
    <row r="36" spans="1:83">
      <c r="A36" s="104">
        <v>36</v>
      </c>
      <c r="B36" s="30"/>
      <c r="C36" s="30"/>
      <c r="D36" s="30"/>
      <c r="E36" s="104"/>
      <c r="F36" s="38">
        <f>IDFC!I36</f>
        <v>0</v>
      </c>
      <c r="G36" s="38">
        <f>Kotak!G37</f>
        <v>0</v>
      </c>
      <c r="H36" s="131">
        <f t="shared" si="6"/>
        <v>0</v>
      </c>
      <c r="I36" s="130">
        <f t="shared" si="2"/>
        <v>0</v>
      </c>
      <c r="J36" s="160">
        <f t="shared" si="3"/>
        <v>0</v>
      </c>
      <c r="K36" s="104">
        <f>Kotak!K37</f>
        <v>0</v>
      </c>
      <c r="L36" s="104">
        <f>Kotak!L37</f>
        <v>0</v>
      </c>
      <c r="M36" s="104">
        <f>Kotak!M37</f>
        <v>0</v>
      </c>
      <c r="N36" s="104">
        <f>Kotak!N37</f>
        <v>0</v>
      </c>
      <c r="O36" s="104">
        <f>Kotak!O37</f>
        <v>0</v>
      </c>
      <c r="P36" s="104">
        <f>Kotak!P37</f>
        <v>0</v>
      </c>
      <c r="Q36" s="104">
        <f>Kotak!Q37</f>
        <v>0</v>
      </c>
      <c r="R36" s="104">
        <f>Kotak!R37</f>
        <v>0</v>
      </c>
      <c r="S36" s="104">
        <f>Kotak!S37</f>
        <v>0</v>
      </c>
      <c r="T36" s="104">
        <f>Kotak!T37</f>
        <v>0</v>
      </c>
      <c r="U36" s="104">
        <f>Kotak!U37</f>
        <v>0</v>
      </c>
      <c r="V36" s="104">
        <f>Kotak!V37</f>
        <v>0</v>
      </c>
      <c r="W36" s="104">
        <f>Kotak!W37</f>
        <v>0</v>
      </c>
      <c r="X36" s="104">
        <f>Kotak!X37</f>
        <v>0</v>
      </c>
      <c r="Y36" s="104">
        <f>Kotak!Y37</f>
        <v>0</v>
      </c>
      <c r="Z36" s="104">
        <f>Kotak!Z37</f>
        <v>0</v>
      </c>
      <c r="AA36" s="104">
        <f>Kotak!AA37</f>
        <v>0</v>
      </c>
      <c r="AB36" s="104">
        <f>Kotak!AB37</f>
        <v>0</v>
      </c>
      <c r="AC36" s="104">
        <f>Kotak!AC37</f>
        <v>0</v>
      </c>
      <c r="AD36" s="104">
        <f>Kotak!AD37</f>
        <v>0</v>
      </c>
      <c r="AE36" s="104">
        <f>Kotak!AE37</f>
        <v>0</v>
      </c>
      <c r="AF36" s="104">
        <f>Kotak!AF37</f>
        <v>0</v>
      </c>
      <c r="AG36" s="104">
        <f>Kotak!AG37</f>
        <v>0</v>
      </c>
      <c r="AH36" s="104">
        <f>Kotak!AH37</f>
        <v>0</v>
      </c>
      <c r="AI36" s="104">
        <f>Kotak!AI37</f>
        <v>0</v>
      </c>
      <c r="AJ36" s="104">
        <f>Kotak!AJ37</f>
        <v>0</v>
      </c>
      <c r="AK36" s="104">
        <f>Kotak!AK37</f>
        <v>0</v>
      </c>
      <c r="AL36" s="104">
        <f>Kotak!AL37</f>
        <v>0</v>
      </c>
      <c r="AM36" s="104">
        <f>Kotak!AM37</f>
        <v>0</v>
      </c>
      <c r="AN36" s="104">
        <f>Kotak!AN37</f>
        <v>0</v>
      </c>
      <c r="AO36" s="104">
        <f>Kotak!AO37</f>
        <v>0</v>
      </c>
      <c r="AP36" s="104">
        <f>Kotak!AP37</f>
        <v>0</v>
      </c>
      <c r="AQ36" s="104">
        <f>Kotak!AQ37</f>
        <v>0</v>
      </c>
      <c r="AR36" s="104">
        <f>Kotak!AR37</f>
        <v>0</v>
      </c>
      <c r="AS36" s="104">
        <f>Kotak!AS37</f>
        <v>0</v>
      </c>
      <c r="AT36" s="104">
        <f>Kotak!AT37</f>
        <v>0</v>
      </c>
      <c r="AU36" s="104">
        <f>Kotak!AU37</f>
        <v>0</v>
      </c>
      <c r="AV36" s="104">
        <f>Kotak!AV37</f>
        <v>0</v>
      </c>
      <c r="AW36" s="104">
        <f>Kotak!AW37</f>
        <v>0</v>
      </c>
      <c r="AX36" s="104">
        <f>Kotak!AX37</f>
        <v>0</v>
      </c>
      <c r="AY36" s="104">
        <f>Kotak!AY37</f>
        <v>0</v>
      </c>
      <c r="AZ36" s="104">
        <f>Kotak!AZ37</f>
        <v>0</v>
      </c>
      <c r="BA36" s="104">
        <f>Kotak!BA37</f>
        <v>0</v>
      </c>
      <c r="BB36" s="104">
        <f>Kotak!BB37</f>
        <v>0</v>
      </c>
      <c r="BC36" s="104">
        <f>Kotak!BC37</f>
        <v>0</v>
      </c>
      <c r="BD36" s="104">
        <f>Kotak!BD37</f>
        <v>0</v>
      </c>
      <c r="BE36" s="104">
        <f>Kotak!BE37</f>
        <v>0</v>
      </c>
      <c r="BF36" s="104">
        <f>Kotak!BF37</f>
        <v>0</v>
      </c>
      <c r="BG36" s="104">
        <f>Kotak!BG37</f>
        <v>0</v>
      </c>
      <c r="BH36" s="104">
        <f>Kotak!BH37</f>
        <v>0</v>
      </c>
      <c r="BI36" s="104">
        <f>Kotak!BI37</f>
        <v>0</v>
      </c>
      <c r="BJ36" s="104">
        <f>Kotak!BJ37</f>
        <v>0</v>
      </c>
      <c r="BK36" s="104">
        <f>Kotak!BK37</f>
        <v>0</v>
      </c>
      <c r="BL36" s="104">
        <f>Kotak!BL37</f>
        <v>0</v>
      </c>
      <c r="BM36" s="104">
        <f>Kotak!BM37</f>
        <v>0</v>
      </c>
      <c r="BN36" s="104">
        <f>Kotak!BN37</f>
        <v>0</v>
      </c>
      <c r="BO36" s="104">
        <f>Kotak!BO37</f>
        <v>0</v>
      </c>
      <c r="BP36" s="104">
        <f>Kotak!BP37</f>
        <v>0</v>
      </c>
      <c r="BQ36" s="104">
        <f>Kotak!BQ37</f>
        <v>0</v>
      </c>
      <c r="BR36" s="104">
        <f>Kotak!BR37</f>
        <v>0</v>
      </c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</row>
    <row r="37" spans="1:83">
      <c r="A37" s="21">
        <v>37</v>
      </c>
      <c r="B37" s="30"/>
      <c r="C37" s="30"/>
      <c r="D37" s="30"/>
      <c r="E37" s="104"/>
      <c r="F37" s="38">
        <f>IDFC!I37</f>
        <v>0</v>
      </c>
      <c r="G37" s="38">
        <f>Kotak!G38</f>
        <v>0</v>
      </c>
      <c r="H37" s="131">
        <f t="shared" si="6"/>
        <v>0</v>
      </c>
      <c r="I37" s="130">
        <f t="shared" si="2"/>
        <v>0</v>
      </c>
      <c r="J37" s="160">
        <f t="shared" si="3"/>
        <v>0</v>
      </c>
      <c r="K37" s="104">
        <f>Kotak!K38</f>
        <v>0</v>
      </c>
      <c r="L37" s="104">
        <f>Kotak!L38</f>
        <v>0</v>
      </c>
      <c r="M37" s="104">
        <f>Kotak!M38</f>
        <v>0</v>
      </c>
      <c r="N37" s="104">
        <f>Kotak!N38</f>
        <v>0</v>
      </c>
      <c r="O37" s="104">
        <f>Kotak!O38</f>
        <v>0</v>
      </c>
      <c r="P37" s="104">
        <f>Kotak!P38</f>
        <v>0</v>
      </c>
      <c r="Q37" s="104">
        <f>Kotak!Q38</f>
        <v>0</v>
      </c>
      <c r="R37" s="104">
        <f>Kotak!R38</f>
        <v>0</v>
      </c>
      <c r="S37" s="104">
        <f>Kotak!S38</f>
        <v>0</v>
      </c>
      <c r="T37" s="104">
        <f>Kotak!T38</f>
        <v>0</v>
      </c>
      <c r="U37" s="104">
        <f>Kotak!U38</f>
        <v>0</v>
      </c>
      <c r="V37" s="104">
        <f>Kotak!V38</f>
        <v>0</v>
      </c>
      <c r="W37" s="104">
        <f>Kotak!W38</f>
        <v>0</v>
      </c>
      <c r="X37" s="104">
        <f>Kotak!X38</f>
        <v>0</v>
      </c>
      <c r="Y37" s="104">
        <f>Kotak!Y38</f>
        <v>0</v>
      </c>
      <c r="Z37" s="104">
        <f>Kotak!Z38</f>
        <v>0</v>
      </c>
      <c r="AA37" s="104">
        <f>Kotak!AA38</f>
        <v>0</v>
      </c>
      <c r="AB37" s="104">
        <f>Kotak!AB38</f>
        <v>0</v>
      </c>
      <c r="AC37" s="104">
        <f>Kotak!AC38</f>
        <v>0</v>
      </c>
      <c r="AD37" s="104">
        <f>Kotak!AD38</f>
        <v>0</v>
      </c>
      <c r="AE37" s="104">
        <f>Kotak!AE38</f>
        <v>0</v>
      </c>
      <c r="AF37" s="104">
        <f>Kotak!AF38</f>
        <v>0</v>
      </c>
      <c r="AG37" s="104">
        <f>Kotak!AG38</f>
        <v>0</v>
      </c>
      <c r="AH37" s="104">
        <f>Kotak!AH38</f>
        <v>0</v>
      </c>
      <c r="AI37" s="104">
        <f>Kotak!AI38</f>
        <v>0</v>
      </c>
      <c r="AJ37" s="104">
        <f>Kotak!AJ38</f>
        <v>0</v>
      </c>
      <c r="AK37" s="104">
        <f>Kotak!AK38</f>
        <v>0</v>
      </c>
      <c r="AL37" s="104">
        <f>Kotak!AL38</f>
        <v>0</v>
      </c>
      <c r="AM37" s="104">
        <f>Kotak!AM38</f>
        <v>0</v>
      </c>
      <c r="AN37" s="104">
        <f>Kotak!AN38</f>
        <v>0</v>
      </c>
      <c r="AO37" s="104">
        <f>Kotak!AO38</f>
        <v>0</v>
      </c>
      <c r="AP37" s="104">
        <f>Kotak!AP38</f>
        <v>0</v>
      </c>
      <c r="AQ37" s="104">
        <f>Kotak!AQ38</f>
        <v>0</v>
      </c>
      <c r="AR37" s="104">
        <f>Kotak!AR38</f>
        <v>0</v>
      </c>
      <c r="AS37" s="104">
        <f>Kotak!AS38</f>
        <v>0</v>
      </c>
      <c r="AT37" s="104">
        <f>Kotak!AT38</f>
        <v>0</v>
      </c>
      <c r="AU37" s="104">
        <f>Kotak!AU38</f>
        <v>0</v>
      </c>
      <c r="AV37" s="104">
        <f>Kotak!AV38</f>
        <v>0</v>
      </c>
      <c r="AW37" s="104">
        <f>Kotak!AW38</f>
        <v>0</v>
      </c>
      <c r="AX37" s="104">
        <f>Kotak!AX38</f>
        <v>0</v>
      </c>
      <c r="AY37" s="104">
        <f>Kotak!AY38</f>
        <v>0</v>
      </c>
      <c r="AZ37" s="104">
        <f>Kotak!AZ38</f>
        <v>0</v>
      </c>
      <c r="BA37" s="104">
        <f>Kotak!BA38</f>
        <v>0</v>
      </c>
      <c r="BB37" s="104">
        <f>Kotak!BB38</f>
        <v>0</v>
      </c>
      <c r="BC37" s="104">
        <f>Kotak!BC38</f>
        <v>0</v>
      </c>
      <c r="BD37" s="104">
        <f>Kotak!BD38</f>
        <v>0</v>
      </c>
      <c r="BE37" s="104">
        <f>Kotak!BE38</f>
        <v>0</v>
      </c>
      <c r="BF37" s="104">
        <f>Kotak!BF38</f>
        <v>0</v>
      </c>
      <c r="BG37" s="104">
        <f>Kotak!BG38</f>
        <v>0</v>
      </c>
      <c r="BH37" s="104">
        <f>Kotak!BH38</f>
        <v>0</v>
      </c>
      <c r="BI37" s="104">
        <f>Kotak!BI38</f>
        <v>0</v>
      </c>
      <c r="BJ37" s="104">
        <f>Kotak!BJ38</f>
        <v>0</v>
      </c>
      <c r="BK37" s="104">
        <f>Kotak!BK38</f>
        <v>0</v>
      </c>
      <c r="BL37" s="104">
        <f>Kotak!BL38</f>
        <v>0</v>
      </c>
      <c r="BM37" s="104">
        <f>Kotak!BM38</f>
        <v>0</v>
      </c>
      <c r="BN37" s="104">
        <f>Kotak!BN38</f>
        <v>0</v>
      </c>
      <c r="BO37" s="104">
        <f>Kotak!BO38</f>
        <v>0</v>
      </c>
      <c r="BP37" s="104">
        <f>Kotak!BP38</f>
        <v>0</v>
      </c>
      <c r="BQ37" s="104">
        <f>Kotak!BQ38</f>
        <v>0</v>
      </c>
      <c r="BR37" s="104">
        <f>Kotak!BR38</f>
        <v>0</v>
      </c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</row>
    <row r="38" spans="1:83">
      <c r="A38" s="21">
        <v>38</v>
      </c>
      <c r="B38" s="30"/>
      <c r="C38" s="30"/>
      <c r="D38" s="30"/>
      <c r="E38" s="104"/>
      <c r="F38" s="38">
        <f>IDFC!I38</f>
        <v>0</v>
      </c>
      <c r="G38" s="38">
        <f>Kotak!G39</f>
        <v>0</v>
      </c>
      <c r="H38" s="131">
        <f t="shared" si="6"/>
        <v>0</v>
      </c>
      <c r="I38" s="130">
        <f t="shared" si="2"/>
        <v>0</v>
      </c>
      <c r="J38" s="160">
        <f t="shared" si="3"/>
        <v>0</v>
      </c>
      <c r="K38" s="104">
        <f>Kotak!K39</f>
        <v>0</v>
      </c>
      <c r="L38" s="104">
        <f>Kotak!L39</f>
        <v>0</v>
      </c>
      <c r="M38" s="104">
        <f>Kotak!M39</f>
        <v>0</v>
      </c>
      <c r="N38" s="104">
        <f>Kotak!N39</f>
        <v>0</v>
      </c>
      <c r="O38" s="104">
        <f>Kotak!O39</f>
        <v>0</v>
      </c>
      <c r="P38" s="104">
        <f>Kotak!P39</f>
        <v>0</v>
      </c>
      <c r="Q38" s="104">
        <f>Kotak!Q39</f>
        <v>0</v>
      </c>
      <c r="R38" s="104">
        <f>Kotak!R39</f>
        <v>0</v>
      </c>
      <c r="S38" s="104">
        <f>Kotak!S39</f>
        <v>0</v>
      </c>
      <c r="T38" s="104">
        <f>Kotak!T39</f>
        <v>0</v>
      </c>
      <c r="U38" s="104">
        <f>Kotak!U39</f>
        <v>0</v>
      </c>
      <c r="V38" s="104">
        <f>Kotak!V39</f>
        <v>0</v>
      </c>
      <c r="W38" s="104">
        <f>Kotak!W39</f>
        <v>0</v>
      </c>
      <c r="X38" s="104">
        <f>Kotak!X39</f>
        <v>0</v>
      </c>
      <c r="Y38" s="104">
        <f>Kotak!Y39</f>
        <v>0</v>
      </c>
      <c r="Z38" s="104">
        <f>Kotak!Z39</f>
        <v>0</v>
      </c>
      <c r="AA38" s="104">
        <f>Kotak!AA39</f>
        <v>0</v>
      </c>
      <c r="AB38" s="104">
        <f>Kotak!AB39</f>
        <v>0</v>
      </c>
      <c r="AC38" s="104">
        <f>Kotak!AC39</f>
        <v>0</v>
      </c>
      <c r="AD38" s="104">
        <f>Kotak!AD39</f>
        <v>0</v>
      </c>
      <c r="AE38" s="104">
        <f>Kotak!AE39</f>
        <v>0</v>
      </c>
      <c r="AF38" s="104">
        <f>Kotak!AF39</f>
        <v>0</v>
      </c>
      <c r="AG38" s="104">
        <f>Kotak!AG39</f>
        <v>0</v>
      </c>
      <c r="AH38" s="104">
        <f>Kotak!AH39</f>
        <v>0</v>
      </c>
      <c r="AI38" s="104">
        <f>Kotak!AI39</f>
        <v>0</v>
      </c>
      <c r="AJ38" s="104">
        <f>Kotak!AJ39</f>
        <v>0</v>
      </c>
      <c r="AK38" s="104">
        <f>Kotak!AK39</f>
        <v>0</v>
      </c>
      <c r="AL38" s="104">
        <f>Kotak!AL39</f>
        <v>0</v>
      </c>
      <c r="AM38" s="104">
        <f>Kotak!AM39</f>
        <v>0</v>
      </c>
      <c r="AN38" s="104">
        <f>Kotak!AN39</f>
        <v>0</v>
      </c>
      <c r="AO38" s="104">
        <f>Kotak!AO39</f>
        <v>0</v>
      </c>
      <c r="AP38" s="104">
        <f>Kotak!AP39</f>
        <v>0</v>
      </c>
      <c r="AQ38" s="104">
        <f>Kotak!AQ39</f>
        <v>0</v>
      </c>
      <c r="AR38" s="104">
        <f>Kotak!AR39</f>
        <v>0</v>
      </c>
      <c r="AS38" s="104">
        <f>Kotak!AS39</f>
        <v>0</v>
      </c>
      <c r="AT38" s="104">
        <f>Kotak!AT39</f>
        <v>0</v>
      </c>
      <c r="AU38" s="104">
        <f>Kotak!AU39</f>
        <v>0</v>
      </c>
      <c r="AV38" s="104">
        <f>Kotak!AV39</f>
        <v>0</v>
      </c>
      <c r="AW38" s="104">
        <f>Kotak!AW39</f>
        <v>0</v>
      </c>
      <c r="AX38" s="104">
        <f>Kotak!AX39</f>
        <v>0</v>
      </c>
      <c r="AY38" s="104">
        <f>Kotak!AY39</f>
        <v>0</v>
      </c>
      <c r="AZ38" s="104">
        <f>Kotak!AZ39</f>
        <v>0</v>
      </c>
      <c r="BA38" s="104">
        <f>Kotak!BA39</f>
        <v>0</v>
      </c>
      <c r="BB38" s="104">
        <f>Kotak!BB39</f>
        <v>0</v>
      </c>
      <c r="BC38" s="104">
        <f>Kotak!BC39</f>
        <v>0</v>
      </c>
      <c r="BD38" s="104">
        <f>Kotak!BD39</f>
        <v>0</v>
      </c>
      <c r="BE38" s="104">
        <f>Kotak!BE39</f>
        <v>0</v>
      </c>
      <c r="BF38" s="104">
        <f>Kotak!BF39</f>
        <v>0</v>
      </c>
      <c r="BG38" s="104">
        <f>Kotak!BG39</f>
        <v>0</v>
      </c>
      <c r="BH38" s="104">
        <f>Kotak!BH39</f>
        <v>0</v>
      </c>
      <c r="BI38" s="104">
        <f>Kotak!BI39</f>
        <v>0</v>
      </c>
      <c r="BJ38" s="104">
        <f>Kotak!BJ39</f>
        <v>0</v>
      </c>
      <c r="BK38" s="104">
        <f>Kotak!BK39</f>
        <v>0</v>
      </c>
      <c r="BL38" s="104">
        <f>Kotak!BL39</f>
        <v>0</v>
      </c>
      <c r="BM38" s="104">
        <f>Kotak!BM39</f>
        <v>0</v>
      </c>
      <c r="BN38" s="104">
        <f>Kotak!BN39</f>
        <v>0</v>
      </c>
      <c r="BO38" s="104">
        <f>Kotak!BO39</f>
        <v>0</v>
      </c>
      <c r="BP38" s="104">
        <f>Kotak!BP39</f>
        <v>0</v>
      </c>
      <c r="BQ38" s="104">
        <f>Kotak!BQ39</f>
        <v>0</v>
      </c>
      <c r="BR38" s="104">
        <f>Kotak!BR39</f>
        <v>0</v>
      </c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</row>
    <row r="39" spans="1:83">
      <c r="A39" s="21">
        <v>39</v>
      </c>
      <c r="B39" s="30"/>
      <c r="C39" s="30"/>
      <c r="D39" s="30"/>
      <c r="E39" s="104"/>
      <c r="F39" s="38">
        <f>IDFC!I39</f>
        <v>0</v>
      </c>
      <c r="G39" s="38">
        <f>Kotak!G40</f>
        <v>0</v>
      </c>
      <c r="H39" s="131">
        <f t="shared" si="6"/>
        <v>0</v>
      </c>
      <c r="I39" s="130">
        <f t="shared" si="2"/>
        <v>0</v>
      </c>
      <c r="J39" s="160">
        <f t="shared" si="3"/>
        <v>0</v>
      </c>
      <c r="K39" s="104">
        <f>Kotak!K40</f>
        <v>0</v>
      </c>
      <c r="L39" s="104">
        <f>Kotak!L40</f>
        <v>0</v>
      </c>
      <c r="M39" s="104">
        <f>Kotak!M40</f>
        <v>0</v>
      </c>
      <c r="N39" s="104">
        <f>Kotak!N40</f>
        <v>0</v>
      </c>
      <c r="O39" s="104">
        <f>Kotak!O40</f>
        <v>0</v>
      </c>
      <c r="P39" s="104">
        <f>Kotak!P40</f>
        <v>0</v>
      </c>
      <c r="Q39" s="104">
        <f>Kotak!Q40</f>
        <v>0</v>
      </c>
      <c r="R39" s="104">
        <f>Kotak!R40</f>
        <v>0</v>
      </c>
      <c r="S39" s="104">
        <f>Kotak!S40</f>
        <v>0</v>
      </c>
      <c r="T39" s="104">
        <f>Kotak!T40</f>
        <v>0</v>
      </c>
      <c r="U39" s="104">
        <f>Kotak!U40</f>
        <v>0</v>
      </c>
      <c r="V39" s="104">
        <f>Kotak!V40</f>
        <v>0</v>
      </c>
      <c r="W39" s="104">
        <f>Kotak!W40</f>
        <v>0</v>
      </c>
      <c r="X39" s="104">
        <f>Kotak!X40</f>
        <v>0</v>
      </c>
      <c r="Y39" s="104">
        <f>Kotak!Y40</f>
        <v>0</v>
      </c>
      <c r="Z39" s="104">
        <f>Kotak!Z40</f>
        <v>0</v>
      </c>
      <c r="AA39" s="104">
        <f>Kotak!AA40</f>
        <v>0</v>
      </c>
      <c r="AB39" s="104">
        <f>Kotak!AB40</f>
        <v>0</v>
      </c>
      <c r="AC39" s="104">
        <f>Kotak!AC40</f>
        <v>0</v>
      </c>
      <c r="AD39" s="104">
        <f>Kotak!AD40</f>
        <v>0</v>
      </c>
      <c r="AE39" s="104">
        <f>Kotak!AE40</f>
        <v>0</v>
      </c>
      <c r="AF39" s="104">
        <f>Kotak!AF40</f>
        <v>0</v>
      </c>
      <c r="AG39" s="104">
        <f>Kotak!AG40</f>
        <v>0</v>
      </c>
      <c r="AH39" s="104">
        <f>Kotak!AH40</f>
        <v>0</v>
      </c>
      <c r="AI39" s="104">
        <f>Kotak!AI40</f>
        <v>0</v>
      </c>
      <c r="AJ39" s="104">
        <f>Kotak!AJ40</f>
        <v>0</v>
      </c>
      <c r="AK39" s="104">
        <f>Kotak!AK40</f>
        <v>0</v>
      </c>
      <c r="AL39" s="104">
        <f>Kotak!AL40</f>
        <v>0</v>
      </c>
      <c r="AM39" s="104">
        <f>Kotak!AM40</f>
        <v>0</v>
      </c>
      <c r="AN39" s="104">
        <f>Kotak!AN40</f>
        <v>0</v>
      </c>
      <c r="AO39" s="104">
        <f>Kotak!AO40</f>
        <v>0</v>
      </c>
      <c r="AP39" s="104">
        <f>Kotak!AP40</f>
        <v>0</v>
      </c>
      <c r="AQ39" s="104">
        <f>Kotak!AQ40</f>
        <v>0</v>
      </c>
      <c r="AR39" s="104">
        <f>Kotak!AR40</f>
        <v>0</v>
      </c>
      <c r="AS39" s="104">
        <f>Kotak!AS40</f>
        <v>0</v>
      </c>
      <c r="AT39" s="104">
        <f>Kotak!AT40</f>
        <v>0</v>
      </c>
      <c r="AU39" s="104">
        <f>Kotak!AU40</f>
        <v>0</v>
      </c>
      <c r="AV39" s="104">
        <f>Kotak!AV40</f>
        <v>0</v>
      </c>
      <c r="AW39" s="104">
        <f>Kotak!AW40</f>
        <v>0</v>
      </c>
      <c r="AX39" s="104">
        <f>Kotak!AX40</f>
        <v>0</v>
      </c>
      <c r="AY39" s="104">
        <f>Kotak!AY40</f>
        <v>0</v>
      </c>
      <c r="AZ39" s="104">
        <f>Kotak!AZ40</f>
        <v>0</v>
      </c>
      <c r="BA39" s="104">
        <f>Kotak!BA40</f>
        <v>0</v>
      </c>
      <c r="BB39" s="104">
        <f>Kotak!BB40</f>
        <v>0</v>
      </c>
      <c r="BC39" s="104">
        <f>Kotak!BC40</f>
        <v>0</v>
      </c>
      <c r="BD39" s="104">
        <f>Kotak!BD40</f>
        <v>0</v>
      </c>
      <c r="BE39" s="104">
        <f>Kotak!BE40</f>
        <v>0</v>
      </c>
      <c r="BF39" s="104">
        <f>Kotak!BF40</f>
        <v>0</v>
      </c>
      <c r="BG39" s="104">
        <f>Kotak!BG40</f>
        <v>0</v>
      </c>
      <c r="BH39" s="104">
        <f>Kotak!BH40</f>
        <v>0</v>
      </c>
      <c r="BI39" s="104">
        <f>Kotak!BI40</f>
        <v>0</v>
      </c>
      <c r="BJ39" s="104">
        <f>Kotak!BJ40</f>
        <v>0</v>
      </c>
      <c r="BK39" s="104">
        <f>Kotak!BK40</f>
        <v>0</v>
      </c>
      <c r="BL39" s="104">
        <f>Kotak!BL40</f>
        <v>0</v>
      </c>
      <c r="BM39" s="104">
        <f>Kotak!BM40</f>
        <v>0</v>
      </c>
      <c r="BN39" s="104">
        <f>Kotak!BN40</f>
        <v>0</v>
      </c>
      <c r="BO39" s="104">
        <f>Kotak!BO40</f>
        <v>0</v>
      </c>
      <c r="BP39" s="104">
        <f>Kotak!BP40</f>
        <v>0</v>
      </c>
      <c r="BQ39" s="104">
        <f>Kotak!BQ40</f>
        <v>0</v>
      </c>
      <c r="BR39" s="104">
        <f>Kotak!BR40</f>
        <v>0</v>
      </c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</row>
    <row r="40" spans="1:83">
      <c r="A40" s="21">
        <v>40</v>
      </c>
      <c r="B40" s="30"/>
      <c r="C40" s="30"/>
      <c r="D40" s="30"/>
      <c r="E40" s="104"/>
      <c r="F40" s="38">
        <f>IDFC!I40</f>
        <v>0</v>
      </c>
      <c r="G40" s="38">
        <f>Kotak!G41</f>
        <v>0</v>
      </c>
      <c r="H40" s="131">
        <f t="shared" si="6"/>
        <v>0</v>
      </c>
      <c r="I40" s="130">
        <f t="shared" si="2"/>
        <v>0</v>
      </c>
      <c r="J40" s="160">
        <f t="shared" si="3"/>
        <v>0</v>
      </c>
      <c r="K40" s="104">
        <f>Kotak!K41</f>
        <v>0</v>
      </c>
      <c r="L40" s="104">
        <f>Kotak!L41</f>
        <v>0</v>
      </c>
      <c r="M40" s="104">
        <f>Kotak!M41</f>
        <v>0</v>
      </c>
      <c r="N40" s="104">
        <f>Kotak!N41</f>
        <v>0</v>
      </c>
      <c r="O40" s="104">
        <f>Kotak!O41</f>
        <v>0</v>
      </c>
      <c r="P40" s="104">
        <f>Kotak!P41</f>
        <v>0</v>
      </c>
      <c r="Q40" s="104">
        <f>Kotak!Q41</f>
        <v>0</v>
      </c>
      <c r="R40" s="104">
        <f>Kotak!R41</f>
        <v>0</v>
      </c>
      <c r="S40" s="104">
        <f>Kotak!S41</f>
        <v>0</v>
      </c>
      <c r="T40" s="104">
        <f>Kotak!T41</f>
        <v>0</v>
      </c>
      <c r="U40" s="104">
        <f>Kotak!U41</f>
        <v>0</v>
      </c>
      <c r="V40" s="104">
        <f>Kotak!V41</f>
        <v>0</v>
      </c>
      <c r="W40" s="104">
        <f>Kotak!W41</f>
        <v>0</v>
      </c>
      <c r="X40" s="104">
        <f>Kotak!X41</f>
        <v>0</v>
      </c>
      <c r="Y40" s="104">
        <f>Kotak!Y41</f>
        <v>0</v>
      </c>
      <c r="Z40" s="104">
        <f>Kotak!Z41</f>
        <v>0</v>
      </c>
      <c r="AA40" s="104">
        <f>Kotak!AA41</f>
        <v>0</v>
      </c>
      <c r="AB40" s="104">
        <f>Kotak!AB41</f>
        <v>0</v>
      </c>
      <c r="AC40" s="104">
        <f>Kotak!AC41</f>
        <v>0</v>
      </c>
      <c r="AD40" s="104">
        <f>Kotak!AD41</f>
        <v>0</v>
      </c>
      <c r="AE40" s="104">
        <f>Kotak!AE41</f>
        <v>0</v>
      </c>
      <c r="AF40" s="104">
        <f>Kotak!AF41</f>
        <v>0</v>
      </c>
      <c r="AG40" s="104">
        <f>Kotak!AG41</f>
        <v>0</v>
      </c>
      <c r="AH40" s="104">
        <f>Kotak!AH41</f>
        <v>0</v>
      </c>
      <c r="AI40" s="104">
        <f>Kotak!AI41</f>
        <v>0</v>
      </c>
      <c r="AJ40" s="104">
        <f>Kotak!AJ41</f>
        <v>0</v>
      </c>
      <c r="AK40" s="104">
        <f>Kotak!AK41</f>
        <v>0</v>
      </c>
      <c r="AL40" s="104">
        <f>Kotak!AL41</f>
        <v>0</v>
      </c>
      <c r="AM40" s="104">
        <f>Kotak!AM41</f>
        <v>0</v>
      </c>
      <c r="AN40" s="104">
        <f>Kotak!AN41</f>
        <v>0</v>
      </c>
      <c r="AO40" s="104">
        <f>Kotak!AO41</f>
        <v>0</v>
      </c>
      <c r="AP40" s="104">
        <f>Kotak!AP41</f>
        <v>0</v>
      </c>
      <c r="AQ40" s="104">
        <f>Kotak!AQ41</f>
        <v>0</v>
      </c>
      <c r="AR40" s="104">
        <f>Kotak!AR41</f>
        <v>0</v>
      </c>
      <c r="AS40" s="104">
        <f>Kotak!AS41</f>
        <v>0</v>
      </c>
      <c r="AT40" s="104">
        <f>Kotak!AT41</f>
        <v>0</v>
      </c>
      <c r="AU40" s="104">
        <f>Kotak!AU41</f>
        <v>0</v>
      </c>
      <c r="AV40" s="104">
        <f>Kotak!AV41</f>
        <v>0</v>
      </c>
      <c r="AW40" s="104">
        <f>Kotak!AW41</f>
        <v>0</v>
      </c>
      <c r="AX40" s="104">
        <f>Kotak!AX41</f>
        <v>0</v>
      </c>
      <c r="AY40" s="104">
        <f>Kotak!AY41</f>
        <v>0</v>
      </c>
      <c r="AZ40" s="104">
        <f>Kotak!AZ41</f>
        <v>0</v>
      </c>
      <c r="BA40" s="104">
        <f>Kotak!BA41</f>
        <v>0</v>
      </c>
      <c r="BB40" s="104">
        <f>Kotak!BB41</f>
        <v>0</v>
      </c>
      <c r="BC40" s="104">
        <f>Kotak!BC41</f>
        <v>0</v>
      </c>
      <c r="BD40" s="104">
        <f>Kotak!BD41</f>
        <v>0</v>
      </c>
      <c r="BE40" s="104">
        <f>Kotak!BE41</f>
        <v>0</v>
      </c>
      <c r="BF40" s="104">
        <f>Kotak!BF41</f>
        <v>0</v>
      </c>
      <c r="BG40" s="104">
        <f>Kotak!BG41</f>
        <v>0</v>
      </c>
      <c r="BH40" s="104">
        <f>Kotak!BH41</f>
        <v>0</v>
      </c>
      <c r="BI40" s="104">
        <f>Kotak!BI41</f>
        <v>0</v>
      </c>
      <c r="BJ40" s="104">
        <f>Kotak!BJ41</f>
        <v>0</v>
      </c>
      <c r="BK40" s="104">
        <f>Kotak!BK41</f>
        <v>0</v>
      </c>
      <c r="BL40" s="104">
        <f>Kotak!BL41</f>
        <v>0</v>
      </c>
      <c r="BM40" s="104">
        <f>Kotak!BM41</f>
        <v>0</v>
      </c>
      <c r="BN40" s="104">
        <f>Kotak!BN41</f>
        <v>0</v>
      </c>
      <c r="BO40" s="104">
        <f>Kotak!BO41</f>
        <v>0</v>
      </c>
      <c r="BP40" s="104">
        <f>Kotak!BP41</f>
        <v>0</v>
      </c>
      <c r="BQ40" s="104">
        <f>Kotak!BQ41</f>
        <v>0</v>
      </c>
      <c r="BR40" s="104">
        <f>Kotak!BR41</f>
        <v>0</v>
      </c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</row>
    <row r="41" spans="1:83">
      <c r="A41" s="21">
        <v>41</v>
      </c>
      <c r="B41" s="30"/>
      <c r="C41" s="30"/>
      <c r="D41" s="30"/>
      <c r="E41" s="104"/>
      <c r="F41" s="38">
        <f>IDFC!I41</f>
        <v>0</v>
      </c>
      <c r="G41" s="38">
        <f>Kotak!G42</f>
        <v>0</v>
      </c>
      <c r="H41" s="131">
        <f t="shared" si="6"/>
        <v>0</v>
      </c>
      <c r="I41" s="130">
        <f t="shared" si="2"/>
        <v>0</v>
      </c>
      <c r="J41" s="160">
        <f t="shared" si="3"/>
        <v>0</v>
      </c>
      <c r="K41" s="104">
        <f>Kotak!K42</f>
        <v>0</v>
      </c>
      <c r="L41" s="104">
        <f>Kotak!L42</f>
        <v>0</v>
      </c>
      <c r="M41" s="104">
        <f>Kotak!M42</f>
        <v>0</v>
      </c>
      <c r="N41" s="104">
        <f>Kotak!N42</f>
        <v>0</v>
      </c>
      <c r="O41" s="104">
        <f>Kotak!O42</f>
        <v>0</v>
      </c>
      <c r="P41" s="104">
        <f>Kotak!P42</f>
        <v>0</v>
      </c>
      <c r="Q41" s="104">
        <f>Kotak!Q42</f>
        <v>0</v>
      </c>
      <c r="R41" s="104">
        <f>Kotak!R42</f>
        <v>0</v>
      </c>
      <c r="S41" s="104">
        <f>Kotak!S42</f>
        <v>0</v>
      </c>
      <c r="T41" s="104">
        <f>Kotak!T42</f>
        <v>0</v>
      </c>
      <c r="U41" s="104">
        <f>Kotak!U42</f>
        <v>0</v>
      </c>
      <c r="V41" s="104">
        <f>Kotak!V42</f>
        <v>0</v>
      </c>
      <c r="W41" s="104">
        <f>Kotak!W42</f>
        <v>0</v>
      </c>
      <c r="X41" s="104">
        <f>Kotak!X42</f>
        <v>0</v>
      </c>
      <c r="Y41" s="104">
        <f>Kotak!Y42</f>
        <v>0</v>
      </c>
      <c r="Z41" s="104">
        <f>Kotak!Z42</f>
        <v>0</v>
      </c>
      <c r="AA41" s="104">
        <f>Kotak!AA42</f>
        <v>0</v>
      </c>
      <c r="AB41" s="104">
        <f>Kotak!AB42</f>
        <v>0</v>
      </c>
      <c r="AC41" s="104">
        <f>Kotak!AC42</f>
        <v>0</v>
      </c>
      <c r="AD41" s="104">
        <f>Kotak!AD42</f>
        <v>0</v>
      </c>
      <c r="AE41" s="104">
        <f>Kotak!AE42</f>
        <v>0</v>
      </c>
      <c r="AF41" s="104">
        <f>Kotak!AF42</f>
        <v>0</v>
      </c>
      <c r="AG41" s="104">
        <f>Kotak!AG42</f>
        <v>0</v>
      </c>
      <c r="AH41" s="104">
        <f>Kotak!AH42</f>
        <v>0</v>
      </c>
      <c r="AI41" s="104">
        <f>Kotak!AI42</f>
        <v>0</v>
      </c>
      <c r="AJ41" s="104">
        <f>Kotak!AJ42</f>
        <v>0</v>
      </c>
      <c r="AK41" s="104">
        <f>Kotak!AK42</f>
        <v>0</v>
      </c>
      <c r="AL41" s="104">
        <f>Kotak!AL42</f>
        <v>0</v>
      </c>
      <c r="AM41" s="104">
        <f>Kotak!AM42</f>
        <v>0</v>
      </c>
      <c r="AN41" s="104">
        <f>Kotak!AN42</f>
        <v>0</v>
      </c>
      <c r="AO41" s="104">
        <f>Kotak!AO42</f>
        <v>0</v>
      </c>
      <c r="AP41" s="104">
        <f>Kotak!AP42</f>
        <v>0</v>
      </c>
      <c r="AQ41" s="104">
        <f>Kotak!AQ42</f>
        <v>0</v>
      </c>
      <c r="AR41" s="104">
        <f>Kotak!AR42</f>
        <v>0</v>
      </c>
      <c r="AS41" s="104">
        <f>Kotak!AS42</f>
        <v>0</v>
      </c>
      <c r="AT41" s="104">
        <f>Kotak!AT42</f>
        <v>0</v>
      </c>
      <c r="AU41" s="104">
        <f>Kotak!AU42</f>
        <v>0</v>
      </c>
      <c r="AV41" s="104">
        <f>Kotak!AV42</f>
        <v>0</v>
      </c>
      <c r="AW41" s="104">
        <f>Kotak!AW42</f>
        <v>0</v>
      </c>
      <c r="AX41" s="104">
        <f>Kotak!AX42</f>
        <v>0</v>
      </c>
      <c r="AY41" s="104">
        <f>Kotak!AY42</f>
        <v>0</v>
      </c>
      <c r="AZ41" s="104">
        <f>Kotak!AZ42</f>
        <v>0</v>
      </c>
      <c r="BA41" s="104">
        <f>Kotak!BA42</f>
        <v>0</v>
      </c>
      <c r="BB41" s="104">
        <f>Kotak!BB42</f>
        <v>0</v>
      </c>
      <c r="BC41" s="104">
        <f>Kotak!BC42</f>
        <v>0</v>
      </c>
      <c r="BD41" s="104">
        <f>Kotak!BD42</f>
        <v>0</v>
      </c>
      <c r="BE41" s="104">
        <f>Kotak!BE42</f>
        <v>0</v>
      </c>
      <c r="BF41" s="104">
        <f>Kotak!BF42</f>
        <v>0</v>
      </c>
      <c r="BG41" s="104">
        <f>Kotak!BG42</f>
        <v>0</v>
      </c>
      <c r="BH41" s="104">
        <f>Kotak!BH42</f>
        <v>0</v>
      </c>
      <c r="BI41" s="104">
        <f>Kotak!BI42</f>
        <v>0</v>
      </c>
      <c r="BJ41" s="104">
        <f>Kotak!BJ42</f>
        <v>0</v>
      </c>
      <c r="BK41" s="104">
        <f>Kotak!BK42</f>
        <v>0</v>
      </c>
      <c r="BL41" s="104">
        <f>Kotak!BL42</f>
        <v>0</v>
      </c>
      <c r="BM41" s="104">
        <f>Kotak!BM42</f>
        <v>0</v>
      </c>
      <c r="BN41" s="104">
        <f>Kotak!BN42</f>
        <v>0</v>
      </c>
      <c r="BO41" s="104">
        <f>Kotak!BO42</f>
        <v>0</v>
      </c>
      <c r="BP41" s="104">
        <f>Kotak!BP42</f>
        <v>0</v>
      </c>
      <c r="BQ41" s="104">
        <f>Kotak!BQ42</f>
        <v>0</v>
      </c>
      <c r="BR41" s="104">
        <f>Kotak!BR42</f>
        <v>0</v>
      </c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1:83">
      <c r="A42" s="21">
        <v>42</v>
      </c>
      <c r="B42" s="141"/>
      <c r="C42" s="141"/>
      <c r="D42" s="141"/>
      <c r="E42" s="25"/>
      <c r="F42" s="38">
        <f>IDFC!I42</f>
        <v>0</v>
      </c>
      <c r="G42" s="38">
        <f>Kotak!G43</f>
        <v>0</v>
      </c>
      <c r="H42" s="131">
        <f t="shared" si="6"/>
        <v>0</v>
      </c>
      <c r="I42" s="130">
        <f t="shared" si="2"/>
        <v>0</v>
      </c>
      <c r="J42" s="160">
        <f t="shared" si="3"/>
        <v>0</v>
      </c>
      <c r="K42" s="104">
        <f>Kotak!K43</f>
        <v>0</v>
      </c>
      <c r="L42" s="104">
        <f>Kotak!L43</f>
        <v>0</v>
      </c>
      <c r="M42" s="104">
        <f>Kotak!M43</f>
        <v>0</v>
      </c>
      <c r="N42" s="104">
        <f>Kotak!N43</f>
        <v>0</v>
      </c>
      <c r="O42" s="104">
        <f>Kotak!O43</f>
        <v>0</v>
      </c>
      <c r="P42" s="104">
        <f>Kotak!P43</f>
        <v>0</v>
      </c>
      <c r="Q42" s="104">
        <f>Kotak!Q43</f>
        <v>0</v>
      </c>
      <c r="R42" s="104">
        <f>Kotak!R43</f>
        <v>0</v>
      </c>
      <c r="S42" s="104">
        <f>Kotak!S43</f>
        <v>0</v>
      </c>
      <c r="T42" s="104">
        <f>Kotak!T43</f>
        <v>0</v>
      </c>
      <c r="U42" s="104">
        <f>Kotak!U43</f>
        <v>0</v>
      </c>
      <c r="V42" s="104">
        <f>Kotak!V43</f>
        <v>0</v>
      </c>
      <c r="W42" s="104">
        <f>Kotak!W43</f>
        <v>0</v>
      </c>
      <c r="X42" s="104">
        <f>Kotak!X43</f>
        <v>0</v>
      </c>
      <c r="Y42" s="104">
        <f>Kotak!Y43</f>
        <v>0</v>
      </c>
      <c r="Z42" s="104">
        <f>Kotak!Z43</f>
        <v>0</v>
      </c>
      <c r="AA42" s="104">
        <f>Kotak!AA43</f>
        <v>0</v>
      </c>
      <c r="AB42" s="104">
        <f>Kotak!AB43</f>
        <v>0</v>
      </c>
      <c r="AC42" s="104">
        <f>Kotak!AC43</f>
        <v>0</v>
      </c>
      <c r="AD42" s="104">
        <f>Kotak!AD43</f>
        <v>0</v>
      </c>
      <c r="AE42" s="104">
        <f>Kotak!AE43</f>
        <v>0</v>
      </c>
      <c r="AF42" s="104">
        <f>Kotak!AF43</f>
        <v>0</v>
      </c>
      <c r="AG42" s="104">
        <f>Kotak!AG43</f>
        <v>0</v>
      </c>
      <c r="AH42" s="104">
        <f>Kotak!AH43</f>
        <v>0</v>
      </c>
      <c r="AI42" s="104">
        <f>Kotak!AI43</f>
        <v>0</v>
      </c>
      <c r="AJ42" s="104">
        <f>Kotak!AJ43</f>
        <v>0</v>
      </c>
      <c r="AK42" s="104">
        <f>Kotak!AK43</f>
        <v>0</v>
      </c>
      <c r="AL42" s="104">
        <f>Kotak!AL43</f>
        <v>0</v>
      </c>
      <c r="AM42" s="104">
        <f>Kotak!AM43</f>
        <v>0</v>
      </c>
      <c r="AN42" s="104">
        <f>Kotak!AN43</f>
        <v>0</v>
      </c>
      <c r="AO42" s="104">
        <f>Kotak!AO43</f>
        <v>0</v>
      </c>
      <c r="AP42" s="104">
        <f>Kotak!AP43</f>
        <v>0</v>
      </c>
      <c r="AQ42" s="104">
        <f>Kotak!AQ43</f>
        <v>0</v>
      </c>
      <c r="AR42" s="104">
        <f>Kotak!AR43</f>
        <v>0</v>
      </c>
      <c r="AS42" s="104">
        <f>Kotak!AS43</f>
        <v>0</v>
      </c>
      <c r="AT42" s="104">
        <f>Kotak!AT43</f>
        <v>0</v>
      </c>
      <c r="AU42" s="104">
        <f>Kotak!AU43</f>
        <v>0</v>
      </c>
      <c r="AV42" s="104">
        <f>Kotak!AV43</f>
        <v>0</v>
      </c>
      <c r="AW42" s="104">
        <f>Kotak!AW43</f>
        <v>0</v>
      </c>
      <c r="AX42" s="104">
        <f>Kotak!AX43</f>
        <v>0</v>
      </c>
      <c r="AY42" s="104">
        <f>Kotak!AY43</f>
        <v>0</v>
      </c>
      <c r="AZ42" s="104">
        <f>Kotak!AZ43</f>
        <v>0</v>
      </c>
      <c r="BA42" s="104">
        <f>Kotak!BA43</f>
        <v>0</v>
      </c>
      <c r="BB42" s="104">
        <f>Kotak!BB43</f>
        <v>0</v>
      </c>
      <c r="BC42" s="104">
        <f>Kotak!BC43</f>
        <v>0</v>
      </c>
      <c r="BD42" s="104">
        <f>Kotak!BD43</f>
        <v>0</v>
      </c>
      <c r="BE42" s="104">
        <f>Kotak!BE43</f>
        <v>0</v>
      </c>
      <c r="BF42" s="104">
        <f>Kotak!BF43</f>
        <v>0</v>
      </c>
      <c r="BG42" s="104">
        <f>Kotak!BG43</f>
        <v>0</v>
      </c>
      <c r="BH42" s="104">
        <f>Kotak!BH43</f>
        <v>0</v>
      </c>
      <c r="BI42" s="104">
        <f>Kotak!BI43</f>
        <v>0</v>
      </c>
      <c r="BJ42" s="104">
        <f>Kotak!BJ43</f>
        <v>0</v>
      </c>
      <c r="BK42" s="104">
        <f>Kotak!BK43</f>
        <v>0</v>
      </c>
      <c r="BL42" s="104">
        <f>Kotak!BL43</f>
        <v>0</v>
      </c>
      <c r="BM42" s="104">
        <f>Kotak!BM43</f>
        <v>0</v>
      </c>
      <c r="BN42" s="104">
        <f>Kotak!BN43</f>
        <v>0</v>
      </c>
      <c r="BO42" s="104">
        <f>Kotak!BO43</f>
        <v>0</v>
      </c>
      <c r="BP42" s="104">
        <f>Kotak!BP43</f>
        <v>0</v>
      </c>
      <c r="BQ42" s="104">
        <f>Kotak!BQ43</f>
        <v>0</v>
      </c>
      <c r="BR42" s="104">
        <f>Kotak!BR43</f>
        <v>0</v>
      </c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1:83">
      <c r="A43" s="21">
        <v>43</v>
      </c>
      <c r="B43" s="142"/>
      <c r="C43" s="142"/>
      <c r="D43" s="142"/>
      <c r="E43" s="143"/>
      <c r="F43" s="38">
        <f>IDFC!I43</f>
        <v>0</v>
      </c>
      <c r="G43" s="38">
        <f>Kotak!G44</f>
        <v>0</v>
      </c>
      <c r="H43" s="131">
        <f t="shared" si="6"/>
        <v>0</v>
      </c>
      <c r="I43" s="130">
        <f t="shared" si="2"/>
        <v>0</v>
      </c>
      <c r="J43" s="160">
        <f t="shared" si="3"/>
        <v>0</v>
      </c>
      <c r="K43" s="104">
        <f>Kotak!K44</f>
        <v>0</v>
      </c>
      <c r="L43" s="104">
        <f>Kotak!L44</f>
        <v>0</v>
      </c>
      <c r="M43" s="104">
        <f>Kotak!M44</f>
        <v>0</v>
      </c>
      <c r="N43" s="104">
        <f>Kotak!N44</f>
        <v>0</v>
      </c>
      <c r="O43" s="104">
        <f>Kotak!O44</f>
        <v>0</v>
      </c>
      <c r="P43" s="104">
        <f>Kotak!P44</f>
        <v>0</v>
      </c>
      <c r="Q43" s="104">
        <f>Kotak!Q44</f>
        <v>0</v>
      </c>
      <c r="R43" s="104">
        <f>Kotak!R44</f>
        <v>0</v>
      </c>
      <c r="S43" s="104">
        <f>Kotak!S44</f>
        <v>0</v>
      </c>
      <c r="T43" s="104">
        <f>Kotak!T44</f>
        <v>0</v>
      </c>
      <c r="U43" s="104">
        <f>Kotak!U44</f>
        <v>0</v>
      </c>
      <c r="V43" s="104">
        <f>Kotak!V44</f>
        <v>0</v>
      </c>
      <c r="W43" s="104">
        <f>Kotak!W44</f>
        <v>0</v>
      </c>
      <c r="X43" s="104">
        <f>Kotak!X44</f>
        <v>0</v>
      </c>
      <c r="Y43" s="104">
        <f>Kotak!Y44</f>
        <v>0</v>
      </c>
      <c r="Z43" s="104">
        <f>Kotak!Z44</f>
        <v>0</v>
      </c>
      <c r="AA43" s="104">
        <f>Kotak!AA44</f>
        <v>0</v>
      </c>
      <c r="AB43" s="104">
        <f>Kotak!AB44</f>
        <v>0</v>
      </c>
      <c r="AC43" s="104">
        <f>Kotak!AC44</f>
        <v>0</v>
      </c>
      <c r="AD43" s="104">
        <f>Kotak!AD44</f>
        <v>0</v>
      </c>
      <c r="AE43" s="104">
        <f>Kotak!AE44</f>
        <v>0</v>
      </c>
      <c r="AF43" s="104">
        <f>Kotak!AF44</f>
        <v>0</v>
      </c>
      <c r="AG43" s="104">
        <f>Kotak!AG44</f>
        <v>0</v>
      </c>
      <c r="AH43" s="104">
        <f>Kotak!AH44</f>
        <v>0</v>
      </c>
      <c r="AI43" s="104">
        <f>Kotak!AI44</f>
        <v>0</v>
      </c>
      <c r="AJ43" s="104">
        <f>Kotak!AJ44</f>
        <v>0</v>
      </c>
      <c r="AK43" s="104">
        <f>Kotak!AK44</f>
        <v>0</v>
      </c>
      <c r="AL43" s="104">
        <f>Kotak!AL44</f>
        <v>0</v>
      </c>
      <c r="AM43" s="104">
        <f>Kotak!AM44</f>
        <v>0</v>
      </c>
      <c r="AN43" s="104">
        <f>Kotak!AN44</f>
        <v>0</v>
      </c>
      <c r="AO43" s="104">
        <f>Kotak!AO44</f>
        <v>0</v>
      </c>
      <c r="AP43" s="104">
        <f>Kotak!AP44</f>
        <v>0</v>
      </c>
      <c r="AQ43" s="104">
        <f>Kotak!AQ44</f>
        <v>0</v>
      </c>
      <c r="AR43" s="104">
        <f>Kotak!AR44</f>
        <v>0</v>
      </c>
      <c r="AS43" s="104">
        <f>Kotak!AS44</f>
        <v>0</v>
      </c>
      <c r="AT43" s="104">
        <f>Kotak!AT44</f>
        <v>0</v>
      </c>
      <c r="AU43" s="104">
        <f>Kotak!AU44</f>
        <v>0</v>
      </c>
      <c r="AV43" s="104">
        <f>Kotak!AV44</f>
        <v>0</v>
      </c>
      <c r="AW43" s="104">
        <f>Kotak!AW44</f>
        <v>0</v>
      </c>
      <c r="AX43" s="104">
        <f>Kotak!AX44</f>
        <v>0</v>
      </c>
      <c r="AY43" s="104">
        <f>Kotak!AY44</f>
        <v>0</v>
      </c>
      <c r="AZ43" s="104">
        <f>Kotak!AZ44</f>
        <v>0</v>
      </c>
      <c r="BA43" s="104">
        <f>Kotak!BA44</f>
        <v>0</v>
      </c>
      <c r="BB43" s="104">
        <f>Kotak!BB44</f>
        <v>0</v>
      </c>
      <c r="BC43" s="104">
        <f>Kotak!BC44</f>
        <v>0</v>
      </c>
      <c r="BD43" s="104">
        <f>Kotak!BD44</f>
        <v>0</v>
      </c>
      <c r="BE43" s="104">
        <f>Kotak!BE44</f>
        <v>0</v>
      </c>
      <c r="BF43" s="104">
        <f>Kotak!BF44</f>
        <v>0</v>
      </c>
      <c r="BG43" s="104">
        <f>Kotak!BG44</f>
        <v>0</v>
      </c>
      <c r="BH43" s="104">
        <f>Kotak!BH44</f>
        <v>0</v>
      </c>
      <c r="BI43" s="104">
        <f>Kotak!BI44</f>
        <v>0</v>
      </c>
      <c r="BJ43" s="104">
        <f>Kotak!BJ44</f>
        <v>0</v>
      </c>
      <c r="BK43" s="104">
        <f>Kotak!BK44</f>
        <v>0</v>
      </c>
      <c r="BL43" s="104">
        <f>Kotak!BL44</f>
        <v>0</v>
      </c>
      <c r="BM43" s="104">
        <f>Kotak!BM44</f>
        <v>0</v>
      </c>
      <c r="BN43" s="104">
        <f>Kotak!BN44</f>
        <v>0</v>
      </c>
      <c r="BO43" s="104">
        <f>Kotak!BO44</f>
        <v>0</v>
      </c>
      <c r="BP43" s="104">
        <f>Kotak!BP44</f>
        <v>0</v>
      </c>
      <c r="BQ43" s="104">
        <f>Kotak!BQ44</f>
        <v>0</v>
      </c>
      <c r="BR43" s="104">
        <f>Kotak!BR44</f>
        <v>0</v>
      </c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1:83">
      <c r="A44" s="21">
        <v>44</v>
      </c>
      <c r="B44" s="142"/>
      <c r="C44" s="142"/>
      <c r="D44" s="142"/>
      <c r="E44" s="143"/>
      <c r="F44" s="38">
        <f>IDFC!I44</f>
        <v>0</v>
      </c>
      <c r="G44" s="38">
        <f>Kotak!G45</f>
        <v>0</v>
      </c>
      <c r="H44" s="131">
        <f t="shared" si="6"/>
        <v>0</v>
      </c>
      <c r="I44" s="130">
        <f t="shared" si="2"/>
        <v>0</v>
      </c>
      <c r="J44" s="160">
        <f t="shared" si="3"/>
        <v>0</v>
      </c>
      <c r="K44" s="104">
        <f>Kotak!K45</f>
        <v>0</v>
      </c>
      <c r="L44" s="104">
        <f>Kotak!L45</f>
        <v>0</v>
      </c>
      <c r="M44" s="104">
        <f>Kotak!M45</f>
        <v>0</v>
      </c>
      <c r="N44" s="104">
        <f>Kotak!N45</f>
        <v>0</v>
      </c>
      <c r="O44" s="104">
        <f>Kotak!O45</f>
        <v>0</v>
      </c>
      <c r="P44" s="104">
        <f>Kotak!P45</f>
        <v>0</v>
      </c>
      <c r="Q44" s="104">
        <f>Kotak!Q45</f>
        <v>0</v>
      </c>
      <c r="R44" s="104">
        <f>Kotak!R45</f>
        <v>0</v>
      </c>
      <c r="S44" s="104">
        <f>Kotak!S45</f>
        <v>0</v>
      </c>
      <c r="T44" s="104">
        <f>Kotak!T45</f>
        <v>0</v>
      </c>
      <c r="U44" s="104">
        <f>Kotak!U45</f>
        <v>0</v>
      </c>
      <c r="V44" s="104">
        <f>Kotak!V45</f>
        <v>0</v>
      </c>
      <c r="W44" s="104">
        <f>Kotak!W45</f>
        <v>0</v>
      </c>
      <c r="X44" s="104">
        <f>Kotak!X45</f>
        <v>0</v>
      </c>
      <c r="Y44" s="104">
        <f>Kotak!Y45</f>
        <v>0</v>
      </c>
      <c r="Z44" s="104">
        <f>Kotak!Z45</f>
        <v>0</v>
      </c>
      <c r="AA44" s="104">
        <f>Kotak!AA45</f>
        <v>0</v>
      </c>
      <c r="AB44" s="104">
        <f>Kotak!AB45</f>
        <v>0</v>
      </c>
      <c r="AC44" s="104">
        <f>Kotak!AC45</f>
        <v>0</v>
      </c>
      <c r="AD44" s="104">
        <f>Kotak!AD45</f>
        <v>0</v>
      </c>
      <c r="AE44" s="104">
        <f>Kotak!AE45</f>
        <v>0</v>
      </c>
      <c r="AF44" s="104">
        <f>Kotak!AF45</f>
        <v>0</v>
      </c>
      <c r="AG44" s="104">
        <f>Kotak!AG45</f>
        <v>0</v>
      </c>
      <c r="AH44" s="104">
        <f>Kotak!AH45</f>
        <v>0</v>
      </c>
      <c r="AI44" s="104">
        <f>Kotak!AI45</f>
        <v>0</v>
      </c>
      <c r="AJ44" s="104">
        <f>Kotak!AJ45</f>
        <v>0</v>
      </c>
      <c r="AK44" s="104">
        <f>Kotak!AK45</f>
        <v>0</v>
      </c>
      <c r="AL44" s="104">
        <f>Kotak!AL45</f>
        <v>0</v>
      </c>
      <c r="AM44" s="104">
        <f>Kotak!AM45</f>
        <v>0</v>
      </c>
      <c r="AN44" s="104">
        <f>Kotak!AN45</f>
        <v>0</v>
      </c>
      <c r="AO44" s="104">
        <f>Kotak!AO45</f>
        <v>0</v>
      </c>
      <c r="AP44" s="104">
        <f>Kotak!AP45</f>
        <v>0</v>
      </c>
      <c r="AQ44" s="104">
        <f>Kotak!AQ45</f>
        <v>0</v>
      </c>
      <c r="AR44" s="104">
        <f>Kotak!AR45</f>
        <v>0</v>
      </c>
      <c r="AS44" s="104">
        <f>Kotak!AS45</f>
        <v>0</v>
      </c>
      <c r="AT44" s="104">
        <f>Kotak!AT45</f>
        <v>0</v>
      </c>
      <c r="AU44" s="104">
        <f>Kotak!AU45</f>
        <v>0</v>
      </c>
      <c r="AV44" s="104">
        <f>Kotak!AV45</f>
        <v>0</v>
      </c>
      <c r="AW44" s="104">
        <f>Kotak!AW45</f>
        <v>0</v>
      </c>
      <c r="AX44" s="104">
        <f>Kotak!AX45</f>
        <v>0</v>
      </c>
      <c r="AY44" s="104">
        <f>Kotak!AY45</f>
        <v>0</v>
      </c>
      <c r="AZ44" s="104">
        <f>Kotak!AZ45</f>
        <v>0</v>
      </c>
      <c r="BA44" s="104">
        <f>Kotak!BA45</f>
        <v>0</v>
      </c>
      <c r="BB44" s="104">
        <f>Kotak!BB45</f>
        <v>0</v>
      </c>
      <c r="BC44" s="104">
        <f>Kotak!BC45</f>
        <v>0</v>
      </c>
      <c r="BD44" s="104">
        <f>Kotak!BD45</f>
        <v>0</v>
      </c>
      <c r="BE44" s="104">
        <f>Kotak!BE45</f>
        <v>0</v>
      </c>
      <c r="BF44" s="104">
        <f>Kotak!BF45</f>
        <v>0</v>
      </c>
      <c r="BG44" s="104">
        <f>Kotak!BG45</f>
        <v>0</v>
      </c>
      <c r="BH44" s="104">
        <f>Kotak!BH45</f>
        <v>0</v>
      </c>
      <c r="BI44" s="104">
        <f>Kotak!BI45</f>
        <v>0</v>
      </c>
      <c r="BJ44" s="104">
        <f>Kotak!BJ45</f>
        <v>0</v>
      </c>
      <c r="BK44" s="104">
        <f>Kotak!BK45</f>
        <v>0</v>
      </c>
      <c r="BL44" s="104">
        <f>Kotak!BL45</f>
        <v>0</v>
      </c>
      <c r="BM44" s="104">
        <f>Kotak!BM45</f>
        <v>0</v>
      </c>
      <c r="BN44" s="104">
        <f>Kotak!BN45</f>
        <v>0</v>
      </c>
      <c r="BO44" s="104">
        <f>Kotak!BO45</f>
        <v>0</v>
      </c>
      <c r="BP44" s="104">
        <f>Kotak!BP45</f>
        <v>0</v>
      </c>
      <c r="BQ44" s="104">
        <f>Kotak!BQ45</f>
        <v>0</v>
      </c>
      <c r="BR44" s="104">
        <f>Kotak!BR45</f>
        <v>0</v>
      </c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1:83">
      <c r="A45" s="21">
        <v>45</v>
      </c>
      <c r="B45" s="142"/>
      <c r="C45" s="142"/>
      <c r="D45" s="142"/>
      <c r="E45" s="143"/>
      <c r="F45" s="38">
        <f>IDFC!I45</f>
        <v>0</v>
      </c>
      <c r="G45" s="38">
        <f>Kotak!G46</f>
        <v>0</v>
      </c>
      <c r="H45" s="131">
        <f t="shared" si="6"/>
        <v>0</v>
      </c>
      <c r="I45" s="130">
        <f t="shared" si="2"/>
        <v>0</v>
      </c>
      <c r="J45" s="160">
        <f t="shared" si="3"/>
        <v>0</v>
      </c>
      <c r="K45" s="104">
        <f>Kotak!K46</f>
        <v>0</v>
      </c>
      <c r="L45" s="104">
        <f>Kotak!L46</f>
        <v>0</v>
      </c>
      <c r="M45" s="104">
        <f>Kotak!M46</f>
        <v>0</v>
      </c>
      <c r="N45" s="104">
        <f>Kotak!N46</f>
        <v>0</v>
      </c>
      <c r="O45" s="104">
        <f>Kotak!O46</f>
        <v>0</v>
      </c>
      <c r="P45" s="104">
        <f>Kotak!P46</f>
        <v>0</v>
      </c>
      <c r="Q45" s="104">
        <f>Kotak!Q46</f>
        <v>0</v>
      </c>
      <c r="R45" s="104">
        <f>Kotak!R46</f>
        <v>0</v>
      </c>
      <c r="S45" s="104">
        <f>Kotak!S46</f>
        <v>0</v>
      </c>
      <c r="T45" s="104">
        <f>Kotak!T46</f>
        <v>0</v>
      </c>
      <c r="U45" s="104">
        <f>Kotak!U46</f>
        <v>0</v>
      </c>
      <c r="V45" s="104">
        <f>Kotak!V46</f>
        <v>0</v>
      </c>
      <c r="W45" s="104">
        <f>Kotak!W46</f>
        <v>0</v>
      </c>
      <c r="X45" s="104">
        <f>Kotak!X46</f>
        <v>0</v>
      </c>
      <c r="Y45" s="104">
        <f>Kotak!Y46</f>
        <v>0</v>
      </c>
      <c r="Z45" s="104">
        <f>Kotak!Z46</f>
        <v>0</v>
      </c>
      <c r="AA45" s="104">
        <f>Kotak!AA46</f>
        <v>0</v>
      </c>
      <c r="AB45" s="104">
        <f>Kotak!AB46</f>
        <v>0</v>
      </c>
      <c r="AC45" s="104">
        <f>Kotak!AC46</f>
        <v>0</v>
      </c>
      <c r="AD45" s="104">
        <f>Kotak!AD46</f>
        <v>0</v>
      </c>
      <c r="AE45" s="104">
        <f>Kotak!AE46</f>
        <v>0</v>
      </c>
      <c r="AF45" s="104">
        <f>Kotak!AF46</f>
        <v>0</v>
      </c>
      <c r="AG45" s="104">
        <f>Kotak!AG46</f>
        <v>0</v>
      </c>
      <c r="AH45" s="104">
        <f>Kotak!AH46</f>
        <v>0</v>
      </c>
      <c r="AI45" s="104">
        <f>Kotak!AI46</f>
        <v>0</v>
      </c>
      <c r="AJ45" s="104">
        <f>Kotak!AJ46</f>
        <v>0</v>
      </c>
      <c r="AK45" s="104">
        <f>Kotak!AK46</f>
        <v>0</v>
      </c>
      <c r="AL45" s="104">
        <f>Kotak!AL46</f>
        <v>0</v>
      </c>
      <c r="AM45" s="104">
        <f>Kotak!AM46</f>
        <v>0</v>
      </c>
      <c r="AN45" s="104">
        <f>Kotak!AN46</f>
        <v>0</v>
      </c>
      <c r="AO45" s="104">
        <f>Kotak!AO46</f>
        <v>0</v>
      </c>
      <c r="AP45" s="104">
        <f>Kotak!AP46</f>
        <v>0</v>
      </c>
      <c r="AQ45" s="104">
        <f>Kotak!AQ46</f>
        <v>0</v>
      </c>
      <c r="AR45" s="104">
        <f>Kotak!AR46</f>
        <v>0</v>
      </c>
      <c r="AS45" s="104">
        <f>Kotak!AS46</f>
        <v>0</v>
      </c>
      <c r="AT45" s="104">
        <f>Kotak!AT46</f>
        <v>0</v>
      </c>
      <c r="AU45" s="104">
        <f>Kotak!AU46</f>
        <v>0</v>
      </c>
      <c r="AV45" s="104">
        <f>Kotak!AV46</f>
        <v>0</v>
      </c>
      <c r="AW45" s="104">
        <f>Kotak!AW46</f>
        <v>0</v>
      </c>
      <c r="AX45" s="104">
        <f>Kotak!AX46</f>
        <v>0</v>
      </c>
      <c r="AY45" s="104">
        <f>Kotak!AY46</f>
        <v>0</v>
      </c>
      <c r="AZ45" s="104">
        <f>Kotak!AZ46</f>
        <v>0</v>
      </c>
      <c r="BA45" s="104">
        <f>Kotak!BA46</f>
        <v>0</v>
      </c>
      <c r="BB45" s="104">
        <f>Kotak!BB46</f>
        <v>0</v>
      </c>
      <c r="BC45" s="104">
        <f>Kotak!BC46</f>
        <v>0</v>
      </c>
      <c r="BD45" s="104">
        <f>Kotak!BD46</f>
        <v>0</v>
      </c>
      <c r="BE45" s="104">
        <f>Kotak!BE46</f>
        <v>0</v>
      </c>
      <c r="BF45" s="104">
        <f>Kotak!BF46</f>
        <v>0</v>
      </c>
      <c r="BG45" s="104">
        <f>Kotak!BG46</f>
        <v>0</v>
      </c>
      <c r="BH45" s="104">
        <f>Kotak!BH46</f>
        <v>0</v>
      </c>
      <c r="BI45" s="104">
        <f>Kotak!BI46</f>
        <v>0</v>
      </c>
      <c r="BJ45" s="104">
        <f>Kotak!BJ46</f>
        <v>0</v>
      </c>
      <c r="BK45" s="104">
        <f>Kotak!BK46</f>
        <v>0</v>
      </c>
      <c r="BL45" s="104">
        <f>Kotak!BL46</f>
        <v>0</v>
      </c>
      <c r="BM45" s="104">
        <f>Kotak!BM46</f>
        <v>0</v>
      </c>
      <c r="BN45" s="104">
        <f>Kotak!BN46</f>
        <v>0</v>
      </c>
      <c r="BO45" s="104">
        <f>Kotak!BO46</f>
        <v>0</v>
      </c>
      <c r="BP45" s="104">
        <f>Kotak!BP46</f>
        <v>0</v>
      </c>
      <c r="BQ45" s="104">
        <f>Kotak!BQ46</f>
        <v>0</v>
      </c>
      <c r="BR45" s="104">
        <f>Kotak!BR46</f>
        <v>0</v>
      </c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1:83">
      <c r="A46" s="21">
        <v>46</v>
      </c>
      <c r="B46" s="142"/>
      <c r="C46" s="142"/>
      <c r="D46" s="142"/>
      <c r="E46" s="143"/>
      <c r="F46" s="38">
        <f>IDFC!I46</f>
        <v>0</v>
      </c>
      <c r="G46" s="38">
        <f>Kotak!G47</f>
        <v>0</v>
      </c>
      <c r="H46" s="131">
        <f t="shared" si="6"/>
        <v>0</v>
      </c>
      <c r="I46" s="130">
        <f t="shared" si="2"/>
        <v>0</v>
      </c>
      <c r="J46" s="160">
        <f t="shared" si="3"/>
        <v>0</v>
      </c>
      <c r="K46" s="104">
        <f>Kotak!K47</f>
        <v>0</v>
      </c>
      <c r="L46" s="104">
        <f>Kotak!L47</f>
        <v>0</v>
      </c>
      <c r="M46" s="104">
        <f>Kotak!M47</f>
        <v>0</v>
      </c>
      <c r="N46" s="104">
        <f>Kotak!N47</f>
        <v>0</v>
      </c>
      <c r="O46" s="104">
        <f>Kotak!O47</f>
        <v>0</v>
      </c>
      <c r="P46" s="104">
        <f>Kotak!P47</f>
        <v>0</v>
      </c>
      <c r="Q46" s="104">
        <f>Kotak!Q47</f>
        <v>0</v>
      </c>
      <c r="R46" s="104">
        <f>Kotak!R47</f>
        <v>0</v>
      </c>
      <c r="S46" s="104">
        <f>Kotak!S47</f>
        <v>0</v>
      </c>
      <c r="T46" s="104">
        <f>Kotak!T47</f>
        <v>0</v>
      </c>
      <c r="U46" s="104">
        <f>Kotak!U47</f>
        <v>0</v>
      </c>
      <c r="V46" s="104">
        <f>Kotak!V47</f>
        <v>0</v>
      </c>
      <c r="W46" s="104">
        <f>Kotak!W47</f>
        <v>0</v>
      </c>
      <c r="X46" s="104">
        <f>Kotak!X47</f>
        <v>0</v>
      </c>
      <c r="Y46" s="104">
        <f>Kotak!Y47</f>
        <v>0</v>
      </c>
      <c r="Z46" s="104">
        <f>Kotak!Z47</f>
        <v>0</v>
      </c>
      <c r="AA46" s="104">
        <f>Kotak!AA47</f>
        <v>0</v>
      </c>
      <c r="AB46" s="104">
        <f>Kotak!AB47</f>
        <v>0</v>
      </c>
      <c r="AC46" s="104">
        <f>Kotak!AC47</f>
        <v>0</v>
      </c>
      <c r="AD46" s="104">
        <f>Kotak!AD47</f>
        <v>0</v>
      </c>
      <c r="AE46" s="104">
        <f>Kotak!AE47</f>
        <v>0</v>
      </c>
      <c r="AF46" s="104">
        <f>Kotak!AF47</f>
        <v>0</v>
      </c>
      <c r="AG46" s="104">
        <f>Kotak!AG47</f>
        <v>0</v>
      </c>
      <c r="AH46" s="104">
        <f>Kotak!AH47</f>
        <v>0</v>
      </c>
      <c r="AI46" s="104">
        <f>Kotak!AI47</f>
        <v>0</v>
      </c>
      <c r="AJ46" s="104">
        <f>Kotak!AJ47</f>
        <v>0</v>
      </c>
      <c r="AK46" s="104">
        <f>Kotak!AK47</f>
        <v>0</v>
      </c>
      <c r="AL46" s="104">
        <f>Kotak!AL47</f>
        <v>0</v>
      </c>
      <c r="AM46" s="104">
        <f>Kotak!AM47</f>
        <v>0</v>
      </c>
      <c r="AN46" s="104">
        <f>Kotak!AN47</f>
        <v>0</v>
      </c>
      <c r="AO46" s="104">
        <f>Kotak!AO47</f>
        <v>0</v>
      </c>
      <c r="AP46" s="104">
        <f>Kotak!AP47</f>
        <v>0</v>
      </c>
      <c r="AQ46" s="104">
        <f>Kotak!AQ47</f>
        <v>0</v>
      </c>
      <c r="AR46" s="104">
        <f>Kotak!AR47</f>
        <v>0</v>
      </c>
      <c r="AS46" s="104">
        <f>Kotak!AS47</f>
        <v>0</v>
      </c>
      <c r="AT46" s="104">
        <f>Kotak!AT47</f>
        <v>0</v>
      </c>
      <c r="AU46" s="104">
        <f>Kotak!AU47</f>
        <v>0</v>
      </c>
      <c r="AV46" s="104">
        <f>Kotak!AV47</f>
        <v>0</v>
      </c>
      <c r="AW46" s="104">
        <f>Kotak!AW47</f>
        <v>0</v>
      </c>
      <c r="AX46" s="104">
        <f>Kotak!AX47</f>
        <v>0</v>
      </c>
      <c r="AY46" s="104">
        <f>Kotak!AY47</f>
        <v>0</v>
      </c>
      <c r="AZ46" s="104">
        <f>Kotak!AZ47</f>
        <v>0</v>
      </c>
      <c r="BA46" s="104">
        <f>Kotak!BA47</f>
        <v>0</v>
      </c>
      <c r="BB46" s="104">
        <f>Kotak!BB47</f>
        <v>0</v>
      </c>
      <c r="BC46" s="104">
        <f>Kotak!BC47</f>
        <v>0</v>
      </c>
      <c r="BD46" s="104">
        <f>Kotak!BD47</f>
        <v>0</v>
      </c>
      <c r="BE46" s="104">
        <f>Kotak!BE47</f>
        <v>0</v>
      </c>
      <c r="BF46" s="104">
        <f>Kotak!BF47</f>
        <v>0</v>
      </c>
      <c r="BG46" s="104">
        <f>Kotak!BG47</f>
        <v>0</v>
      </c>
      <c r="BH46" s="104">
        <f>Kotak!BH47</f>
        <v>0</v>
      </c>
      <c r="BI46" s="104">
        <f>Kotak!BI47</f>
        <v>0</v>
      </c>
      <c r="BJ46" s="104">
        <f>Kotak!BJ47</f>
        <v>0</v>
      </c>
      <c r="BK46" s="104">
        <f>Kotak!BK47</f>
        <v>0</v>
      </c>
      <c r="BL46" s="104">
        <f>Kotak!BL47</f>
        <v>0</v>
      </c>
      <c r="BM46" s="104">
        <f>Kotak!BM47</f>
        <v>0</v>
      </c>
      <c r="BN46" s="104">
        <f>Kotak!BN47</f>
        <v>0</v>
      </c>
      <c r="BO46" s="104">
        <f>Kotak!BO47</f>
        <v>0</v>
      </c>
      <c r="BP46" s="104">
        <f>Kotak!BP47</f>
        <v>0</v>
      </c>
      <c r="BQ46" s="104">
        <f>Kotak!BQ47</f>
        <v>0</v>
      </c>
      <c r="BR46" s="104">
        <f>Kotak!BR47</f>
        <v>0</v>
      </c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1:83">
      <c r="A47" s="21">
        <v>47</v>
      </c>
      <c r="B47" s="142"/>
      <c r="C47" s="142"/>
      <c r="D47" s="142"/>
      <c r="E47" s="143"/>
      <c r="F47" s="38">
        <f>IDFC!I47</f>
        <v>0</v>
      </c>
      <c r="G47" s="38">
        <f>Kotak!G48</f>
        <v>0</v>
      </c>
      <c r="H47" s="131">
        <f t="shared" si="6"/>
        <v>0</v>
      </c>
      <c r="I47" s="130">
        <f t="shared" si="2"/>
        <v>0</v>
      </c>
      <c r="J47" s="160">
        <f t="shared" si="3"/>
        <v>0</v>
      </c>
      <c r="K47" s="104">
        <f>Kotak!K48</f>
        <v>0</v>
      </c>
      <c r="L47" s="104">
        <f>Kotak!L48</f>
        <v>0</v>
      </c>
      <c r="M47" s="104">
        <f>Kotak!M48</f>
        <v>0</v>
      </c>
      <c r="N47" s="104">
        <f>Kotak!N48</f>
        <v>0</v>
      </c>
      <c r="O47" s="104">
        <f>Kotak!O48</f>
        <v>0</v>
      </c>
      <c r="P47" s="104">
        <f>Kotak!P48</f>
        <v>0</v>
      </c>
      <c r="Q47" s="104">
        <f>Kotak!Q48</f>
        <v>0</v>
      </c>
      <c r="R47" s="104">
        <f>Kotak!R48</f>
        <v>0</v>
      </c>
      <c r="S47" s="104">
        <f>Kotak!S48</f>
        <v>0</v>
      </c>
      <c r="T47" s="104">
        <f>Kotak!T48</f>
        <v>0</v>
      </c>
      <c r="U47" s="104">
        <f>Kotak!U48</f>
        <v>0</v>
      </c>
      <c r="V47" s="104">
        <f>Kotak!V48</f>
        <v>0</v>
      </c>
      <c r="W47" s="104">
        <f>Kotak!W48</f>
        <v>0</v>
      </c>
      <c r="X47" s="104">
        <f>Kotak!X48</f>
        <v>0</v>
      </c>
      <c r="Y47" s="104">
        <f>Kotak!Y48</f>
        <v>0</v>
      </c>
      <c r="Z47" s="104">
        <f>Kotak!Z48</f>
        <v>0</v>
      </c>
      <c r="AA47" s="104">
        <f>Kotak!AA48</f>
        <v>0</v>
      </c>
      <c r="AB47" s="104">
        <f>Kotak!AB48</f>
        <v>0</v>
      </c>
      <c r="AC47" s="104">
        <f>Kotak!AC48</f>
        <v>0</v>
      </c>
      <c r="AD47" s="104">
        <f>Kotak!AD48</f>
        <v>0</v>
      </c>
      <c r="AE47" s="104">
        <f>Kotak!AE48</f>
        <v>0</v>
      </c>
      <c r="AF47" s="104">
        <f>Kotak!AF48</f>
        <v>0</v>
      </c>
      <c r="AG47" s="104">
        <f>Kotak!AG48</f>
        <v>0</v>
      </c>
      <c r="AH47" s="104">
        <f>Kotak!AH48</f>
        <v>0</v>
      </c>
      <c r="AI47" s="104">
        <f>Kotak!AI48</f>
        <v>0</v>
      </c>
      <c r="AJ47" s="104">
        <f>Kotak!AJ48</f>
        <v>0</v>
      </c>
      <c r="AK47" s="104">
        <f>Kotak!AK48</f>
        <v>0</v>
      </c>
      <c r="AL47" s="104">
        <f>Kotak!AL48</f>
        <v>0</v>
      </c>
      <c r="AM47" s="104">
        <f>Kotak!AM48</f>
        <v>0</v>
      </c>
      <c r="AN47" s="104">
        <f>Kotak!AN48</f>
        <v>0</v>
      </c>
      <c r="AO47" s="104">
        <f>Kotak!AO48</f>
        <v>0</v>
      </c>
      <c r="AP47" s="104">
        <f>Kotak!AP48</f>
        <v>0</v>
      </c>
      <c r="AQ47" s="104">
        <f>Kotak!AQ48</f>
        <v>0</v>
      </c>
      <c r="AR47" s="104">
        <f>Kotak!AR48</f>
        <v>0</v>
      </c>
      <c r="AS47" s="104">
        <f>Kotak!AS48</f>
        <v>0</v>
      </c>
      <c r="AT47" s="104">
        <f>Kotak!AT48</f>
        <v>0</v>
      </c>
      <c r="AU47" s="104">
        <f>Kotak!AU48</f>
        <v>0</v>
      </c>
      <c r="AV47" s="104">
        <f>Kotak!AV48</f>
        <v>0</v>
      </c>
      <c r="AW47" s="104">
        <f>Kotak!AW48</f>
        <v>0</v>
      </c>
      <c r="AX47" s="104">
        <f>Kotak!AX48</f>
        <v>0</v>
      </c>
      <c r="AY47" s="104">
        <f>Kotak!AY48</f>
        <v>0</v>
      </c>
      <c r="AZ47" s="104">
        <f>Kotak!AZ48</f>
        <v>0</v>
      </c>
      <c r="BA47" s="104">
        <f>Kotak!BA48</f>
        <v>0</v>
      </c>
      <c r="BB47" s="104">
        <f>Kotak!BB48</f>
        <v>0</v>
      </c>
      <c r="BC47" s="104">
        <f>Kotak!BC48</f>
        <v>0</v>
      </c>
      <c r="BD47" s="104">
        <f>Kotak!BD48</f>
        <v>0</v>
      </c>
      <c r="BE47" s="104">
        <f>Kotak!BE48</f>
        <v>0</v>
      </c>
      <c r="BF47" s="104">
        <f>Kotak!BF48</f>
        <v>0</v>
      </c>
      <c r="BG47" s="104">
        <f>Kotak!BG48</f>
        <v>0</v>
      </c>
      <c r="BH47" s="104">
        <f>Kotak!BH48</f>
        <v>0</v>
      </c>
      <c r="BI47" s="104">
        <f>Kotak!BI48</f>
        <v>0</v>
      </c>
      <c r="BJ47" s="104">
        <f>Kotak!BJ48</f>
        <v>0</v>
      </c>
      <c r="BK47" s="104">
        <f>Kotak!BK48</f>
        <v>0</v>
      </c>
      <c r="BL47" s="104">
        <f>Kotak!BL48</f>
        <v>0</v>
      </c>
      <c r="BM47" s="104">
        <f>Kotak!BM48</f>
        <v>0</v>
      </c>
      <c r="BN47" s="104">
        <f>Kotak!BN48</f>
        <v>0</v>
      </c>
      <c r="BO47" s="104">
        <f>Kotak!BO48</f>
        <v>0</v>
      </c>
      <c r="BP47" s="104">
        <f>Kotak!BP48</f>
        <v>0</v>
      </c>
      <c r="BQ47" s="104">
        <f>Kotak!BQ48</f>
        <v>0</v>
      </c>
      <c r="BR47" s="104">
        <f>Kotak!BR48</f>
        <v>0</v>
      </c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</row>
    <row r="48" spans="1:83">
      <c r="A48" s="21">
        <v>48</v>
      </c>
      <c r="B48" s="142"/>
      <c r="C48" s="142"/>
      <c r="D48" s="142"/>
      <c r="E48" s="143"/>
      <c r="F48" s="38">
        <f>IDFC!I48</f>
        <v>0</v>
      </c>
      <c r="G48" s="38">
        <f>Kotak!G49</f>
        <v>0</v>
      </c>
      <c r="H48" s="131">
        <f t="shared" si="6"/>
        <v>0</v>
      </c>
      <c r="I48" s="130">
        <f t="shared" si="2"/>
        <v>0</v>
      </c>
      <c r="J48" s="160">
        <f t="shared" si="3"/>
        <v>0</v>
      </c>
      <c r="K48" s="104">
        <f>Kotak!K49</f>
        <v>0</v>
      </c>
      <c r="L48" s="104">
        <f>Kotak!L49</f>
        <v>0</v>
      </c>
      <c r="M48" s="104">
        <f>Kotak!M49</f>
        <v>0</v>
      </c>
      <c r="N48" s="104">
        <f>Kotak!N49</f>
        <v>0</v>
      </c>
      <c r="O48" s="104">
        <f>Kotak!O49</f>
        <v>0</v>
      </c>
      <c r="P48" s="104">
        <f>Kotak!P49</f>
        <v>0</v>
      </c>
      <c r="Q48" s="104">
        <f>Kotak!Q49</f>
        <v>0</v>
      </c>
      <c r="R48" s="104">
        <f>Kotak!R49</f>
        <v>0</v>
      </c>
      <c r="S48" s="104">
        <f>Kotak!S49</f>
        <v>0</v>
      </c>
      <c r="T48" s="104">
        <f>Kotak!T49</f>
        <v>0</v>
      </c>
      <c r="U48" s="104">
        <f>Kotak!U49</f>
        <v>0</v>
      </c>
      <c r="V48" s="104">
        <f>Kotak!V49</f>
        <v>0</v>
      </c>
      <c r="W48" s="104">
        <f>Kotak!W49</f>
        <v>0</v>
      </c>
      <c r="X48" s="104">
        <f>Kotak!X49</f>
        <v>0</v>
      </c>
      <c r="Y48" s="104">
        <f>Kotak!Y49</f>
        <v>0</v>
      </c>
      <c r="Z48" s="104">
        <f>Kotak!Z49</f>
        <v>0</v>
      </c>
      <c r="AA48" s="104">
        <f>Kotak!AA49</f>
        <v>0</v>
      </c>
      <c r="AB48" s="104">
        <f>Kotak!AB49</f>
        <v>0</v>
      </c>
      <c r="AC48" s="104">
        <f>Kotak!AC49</f>
        <v>0</v>
      </c>
      <c r="AD48" s="104">
        <f>Kotak!AD49</f>
        <v>0</v>
      </c>
      <c r="AE48" s="104">
        <f>Kotak!AE49</f>
        <v>0</v>
      </c>
      <c r="AF48" s="104">
        <f>Kotak!AF49</f>
        <v>0</v>
      </c>
      <c r="AG48" s="104">
        <f>Kotak!AG49</f>
        <v>0</v>
      </c>
      <c r="AH48" s="104">
        <f>Kotak!AH49</f>
        <v>0</v>
      </c>
      <c r="AI48" s="104">
        <f>Kotak!AI49</f>
        <v>0</v>
      </c>
      <c r="AJ48" s="104">
        <f>Kotak!AJ49</f>
        <v>0</v>
      </c>
      <c r="AK48" s="104">
        <f>Kotak!AK49</f>
        <v>0</v>
      </c>
      <c r="AL48" s="104">
        <f>Kotak!AL49</f>
        <v>0</v>
      </c>
      <c r="AM48" s="104">
        <f>Kotak!AM49</f>
        <v>0</v>
      </c>
      <c r="AN48" s="104">
        <f>Kotak!AN49</f>
        <v>0</v>
      </c>
      <c r="AO48" s="104">
        <f>Kotak!AO49</f>
        <v>0</v>
      </c>
      <c r="AP48" s="104">
        <f>Kotak!AP49</f>
        <v>0</v>
      </c>
      <c r="AQ48" s="104">
        <f>Kotak!AQ49</f>
        <v>0</v>
      </c>
      <c r="AR48" s="104">
        <f>Kotak!AR49</f>
        <v>0</v>
      </c>
      <c r="AS48" s="104">
        <f>Kotak!AS49</f>
        <v>0</v>
      </c>
      <c r="AT48" s="104">
        <f>Kotak!AT49</f>
        <v>0</v>
      </c>
      <c r="AU48" s="104">
        <f>Kotak!AU49</f>
        <v>0</v>
      </c>
      <c r="AV48" s="104">
        <f>Kotak!AV49</f>
        <v>0</v>
      </c>
      <c r="AW48" s="104">
        <f>Kotak!AW49</f>
        <v>0</v>
      </c>
      <c r="AX48" s="104">
        <f>Kotak!AX49</f>
        <v>0</v>
      </c>
      <c r="AY48" s="104">
        <f>Kotak!AY49</f>
        <v>0</v>
      </c>
      <c r="AZ48" s="104">
        <f>Kotak!AZ49</f>
        <v>0</v>
      </c>
      <c r="BA48" s="104">
        <f>Kotak!BA49</f>
        <v>0</v>
      </c>
      <c r="BB48" s="104">
        <f>Kotak!BB49</f>
        <v>0</v>
      </c>
      <c r="BC48" s="104">
        <f>Kotak!BC49</f>
        <v>0</v>
      </c>
      <c r="BD48" s="104">
        <f>Kotak!BD49</f>
        <v>0</v>
      </c>
      <c r="BE48" s="104">
        <f>Kotak!BE49</f>
        <v>0</v>
      </c>
      <c r="BF48" s="104">
        <f>Kotak!BF49</f>
        <v>0</v>
      </c>
      <c r="BG48" s="104">
        <f>Kotak!BG49</f>
        <v>0</v>
      </c>
      <c r="BH48" s="104">
        <f>Kotak!BH49</f>
        <v>0</v>
      </c>
      <c r="BI48" s="104">
        <f>Kotak!BI49</f>
        <v>0</v>
      </c>
      <c r="BJ48" s="104">
        <f>Kotak!BJ49</f>
        <v>0</v>
      </c>
      <c r="BK48" s="104">
        <f>Kotak!BK49</f>
        <v>0</v>
      </c>
      <c r="BL48" s="104">
        <f>Kotak!BL49</f>
        <v>0</v>
      </c>
      <c r="BM48" s="104">
        <f>Kotak!BM49</f>
        <v>0</v>
      </c>
      <c r="BN48" s="104">
        <f>Kotak!BN49</f>
        <v>0</v>
      </c>
      <c r="BO48" s="104">
        <f>Kotak!BO49</f>
        <v>0</v>
      </c>
      <c r="BP48" s="104">
        <f>Kotak!BP49</f>
        <v>0</v>
      </c>
      <c r="BQ48" s="104">
        <f>Kotak!BQ49</f>
        <v>0</v>
      </c>
      <c r="BR48" s="104">
        <f>Kotak!BR49</f>
        <v>0</v>
      </c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</row>
    <row r="49" spans="1:83">
      <c r="A49" s="21">
        <v>49</v>
      </c>
      <c r="B49" s="142"/>
      <c r="C49" s="142"/>
      <c r="D49" s="142"/>
      <c r="E49" s="143"/>
      <c r="F49" s="38">
        <f>IDFC!I49</f>
        <v>0</v>
      </c>
      <c r="G49" s="38">
        <f>Kotak!G50</f>
        <v>0</v>
      </c>
      <c r="H49" s="131">
        <f t="shared" si="6"/>
        <v>0</v>
      </c>
      <c r="I49" s="130">
        <f t="shared" si="2"/>
        <v>0</v>
      </c>
      <c r="J49" s="160">
        <f t="shared" si="3"/>
        <v>0</v>
      </c>
      <c r="K49" s="104">
        <f>Kotak!K50</f>
        <v>0</v>
      </c>
      <c r="L49" s="104">
        <f>Kotak!L50</f>
        <v>0</v>
      </c>
      <c r="M49" s="104">
        <f>Kotak!M50</f>
        <v>0</v>
      </c>
      <c r="N49" s="104">
        <f>Kotak!N50</f>
        <v>0</v>
      </c>
      <c r="O49" s="104">
        <f>Kotak!O50</f>
        <v>0</v>
      </c>
      <c r="P49" s="104">
        <f>Kotak!P50</f>
        <v>0</v>
      </c>
      <c r="Q49" s="104">
        <f>Kotak!Q50</f>
        <v>0</v>
      </c>
      <c r="R49" s="104">
        <f>Kotak!R50</f>
        <v>0</v>
      </c>
      <c r="S49" s="104">
        <f>Kotak!S50</f>
        <v>0</v>
      </c>
      <c r="T49" s="104">
        <f>Kotak!T50</f>
        <v>0</v>
      </c>
      <c r="U49" s="104">
        <f>Kotak!U50</f>
        <v>0</v>
      </c>
      <c r="V49" s="104">
        <f>Kotak!V50</f>
        <v>0</v>
      </c>
      <c r="W49" s="104">
        <f>Kotak!W50</f>
        <v>0</v>
      </c>
      <c r="X49" s="104">
        <f>Kotak!X50</f>
        <v>0</v>
      </c>
      <c r="Y49" s="104">
        <f>Kotak!Y50</f>
        <v>0</v>
      </c>
      <c r="Z49" s="104">
        <f>Kotak!Z50</f>
        <v>0</v>
      </c>
      <c r="AA49" s="104">
        <f>Kotak!AA50</f>
        <v>0</v>
      </c>
      <c r="AB49" s="104">
        <f>Kotak!AB50</f>
        <v>0</v>
      </c>
      <c r="AC49" s="104">
        <f>Kotak!AC50</f>
        <v>0</v>
      </c>
      <c r="AD49" s="104">
        <f>Kotak!AD50</f>
        <v>0</v>
      </c>
      <c r="AE49" s="104">
        <f>Kotak!AE50</f>
        <v>0</v>
      </c>
      <c r="AF49" s="104">
        <f>Kotak!AF50</f>
        <v>0</v>
      </c>
      <c r="AG49" s="104">
        <f>Kotak!AG50</f>
        <v>0</v>
      </c>
      <c r="AH49" s="104">
        <f>Kotak!AH50</f>
        <v>0</v>
      </c>
      <c r="AI49" s="104">
        <f>Kotak!AI50</f>
        <v>0</v>
      </c>
      <c r="AJ49" s="104">
        <f>Kotak!AJ50</f>
        <v>0</v>
      </c>
      <c r="AK49" s="104">
        <f>Kotak!AK50</f>
        <v>0</v>
      </c>
      <c r="AL49" s="104">
        <f>Kotak!AL50</f>
        <v>0</v>
      </c>
      <c r="AM49" s="104">
        <f>Kotak!AM50</f>
        <v>0</v>
      </c>
      <c r="AN49" s="104">
        <f>Kotak!AN50</f>
        <v>0</v>
      </c>
      <c r="AO49" s="104">
        <f>Kotak!AO50</f>
        <v>0</v>
      </c>
      <c r="AP49" s="104">
        <f>Kotak!AP50</f>
        <v>0</v>
      </c>
      <c r="AQ49" s="104">
        <f>Kotak!AQ50</f>
        <v>0</v>
      </c>
      <c r="AR49" s="104">
        <f>Kotak!AR50</f>
        <v>0</v>
      </c>
      <c r="AS49" s="104">
        <f>Kotak!AS50</f>
        <v>0</v>
      </c>
      <c r="AT49" s="104">
        <f>Kotak!AT50</f>
        <v>0</v>
      </c>
      <c r="AU49" s="104">
        <f>Kotak!AU50</f>
        <v>0</v>
      </c>
      <c r="AV49" s="104">
        <f>Kotak!AV50</f>
        <v>0</v>
      </c>
      <c r="AW49" s="104">
        <f>Kotak!AW50</f>
        <v>0</v>
      </c>
      <c r="AX49" s="104">
        <f>Kotak!AX50</f>
        <v>0</v>
      </c>
      <c r="AY49" s="104">
        <f>Kotak!AY50</f>
        <v>0</v>
      </c>
      <c r="AZ49" s="104">
        <f>Kotak!AZ50</f>
        <v>0</v>
      </c>
      <c r="BA49" s="104">
        <f>Kotak!BA50</f>
        <v>0</v>
      </c>
      <c r="BB49" s="104">
        <f>Kotak!BB50</f>
        <v>0</v>
      </c>
      <c r="BC49" s="104">
        <f>Kotak!BC50</f>
        <v>0</v>
      </c>
      <c r="BD49" s="104">
        <f>Kotak!BD50</f>
        <v>0</v>
      </c>
      <c r="BE49" s="104">
        <f>Kotak!BE50</f>
        <v>0</v>
      </c>
      <c r="BF49" s="104">
        <f>Kotak!BF50</f>
        <v>0</v>
      </c>
      <c r="BG49" s="104">
        <f>Kotak!BG50</f>
        <v>0</v>
      </c>
      <c r="BH49" s="104">
        <f>Kotak!BH50</f>
        <v>0</v>
      </c>
      <c r="BI49" s="104">
        <f>Kotak!BI50</f>
        <v>0</v>
      </c>
      <c r="BJ49" s="104">
        <f>Kotak!BJ50</f>
        <v>0</v>
      </c>
      <c r="BK49" s="104">
        <f>Kotak!BK50</f>
        <v>0</v>
      </c>
      <c r="BL49" s="104">
        <f>Kotak!BL50</f>
        <v>0</v>
      </c>
      <c r="BM49" s="104">
        <f>Kotak!BM50</f>
        <v>0</v>
      </c>
      <c r="BN49" s="104">
        <f>Kotak!BN50</f>
        <v>0</v>
      </c>
      <c r="BO49" s="104">
        <f>Kotak!BO50</f>
        <v>0</v>
      </c>
      <c r="BP49" s="104">
        <f>Kotak!BP50</f>
        <v>0</v>
      </c>
      <c r="BQ49" s="104">
        <f>Kotak!BQ50</f>
        <v>0</v>
      </c>
      <c r="BR49" s="104">
        <f>Kotak!BR50</f>
        <v>0</v>
      </c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</row>
    <row r="50" spans="1:83">
      <c r="A50" s="21">
        <v>50</v>
      </c>
      <c r="B50" s="142"/>
      <c r="C50" s="142"/>
      <c r="D50" s="142"/>
      <c r="E50" s="143"/>
      <c r="F50" s="38">
        <f>IDFC!I50</f>
        <v>0</v>
      </c>
      <c r="G50" s="38">
        <f>Kotak!G51</f>
        <v>0</v>
      </c>
      <c r="H50" s="131">
        <f t="shared" si="6"/>
        <v>0</v>
      </c>
      <c r="I50" s="130">
        <f t="shared" si="2"/>
        <v>0</v>
      </c>
      <c r="J50" s="160">
        <f t="shared" si="3"/>
        <v>0</v>
      </c>
      <c r="K50" s="104">
        <f>Kotak!K51</f>
        <v>0</v>
      </c>
      <c r="L50" s="104">
        <f>Kotak!L51</f>
        <v>0</v>
      </c>
      <c r="M50" s="104">
        <f>Kotak!M51</f>
        <v>0</v>
      </c>
      <c r="N50" s="104">
        <f>Kotak!N51</f>
        <v>0</v>
      </c>
      <c r="O50" s="104">
        <f>Kotak!O51</f>
        <v>0</v>
      </c>
      <c r="P50" s="104">
        <f>Kotak!P51</f>
        <v>0</v>
      </c>
      <c r="Q50" s="104">
        <f>Kotak!Q51</f>
        <v>0</v>
      </c>
      <c r="R50" s="104">
        <f>Kotak!R51</f>
        <v>0</v>
      </c>
      <c r="S50" s="104">
        <f>Kotak!S51</f>
        <v>0</v>
      </c>
      <c r="T50" s="104">
        <f>Kotak!T51</f>
        <v>0</v>
      </c>
      <c r="U50" s="104">
        <f>Kotak!U51</f>
        <v>0</v>
      </c>
      <c r="V50" s="104">
        <f>Kotak!V51</f>
        <v>0</v>
      </c>
      <c r="W50" s="104">
        <f>Kotak!W51</f>
        <v>0</v>
      </c>
      <c r="X50" s="104">
        <f>Kotak!X51</f>
        <v>0</v>
      </c>
      <c r="Y50" s="104">
        <f>Kotak!Y51</f>
        <v>0</v>
      </c>
      <c r="Z50" s="104">
        <f>Kotak!Z51</f>
        <v>0</v>
      </c>
      <c r="AA50" s="104">
        <f>Kotak!AA51</f>
        <v>0</v>
      </c>
      <c r="AB50" s="104">
        <f>Kotak!AB51</f>
        <v>0</v>
      </c>
      <c r="AC50" s="104">
        <f>Kotak!AC51</f>
        <v>0</v>
      </c>
      <c r="AD50" s="104">
        <f>Kotak!AD51</f>
        <v>0</v>
      </c>
      <c r="AE50" s="104">
        <f>Kotak!AE51</f>
        <v>0</v>
      </c>
      <c r="AF50" s="104">
        <f>Kotak!AF51</f>
        <v>0</v>
      </c>
      <c r="AG50" s="104">
        <f>Kotak!AG51</f>
        <v>0</v>
      </c>
      <c r="AH50" s="104">
        <f>Kotak!AH51</f>
        <v>0</v>
      </c>
      <c r="AI50" s="104">
        <f>Kotak!AI51</f>
        <v>0</v>
      </c>
      <c r="AJ50" s="104">
        <f>Kotak!AJ51</f>
        <v>0</v>
      </c>
      <c r="AK50" s="104">
        <f>Kotak!AK51</f>
        <v>0</v>
      </c>
      <c r="AL50" s="104">
        <f>Kotak!AL51</f>
        <v>0</v>
      </c>
      <c r="AM50" s="104">
        <f>Kotak!AM51</f>
        <v>0</v>
      </c>
      <c r="AN50" s="104">
        <f>Kotak!AN51</f>
        <v>0</v>
      </c>
      <c r="AO50" s="104">
        <f>Kotak!AO51</f>
        <v>0</v>
      </c>
      <c r="AP50" s="104">
        <f>Kotak!AP51</f>
        <v>0</v>
      </c>
      <c r="AQ50" s="104">
        <f>Kotak!AQ51</f>
        <v>0</v>
      </c>
      <c r="AR50" s="104">
        <f>Kotak!AR51</f>
        <v>0</v>
      </c>
      <c r="AS50" s="104">
        <f>Kotak!AS51</f>
        <v>0</v>
      </c>
      <c r="AT50" s="104">
        <f>Kotak!AT51</f>
        <v>0</v>
      </c>
      <c r="AU50" s="104">
        <f>Kotak!AU51</f>
        <v>0</v>
      </c>
      <c r="AV50" s="104">
        <f>Kotak!AV51</f>
        <v>0</v>
      </c>
      <c r="AW50" s="104">
        <f>Kotak!AW51</f>
        <v>0</v>
      </c>
      <c r="AX50" s="104">
        <f>Kotak!AX51</f>
        <v>0</v>
      </c>
      <c r="AY50" s="104">
        <f>Kotak!AY51</f>
        <v>0</v>
      </c>
      <c r="AZ50" s="104">
        <f>Kotak!AZ51</f>
        <v>0</v>
      </c>
      <c r="BA50" s="104">
        <f>Kotak!BA51</f>
        <v>0</v>
      </c>
      <c r="BB50" s="104">
        <f>Kotak!BB51</f>
        <v>0</v>
      </c>
      <c r="BC50" s="104">
        <f>Kotak!BC51</f>
        <v>0</v>
      </c>
      <c r="BD50" s="104">
        <f>Kotak!BD51</f>
        <v>0</v>
      </c>
      <c r="BE50" s="104">
        <f>Kotak!BE51</f>
        <v>0</v>
      </c>
      <c r="BF50" s="104">
        <f>Kotak!BF51</f>
        <v>0</v>
      </c>
      <c r="BG50" s="104">
        <f>Kotak!BG51</f>
        <v>0</v>
      </c>
      <c r="BH50" s="104">
        <f>Kotak!BH51</f>
        <v>0</v>
      </c>
      <c r="BI50" s="104">
        <f>Kotak!BI51</f>
        <v>0</v>
      </c>
      <c r="BJ50" s="104">
        <f>Kotak!BJ51</f>
        <v>0</v>
      </c>
      <c r="BK50" s="104">
        <f>Kotak!BK51</f>
        <v>0</v>
      </c>
      <c r="BL50" s="104">
        <f>Kotak!BL51</f>
        <v>0</v>
      </c>
      <c r="BM50" s="104">
        <f>Kotak!BM51</f>
        <v>0</v>
      </c>
      <c r="BN50" s="104">
        <f>Kotak!BN51</f>
        <v>0</v>
      </c>
      <c r="BO50" s="104">
        <f>Kotak!BO51</f>
        <v>0</v>
      </c>
      <c r="BP50" s="104">
        <f>Kotak!BP51</f>
        <v>0</v>
      </c>
      <c r="BQ50" s="104">
        <f>Kotak!BQ51</f>
        <v>0</v>
      </c>
      <c r="BR50" s="104">
        <f>Kotak!BR51</f>
        <v>0</v>
      </c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</row>
    <row r="51" spans="1:83">
      <c r="A51" s="21">
        <v>51</v>
      </c>
      <c r="B51" s="142"/>
      <c r="C51" s="142"/>
      <c r="D51" s="142"/>
      <c r="E51" s="143"/>
      <c r="F51" s="38">
        <f>IDFC!I51</f>
        <v>0</v>
      </c>
      <c r="G51" s="38">
        <f>Kotak!G52</f>
        <v>0</v>
      </c>
      <c r="H51" s="131">
        <f t="shared" si="6"/>
        <v>0</v>
      </c>
      <c r="I51" s="130">
        <f t="shared" si="2"/>
        <v>0</v>
      </c>
      <c r="J51" s="160">
        <f t="shared" si="3"/>
        <v>0</v>
      </c>
      <c r="K51" s="104">
        <f>Kotak!K52</f>
        <v>0</v>
      </c>
      <c r="L51" s="104">
        <f>Kotak!L52</f>
        <v>0</v>
      </c>
      <c r="M51" s="104">
        <f>Kotak!M52</f>
        <v>0</v>
      </c>
      <c r="N51" s="104">
        <f>Kotak!N52</f>
        <v>0</v>
      </c>
      <c r="O51" s="104">
        <f>Kotak!O52</f>
        <v>0</v>
      </c>
      <c r="P51" s="104">
        <f>Kotak!P52</f>
        <v>0</v>
      </c>
      <c r="Q51" s="104">
        <f>Kotak!Q52</f>
        <v>0</v>
      </c>
      <c r="R51" s="104">
        <f>Kotak!R52</f>
        <v>0</v>
      </c>
      <c r="S51" s="104">
        <f>Kotak!S52</f>
        <v>0</v>
      </c>
      <c r="T51" s="104">
        <f>Kotak!T52</f>
        <v>0</v>
      </c>
      <c r="U51" s="104">
        <f>Kotak!U52</f>
        <v>0</v>
      </c>
      <c r="V51" s="104">
        <f>Kotak!V52</f>
        <v>0</v>
      </c>
      <c r="W51" s="104">
        <f>Kotak!W52</f>
        <v>0</v>
      </c>
      <c r="X51" s="104">
        <f>Kotak!X52</f>
        <v>0</v>
      </c>
      <c r="Y51" s="104">
        <f>Kotak!Y52</f>
        <v>0</v>
      </c>
      <c r="Z51" s="104">
        <f>Kotak!Z52</f>
        <v>0</v>
      </c>
      <c r="AA51" s="104">
        <f>Kotak!AA52</f>
        <v>0</v>
      </c>
      <c r="AB51" s="104">
        <f>Kotak!AB52</f>
        <v>0</v>
      </c>
      <c r="AC51" s="104">
        <f>Kotak!AC52</f>
        <v>0</v>
      </c>
      <c r="AD51" s="104">
        <f>Kotak!AD52</f>
        <v>0</v>
      </c>
      <c r="AE51" s="104">
        <f>Kotak!AE52</f>
        <v>0</v>
      </c>
      <c r="AF51" s="104">
        <f>Kotak!AF52</f>
        <v>0</v>
      </c>
      <c r="AG51" s="104">
        <f>Kotak!AG52</f>
        <v>0</v>
      </c>
      <c r="AH51" s="104">
        <f>Kotak!AH52</f>
        <v>0</v>
      </c>
      <c r="AI51" s="104">
        <f>Kotak!AI52</f>
        <v>0</v>
      </c>
      <c r="AJ51" s="104">
        <f>Kotak!AJ52</f>
        <v>0</v>
      </c>
      <c r="AK51" s="104">
        <f>Kotak!AK52</f>
        <v>0</v>
      </c>
      <c r="AL51" s="104">
        <f>Kotak!AL52</f>
        <v>0</v>
      </c>
      <c r="AM51" s="104">
        <f>Kotak!AM52</f>
        <v>0</v>
      </c>
      <c r="AN51" s="104">
        <f>Kotak!AN52</f>
        <v>0</v>
      </c>
      <c r="AO51" s="104">
        <f>Kotak!AO52</f>
        <v>0</v>
      </c>
      <c r="AP51" s="104">
        <f>Kotak!AP52</f>
        <v>0</v>
      </c>
      <c r="AQ51" s="104">
        <f>Kotak!AQ52</f>
        <v>0</v>
      </c>
      <c r="AR51" s="104">
        <f>Kotak!AR52</f>
        <v>0</v>
      </c>
      <c r="AS51" s="104">
        <f>Kotak!AS52</f>
        <v>0</v>
      </c>
      <c r="AT51" s="104">
        <f>Kotak!AT52</f>
        <v>0</v>
      </c>
      <c r="AU51" s="104">
        <f>Kotak!AU52</f>
        <v>0</v>
      </c>
      <c r="AV51" s="104">
        <f>Kotak!AV52</f>
        <v>0</v>
      </c>
      <c r="AW51" s="104">
        <f>Kotak!AW52</f>
        <v>0</v>
      </c>
      <c r="AX51" s="104">
        <f>Kotak!AX52</f>
        <v>0</v>
      </c>
      <c r="AY51" s="104">
        <f>Kotak!AY52</f>
        <v>0</v>
      </c>
      <c r="AZ51" s="104">
        <f>Kotak!AZ52</f>
        <v>0</v>
      </c>
      <c r="BA51" s="104">
        <f>Kotak!BA52</f>
        <v>0</v>
      </c>
      <c r="BB51" s="104">
        <f>Kotak!BB52</f>
        <v>0</v>
      </c>
      <c r="BC51" s="104">
        <f>Kotak!BC52</f>
        <v>0</v>
      </c>
      <c r="BD51" s="104">
        <f>Kotak!BD52</f>
        <v>0</v>
      </c>
      <c r="BE51" s="104">
        <f>Kotak!BE52</f>
        <v>0</v>
      </c>
      <c r="BF51" s="104">
        <f>Kotak!BF52</f>
        <v>0</v>
      </c>
      <c r="BG51" s="104">
        <f>Kotak!BG52</f>
        <v>0</v>
      </c>
      <c r="BH51" s="104">
        <f>Kotak!BH52</f>
        <v>0</v>
      </c>
      <c r="BI51" s="104">
        <f>Kotak!BI52</f>
        <v>0</v>
      </c>
      <c r="BJ51" s="104">
        <f>Kotak!BJ52</f>
        <v>0</v>
      </c>
      <c r="BK51" s="104">
        <f>Kotak!BK52</f>
        <v>0</v>
      </c>
      <c r="BL51" s="104">
        <f>Kotak!BL52</f>
        <v>0</v>
      </c>
      <c r="BM51" s="104">
        <f>Kotak!BM52</f>
        <v>0</v>
      </c>
      <c r="BN51" s="104">
        <f>Kotak!BN52</f>
        <v>0</v>
      </c>
      <c r="BO51" s="104">
        <f>Kotak!BO52</f>
        <v>0</v>
      </c>
      <c r="BP51" s="104">
        <f>Kotak!BP52</f>
        <v>0</v>
      </c>
      <c r="BQ51" s="104">
        <f>Kotak!BQ52</f>
        <v>0</v>
      </c>
      <c r="BR51" s="104">
        <f>Kotak!BR52</f>
        <v>0</v>
      </c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</row>
    <row r="52" spans="1:83">
      <c r="A52" s="21">
        <v>52</v>
      </c>
      <c r="B52" s="142"/>
      <c r="C52" s="142"/>
      <c r="D52" s="142"/>
      <c r="E52" s="143"/>
      <c r="F52" s="38">
        <f>IDFC!I52</f>
        <v>0</v>
      </c>
      <c r="G52" s="38">
        <f>Kotak!G53</f>
        <v>0</v>
      </c>
      <c r="H52" s="131">
        <f t="shared" si="6"/>
        <v>0</v>
      </c>
      <c r="I52" s="130">
        <f t="shared" si="2"/>
        <v>0</v>
      </c>
      <c r="J52" s="160">
        <f t="shared" si="3"/>
        <v>0</v>
      </c>
      <c r="K52" s="104">
        <f>Kotak!K53</f>
        <v>0</v>
      </c>
      <c r="L52" s="104">
        <f>Kotak!L53</f>
        <v>0</v>
      </c>
      <c r="M52" s="104">
        <f>Kotak!M53</f>
        <v>0</v>
      </c>
      <c r="N52" s="104">
        <f>Kotak!N53</f>
        <v>0</v>
      </c>
      <c r="O52" s="104">
        <f>Kotak!O53</f>
        <v>0</v>
      </c>
      <c r="P52" s="104">
        <f>Kotak!P53</f>
        <v>0</v>
      </c>
      <c r="Q52" s="104">
        <f>Kotak!Q53</f>
        <v>0</v>
      </c>
      <c r="R52" s="104">
        <f>Kotak!R53</f>
        <v>0</v>
      </c>
      <c r="S52" s="104">
        <f>Kotak!S53</f>
        <v>0</v>
      </c>
      <c r="T52" s="104">
        <f>Kotak!T53</f>
        <v>0</v>
      </c>
      <c r="U52" s="104">
        <f>Kotak!U53</f>
        <v>0</v>
      </c>
      <c r="V52" s="104">
        <f>Kotak!V53</f>
        <v>0</v>
      </c>
      <c r="W52" s="104">
        <f>Kotak!W53</f>
        <v>0</v>
      </c>
      <c r="X52" s="104">
        <f>Kotak!X53</f>
        <v>0</v>
      </c>
      <c r="Y52" s="104">
        <f>Kotak!Y53</f>
        <v>0</v>
      </c>
      <c r="Z52" s="104">
        <f>Kotak!Z53</f>
        <v>0</v>
      </c>
      <c r="AA52" s="104">
        <f>Kotak!AA53</f>
        <v>0</v>
      </c>
      <c r="AB52" s="104">
        <f>Kotak!AB53</f>
        <v>0</v>
      </c>
      <c r="AC52" s="104">
        <f>Kotak!AC53</f>
        <v>0</v>
      </c>
      <c r="AD52" s="104">
        <f>Kotak!AD53</f>
        <v>0</v>
      </c>
      <c r="AE52" s="104">
        <f>Kotak!AE53</f>
        <v>0</v>
      </c>
      <c r="AF52" s="104">
        <f>Kotak!AF53</f>
        <v>0</v>
      </c>
      <c r="AG52" s="104">
        <f>Kotak!AG53</f>
        <v>0</v>
      </c>
      <c r="AH52" s="104">
        <f>Kotak!AH53</f>
        <v>0</v>
      </c>
      <c r="AI52" s="104">
        <f>Kotak!AI53</f>
        <v>0</v>
      </c>
      <c r="AJ52" s="104">
        <f>Kotak!AJ53</f>
        <v>0</v>
      </c>
      <c r="AK52" s="104">
        <f>Kotak!AK53</f>
        <v>0</v>
      </c>
      <c r="AL52" s="104">
        <f>Kotak!AL53</f>
        <v>0</v>
      </c>
      <c r="AM52" s="104">
        <f>Kotak!AM53</f>
        <v>0</v>
      </c>
      <c r="AN52" s="104">
        <f>Kotak!AN53</f>
        <v>0</v>
      </c>
      <c r="AO52" s="104">
        <f>Kotak!AO53</f>
        <v>0</v>
      </c>
      <c r="AP52" s="104">
        <f>Kotak!AP53</f>
        <v>0</v>
      </c>
      <c r="AQ52" s="104">
        <f>Kotak!AQ53</f>
        <v>0</v>
      </c>
      <c r="AR52" s="104">
        <f>Kotak!AR53</f>
        <v>0</v>
      </c>
      <c r="AS52" s="104">
        <f>Kotak!AS53</f>
        <v>0</v>
      </c>
      <c r="AT52" s="104">
        <f>Kotak!AT53</f>
        <v>0</v>
      </c>
      <c r="AU52" s="104">
        <f>Kotak!AU53</f>
        <v>0</v>
      </c>
      <c r="AV52" s="104">
        <f>Kotak!AV53</f>
        <v>0</v>
      </c>
      <c r="AW52" s="104">
        <f>Kotak!AW53</f>
        <v>0</v>
      </c>
      <c r="AX52" s="104">
        <f>Kotak!AX53</f>
        <v>0</v>
      </c>
      <c r="AY52" s="104">
        <f>Kotak!AY53</f>
        <v>0</v>
      </c>
      <c r="AZ52" s="104">
        <f>Kotak!AZ53</f>
        <v>0</v>
      </c>
      <c r="BA52" s="104">
        <f>Kotak!BA53</f>
        <v>0</v>
      </c>
      <c r="BB52" s="104">
        <f>Kotak!BB53</f>
        <v>0</v>
      </c>
      <c r="BC52" s="104">
        <f>Kotak!BC53</f>
        <v>0</v>
      </c>
      <c r="BD52" s="104">
        <f>Kotak!BD53</f>
        <v>0</v>
      </c>
      <c r="BE52" s="104">
        <f>Kotak!BE53</f>
        <v>0</v>
      </c>
      <c r="BF52" s="104">
        <f>Kotak!BF53</f>
        <v>0</v>
      </c>
      <c r="BG52" s="104">
        <f>Kotak!BG53</f>
        <v>0</v>
      </c>
      <c r="BH52" s="104">
        <f>Kotak!BH53</f>
        <v>0</v>
      </c>
      <c r="BI52" s="104">
        <f>Kotak!BI53</f>
        <v>0</v>
      </c>
      <c r="BJ52" s="104">
        <f>Kotak!BJ53</f>
        <v>0</v>
      </c>
      <c r="BK52" s="104">
        <f>Kotak!BK53</f>
        <v>0</v>
      </c>
      <c r="BL52" s="104">
        <f>Kotak!BL53</f>
        <v>0</v>
      </c>
      <c r="BM52" s="104">
        <f>Kotak!BM53</f>
        <v>0</v>
      </c>
      <c r="BN52" s="104">
        <f>Kotak!BN53</f>
        <v>0</v>
      </c>
      <c r="BO52" s="104">
        <f>Kotak!BO53</f>
        <v>0</v>
      </c>
      <c r="BP52" s="104">
        <f>Kotak!BP53</f>
        <v>0</v>
      </c>
      <c r="BQ52" s="104">
        <f>Kotak!BQ53</f>
        <v>0</v>
      </c>
      <c r="BR52" s="104">
        <f>Kotak!BR53</f>
        <v>0</v>
      </c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</row>
    <row r="53" spans="1:83">
      <c r="A53" s="21">
        <v>53</v>
      </c>
      <c r="B53" s="142"/>
      <c r="C53" s="142"/>
      <c r="D53" s="142"/>
      <c r="E53" s="143"/>
      <c r="F53" s="38">
        <f>IDFC!I53</f>
        <v>0</v>
      </c>
      <c r="G53" s="38">
        <f>Kotak!G54</f>
        <v>0</v>
      </c>
      <c r="H53" s="131">
        <f t="shared" si="6"/>
        <v>0</v>
      </c>
      <c r="I53" s="130">
        <f t="shared" si="2"/>
        <v>0</v>
      </c>
      <c r="J53" s="160">
        <f t="shared" si="3"/>
        <v>0</v>
      </c>
      <c r="K53" s="104">
        <f>Kotak!K54</f>
        <v>0</v>
      </c>
      <c r="L53" s="104">
        <f>Kotak!L54</f>
        <v>0</v>
      </c>
      <c r="M53" s="104">
        <f>Kotak!M54</f>
        <v>0</v>
      </c>
      <c r="N53" s="104">
        <f>Kotak!N54</f>
        <v>0</v>
      </c>
      <c r="O53" s="104">
        <f>Kotak!O54</f>
        <v>0</v>
      </c>
      <c r="P53" s="104">
        <f>Kotak!P54</f>
        <v>0</v>
      </c>
      <c r="Q53" s="104">
        <f>Kotak!Q54</f>
        <v>0</v>
      </c>
      <c r="R53" s="104">
        <f>Kotak!R54</f>
        <v>0</v>
      </c>
      <c r="S53" s="104">
        <f>Kotak!S54</f>
        <v>0</v>
      </c>
      <c r="T53" s="104">
        <f>Kotak!T54</f>
        <v>0</v>
      </c>
      <c r="U53" s="104">
        <f>Kotak!U54</f>
        <v>0</v>
      </c>
      <c r="V53" s="104">
        <f>Kotak!V54</f>
        <v>0</v>
      </c>
      <c r="W53" s="104">
        <f>Kotak!W54</f>
        <v>0</v>
      </c>
      <c r="X53" s="104">
        <f>Kotak!X54</f>
        <v>0</v>
      </c>
      <c r="Y53" s="104">
        <f>Kotak!Y54</f>
        <v>0</v>
      </c>
      <c r="Z53" s="104">
        <f>Kotak!Z54</f>
        <v>0</v>
      </c>
      <c r="AA53" s="104">
        <f>Kotak!AA54</f>
        <v>0</v>
      </c>
      <c r="AB53" s="104">
        <f>Kotak!AB54</f>
        <v>0</v>
      </c>
      <c r="AC53" s="104">
        <f>Kotak!AC54</f>
        <v>0</v>
      </c>
      <c r="AD53" s="104">
        <f>Kotak!AD54</f>
        <v>0</v>
      </c>
      <c r="AE53" s="104">
        <f>Kotak!AE54</f>
        <v>0</v>
      </c>
      <c r="AF53" s="104">
        <f>Kotak!AF54</f>
        <v>0</v>
      </c>
      <c r="AG53" s="104">
        <f>Kotak!AG54</f>
        <v>0</v>
      </c>
      <c r="AH53" s="104">
        <f>Kotak!AH54</f>
        <v>0</v>
      </c>
      <c r="AI53" s="104">
        <f>Kotak!AI54</f>
        <v>0</v>
      </c>
      <c r="AJ53" s="104">
        <f>Kotak!AJ54</f>
        <v>0</v>
      </c>
      <c r="AK53" s="104">
        <f>Kotak!AK54</f>
        <v>0</v>
      </c>
      <c r="AL53" s="104">
        <f>Kotak!AL54</f>
        <v>0</v>
      </c>
      <c r="AM53" s="104">
        <f>Kotak!AM54</f>
        <v>0</v>
      </c>
      <c r="AN53" s="104">
        <f>Kotak!AN54</f>
        <v>0</v>
      </c>
      <c r="AO53" s="104">
        <f>Kotak!AO54</f>
        <v>0</v>
      </c>
      <c r="AP53" s="104">
        <f>Kotak!AP54</f>
        <v>0</v>
      </c>
      <c r="AQ53" s="104">
        <f>Kotak!AQ54</f>
        <v>0</v>
      </c>
      <c r="AR53" s="104">
        <f>Kotak!AR54</f>
        <v>0</v>
      </c>
      <c r="AS53" s="104">
        <f>Kotak!AS54</f>
        <v>0</v>
      </c>
      <c r="AT53" s="104">
        <f>Kotak!AT54</f>
        <v>0</v>
      </c>
      <c r="AU53" s="104">
        <f>Kotak!AU54</f>
        <v>0</v>
      </c>
      <c r="AV53" s="104">
        <f>Kotak!AV54</f>
        <v>0</v>
      </c>
      <c r="AW53" s="104">
        <f>Kotak!AW54</f>
        <v>0</v>
      </c>
      <c r="AX53" s="104">
        <f>Kotak!AX54</f>
        <v>0</v>
      </c>
      <c r="AY53" s="104">
        <f>Kotak!AY54</f>
        <v>0</v>
      </c>
      <c r="AZ53" s="104">
        <f>Kotak!AZ54</f>
        <v>0</v>
      </c>
      <c r="BA53" s="104">
        <f>Kotak!BA54</f>
        <v>0</v>
      </c>
      <c r="BB53" s="104">
        <f>Kotak!BB54</f>
        <v>0</v>
      </c>
      <c r="BC53" s="104">
        <f>Kotak!BC54</f>
        <v>0</v>
      </c>
      <c r="BD53" s="104">
        <f>Kotak!BD54</f>
        <v>0</v>
      </c>
      <c r="BE53" s="104">
        <f>Kotak!BE54</f>
        <v>0</v>
      </c>
      <c r="BF53" s="104">
        <f>Kotak!BF54</f>
        <v>0</v>
      </c>
      <c r="BG53" s="104">
        <f>Kotak!BG54</f>
        <v>0</v>
      </c>
      <c r="BH53" s="104">
        <f>Kotak!BH54</f>
        <v>0</v>
      </c>
      <c r="BI53" s="104">
        <f>Kotak!BI54</f>
        <v>0</v>
      </c>
      <c r="BJ53" s="104">
        <f>Kotak!BJ54</f>
        <v>0</v>
      </c>
      <c r="BK53" s="104">
        <f>Kotak!BK54</f>
        <v>0</v>
      </c>
      <c r="BL53" s="104">
        <f>Kotak!BL54</f>
        <v>0</v>
      </c>
      <c r="BM53" s="104">
        <f>Kotak!BM54</f>
        <v>0</v>
      </c>
      <c r="BN53" s="104">
        <f>Kotak!BN54</f>
        <v>0</v>
      </c>
      <c r="BO53" s="104">
        <f>Kotak!BO54</f>
        <v>0</v>
      </c>
      <c r="BP53" s="104">
        <f>Kotak!BP54</f>
        <v>0</v>
      </c>
      <c r="BQ53" s="104">
        <f>Kotak!BQ54</f>
        <v>0</v>
      </c>
      <c r="BR53" s="104">
        <f>Kotak!BR54</f>
        <v>0</v>
      </c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</row>
    <row r="54" spans="1:83">
      <c r="A54" s="21">
        <v>54</v>
      </c>
      <c r="B54" s="142"/>
      <c r="C54" s="142"/>
      <c r="D54" s="142"/>
      <c r="E54" s="143"/>
      <c r="F54" s="38">
        <f>IDFC!I54</f>
        <v>0</v>
      </c>
      <c r="G54" s="38">
        <f>Kotak!G55</f>
        <v>0</v>
      </c>
      <c r="H54" s="131">
        <f t="shared" si="6"/>
        <v>0</v>
      </c>
      <c r="I54" s="130">
        <f t="shared" si="2"/>
        <v>0</v>
      </c>
      <c r="J54" s="160">
        <f t="shared" si="3"/>
        <v>0</v>
      </c>
      <c r="K54" s="104">
        <f>Kotak!K55</f>
        <v>0</v>
      </c>
      <c r="L54" s="104">
        <f>Kotak!L55</f>
        <v>0</v>
      </c>
      <c r="M54" s="104">
        <f>Kotak!M55</f>
        <v>0</v>
      </c>
      <c r="N54" s="104">
        <f>Kotak!N55</f>
        <v>0</v>
      </c>
      <c r="O54" s="104">
        <f>Kotak!O55</f>
        <v>0</v>
      </c>
      <c r="P54" s="104">
        <f>Kotak!P55</f>
        <v>0</v>
      </c>
      <c r="Q54" s="104">
        <f>Kotak!Q55</f>
        <v>0</v>
      </c>
      <c r="R54" s="104">
        <f>Kotak!R55</f>
        <v>0</v>
      </c>
      <c r="S54" s="104">
        <f>Kotak!S55</f>
        <v>0</v>
      </c>
      <c r="T54" s="104">
        <f>Kotak!T55</f>
        <v>0</v>
      </c>
      <c r="U54" s="104">
        <f>Kotak!U55</f>
        <v>0</v>
      </c>
      <c r="V54" s="104">
        <f>Kotak!V55</f>
        <v>0</v>
      </c>
      <c r="W54" s="104">
        <f>Kotak!W55</f>
        <v>0</v>
      </c>
      <c r="X54" s="104">
        <f>Kotak!X55</f>
        <v>0</v>
      </c>
      <c r="Y54" s="104">
        <f>Kotak!Y55</f>
        <v>0</v>
      </c>
      <c r="Z54" s="104">
        <f>Kotak!Z55</f>
        <v>0</v>
      </c>
      <c r="AA54" s="104">
        <f>Kotak!AA55</f>
        <v>0</v>
      </c>
      <c r="AB54" s="104">
        <f>Kotak!AB55</f>
        <v>0</v>
      </c>
      <c r="AC54" s="104">
        <f>Kotak!AC55</f>
        <v>0</v>
      </c>
      <c r="AD54" s="104">
        <f>Kotak!AD55</f>
        <v>0</v>
      </c>
      <c r="AE54" s="104">
        <f>Kotak!AE55</f>
        <v>0</v>
      </c>
      <c r="AF54" s="104">
        <f>Kotak!AF55</f>
        <v>0</v>
      </c>
      <c r="AG54" s="104">
        <f>Kotak!AG55</f>
        <v>0</v>
      </c>
      <c r="AH54" s="104">
        <f>Kotak!AH55</f>
        <v>0</v>
      </c>
      <c r="AI54" s="104">
        <f>Kotak!AI55</f>
        <v>0</v>
      </c>
      <c r="AJ54" s="104">
        <f>Kotak!AJ55</f>
        <v>0</v>
      </c>
      <c r="AK54" s="104">
        <f>Kotak!AK55</f>
        <v>0</v>
      </c>
      <c r="AL54" s="104">
        <f>Kotak!AL55</f>
        <v>0</v>
      </c>
      <c r="AM54" s="104">
        <f>Kotak!AM55</f>
        <v>0</v>
      </c>
      <c r="AN54" s="104">
        <f>Kotak!AN55</f>
        <v>0</v>
      </c>
      <c r="AO54" s="104">
        <f>Kotak!AO55</f>
        <v>0</v>
      </c>
      <c r="AP54" s="104">
        <f>Kotak!AP55</f>
        <v>0</v>
      </c>
      <c r="AQ54" s="104">
        <f>Kotak!AQ55</f>
        <v>0</v>
      </c>
      <c r="AR54" s="104">
        <f>Kotak!AR55</f>
        <v>0</v>
      </c>
      <c r="AS54" s="104">
        <f>Kotak!AS55</f>
        <v>0</v>
      </c>
      <c r="AT54" s="104">
        <f>Kotak!AT55</f>
        <v>0</v>
      </c>
      <c r="AU54" s="104">
        <f>Kotak!AU55</f>
        <v>0</v>
      </c>
      <c r="AV54" s="104">
        <f>Kotak!AV55</f>
        <v>0</v>
      </c>
      <c r="AW54" s="104">
        <f>Kotak!AW55</f>
        <v>0</v>
      </c>
      <c r="AX54" s="104">
        <f>Kotak!AX55</f>
        <v>0</v>
      </c>
      <c r="AY54" s="104">
        <f>Kotak!AY55</f>
        <v>0</v>
      </c>
      <c r="AZ54" s="104">
        <f>Kotak!AZ55</f>
        <v>0</v>
      </c>
      <c r="BA54" s="104">
        <f>Kotak!BA55</f>
        <v>0</v>
      </c>
      <c r="BB54" s="104">
        <f>Kotak!BB55</f>
        <v>0</v>
      </c>
      <c r="BC54" s="104">
        <f>Kotak!BC55</f>
        <v>0</v>
      </c>
      <c r="BD54" s="104">
        <f>Kotak!BD55</f>
        <v>0</v>
      </c>
      <c r="BE54" s="104">
        <f>Kotak!BE55</f>
        <v>0</v>
      </c>
      <c r="BF54" s="104">
        <f>Kotak!BF55</f>
        <v>0</v>
      </c>
      <c r="BG54" s="104">
        <f>Kotak!BG55</f>
        <v>0</v>
      </c>
      <c r="BH54" s="104">
        <f>Kotak!BH55</f>
        <v>0</v>
      </c>
      <c r="BI54" s="104">
        <f>Kotak!BI55</f>
        <v>0</v>
      </c>
      <c r="BJ54" s="104">
        <f>Kotak!BJ55</f>
        <v>0</v>
      </c>
      <c r="BK54" s="104">
        <f>Kotak!BK55</f>
        <v>0</v>
      </c>
      <c r="BL54" s="104">
        <f>Kotak!BL55</f>
        <v>0</v>
      </c>
      <c r="BM54" s="104">
        <f>Kotak!BM55</f>
        <v>0</v>
      </c>
      <c r="BN54" s="104">
        <f>Kotak!BN55</f>
        <v>0</v>
      </c>
      <c r="BO54" s="104">
        <f>Kotak!BO55</f>
        <v>0</v>
      </c>
      <c r="BP54" s="104">
        <f>Kotak!BP55</f>
        <v>0</v>
      </c>
      <c r="BQ54" s="104">
        <f>Kotak!BQ55</f>
        <v>0</v>
      </c>
      <c r="BR54" s="104">
        <f>Kotak!BR55</f>
        <v>0</v>
      </c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</row>
    <row r="55" spans="1:83">
      <c r="A55" s="21">
        <v>55</v>
      </c>
      <c r="B55" s="142"/>
      <c r="C55" s="142"/>
      <c r="D55" s="142"/>
      <c r="E55" s="143"/>
      <c r="F55" s="38">
        <f>IDFC!I55</f>
        <v>0</v>
      </c>
      <c r="G55" s="38">
        <f>Kotak!G56</f>
        <v>0</v>
      </c>
      <c r="H55" s="131">
        <f t="shared" si="6"/>
        <v>0</v>
      </c>
      <c r="I55" s="130">
        <f t="shared" si="2"/>
        <v>0</v>
      </c>
      <c r="J55" s="160">
        <f t="shared" si="3"/>
        <v>0</v>
      </c>
      <c r="K55" s="104">
        <f>Kotak!K56</f>
        <v>0</v>
      </c>
      <c r="L55" s="104">
        <f>Kotak!L56</f>
        <v>0</v>
      </c>
      <c r="M55" s="104">
        <f>Kotak!M56</f>
        <v>0</v>
      </c>
      <c r="N55" s="104">
        <f>Kotak!N56</f>
        <v>0</v>
      </c>
      <c r="O55" s="104">
        <f>Kotak!O56</f>
        <v>0</v>
      </c>
      <c r="P55" s="104">
        <f>Kotak!P56</f>
        <v>0</v>
      </c>
      <c r="Q55" s="104">
        <f>Kotak!Q56</f>
        <v>0</v>
      </c>
      <c r="R55" s="104">
        <f>Kotak!R56</f>
        <v>0</v>
      </c>
      <c r="S55" s="104">
        <f>Kotak!S56</f>
        <v>0</v>
      </c>
      <c r="T55" s="104">
        <f>Kotak!T56</f>
        <v>0</v>
      </c>
      <c r="U55" s="104">
        <f>Kotak!U56</f>
        <v>0</v>
      </c>
      <c r="V55" s="104">
        <f>Kotak!V56</f>
        <v>0</v>
      </c>
      <c r="W55" s="104">
        <f>Kotak!W56</f>
        <v>0</v>
      </c>
      <c r="X55" s="104">
        <f>Kotak!X56</f>
        <v>0</v>
      </c>
      <c r="Y55" s="104">
        <f>Kotak!Y56</f>
        <v>0</v>
      </c>
      <c r="Z55" s="104">
        <f>Kotak!Z56</f>
        <v>0</v>
      </c>
      <c r="AA55" s="104">
        <f>Kotak!AA56</f>
        <v>0</v>
      </c>
      <c r="AB55" s="104">
        <f>Kotak!AB56</f>
        <v>0</v>
      </c>
      <c r="AC55" s="104">
        <f>Kotak!AC56</f>
        <v>0</v>
      </c>
      <c r="AD55" s="104">
        <f>Kotak!AD56</f>
        <v>0</v>
      </c>
      <c r="AE55" s="104">
        <f>Kotak!AE56</f>
        <v>0</v>
      </c>
      <c r="AF55" s="104">
        <f>Kotak!AF56</f>
        <v>0</v>
      </c>
      <c r="AG55" s="104">
        <f>Kotak!AG56</f>
        <v>0</v>
      </c>
      <c r="AH55" s="104">
        <f>Kotak!AH56</f>
        <v>0</v>
      </c>
      <c r="AI55" s="104">
        <f>Kotak!AI56</f>
        <v>0</v>
      </c>
      <c r="AJ55" s="104">
        <f>Kotak!AJ56</f>
        <v>0</v>
      </c>
      <c r="AK55" s="104">
        <f>Kotak!AK56</f>
        <v>0</v>
      </c>
      <c r="AL55" s="104">
        <f>Kotak!AL56</f>
        <v>0</v>
      </c>
      <c r="AM55" s="104">
        <f>Kotak!AM56</f>
        <v>0</v>
      </c>
      <c r="AN55" s="104">
        <f>Kotak!AN56</f>
        <v>0</v>
      </c>
      <c r="AO55" s="104">
        <f>Kotak!AO56</f>
        <v>0</v>
      </c>
      <c r="AP55" s="104">
        <f>Kotak!AP56</f>
        <v>0</v>
      </c>
      <c r="AQ55" s="104">
        <f>Kotak!AQ56</f>
        <v>0</v>
      </c>
      <c r="AR55" s="104">
        <f>Kotak!AR56</f>
        <v>0</v>
      </c>
      <c r="AS55" s="104">
        <f>Kotak!AS56</f>
        <v>0</v>
      </c>
      <c r="AT55" s="104">
        <f>Kotak!AT56</f>
        <v>0</v>
      </c>
      <c r="AU55" s="104">
        <f>Kotak!AU56</f>
        <v>0</v>
      </c>
      <c r="AV55" s="104">
        <f>Kotak!AV56</f>
        <v>0</v>
      </c>
      <c r="AW55" s="104">
        <f>Kotak!AW56</f>
        <v>0</v>
      </c>
      <c r="AX55" s="104">
        <f>Kotak!AX56</f>
        <v>0</v>
      </c>
      <c r="AY55" s="104">
        <f>Kotak!AY56</f>
        <v>0</v>
      </c>
      <c r="AZ55" s="104">
        <f>Kotak!AZ56</f>
        <v>0</v>
      </c>
      <c r="BA55" s="104">
        <f>Kotak!BA56</f>
        <v>0</v>
      </c>
      <c r="BB55" s="104">
        <f>Kotak!BB56</f>
        <v>0</v>
      </c>
      <c r="BC55" s="104">
        <f>Kotak!BC56</f>
        <v>0</v>
      </c>
      <c r="BD55" s="104">
        <f>Kotak!BD56</f>
        <v>0</v>
      </c>
      <c r="BE55" s="104">
        <f>Kotak!BE56</f>
        <v>0</v>
      </c>
      <c r="BF55" s="104">
        <f>Kotak!BF56</f>
        <v>0</v>
      </c>
      <c r="BG55" s="104">
        <f>Kotak!BG56</f>
        <v>0</v>
      </c>
      <c r="BH55" s="104">
        <f>Kotak!BH56</f>
        <v>0</v>
      </c>
      <c r="BI55" s="104">
        <f>Kotak!BI56</f>
        <v>0</v>
      </c>
      <c r="BJ55" s="104">
        <f>Kotak!BJ56</f>
        <v>0</v>
      </c>
      <c r="BK55" s="104">
        <f>Kotak!BK56</f>
        <v>0</v>
      </c>
      <c r="BL55" s="104">
        <f>Kotak!BL56</f>
        <v>0</v>
      </c>
      <c r="BM55" s="104">
        <f>Kotak!BM56</f>
        <v>0</v>
      </c>
      <c r="BN55" s="104">
        <f>Kotak!BN56</f>
        <v>0</v>
      </c>
      <c r="BO55" s="104">
        <f>Kotak!BO56</f>
        <v>0</v>
      </c>
      <c r="BP55" s="104">
        <f>Kotak!BP56</f>
        <v>0</v>
      </c>
      <c r="BQ55" s="104">
        <f>Kotak!BQ56</f>
        <v>0</v>
      </c>
      <c r="BR55" s="104">
        <f>Kotak!BR56</f>
        <v>0</v>
      </c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</row>
    <row r="56" spans="1:83">
      <c r="A56" s="21">
        <v>56</v>
      </c>
      <c r="B56" s="142"/>
      <c r="C56" s="142"/>
      <c r="D56" s="142"/>
      <c r="E56" s="143"/>
      <c r="F56" s="38">
        <f>IDFC!I56</f>
        <v>0</v>
      </c>
      <c r="G56" s="38">
        <f>Kotak!G57</f>
        <v>0</v>
      </c>
      <c r="H56" s="131">
        <f t="shared" si="6"/>
        <v>0</v>
      </c>
      <c r="I56" s="130">
        <f t="shared" si="2"/>
        <v>0</v>
      </c>
      <c r="J56" s="160">
        <f t="shared" si="3"/>
        <v>0</v>
      </c>
      <c r="K56" s="104">
        <f>Kotak!K57</f>
        <v>0</v>
      </c>
      <c r="L56" s="104">
        <f>Kotak!L57</f>
        <v>0</v>
      </c>
      <c r="M56" s="104">
        <f>Kotak!M57</f>
        <v>0</v>
      </c>
      <c r="N56" s="104">
        <f>Kotak!N57</f>
        <v>0</v>
      </c>
      <c r="O56" s="104">
        <f>Kotak!O57</f>
        <v>0</v>
      </c>
      <c r="P56" s="104">
        <f>Kotak!P57</f>
        <v>0</v>
      </c>
      <c r="Q56" s="104">
        <f>Kotak!Q57</f>
        <v>0</v>
      </c>
      <c r="R56" s="104">
        <f>Kotak!R57</f>
        <v>0</v>
      </c>
      <c r="S56" s="104">
        <f>Kotak!S57</f>
        <v>0</v>
      </c>
      <c r="T56" s="104">
        <f>Kotak!T57</f>
        <v>0</v>
      </c>
      <c r="U56" s="104">
        <f>Kotak!U57</f>
        <v>0</v>
      </c>
      <c r="V56" s="104">
        <f>Kotak!V57</f>
        <v>0</v>
      </c>
      <c r="W56" s="104">
        <f>Kotak!W57</f>
        <v>0</v>
      </c>
      <c r="X56" s="104">
        <f>Kotak!X57</f>
        <v>0</v>
      </c>
      <c r="Y56" s="104">
        <f>Kotak!Y57</f>
        <v>0</v>
      </c>
      <c r="Z56" s="104">
        <f>Kotak!Z57</f>
        <v>0</v>
      </c>
      <c r="AA56" s="104">
        <f>Kotak!AA57</f>
        <v>0</v>
      </c>
      <c r="AB56" s="104">
        <f>Kotak!AB57</f>
        <v>0</v>
      </c>
      <c r="AC56" s="104">
        <f>Kotak!AC57</f>
        <v>0</v>
      </c>
      <c r="AD56" s="104">
        <f>Kotak!AD57</f>
        <v>0</v>
      </c>
      <c r="AE56" s="104">
        <f>Kotak!AE57</f>
        <v>0</v>
      </c>
      <c r="AF56" s="104">
        <f>Kotak!AF57</f>
        <v>0</v>
      </c>
      <c r="AG56" s="104">
        <f>Kotak!AG57</f>
        <v>0</v>
      </c>
      <c r="AH56" s="104">
        <f>Kotak!AH57</f>
        <v>0</v>
      </c>
      <c r="AI56" s="104">
        <f>Kotak!AI57</f>
        <v>0</v>
      </c>
      <c r="AJ56" s="104">
        <f>Kotak!AJ57</f>
        <v>0</v>
      </c>
      <c r="AK56" s="104">
        <f>Kotak!AK57</f>
        <v>0</v>
      </c>
      <c r="AL56" s="104">
        <f>Kotak!AL57</f>
        <v>0</v>
      </c>
      <c r="AM56" s="104">
        <f>Kotak!AM57</f>
        <v>0</v>
      </c>
      <c r="AN56" s="104">
        <f>Kotak!AN57</f>
        <v>0</v>
      </c>
      <c r="AO56" s="104">
        <f>Kotak!AO57</f>
        <v>0</v>
      </c>
      <c r="AP56" s="104">
        <f>Kotak!AP57</f>
        <v>0</v>
      </c>
      <c r="AQ56" s="104">
        <f>Kotak!AQ57</f>
        <v>0</v>
      </c>
      <c r="AR56" s="104">
        <f>Kotak!AR57</f>
        <v>0</v>
      </c>
      <c r="AS56" s="104">
        <f>Kotak!AS57</f>
        <v>0</v>
      </c>
      <c r="AT56" s="104">
        <f>Kotak!AT57</f>
        <v>0</v>
      </c>
      <c r="AU56" s="104">
        <f>Kotak!AU57</f>
        <v>0</v>
      </c>
      <c r="AV56" s="104">
        <f>Kotak!AV57</f>
        <v>0</v>
      </c>
      <c r="AW56" s="104">
        <f>Kotak!AW57</f>
        <v>0</v>
      </c>
      <c r="AX56" s="104">
        <f>Kotak!AX57</f>
        <v>0</v>
      </c>
      <c r="AY56" s="104">
        <f>Kotak!AY57</f>
        <v>0</v>
      </c>
      <c r="AZ56" s="104">
        <f>Kotak!AZ57</f>
        <v>0</v>
      </c>
      <c r="BA56" s="104">
        <f>Kotak!BA57</f>
        <v>0</v>
      </c>
      <c r="BB56" s="104">
        <f>Kotak!BB57</f>
        <v>0</v>
      </c>
      <c r="BC56" s="104">
        <f>Kotak!BC57</f>
        <v>0</v>
      </c>
      <c r="BD56" s="104">
        <f>Kotak!BD57</f>
        <v>0</v>
      </c>
      <c r="BE56" s="104">
        <f>Kotak!BE57</f>
        <v>0</v>
      </c>
      <c r="BF56" s="104">
        <f>Kotak!BF57</f>
        <v>0</v>
      </c>
      <c r="BG56" s="104">
        <f>Kotak!BG57</f>
        <v>0</v>
      </c>
      <c r="BH56" s="104">
        <f>Kotak!BH57</f>
        <v>0</v>
      </c>
      <c r="BI56" s="104">
        <f>Kotak!BI57</f>
        <v>0</v>
      </c>
      <c r="BJ56" s="104">
        <f>Kotak!BJ57</f>
        <v>0</v>
      </c>
      <c r="BK56" s="104">
        <f>Kotak!BK57</f>
        <v>0</v>
      </c>
      <c r="BL56" s="104">
        <f>Kotak!BL57</f>
        <v>0</v>
      </c>
      <c r="BM56" s="104">
        <f>Kotak!BM57</f>
        <v>0</v>
      </c>
      <c r="BN56" s="104">
        <f>Kotak!BN57</f>
        <v>0</v>
      </c>
      <c r="BO56" s="104">
        <f>Kotak!BO57</f>
        <v>0</v>
      </c>
      <c r="BP56" s="104">
        <f>Kotak!BP57</f>
        <v>0</v>
      </c>
      <c r="BQ56" s="104">
        <f>Kotak!BQ57</f>
        <v>0</v>
      </c>
      <c r="BR56" s="104">
        <f>Kotak!BR57</f>
        <v>0</v>
      </c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</row>
    <row r="57" spans="1:83">
      <c r="A57" s="21">
        <v>57</v>
      </c>
      <c r="B57" s="142"/>
      <c r="C57" s="142"/>
      <c r="D57" s="142"/>
      <c r="E57" s="143"/>
      <c r="F57" s="38">
        <f>IDFC!I57</f>
        <v>0</v>
      </c>
      <c r="G57" s="38">
        <f>Kotak!G58</f>
        <v>0</v>
      </c>
      <c r="H57" s="131">
        <f t="shared" si="6"/>
        <v>0</v>
      </c>
      <c r="I57" s="130">
        <f t="shared" si="2"/>
        <v>0</v>
      </c>
      <c r="J57" s="160">
        <f t="shared" si="3"/>
        <v>0</v>
      </c>
      <c r="K57" s="104">
        <f>Kotak!K58</f>
        <v>0</v>
      </c>
      <c r="L57" s="104">
        <f>Kotak!L58</f>
        <v>0</v>
      </c>
      <c r="M57" s="104">
        <f>Kotak!M58</f>
        <v>0</v>
      </c>
      <c r="N57" s="104">
        <f>Kotak!N58</f>
        <v>0</v>
      </c>
      <c r="O57" s="104">
        <f>Kotak!O58</f>
        <v>0</v>
      </c>
      <c r="P57" s="104">
        <f>Kotak!P58</f>
        <v>0</v>
      </c>
      <c r="Q57" s="104">
        <f>Kotak!Q58</f>
        <v>0</v>
      </c>
      <c r="R57" s="104">
        <f>Kotak!R58</f>
        <v>0</v>
      </c>
      <c r="S57" s="104">
        <f>Kotak!S58</f>
        <v>0</v>
      </c>
      <c r="T57" s="104">
        <f>Kotak!T58</f>
        <v>0</v>
      </c>
      <c r="U57" s="104">
        <f>Kotak!U58</f>
        <v>0</v>
      </c>
      <c r="V57" s="104">
        <f>Kotak!V58</f>
        <v>0</v>
      </c>
      <c r="W57" s="104">
        <f>Kotak!W58</f>
        <v>0</v>
      </c>
      <c r="X57" s="104">
        <f>Kotak!X58</f>
        <v>0</v>
      </c>
      <c r="Y57" s="104">
        <f>Kotak!Y58</f>
        <v>0</v>
      </c>
      <c r="Z57" s="104">
        <f>Kotak!Z58</f>
        <v>0</v>
      </c>
      <c r="AA57" s="104">
        <f>Kotak!AA58</f>
        <v>0</v>
      </c>
      <c r="AB57" s="104">
        <f>Kotak!AB58</f>
        <v>0</v>
      </c>
      <c r="AC57" s="104">
        <f>Kotak!AC58</f>
        <v>0</v>
      </c>
      <c r="AD57" s="104">
        <f>Kotak!AD58</f>
        <v>0</v>
      </c>
      <c r="AE57" s="104">
        <f>Kotak!AE58</f>
        <v>0</v>
      </c>
      <c r="AF57" s="104">
        <f>Kotak!AF58</f>
        <v>0</v>
      </c>
      <c r="AG57" s="104">
        <f>Kotak!AG58</f>
        <v>0</v>
      </c>
      <c r="AH57" s="104">
        <f>Kotak!AH58</f>
        <v>0</v>
      </c>
      <c r="AI57" s="104">
        <f>Kotak!AI58</f>
        <v>0</v>
      </c>
      <c r="AJ57" s="104">
        <f>Kotak!AJ58</f>
        <v>0</v>
      </c>
      <c r="AK57" s="104">
        <f>Kotak!AK58</f>
        <v>0</v>
      </c>
      <c r="AL57" s="104">
        <f>Kotak!AL58</f>
        <v>0</v>
      </c>
      <c r="AM57" s="104">
        <f>Kotak!AM58</f>
        <v>0</v>
      </c>
      <c r="AN57" s="104">
        <f>Kotak!AN58</f>
        <v>0</v>
      </c>
      <c r="AO57" s="104">
        <f>Kotak!AO58</f>
        <v>0</v>
      </c>
      <c r="AP57" s="104">
        <f>Kotak!AP58</f>
        <v>0</v>
      </c>
      <c r="AQ57" s="104">
        <f>Kotak!AQ58</f>
        <v>0</v>
      </c>
      <c r="AR57" s="104">
        <f>Kotak!AR58</f>
        <v>0</v>
      </c>
      <c r="AS57" s="104">
        <f>Kotak!AS58</f>
        <v>0</v>
      </c>
      <c r="AT57" s="104">
        <f>Kotak!AT58</f>
        <v>0</v>
      </c>
      <c r="AU57" s="104">
        <f>Kotak!AU58</f>
        <v>0</v>
      </c>
      <c r="AV57" s="104">
        <f>Kotak!AV58</f>
        <v>0</v>
      </c>
      <c r="AW57" s="104">
        <f>Kotak!AW58</f>
        <v>0</v>
      </c>
      <c r="AX57" s="104">
        <f>Kotak!AX58</f>
        <v>0</v>
      </c>
      <c r="AY57" s="104">
        <f>Kotak!AY58</f>
        <v>0</v>
      </c>
      <c r="AZ57" s="104">
        <f>Kotak!AZ58</f>
        <v>0</v>
      </c>
      <c r="BA57" s="104">
        <f>Kotak!BA58</f>
        <v>0</v>
      </c>
      <c r="BB57" s="104">
        <f>Kotak!BB58</f>
        <v>0</v>
      </c>
      <c r="BC57" s="104">
        <f>Kotak!BC58</f>
        <v>0</v>
      </c>
      <c r="BD57" s="104">
        <f>Kotak!BD58</f>
        <v>0</v>
      </c>
      <c r="BE57" s="104">
        <f>Kotak!BE58</f>
        <v>0</v>
      </c>
      <c r="BF57" s="104">
        <f>Kotak!BF58</f>
        <v>0</v>
      </c>
      <c r="BG57" s="104">
        <f>Kotak!BG58</f>
        <v>0</v>
      </c>
      <c r="BH57" s="104">
        <f>Kotak!BH58</f>
        <v>0</v>
      </c>
      <c r="BI57" s="104">
        <f>Kotak!BI58</f>
        <v>0</v>
      </c>
      <c r="BJ57" s="104">
        <f>Kotak!BJ58</f>
        <v>0</v>
      </c>
      <c r="BK57" s="104">
        <f>Kotak!BK58</f>
        <v>0</v>
      </c>
      <c r="BL57" s="104">
        <f>Kotak!BL58</f>
        <v>0</v>
      </c>
      <c r="BM57" s="104">
        <f>Kotak!BM58</f>
        <v>0</v>
      </c>
      <c r="BN57" s="104">
        <f>Kotak!BN58</f>
        <v>0</v>
      </c>
      <c r="BO57" s="104">
        <f>Kotak!BO58</f>
        <v>0</v>
      </c>
      <c r="BP57" s="104">
        <f>Kotak!BP58</f>
        <v>0</v>
      </c>
      <c r="BQ57" s="104">
        <f>Kotak!BQ58</f>
        <v>0</v>
      </c>
      <c r="BR57" s="104">
        <f>Kotak!BR58</f>
        <v>0</v>
      </c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</row>
    <row r="58" spans="1:83">
      <c r="A58" s="21">
        <v>58</v>
      </c>
      <c r="B58" s="142"/>
      <c r="C58" s="142"/>
      <c r="D58" s="142"/>
      <c r="E58" s="143"/>
      <c r="F58" s="38">
        <f>IDFC!I58</f>
        <v>0</v>
      </c>
      <c r="G58" s="38">
        <f>Kotak!G59</f>
        <v>0</v>
      </c>
      <c r="H58" s="131">
        <f t="shared" si="6"/>
        <v>0</v>
      </c>
      <c r="I58" s="130">
        <f t="shared" si="2"/>
        <v>0</v>
      </c>
      <c r="J58" s="160">
        <f t="shared" si="3"/>
        <v>0</v>
      </c>
      <c r="K58" s="104">
        <f>Kotak!K59</f>
        <v>0</v>
      </c>
      <c r="L58" s="104">
        <f>Kotak!L59</f>
        <v>0</v>
      </c>
      <c r="M58" s="104">
        <f>Kotak!M59</f>
        <v>0</v>
      </c>
      <c r="N58" s="104">
        <f>Kotak!N59</f>
        <v>0</v>
      </c>
      <c r="O58" s="104">
        <f>Kotak!O59</f>
        <v>0</v>
      </c>
      <c r="P58" s="104">
        <f>Kotak!P59</f>
        <v>0</v>
      </c>
      <c r="Q58" s="104">
        <f>Kotak!Q59</f>
        <v>0</v>
      </c>
      <c r="R58" s="104">
        <f>Kotak!R59</f>
        <v>0</v>
      </c>
      <c r="S58" s="104">
        <f>Kotak!S59</f>
        <v>0</v>
      </c>
      <c r="T58" s="104">
        <f>Kotak!T59</f>
        <v>0</v>
      </c>
      <c r="U58" s="104">
        <f>Kotak!U59</f>
        <v>0</v>
      </c>
      <c r="V58" s="104">
        <f>Kotak!V59</f>
        <v>0</v>
      </c>
      <c r="W58" s="104">
        <f>Kotak!W59</f>
        <v>0</v>
      </c>
      <c r="X58" s="104">
        <f>Kotak!X59</f>
        <v>0</v>
      </c>
      <c r="Y58" s="104">
        <f>Kotak!Y59</f>
        <v>0</v>
      </c>
      <c r="Z58" s="104">
        <f>Kotak!Z59</f>
        <v>0</v>
      </c>
      <c r="AA58" s="104">
        <f>Kotak!AA59</f>
        <v>0</v>
      </c>
      <c r="AB58" s="104">
        <f>Kotak!AB59</f>
        <v>0</v>
      </c>
      <c r="AC58" s="104">
        <f>Kotak!AC59</f>
        <v>0</v>
      </c>
      <c r="AD58" s="104">
        <f>Kotak!AD59</f>
        <v>0</v>
      </c>
      <c r="AE58" s="104">
        <f>Kotak!AE59</f>
        <v>0</v>
      </c>
      <c r="AF58" s="104">
        <f>Kotak!AF59</f>
        <v>0</v>
      </c>
      <c r="AG58" s="104">
        <f>Kotak!AG59</f>
        <v>0</v>
      </c>
      <c r="AH58" s="104">
        <f>Kotak!AH59</f>
        <v>0</v>
      </c>
      <c r="AI58" s="104">
        <f>Kotak!AI59</f>
        <v>0</v>
      </c>
      <c r="AJ58" s="104">
        <f>Kotak!AJ59</f>
        <v>0</v>
      </c>
      <c r="AK58" s="104">
        <f>Kotak!AK59</f>
        <v>0</v>
      </c>
      <c r="AL58" s="104">
        <f>Kotak!AL59</f>
        <v>0</v>
      </c>
      <c r="AM58" s="104">
        <f>Kotak!AM59</f>
        <v>0</v>
      </c>
      <c r="AN58" s="104">
        <f>Kotak!AN59</f>
        <v>0</v>
      </c>
      <c r="AO58" s="104">
        <f>Kotak!AO59</f>
        <v>0</v>
      </c>
      <c r="AP58" s="104">
        <f>Kotak!AP59</f>
        <v>0</v>
      </c>
      <c r="AQ58" s="104">
        <f>Kotak!AQ59</f>
        <v>0</v>
      </c>
      <c r="AR58" s="104">
        <f>Kotak!AR59</f>
        <v>0</v>
      </c>
      <c r="AS58" s="104">
        <f>Kotak!AS59</f>
        <v>0</v>
      </c>
      <c r="AT58" s="104">
        <f>Kotak!AT59</f>
        <v>0</v>
      </c>
      <c r="AU58" s="104">
        <f>Kotak!AU59</f>
        <v>0</v>
      </c>
      <c r="AV58" s="104">
        <f>Kotak!AV59</f>
        <v>0</v>
      </c>
      <c r="AW58" s="104">
        <f>Kotak!AW59</f>
        <v>0</v>
      </c>
      <c r="AX58" s="104">
        <f>Kotak!AX59</f>
        <v>0</v>
      </c>
      <c r="AY58" s="104">
        <f>Kotak!AY59</f>
        <v>0</v>
      </c>
      <c r="AZ58" s="104">
        <f>Kotak!AZ59</f>
        <v>0</v>
      </c>
      <c r="BA58" s="104">
        <f>Kotak!BA59</f>
        <v>0</v>
      </c>
      <c r="BB58" s="104">
        <f>Kotak!BB59</f>
        <v>0</v>
      </c>
      <c r="BC58" s="104">
        <f>Kotak!BC59</f>
        <v>0</v>
      </c>
      <c r="BD58" s="104">
        <f>Kotak!BD59</f>
        <v>0</v>
      </c>
      <c r="BE58" s="104">
        <f>Kotak!BE59</f>
        <v>0</v>
      </c>
      <c r="BF58" s="104">
        <f>Kotak!BF59</f>
        <v>0</v>
      </c>
      <c r="BG58" s="104">
        <f>Kotak!BG59</f>
        <v>0</v>
      </c>
      <c r="BH58" s="104">
        <f>Kotak!BH59</f>
        <v>0</v>
      </c>
      <c r="BI58" s="104">
        <f>Kotak!BI59</f>
        <v>0</v>
      </c>
      <c r="BJ58" s="104">
        <f>Kotak!BJ59</f>
        <v>0</v>
      </c>
      <c r="BK58" s="104">
        <f>Kotak!BK59</f>
        <v>0</v>
      </c>
      <c r="BL58" s="104">
        <f>Kotak!BL59</f>
        <v>0</v>
      </c>
      <c r="BM58" s="104">
        <f>Kotak!BM59</f>
        <v>0</v>
      </c>
      <c r="BN58" s="104">
        <f>Kotak!BN59</f>
        <v>0</v>
      </c>
      <c r="BO58" s="104">
        <f>Kotak!BO59</f>
        <v>0</v>
      </c>
      <c r="BP58" s="104">
        <f>Kotak!BP59</f>
        <v>0</v>
      </c>
      <c r="BQ58" s="104">
        <f>Kotak!BQ59</f>
        <v>0</v>
      </c>
      <c r="BR58" s="104">
        <f>Kotak!BR59</f>
        <v>0</v>
      </c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</row>
    <row r="59" spans="1:83">
      <c r="A59" s="21">
        <v>59</v>
      </c>
      <c r="B59" s="142"/>
      <c r="C59" s="142"/>
      <c r="D59" s="142"/>
      <c r="E59" s="143"/>
      <c r="F59" s="38">
        <f>IDFC!I59</f>
        <v>0</v>
      </c>
      <c r="G59" s="38">
        <f>Kotak!G60</f>
        <v>0</v>
      </c>
      <c r="H59" s="131">
        <f t="shared" si="6"/>
        <v>0</v>
      </c>
      <c r="I59" s="130">
        <f t="shared" si="2"/>
        <v>0</v>
      </c>
      <c r="J59" s="160">
        <f t="shared" si="3"/>
        <v>0</v>
      </c>
      <c r="K59" s="104">
        <f>Kotak!K60</f>
        <v>0</v>
      </c>
      <c r="L59" s="104">
        <f>Kotak!L60</f>
        <v>0</v>
      </c>
      <c r="M59" s="104">
        <f>Kotak!M60</f>
        <v>0</v>
      </c>
      <c r="N59" s="104">
        <f>Kotak!N60</f>
        <v>0</v>
      </c>
      <c r="O59" s="104">
        <f>Kotak!O60</f>
        <v>0</v>
      </c>
      <c r="P59" s="104">
        <f>Kotak!P60</f>
        <v>0</v>
      </c>
      <c r="Q59" s="104">
        <f>Kotak!Q60</f>
        <v>0</v>
      </c>
      <c r="R59" s="104">
        <f>Kotak!R60</f>
        <v>0</v>
      </c>
      <c r="S59" s="104">
        <f>Kotak!S60</f>
        <v>0</v>
      </c>
      <c r="T59" s="104">
        <f>Kotak!T60</f>
        <v>0</v>
      </c>
      <c r="U59" s="104">
        <f>Kotak!U60</f>
        <v>0</v>
      </c>
      <c r="V59" s="104">
        <f>Kotak!V60</f>
        <v>0</v>
      </c>
      <c r="W59" s="104">
        <f>Kotak!W60</f>
        <v>0</v>
      </c>
      <c r="X59" s="104">
        <f>Kotak!X60</f>
        <v>0</v>
      </c>
      <c r="Y59" s="104">
        <f>Kotak!Y60</f>
        <v>0</v>
      </c>
      <c r="Z59" s="104">
        <f>Kotak!Z60</f>
        <v>0</v>
      </c>
      <c r="AA59" s="104">
        <f>Kotak!AA60</f>
        <v>0</v>
      </c>
      <c r="AB59" s="104">
        <f>Kotak!AB60</f>
        <v>0</v>
      </c>
      <c r="AC59" s="104">
        <f>Kotak!AC60</f>
        <v>0</v>
      </c>
      <c r="AD59" s="104">
        <f>Kotak!AD60</f>
        <v>0</v>
      </c>
      <c r="AE59" s="104">
        <f>Kotak!AE60</f>
        <v>0</v>
      </c>
      <c r="AF59" s="104">
        <f>Kotak!AF60</f>
        <v>0</v>
      </c>
      <c r="AG59" s="104">
        <f>Kotak!AG60</f>
        <v>0</v>
      </c>
      <c r="AH59" s="104">
        <f>Kotak!AH60</f>
        <v>0</v>
      </c>
      <c r="AI59" s="104">
        <f>Kotak!AI60</f>
        <v>0</v>
      </c>
      <c r="AJ59" s="104">
        <f>Kotak!AJ60</f>
        <v>0</v>
      </c>
      <c r="AK59" s="104">
        <f>Kotak!AK60</f>
        <v>0</v>
      </c>
      <c r="AL59" s="104">
        <f>Kotak!AL60</f>
        <v>0</v>
      </c>
      <c r="AM59" s="104">
        <f>Kotak!AM60</f>
        <v>0</v>
      </c>
      <c r="AN59" s="104">
        <f>Kotak!AN60</f>
        <v>0</v>
      </c>
      <c r="AO59" s="104">
        <f>Kotak!AO60</f>
        <v>0</v>
      </c>
      <c r="AP59" s="104">
        <f>Kotak!AP60</f>
        <v>0</v>
      </c>
      <c r="AQ59" s="104">
        <f>Kotak!AQ60</f>
        <v>0</v>
      </c>
      <c r="AR59" s="104">
        <f>Kotak!AR60</f>
        <v>0</v>
      </c>
      <c r="AS59" s="104">
        <f>Kotak!AS60</f>
        <v>0</v>
      </c>
      <c r="AT59" s="104">
        <f>Kotak!AT60</f>
        <v>0</v>
      </c>
      <c r="AU59" s="104">
        <f>Kotak!AU60</f>
        <v>0</v>
      </c>
      <c r="AV59" s="104">
        <f>Kotak!AV60</f>
        <v>0</v>
      </c>
      <c r="AW59" s="104">
        <f>Kotak!AW60</f>
        <v>0</v>
      </c>
      <c r="AX59" s="104">
        <f>Kotak!AX60</f>
        <v>0</v>
      </c>
      <c r="AY59" s="104">
        <f>Kotak!AY60</f>
        <v>0</v>
      </c>
      <c r="AZ59" s="104">
        <f>Kotak!AZ60</f>
        <v>0</v>
      </c>
      <c r="BA59" s="104">
        <f>Kotak!BA60</f>
        <v>0</v>
      </c>
      <c r="BB59" s="104">
        <f>Kotak!BB60</f>
        <v>0</v>
      </c>
      <c r="BC59" s="104">
        <f>Kotak!BC60</f>
        <v>0</v>
      </c>
      <c r="BD59" s="104">
        <f>Kotak!BD60</f>
        <v>0</v>
      </c>
      <c r="BE59" s="104">
        <f>Kotak!BE60</f>
        <v>0</v>
      </c>
      <c r="BF59" s="104">
        <f>Kotak!BF60</f>
        <v>0</v>
      </c>
      <c r="BG59" s="104">
        <f>Kotak!BG60</f>
        <v>0</v>
      </c>
      <c r="BH59" s="104">
        <f>Kotak!BH60</f>
        <v>0</v>
      </c>
      <c r="BI59" s="104">
        <f>Kotak!BI60</f>
        <v>0</v>
      </c>
      <c r="BJ59" s="104">
        <f>Kotak!BJ60</f>
        <v>0</v>
      </c>
      <c r="BK59" s="104">
        <f>Kotak!BK60</f>
        <v>0</v>
      </c>
      <c r="BL59" s="104">
        <f>Kotak!BL60</f>
        <v>0</v>
      </c>
      <c r="BM59" s="104">
        <f>Kotak!BM60</f>
        <v>0</v>
      </c>
      <c r="BN59" s="104">
        <f>Kotak!BN60</f>
        <v>0</v>
      </c>
      <c r="BO59" s="104">
        <f>Kotak!BO60</f>
        <v>0</v>
      </c>
      <c r="BP59" s="104">
        <f>Kotak!BP60</f>
        <v>0</v>
      </c>
      <c r="BQ59" s="104">
        <f>Kotak!BQ60</f>
        <v>0</v>
      </c>
      <c r="BR59" s="104">
        <f>Kotak!BR60</f>
        <v>0</v>
      </c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</row>
    <row r="60" spans="1:83">
      <c r="A60" s="21">
        <v>60</v>
      </c>
      <c r="B60" s="30"/>
      <c r="C60" s="30"/>
      <c r="D60" s="30"/>
      <c r="E60" s="104"/>
      <c r="F60" s="38">
        <f>IDFC!I60</f>
        <v>0</v>
      </c>
      <c r="G60" s="38">
        <f>Kotak!G61</f>
        <v>0</v>
      </c>
      <c r="H60" s="131">
        <f t="shared" si="6"/>
        <v>0</v>
      </c>
      <c r="I60" s="130">
        <f t="shared" si="2"/>
        <v>0</v>
      </c>
      <c r="J60" s="160">
        <f t="shared" si="3"/>
        <v>0</v>
      </c>
      <c r="K60" s="104">
        <f>Kotak!K61</f>
        <v>0</v>
      </c>
      <c r="L60" s="104">
        <f>Kotak!L61</f>
        <v>0</v>
      </c>
      <c r="M60" s="104">
        <f>Kotak!M61</f>
        <v>0</v>
      </c>
      <c r="N60" s="104">
        <f>Kotak!N61</f>
        <v>0</v>
      </c>
      <c r="O60" s="104">
        <f>Kotak!O61</f>
        <v>0</v>
      </c>
      <c r="P60" s="104">
        <f>Kotak!P61</f>
        <v>0</v>
      </c>
      <c r="Q60" s="104">
        <f>Kotak!Q61</f>
        <v>0</v>
      </c>
      <c r="R60" s="104">
        <f>Kotak!R61</f>
        <v>0</v>
      </c>
      <c r="S60" s="104">
        <f>Kotak!S61</f>
        <v>0</v>
      </c>
      <c r="T60" s="104">
        <f>Kotak!T61</f>
        <v>0</v>
      </c>
      <c r="U60" s="104">
        <f>Kotak!U61</f>
        <v>0</v>
      </c>
      <c r="V60" s="104">
        <f>Kotak!V61</f>
        <v>0</v>
      </c>
      <c r="W60" s="104">
        <f>Kotak!W61</f>
        <v>0</v>
      </c>
      <c r="X60" s="104">
        <f>Kotak!X61</f>
        <v>0</v>
      </c>
      <c r="Y60" s="104">
        <f>Kotak!Y61</f>
        <v>0</v>
      </c>
      <c r="Z60" s="104">
        <f>Kotak!Z61</f>
        <v>0</v>
      </c>
      <c r="AA60" s="104">
        <f>Kotak!AA61</f>
        <v>0</v>
      </c>
      <c r="AB60" s="104">
        <f>Kotak!AB61</f>
        <v>0</v>
      </c>
      <c r="AC60" s="104">
        <f>Kotak!AC61</f>
        <v>0</v>
      </c>
      <c r="AD60" s="104">
        <f>Kotak!AD61</f>
        <v>0</v>
      </c>
      <c r="AE60" s="104">
        <f>Kotak!AE61</f>
        <v>0</v>
      </c>
      <c r="AF60" s="104">
        <f>Kotak!AF61</f>
        <v>0</v>
      </c>
      <c r="AG60" s="104">
        <f>Kotak!AG61</f>
        <v>0</v>
      </c>
      <c r="AH60" s="104">
        <f>Kotak!AH61</f>
        <v>0</v>
      </c>
      <c r="AI60" s="104">
        <f>Kotak!AI61</f>
        <v>0</v>
      </c>
      <c r="AJ60" s="104">
        <f>Kotak!AJ61</f>
        <v>0</v>
      </c>
      <c r="AK60" s="104">
        <f>Kotak!AK61</f>
        <v>0</v>
      </c>
      <c r="AL60" s="104">
        <f>Kotak!AL61</f>
        <v>0</v>
      </c>
      <c r="AM60" s="104">
        <f>Kotak!AM61</f>
        <v>0</v>
      </c>
      <c r="AN60" s="104">
        <f>Kotak!AN61</f>
        <v>0</v>
      </c>
      <c r="AO60" s="104">
        <f>Kotak!AO61</f>
        <v>0</v>
      </c>
      <c r="AP60" s="104">
        <f>Kotak!AP61</f>
        <v>0</v>
      </c>
      <c r="AQ60" s="104">
        <f>Kotak!AQ61</f>
        <v>0</v>
      </c>
      <c r="AR60" s="104">
        <f>Kotak!AR61</f>
        <v>0</v>
      </c>
      <c r="AS60" s="104">
        <f>Kotak!AS61</f>
        <v>0</v>
      </c>
      <c r="AT60" s="104">
        <f>Kotak!AT61</f>
        <v>0</v>
      </c>
      <c r="AU60" s="104">
        <f>Kotak!AU61</f>
        <v>0</v>
      </c>
      <c r="AV60" s="104">
        <f>Kotak!AV61</f>
        <v>0</v>
      </c>
      <c r="AW60" s="104">
        <f>Kotak!AW61</f>
        <v>0</v>
      </c>
      <c r="AX60" s="104">
        <f>Kotak!AX61</f>
        <v>0</v>
      </c>
      <c r="AY60" s="104">
        <f>Kotak!AY61</f>
        <v>0</v>
      </c>
      <c r="AZ60" s="104">
        <f>Kotak!AZ61</f>
        <v>0</v>
      </c>
      <c r="BA60" s="104">
        <f>Kotak!BA61</f>
        <v>0</v>
      </c>
      <c r="BB60" s="104">
        <f>Kotak!BB61</f>
        <v>0</v>
      </c>
      <c r="BC60" s="104">
        <f>Kotak!BC61</f>
        <v>0</v>
      </c>
      <c r="BD60" s="104">
        <f>Kotak!BD61</f>
        <v>0</v>
      </c>
      <c r="BE60" s="104">
        <f>Kotak!BE61</f>
        <v>0</v>
      </c>
      <c r="BF60" s="104">
        <f>Kotak!BF61</f>
        <v>0</v>
      </c>
      <c r="BG60" s="104">
        <f>Kotak!BG61</f>
        <v>0</v>
      </c>
      <c r="BH60" s="104">
        <f>Kotak!BH61</f>
        <v>0</v>
      </c>
      <c r="BI60" s="104">
        <f>Kotak!BI61</f>
        <v>0</v>
      </c>
      <c r="BJ60" s="104">
        <f>Kotak!BJ61</f>
        <v>0</v>
      </c>
      <c r="BK60" s="104">
        <f>Kotak!BK61</f>
        <v>0</v>
      </c>
      <c r="BL60" s="104">
        <f>Kotak!BL61</f>
        <v>0</v>
      </c>
      <c r="BM60" s="104">
        <f>Kotak!BM61</f>
        <v>0</v>
      </c>
      <c r="BN60" s="104">
        <f>Kotak!BN61</f>
        <v>0</v>
      </c>
      <c r="BO60" s="104">
        <f>Kotak!BO61</f>
        <v>0</v>
      </c>
      <c r="BP60" s="104">
        <f>Kotak!BP61</f>
        <v>0</v>
      </c>
      <c r="BQ60" s="104">
        <f>Kotak!BQ61</f>
        <v>0</v>
      </c>
      <c r="BR60" s="104">
        <f>Kotak!BR61</f>
        <v>0</v>
      </c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</row>
    <row r="61" spans="1:83">
      <c r="A61" s="21">
        <v>61</v>
      </c>
      <c r="B61" s="142"/>
      <c r="C61" s="142"/>
      <c r="D61" s="142"/>
      <c r="E61" s="143"/>
      <c r="F61" s="38">
        <f>IDFC!I61</f>
        <v>0</v>
      </c>
      <c r="G61" s="38">
        <f>Kotak!G62</f>
        <v>0</v>
      </c>
      <c r="H61" s="131">
        <f t="shared" si="6"/>
        <v>0</v>
      </c>
      <c r="I61" s="130">
        <f t="shared" si="2"/>
        <v>0</v>
      </c>
      <c r="J61" s="160">
        <f t="shared" si="3"/>
        <v>0</v>
      </c>
      <c r="K61" s="104">
        <f>Kotak!K62</f>
        <v>0</v>
      </c>
      <c r="L61" s="104">
        <f>Kotak!L62</f>
        <v>0</v>
      </c>
      <c r="M61" s="104">
        <f>Kotak!M62</f>
        <v>0</v>
      </c>
      <c r="N61" s="104">
        <f>Kotak!N62</f>
        <v>0</v>
      </c>
      <c r="O61" s="104">
        <f>Kotak!O62</f>
        <v>0</v>
      </c>
      <c r="P61" s="104">
        <f>Kotak!P62</f>
        <v>0</v>
      </c>
      <c r="Q61" s="104">
        <f>Kotak!Q62</f>
        <v>0</v>
      </c>
      <c r="R61" s="104">
        <f>Kotak!R62</f>
        <v>0</v>
      </c>
      <c r="S61" s="104">
        <f>Kotak!S62</f>
        <v>0</v>
      </c>
      <c r="T61" s="104">
        <f>Kotak!T62</f>
        <v>0</v>
      </c>
      <c r="U61" s="104">
        <f>Kotak!U62</f>
        <v>0</v>
      </c>
      <c r="V61" s="104">
        <f>Kotak!V62</f>
        <v>0</v>
      </c>
      <c r="W61" s="104">
        <f>Kotak!W62</f>
        <v>0</v>
      </c>
      <c r="X61" s="104">
        <f>Kotak!X62</f>
        <v>0</v>
      </c>
      <c r="Y61" s="104">
        <f>Kotak!Y62</f>
        <v>0</v>
      </c>
      <c r="Z61" s="104">
        <f>Kotak!Z62</f>
        <v>0</v>
      </c>
      <c r="AA61" s="104">
        <f>Kotak!AA62</f>
        <v>0</v>
      </c>
      <c r="AB61" s="104">
        <f>Kotak!AB62</f>
        <v>0</v>
      </c>
      <c r="AC61" s="104">
        <f>Kotak!AC62</f>
        <v>0</v>
      </c>
      <c r="AD61" s="104">
        <f>Kotak!AD62</f>
        <v>0</v>
      </c>
      <c r="AE61" s="104">
        <f>Kotak!AE62</f>
        <v>0</v>
      </c>
      <c r="AF61" s="104">
        <f>Kotak!AF62</f>
        <v>0</v>
      </c>
      <c r="AG61" s="104">
        <f>Kotak!AG62</f>
        <v>0</v>
      </c>
      <c r="AH61" s="104">
        <f>Kotak!AH62</f>
        <v>0</v>
      </c>
      <c r="AI61" s="104">
        <f>Kotak!AI62</f>
        <v>0</v>
      </c>
      <c r="AJ61" s="104">
        <f>Kotak!AJ62</f>
        <v>0</v>
      </c>
      <c r="AK61" s="104">
        <f>Kotak!AK62</f>
        <v>0</v>
      </c>
      <c r="AL61" s="104">
        <f>Kotak!AL62</f>
        <v>0</v>
      </c>
      <c r="AM61" s="104">
        <f>Kotak!AM62</f>
        <v>0</v>
      </c>
      <c r="AN61" s="104">
        <f>Kotak!AN62</f>
        <v>0</v>
      </c>
      <c r="AO61" s="104">
        <f>Kotak!AO62</f>
        <v>0</v>
      </c>
      <c r="AP61" s="104">
        <f>Kotak!AP62</f>
        <v>0</v>
      </c>
      <c r="AQ61" s="104">
        <f>Kotak!AQ62</f>
        <v>0</v>
      </c>
      <c r="AR61" s="104">
        <f>Kotak!AR62</f>
        <v>0</v>
      </c>
      <c r="AS61" s="104">
        <f>Kotak!AS62</f>
        <v>0</v>
      </c>
      <c r="AT61" s="104">
        <f>Kotak!AT62</f>
        <v>0</v>
      </c>
      <c r="AU61" s="104">
        <f>Kotak!AU62</f>
        <v>0</v>
      </c>
      <c r="AV61" s="104">
        <f>Kotak!AV62</f>
        <v>0</v>
      </c>
      <c r="AW61" s="104">
        <f>Kotak!AW62</f>
        <v>0</v>
      </c>
      <c r="AX61" s="104">
        <f>Kotak!AX62</f>
        <v>0</v>
      </c>
      <c r="AY61" s="104">
        <f>Kotak!AY62</f>
        <v>0</v>
      </c>
      <c r="AZ61" s="104">
        <f>Kotak!AZ62</f>
        <v>0</v>
      </c>
      <c r="BA61" s="104">
        <f>Kotak!BA62</f>
        <v>0</v>
      </c>
      <c r="BB61" s="104">
        <f>Kotak!BB62</f>
        <v>0</v>
      </c>
      <c r="BC61" s="104">
        <f>Kotak!BC62</f>
        <v>0</v>
      </c>
      <c r="BD61" s="104">
        <f>Kotak!BD62</f>
        <v>0</v>
      </c>
      <c r="BE61" s="104">
        <f>Kotak!BE62</f>
        <v>0</v>
      </c>
      <c r="BF61" s="104">
        <f>Kotak!BF62</f>
        <v>0</v>
      </c>
      <c r="BG61" s="104">
        <f>Kotak!BG62</f>
        <v>0</v>
      </c>
      <c r="BH61" s="104">
        <f>Kotak!BH62</f>
        <v>0</v>
      </c>
      <c r="BI61" s="104">
        <f>Kotak!BI62</f>
        <v>0</v>
      </c>
      <c r="BJ61" s="104">
        <f>Kotak!BJ62</f>
        <v>0</v>
      </c>
      <c r="BK61" s="104">
        <f>Kotak!BK62</f>
        <v>0</v>
      </c>
      <c r="BL61" s="104">
        <f>Kotak!BL62</f>
        <v>0</v>
      </c>
      <c r="BM61" s="104">
        <f>Kotak!BM62</f>
        <v>0</v>
      </c>
      <c r="BN61" s="104">
        <f>Kotak!BN62</f>
        <v>0</v>
      </c>
      <c r="BO61" s="104">
        <f>Kotak!BO62</f>
        <v>0</v>
      </c>
      <c r="BP61" s="104">
        <f>Kotak!BP62</f>
        <v>0</v>
      </c>
      <c r="BQ61" s="104">
        <f>Kotak!BQ62</f>
        <v>0</v>
      </c>
      <c r="BR61" s="104">
        <f>Kotak!BR62</f>
        <v>0</v>
      </c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</row>
    <row r="62" spans="1:83">
      <c r="A62" s="21">
        <v>62</v>
      </c>
      <c r="B62" s="30"/>
      <c r="C62" s="30"/>
      <c r="D62" s="30"/>
      <c r="E62" s="104"/>
      <c r="F62" s="38">
        <f>IDFC!I62</f>
        <v>0</v>
      </c>
      <c r="G62" s="38">
        <f>Kotak!G63</f>
        <v>0</v>
      </c>
      <c r="H62" s="131">
        <f t="shared" si="6"/>
        <v>0</v>
      </c>
      <c r="I62" s="130">
        <f t="shared" si="2"/>
        <v>0</v>
      </c>
      <c r="J62" s="160">
        <f t="shared" si="3"/>
        <v>0</v>
      </c>
      <c r="K62" s="104">
        <f>Kotak!K63</f>
        <v>0</v>
      </c>
      <c r="L62" s="104">
        <f>Kotak!L63</f>
        <v>0</v>
      </c>
      <c r="M62" s="104">
        <f>Kotak!M63</f>
        <v>0</v>
      </c>
      <c r="N62" s="104">
        <f>Kotak!N63</f>
        <v>0</v>
      </c>
      <c r="O62" s="104">
        <f>Kotak!O63</f>
        <v>0</v>
      </c>
      <c r="P62" s="104">
        <f>Kotak!P63</f>
        <v>0</v>
      </c>
      <c r="Q62" s="104">
        <f>Kotak!Q63</f>
        <v>0</v>
      </c>
      <c r="R62" s="104">
        <f>Kotak!R63</f>
        <v>0</v>
      </c>
      <c r="S62" s="104">
        <f>Kotak!S63</f>
        <v>0</v>
      </c>
      <c r="T62" s="104">
        <f>Kotak!T63</f>
        <v>0</v>
      </c>
      <c r="U62" s="104">
        <f>Kotak!U63</f>
        <v>0</v>
      </c>
      <c r="V62" s="104">
        <f>Kotak!V63</f>
        <v>0</v>
      </c>
      <c r="W62" s="104">
        <f>Kotak!W63</f>
        <v>0</v>
      </c>
      <c r="X62" s="104">
        <f>Kotak!X63</f>
        <v>0</v>
      </c>
      <c r="Y62" s="104">
        <f>Kotak!Y63</f>
        <v>0</v>
      </c>
      <c r="Z62" s="104">
        <f>Kotak!Z63</f>
        <v>0</v>
      </c>
      <c r="AA62" s="104">
        <f>Kotak!AA63</f>
        <v>0</v>
      </c>
      <c r="AB62" s="104">
        <f>Kotak!AB63</f>
        <v>0</v>
      </c>
      <c r="AC62" s="104">
        <f>Kotak!AC63</f>
        <v>0</v>
      </c>
      <c r="AD62" s="104">
        <f>Kotak!AD63</f>
        <v>0</v>
      </c>
      <c r="AE62" s="104">
        <f>Kotak!AE63</f>
        <v>0</v>
      </c>
      <c r="AF62" s="104">
        <f>Kotak!AF63</f>
        <v>0</v>
      </c>
      <c r="AG62" s="104">
        <f>Kotak!AG63</f>
        <v>0</v>
      </c>
      <c r="AH62" s="104">
        <f>Kotak!AH63</f>
        <v>0</v>
      </c>
      <c r="AI62" s="104">
        <f>Kotak!AI63</f>
        <v>0</v>
      </c>
      <c r="AJ62" s="104">
        <f>Kotak!AJ63</f>
        <v>0</v>
      </c>
      <c r="AK62" s="104">
        <f>Kotak!AK63</f>
        <v>0</v>
      </c>
      <c r="AL62" s="104">
        <f>Kotak!AL63</f>
        <v>0</v>
      </c>
      <c r="AM62" s="104">
        <f>Kotak!AM63</f>
        <v>0</v>
      </c>
      <c r="AN62" s="104">
        <f>Kotak!AN63</f>
        <v>0</v>
      </c>
      <c r="AO62" s="104">
        <f>Kotak!AO63</f>
        <v>0</v>
      </c>
      <c r="AP62" s="104">
        <f>Kotak!AP63</f>
        <v>0</v>
      </c>
      <c r="AQ62" s="104">
        <f>Kotak!AQ63</f>
        <v>0</v>
      </c>
      <c r="AR62" s="104">
        <f>Kotak!AR63</f>
        <v>0</v>
      </c>
      <c r="AS62" s="104">
        <f>Kotak!AS63</f>
        <v>0</v>
      </c>
      <c r="AT62" s="104">
        <f>Kotak!AT63</f>
        <v>0</v>
      </c>
      <c r="AU62" s="104">
        <f>Kotak!AU63</f>
        <v>0</v>
      </c>
      <c r="AV62" s="104">
        <f>Kotak!AV63</f>
        <v>0</v>
      </c>
      <c r="AW62" s="104">
        <f>Kotak!AW63</f>
        <v>0</v>
      </c>
      <c r="AX62" s="104">
        <f>Kotak!AX63</f>
        <v>0</v>
      </c>
      <c r="AY62" s="104">
        <f>Kotak!AY63</f>
        <v>0</v>
      </c>
      <c r="AZ62" s="104">
        <f>Kotak!AZ63</f>
        <v>0</v>
      </c>
      <c r="BA62" s="104">
        <f>Kotak!BA63</f>
        <v>0</v>
      </c>
      <c r="BB62" s="104">
        <f>Kotak!BB63</f>
        <v>0</v>
      </c>
      <c r="BC62" s="104">
        <f>Kotak!BC63</f>
        <v>0</v>
      </c>
      <c r="BD62" s="104">
        <f>Kotak!BD63</f>
        <v>0</v>
      </c>
      <c r="BE62" s="104">
        <f>Kotak!BE63</f>
        <v>0</v>
      </c>
      <c r="BF62" s="104">
        <f>Kotak!BF63</f>
        <v>0</v>
      </c>
      <c r="BG62" s="104">
        <f>Kotak!BG63</f>
        <v>0</v>
      </c>
      <c r="BH62" s="104">
        <f>Kotak!BH63</f>
        <v>0</v>
      </c>
      <c r="BI62" s="104">
        <f>Kotak!BI63</f>
        <v>0</v>
      </c>
      <c r="BJ62" s="104">
        <f>Kotak!BJ63</f>
        <v>0</v>
      </c>
      <c r="BK62" s="104">
        <f>Kotak!BK63</f>
        <v>0</v>
      </c>
      <c r="BL62" s="104">
        <f>Kotak!BL63</f>
        <v>0</v>
      </c>
      <c r="BM62" s="104">
        <f>Kotak!BM63</f>
        <v>0</v>
      </c>
      <c r="BN62" s="104">
        <f>Kotak!BN63</f>
        <v>0</v>
      </c>
      <c r="BO62" s="104">
        <f>Kotak!BO63</f>
        <v>0</v>
      </c>
      <c r="BP62" s="104">
        <f>Kotak!BP63</f>
        <v>0</v>
      </c>
      <c r="BQ62" s="104">
        <f>Kotak!BQ63</f>
        <v>0</v>
      </c>
      <c r="BR62" s="104">
        <f>Kotak!BR63</f>
        <v>0</v>
      </c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</row>
    <row r="63" spans="1:83">
      <c r="A63" s="21">
        <v>63</v>
      </c>
      <c r="B63" s="142"/>
      <c r="C63" s="142"/>
      <c r="D63" s="142"/>
      <c r="E63" s="143"/>
      <c r="F63" s="38">
        <f>IDFC!I63</f>
        <v>0</v>
      </c>
      <c r="G63" s="38">
        <f>Kotak!G64</f>
        <v>0</v>
      </c>
      <c r="H63" s="131">
        <f t="shared" si="6"/>
        <v>0</v>
      </c>
      <c r="I63" s="130">
        <f t="shared" si="2"/>
        <v>0</v>
      </c>
      <c r="J63" s="160">
        <f t="shared" si="3"/>
        <v>0</v>
      </c>
      <c r="K63" s="104">
        <f>Kotak!K64</f>
        <v>0</v>
      </c>
      <c r="L63" s="104">
        <f>Kotak!L64</f>
        <v>0</v>
      </c>
      <c r="M63" s="104">
        <f>Kotak!M64</f>
        <v>0</v>
      </c>
      <c r="N63" s="104">
        <f>Kotak!N64</f>
        <v>0</v>
      </c>
      <c r="O63" s="104">
        <f>Kotak!O64</f>
        <v>0</v>
      </c>
      <c r="P63" s="104">
        <f>Kotak!P64</f>
        <v>0</v>
      </c>
      <c r="Q63" s="104">
        <f>Kotak!Q64</f>
        <v>0</v>
      </c>
      <c r="R63" s="104">
        <f>Kotak!R64</f>
        <v>0</v>
      </c>
      <c r="S63" s="104">
        <f>Kotak!S64</f>
        <v>0</v>
      </c>
      <c r="T63" s="104">
        <f>Kotak!T64</f>
        <v>0</v>
      </c>
      <c r="U63" s="104">
        <f>Kotak!U64</f>
        <v>0</v>
      </c>
      <c r="V63" s="104">
        <f>Kotak!V64</f>
        <v>0</v>
      </c>
      <c r="W63" s="104">
        <f>Kotak!W64</f>
        <v>0</v>
      </c>
      <c r="X63" s="104">
        <f>Kotak!X64</f>
        <v>0</v>
      </c>
      <c r="Y63" s="104">
        <f>Kotak!Y64</f>
        <v>0</v>
      </c>
      <c r="Z63" s="104">
        <f>Kotak!Z64</f>
        <v>0</v>
      </c>
      <c r="AA63" s="104">
        <f>Kotak!AA64</f>
        <v>0</v>
      </c>
      <c r="AB63" s="104">
        <f>Kotak!AB64</f>
        <v>0</v>
      </c>
      <c r="AC63" s="104">
        <f>Kotak!AC64</f>
        <v>0</v>
      </c>
      <c r="AD63" s="104">
        <f>Kotak!AD64</f>
        <v>0</v>
      </c>
      <c r="AE63" s="104">
        <f>Kotak!AE64</f>
        <v>0</v>
      </c>
      <c r="AF63" s="104">
        <f>Kotak!AF64</f>
        <v>0</v>
      </c>
      <c r="AG63" s="104">
        <f>Kotak!AG64</f>
        <v>0</v>
      </c>
      <c r="AH63" s="104">
        <f>Kotak!AH64</f>
        <v>0</v>
      </c>
      <c r="AI63" s="104">
        <f>Kotak!AI64</f>
        <v>0</v>
      </c>
      <c r="AJ63" s="104">
        <f>Kotak!AJ64</f>
        <v>0</v>
      </c>
      <c r="AK63" s="104">
        <f>Kotak!AK64</f>
        <v>0</v>
      </c>
      <c r="AL63" s="104">
        <f>Kotak!AL64</f>
        <v>0</v>
      </c>
      <c r="AM63" s="104">
        <f>Kotak!AM64</f>
        <v>0</v>
      </c>
      <c r="AN63" s="104">
        <f>Kotak!AN64</f>
        <v>0</v>
      </c>
      <c r="AO63" s="104">
        <f>Kotak!AO64</f>
        <v>0</v>
      </c>
      <c r="AP63" s="104">
        <f>Kotak!AP64</f>
        <v>0</v>
      </c>
      <c r="AQ63" s="104">
        <f>Kotak!AQ64</f>
        <v>0</v>
      </c>
      <c r="AR63" s="104">
        <f>Kotak!AR64</f>
        <v>0</v>
      </c>
      <c r="AS63" s="104">
        <f>Kotak!AS64</f>
        <v>0</v>
      </c>
      <c r="AT63" s="104">
        <f>Kotak!AT64</f>
        <v>0</v>
      </c>
      <c r="AU63" s="104">
        <f>Kotak!AU64</f>
        <v>0</v>
      </c>
      <c r="AV63" s="104">
        <f>Kotak!AV64</f>
        <v>0</v>
      </c>
      <c r="AW63" s="104">
        <f>Kotak!AW64</f>
        <v>0</v>
      </c>
      <c r="AX63" s="104">
        <f>Kotak!AX64</f>
        <v>0</v>
      </c>
      <c r="AY63" s="104">
        <f>Kotak!AY64</f>
        <v>0</v>
      </c>
      <c r="AZ63" s="104">
        <f>Kotak!AZ64</f>
        <v>0</v>
      </c>
      <c r="BA63" s="104">
        <f>Kotak!BA64</f>
        <v>0</v>
      </c>
      <c r="BB63" s="104">
        <f>Kotak!BB64</f>
        <v>0</v>
      </c>
      <c r="BC63" s="104">
        <f>Kotak!BC64</f>
        <v>0</v>
      </c>
      <c r="BD63" s="104">
        <f>Kotak!BD64</f>
        <v>0</v>
      </c>
      <c r="BE63" s="104">
        <f>Kotak!BE64</f>
        <v>0</v>
      </c>
      <c r="BF63" s="104">
        <f>Kotak!BF64</f>
        <v>0</v>
      </c>
      <c r="BG63" s="104">
        <f>Kotak!BG64</f>
        <v>0</v>
      </c>
      <c r="BH63" s="104">
        <f>Kotak!BH64</f>
        <v>0</v>
      </c>
      <c r="BI63" s="104">
        <f>Kotak!BI64</f>
        <v>0</v>
      </c>
      <c r="BJ63" s="104">
        <f>Kotak!BJ64</f>
        <v>0</v>
      </c>
      <c r="BK63" s="104">
        <f>Kotak!BK64</f>
        <v>0</v>
      </c>
      <c r="BL63" s="104">
        <f>Kotak!BL64</f>
        <v>0</v>
      </c>
      <c r="BM63" s="104">
        <f>Kotak!BM64</f>
        <v>0</v>
      </c>
      <c r="BN63" s="104">
        <f>Kotak!BN64</f>
        <v>0</v>
      </c>
      <c r="BO63" s="104">
        <f>Kotak!BO64</f>
        <v>0</v>
      </c>
      <c r="BP63" s="104">
        <f>Kotak!BP64</f>
        <v>0</v>
      </c>
      <c r="BQ63" s="104">
        <f>Kotak!BQ64</f>
        <v>0</v>
      </c>
      <c r="BR63" s="104">
        <f>Kotak!BR64</f>
        <v>0</v>
      </c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</row>
    <row r="64" spans="1:83">
      <c r="A64" s="21">
        <v>64</v>
      </c>
      <c r="B64" s="43"/>
      <c r="C64" s="43"/>
      <c r="D64" s="43"/>
      <c r="E64" s="144"/>
      <c r="F64" s="38">
        <f>IDFC!I64</f>
        <v>0</v>
      </c>
      <c r="G64" s="38">
        <f>Kotak!G65</f>
        <v>0</v>
      </c>
      <c r="H64" s="131">
        <f t="shared" si="6"/>
        <v>0</v>
      </c>
      <c r="I64" s="130">
        <f t="shared" si="2"/>
        <v>0</v>
      </c>
      <c r="J64" s="160">
        <f t="shared" si="3"/>
        <v>0</v>
      </c>
      <c r="K64" s="104">
        <f>Kotak!K65</f>
        <v>0</v>
      </c>
      <c r="L64" s="104">
        <f>Kotak!L65</f>
        <v>0</v>
      </c>
      <c r="M64" s="104">
        <f>Kotak!M65</f>
        <v>0</v>
      </c>
      <c r="N64" s="104">
        <f>Kotak!N65</f>
        <v>0</v>
      </c>
      <c r="O64" s="104">
        <f>Kotak!O65</f>
        <v>0</v>
      </c>
      <c r="P64" s="104">
        <f>Kotak!P65</f>
        <v>0</v>
      </c>
      <c r="Q64" s="104">
        <f>Kotak!Q65</f>
        <v>0</v>
      </c>
      <c r="R64" s="104">
        <f>Kotak!R65</f>
        <v>0</v>
      </c>
      <c r="S64" s="104">
        <f>Kotak!S65</f>
        <v>0</v>
      </c>
      <c r="T64" s="104">
        <f>Kotak!T65</f>
        <v>0</v>
      </c>
      <c r="U64" s="104">
        <f>Kotak!U65</f>
        <v>0</v>
      </c>
      <c r="V64" s="104">
        <f>Kotak!V65</f>
        <v>0</v>
      </c>
      <c r="W64" s="104">
        <f>Kotak!W65</f>
        <v>0</v>
      </c>
      <c r="X64" s="104">
        <f>Kotak!X65</f>
        <v>0</v>
      </c>
      <c r="Y64" s="104">
        <f>Kotak!Y65</f>
        <v>0</v>
      </c>
      <c r="Z64" s="104">
        <f>Kotak!Z65</f>
        <v>0</v>
      </c>
      <c r="AA64" s="104">
        <f>Kotak!AA65</f>
        <v>0</v>
      </c>
      <c r="AB64" s="104">
        <f>Kotak!AB65</f>
        <v>0</v>
      </c>
      <c r="AC64" s="104">
        <f>Kotak!AC65</f>
        <v>0</v>
      </c>
      <c r="AD64" s="104">
        <f>Kotak!AD65</f>
        <v>0</v>
      </c>
      <c r="AE64" s="104">
        <f>Kotak!AE65</f>
        <v>0</v>
      </c>
      <c r="AF64" s="104">
        <f>Kotak!AF65</f>
        <v>0</v>
      </c>
      <c r="AG64" s="104">
        <f>Kotak!AG65</f>
        <v>0</v>
      </c>
      <c r="AH64" s="104">
        <f>Kotak!AH65</f>
        <v>0</v>
      </c>
      <c r="AI64" s="104">
        <f>Kotak!AI65</f>
        <v>0</v>
      </c>
      <c r="AJ64" s="104">
        <f>Kotak!AJ65</f>
        <v>0</v>
      </c>
      <c r="AK64" s="104">
        <f>Kotak!AK65</f>
        <v>0</v>
      </c>
      <c r="AL64" s="104">
        <f>Kotak!AL65</f>
        <v>0</v>
      </c>
      <c r="AM64" s="104">
        <f>Kotak!AM65</f>
        <v>0</v>
      </c>
      <c r="AN64" s="104">
        <f>Kotak!AN65</f>
        <v>0</v>
      </c>
      <c r="AO64" s="104">
        <f>Kotak!AO65</f>
        <v>0</v>
      </c>
      <c r="AP64" s="104">
        <f>Kotak!AP65</f>
        <v>0</v>
      </c>
      <c r="AQ64" s="104">
        <f>Kotak!AQ65</f>
        <v>0</v>
      </c>
      <c r="AR64" s="104">
        <f>Kotak!AR65</f>
        <v>0</v>
      </c>
      <c r="AS64" s="104">
        <f>Kotak!AS65</f>
        <v>0</v>
      </c>
      <c r="AT64" s="104">
        <f>Kotak!AT65</f>
        <v>0</v>
      </c>
      <c r="AU64" s="104">
        <f>Kotak!AU65</f>
        <v>0</v>
      </c>
      <c r="AV64" s="104">
        <f>Kotak!AV65</f>
        <v>0</v>
      </c>
      <c r="AW64" s="104">
        <f>Kotak!AW65</f>
        <v>0</v>
      </c>
      <c r="AX64" s="104">
        <f>Kotak!AX65</f>
        <v>0</v>
      </c>
      <c r="AY64" s="104">
        <f>Kotak!AY65</f>
        <v>0</v>
      </c>
      <c r="AZ64" s="104">
        <f>Kotak!AZ65</f>
        <v>0</v>
      </c>
      <c r="BA64" s="104">
        <f>Kotak!BA65</f>
        <v>0</v>
      </c>
      <c r="BB64" s="104">
        <f>Kotak!BB65</f>
        <v>0</v>
      </c>
      <c r="BC64" s="104">
        <f>Kotak!BC65</f>
        <v>0</v>
      </c>
      <c r="BD64" s="104">
        <f>Kotak!BD65</f>
        <v>0</v>
      </c>
      <c r="BE64" s="104">
        <f>Kotak!BE65</f>
        <v>0</v>
      </c>
      <c r="BF64" s="104">
        <f>Kotak!BF65</f>
        <v>0</v>
      </c>
      <c r="BG64" s="104">
        <f>Kotak!BG65</f>
        <v>0</v>
      </c>
      <c r="BH64" s="104">
        <f>Kotak!BH65</f>
        <v>0</v>
      </c>
      <c r="BI64" s="104">
        <f>Kotak!BI65</f>
        <v>0</v>
      </c>
      <c r="BJ64" s="104">
        <f>Kotak!BJ65</f>
        <v>0</v>
      </c>
      <c r="BK64" s="104">
        <f>Kotak!BK65</f>
        <v>0</v>
      </c>
      <c r="BL64" s="104">
        <f>Kotak!BL65</f>
        <v>0</v>
      </c>
      <c r="BM64" s="104">
        <f>Kotak!BM65</f>
        <v>0</v>
      </c>
      <c r="BN64" s="104">
        <f>Kotak!BN65</f>
        <v>0</v>
      </c>
      <c r="BO64" s="104">
        <f>Kotak!BO65</f>
        <v>0</v>
      </c>
      <c r="BP64" s="104">
        <f>Kotak!BP65</f>
        <v>0</v>
      </c>
      <c r="BQ64" s="104">
        <f>Kotak!BQ65</f>
        <v>0</v>
      </c>
      <c r="BR64" s="104">
        <f>Kotak!BR65</f>
        <v>0</v>
      </c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</row>
    <row r="65" spans="1:83">
      <c r="A65" s="21">
        <v>65</v>
      </c>
      <c r="B65" s="30"/>
      <c r="C65" s="30"/>
      <c r="D65" s="30"/>
      <c r="E65" s="104"/>
      <c r="F65" s="38">
        <f>IDFC!I65</f>
        <v>0</v>
      </c>
      <c r="G65" s="38">
        <f>Kotak!G66</f>
        <v>0</v>
      </c>
      <c r="H65" s="131">
        <f t="shared" si="6"/>
        <v>0</v>
      </c>
      <c r="I65" s="130">
        <f t="shared" si="2"/>
        <v>0</v>
      </c>
      <c r="J65" s="160">
        <f t="shared" si="3"/>
        <v>0</v>
      </c>
      <c r="K65" s="104">
        <f>Kotak!K66</f>
        <v>0</v>
      </c>
      <c r="L65" s="104">
        <f>Kotak!L66</f>
        <v>0</v>
      </c>
      <c r="M65" s="104">
        <f>Kotak!M66</f>
        <v>0</v>
      </c>
      <c r="N65" s="104">
        <f>Kotak!N66</f>
        <v>0</v>
      </c>
      <c r="O65" s="104">
        <f>Kotak!O66</f>
        <v>0</v>
      </c>
      <c r="P65" s="104">
        <f>Kotak!P66</f>
        <v>0</v>
      </c>
      <c r="Q65" s="104">
        <f>Kotak!Q66</f>
        <v>0</v>
      </c>
      <c r="R65" s="104">
        <f>Kotak!R66</f>
        <v>0</v>
      </c>
      <c r="S65" s="104">
        <f>Kotak!S66</f>
        <v>0</v>
      </c>
      <c r="T65" s="104">
        <f>Kotak!T66</f>
        <v>0</v>
      </c>
      <c r="U65" s="104">
        <f>Kotak!U66</f>
        <v>0</v>
      </c>
      <c r="V65" s="104">
        <f>Kotak!V66</f>
        <v>0</v>
      </c>
      <c r="W65" s="104">
        <f>Kotak!W66</f>
        <v>0</v>
      </c>
      <c r="X65" s="104">
        <f>Kotak!X66</f>
        <v>0</v>
      </c>
      <c r="Y65" s="104">
        <f>Kotak!Y66</f>
        <v>0</v>
      </c>
      <c r="Z65" s="104">
        <f>Kotak!Z66</f>
        <v>0</v>
      </c>
      <c r="AA65" s="104">
        <f>Kotak!AA66</f>
        <v>0</v>
      </c>
      <c r="AB65" s="104">
        <f>Kotak!AB66</f>
        <v>0</v>
      </c>
      <c r="AC65" s="104">
        <f>Kotak!AC66</f>
        <v>0</v>
      </c>
      <c r="AD65" s="104">
        <f>Kotak!AD66</f>
        <v>0</v>
      </c>
      <c r="AE65" s="104">
        <f>Kotak!AE66</f>
        <v>0</v>
      </c>
      <c r="AF65" s="104">
        <f>Kotak!AF66</f>
        <v>0</v>
      </c>
      <c r="AG65" s="104">
        <f>Kotak!AG66</f>
        <v>0</v>
      </c>
      <c r="AH65" s="104">
        <f>Kotak!AH66</f>
        <v>0</v>
      </c>
      <c r="AI65" s="104">
        <f>Kotak!AI66</f>
        <v>0</v>
      </c>
      <c r="AJ65" s="104">
        <f>Kotak!AJ66</f>
        <v>0</v>
      </c>
      <c r="AK65" s="104">
        <f>Kotak!AK66</f>
        <v>0</v>
      </c>
      <c r="AL65" s="104">
        <f>Kotak!AL66</f>
        <v>0</v>
      </c>
      <c r="AM65" s="104">
        <f>Kotak!AM66</f>
        <v>0</v>
      </c>
      <c r="AN65" s="104">
        <f>Kotak!AN66</f>
        <v>0</v>
      </c>
      <c r="AO65" s="104">
        <f>Kotak!AO66</f>
        <v>0</v>
      </c>
      <c r="AP65" s="104">
        <f>Kotak!AP66</f>
        <v>0</v>
      </c>
      <c r="AQ65" s="104">
        <f>Kotak!AQ66</f>
        <v>0</v>
      </c>
      <c r="AR65" s="104">
        <f>Kotak!AR66</f>
        <v>0</v>
      </c>
      <c r="AS65" s="104">
        <f>Kotak!AS66</f>
        <v>0</v>
      </c>
      <c r="AT65" s="104">
        <f>Kotak!AT66</f>
        <v>0</v>
      </c>
      <c r="AU65" s="104">
        <f>Kotak!AU66</f>
        <v>0</v>
      </c>
      <c r="AV65" s="104">
        <f>Kotak!AV66</f>
        <v>0</v>
      </c>
      <c r="AW65" s="104">
        <f>Kotak!AW66</f>
        <v>0</v>
      </c>
      <c r="AX65" s="104">
        <f>Kotak!AX66</f>
        <v>0</v>
      </c>
      <c r="AY65" s="104">
        <f>Kotak!AY66</f>
        <v>0</v>
      </c>
      <c r="AZ65" s="104">
        <f>Kotak!AZ66</f>
        <v>0</v>
      </c>
      <c r="BA65" s="104">
        <f>Kotak!BA66</f>
        <v>0</v>
      </c>
      <c r="BB65" s="104">
        <f>Kotak!BB66</f>
        <v>0</v>
      </c>
      <c r="BC65" s="104">
        <f>Kotak!BC66</f>
        <v>0</v>
      </c>
      <c r="BD65" s="104">
        <f>Kotak!BD66</f>
        <v>0</v>
      </c>
      <c r="BE65" s="104">
        <f>Kotak!BE66</f>
        <v>0</v>
      </c>
      <c r="BF65" s="104">
        <f>Kotak!BF66</f>
        <v>0</v>
      </c>
      <c r="BG65" s="104">
        <f>Kotak!BG66</f>
        <v>0</v>
      </c>
      <c r="BH65" s="104">
        <f>Kotak!BH66</f>
        <v>0</v>
      </c>
      <c r="BI65" s="104">
        <f>Kotak!BI66</f>
        <v>0</v>
      </c>
      <c r="BJ65" s="104">
        <f>Kotak!BJ66</f>
        <v>0</v>
      </c>
      <c r="BK65" s="104">
        <f>Kotak!BK66</f>
        <v>0</v>
      </c>
      <c r="BL65" s="104">
        <f>Kotak!BL66</f>
        <v>0</v>
      </c>
      <c r="BM65" s="104">
        <f>Kotak!BM66</f>
        <v>0</v>
      </c>
      <c r="BN65" s="104">
        <f>Kotak!BN66</f>
        <v>0</v>
      </c>
      <c r="BO65" s="104">
        <f>Kotak!BO66</f>
        <v>0</v>
      </c>
      <c r="BP65" s="104">
        <f>Kotak!BP66</f>
        <v>0</v>
      </c>
      <c r="BQ65" s="104">
        <f>Kotak!BQ66</f>
        <v>0</v>
      </c>
      <c r="BR65" s="104">
        <f>Kotak!BR66</f>
        <v>0</v>
      </c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</row>
    <row r="66" spans="1:83">
      <c r="A66" s="21">
        <v>66</v>
      </c>
      <c r="B66" s="43"/>
      <c r="C66" s="43"/>
      <c r="D66" s="43"/>
      <c r="E66" s="144"/>
      <c r="F66" s="38">
        <f>IDFC!I66</f>
        <v>0</v>
      </c>
      <c r="G66" s="38">
        <f>Kotak!G67</f>
        <v>0</v>
      </c>
      <c r="H66" s="131">
        <f t="shared" si="6"/>
        <v>0</v>
      </c>
      <c r="I66" s="130">
        <f t="shared" si="2"/>
        <v>0</v>
      </c>
      <c r="J66" s="160">
        <f t="shared" si="3"/>
        <v>0</v>
      </c>
      <c r="K66" s="104">
        <f>Kotak!K67</f>
        <v>0</v>
      </c>
      <c r="L66" s="104">
        <f>Kotak!L67</f>
        <v>0</v>
      </c>
      <c r="M66" s="104">
        <f>Kotak!M67</f>
        <v>0</v>
      </c>
      <c r="N66" s="104">
        <f>Kotak!N67</f>
        <v>0</v>
      </c>
      <c r="O66" s="104">
        <f>Kotak!O67</f>
        <v>0</v>
      </c>
      <c r="P66" s="104">
        <f>Kotak!P67</f>
        <v>0</v>
      </c>
      <c r="Q66" s="104">
        <f>Kotak!Q67</f>
        <v>0</v>
      </c>
      <c r="R66" s="104">
        <f>Kotak!R67</f>
        <v>0</v>
      </c>
      <c r="S66" s="104">
        <f>Kotak!S67</f>
        <v>0</v>
      </c>
      <c r="T66" s="104">
        <f>Kotak!T67</f>
        <v>0</v>
      </c>
      <c r="U66" s="104">
        <f>Kotak!U67</f>
        <v>0</v>
      </c>
      <c r="V66" s="104">
        <f>Kotak!V67</f>
        <v>0</v>
      </c>
      <c r="W66" s="104">
        <f>Kotak!W67</f>
        <v>0</v>
      </c>
      <c r="X66" s="104">
        <f>Kotak!X67</f>
        <v>0</v>
      </c>
      <c r="Y66" s="104">
        <f>Kotak!Y67</f>
        <v>0</v>
      </c>
      <c r="Z66" s="104">
        <f>Kotak!Z67</f>
        <v>0</v>
      </c>
      <c r="AA66" s="104">
        <f>Kotak!AA67</f>
        <v>0</v>
      </c>
      <c r="AB66" s="104">
        <f>Kotak!AB67</f>
        <v>0</v>
      </c>
      <c r="AC66" s="104">
        <f>Kotak!AC67</f>
        <v>0</v>
      </c>
      <c r="AD66" s="104">
        <f>Kotak!AD67</f>
        <v>0</v>
      </c>
      <c r="AE66" s="104">
        <f>Kotak!AE67</f>
        <v>0</v>
      </c>
      <c r="AF66" s="104">
        <f>Kotak!AF67</f>
        <v>0</v>
      </c>
      <c r="AG66" s="104">
        <f>Kotak!AG67</f>
        <v>0</v>
      </c>
      <c r="AH66" s="104">
        <f>Kotak!AH67</f>
        <v>0</v>
      </c>
      <c r="AI66" s="104">
        <f>Kotak!AI67</f>
        <v>0</v>
      </c>
      <c r="AJ66" s="104">
        <f>Kotak!AJ67</f>
        <v>0</v>
      </c>
      <c r="AK66" s="104">
        <f>Kotak!AK67</f>
        <v>0</v>
      </c>
      <c r="AL66" s="104">
        <f>Kotak!AL67</f>
        <v>0</v>
      </c>
      <c r="AM66" s="104">
        <f>Kotak!AM67</f>
        <v>0</v>
      </c>
      <c r="AN66" s="104">
        <f>Kotak!AN67</f>
        <v>0</v>
      </c>
      <c r="AO66" s="104">
        <f>Kotak!AO67</f>
        <v>0</v>
      </c>
      <c r="AP66" s="104">
        <f>Kotak!AP67</f>
        <v>0</v>
      </c>
      <c r="AQ66" s="104">
        <f>Kotak!AQ67</f>
        <v>0</v>
      </c>
      <c r="AR66" s="104">
        <f>Kotak!AR67</f>
        <v>0</v>
      </c>
      <c r="AS66" s="104">
        <f>Kotak!AS67</f>
        <v>0</v>
      </c>
      <c r="AT66" s="104">
        <f>Kotak!AT67</f>
        <v>0</v>
      </c>
      <c r="AU66" s="104">
        <f>Kotak!AU67</f>
        <v>0</v>
      </c>
      <c r="AV66" s="104">
        <f>Kotak!AV67</f>
        <v>0</v>
      </c>
      <c r="AW66" s="104">
        <f>Kotak!AW67</f>
        <v>0</v>
      </c>
      <c r="AX66" s="104">
        <f>Kotak!AX67</f>
        <v>0</v>
      </c>
      <c r="AY66" s="104">
        <f>Kotak!AY67</f>
        <v>0</v>
      </c>
      <c r="AZ66" s="104">
        <f>Kotak!AZ67</f>
        <v>0</v>
      </c>
      <c r="BA66" s="104">
        <f>Kotak!BA67</f>
        <v>0</v>
      </c>
      <c r="BB66" s="104">
        <f>Kotak!BB67</f>
        <v>0</v>
      </c>
      <c r="BC66" s="104">
        <f>Kotak!BC67</f>
        <v>0</v>
      </c>
      <c r="BD66" s="104">
        <f>Kotak!BD67</f>
        <v>0</v>
      </c>
      <c r="BE66" s="104">
        <f>Kotak!BE67</f>
        <v>0</v>
      </c>
      <c r="BF66" s="104">
        <f>Kotak!BF67</f>
        <v>0</v>
      </c>
      <c r="BG66" s="104">
        <f>Kotak!BG67</f>
        <v>0</v>
      </c>
      <c r="BH66" s="104">
        <f>Kotak!BH67</f>
        <v>0</v>
      </c>
      <c r="BI66" s="104">
        <f>Kotak!BI67</f>
        <v>0</v>
      </c>
      <c r="BJ66" s="104">
        <f>Kotak!BJ67</f>
        <v>0</v>
      </c>
      <c r="BK66" s="104">
        <f>Kotak!BK67</f>
        <v>0</v>
      </c>
      <c r="BL66" s="104">
        <f>Kotak!BL67</f>
        <v>0</v>
      </c>
      <c r="BM66" s="104">
        <f>Kotak!BM67</f>
        <v>0</v>
      </c>
      <c r="BN66" s="104">
        <f>Kotak!BN67</f>
        <v>0</v>
      </c>
      <c r="BO66" s="104">
        <f>Kotak!BO67</f>
        <v>0</v>
      </c>
      <c r="BP66" s="104">
        <f>Kotak!BP67</f>
        <v>0</v>
      </c>
      <c r="BQ66" s="104">
        <f>Kotak!BQ67</f>
        <v>0</v>
      </c>
      <c r="BR66" s="104">
        <f>Kotak!BR67</f>
        <v>0</v>
      </c>
    </row>
    <row r="67" spans="1:83">
      <c r="A67" s="21">
        <v>67</v>
      </c>
      <c r="B67" s="43"/>
      <c r="C67" s="43"/>
      <c r="D67" s="43"/>
      <c r="E67" s="144"/>
      <c r="F67" s="38">
        <f>IDFC!I67</f>
        <v>0</v>
      </c>
      <c r="G67" s="38">
        <f>Kotak!G68</f>
        <v>0</v>
      </c>
      <c r="H67" s="131">
        <f t="shared" si="6"/>
        <v>0</v>
      </c>
      <c r="I67" s="130">
        <f t="shared" ref="I67:I100" si="7">G67-H67</f>
        <v>0</v>
      </c>
      <c r="J67" s="160">
        <f t="shared" si="3"/>
        <v>0</v>
      </c>
      <c r="K67" s="104">
        <f>Kotak!K68</f>
        <v>0</v>
      </c>
      <c r="L67" s="104">
        <f>Kotak!L68</f>
        <v>0</v>
      </c>
      <c r="M67" s="104">
        <f>Kotak!M68</f>
        <v>0</v>
      </c>
      <c r="N67" s="104">
        <f>Kotak!N68</f>
        <v>0</v>
      </c>
      <c r="O67" s="104">
        <f>Kotak!O68</f>
        <v>0</v>
      </c>
      <c r="P67" s="104">
        <f>Kotak!P68</f>
        <v>0</v>
      </c>
      <c r="Q67" s="104">
        <f>Kotak!Q68</f>
        <v>0</v>
      </c>
      <c r="R67" s="104">
        <f>Kotak!R68</f>
        <v>0</v>
      </c>
      <c r="S67" s="104">
        <f>Kotak!S68</f>
        <v>0</v>
      </c>
      <c r="T67" s="104">
        <f>Kotak!T68</f>
        <v>0</v>
      </c>
      <c r="U67" s="104">
        <f>Kotak!U68</f>
        <v>0</v>
      </c>
      <c r="V67" s="104">
        <f>Kotak!V68</f>
        <v>0</v>
      </c>
      <c r="W67" s="104">
        <f>Kotak!W68</f>
        <v>0</v>
      </c>
      <c r="X67" s="104">
        <f>Kotak!X68</f>
        <v>0</v>
      </c>
      <c r="Y67" s="104">
        <f>Kotak!Y68</f>
        <v>0</v>
      </c>
      <c r="Z67" s="104">
        <f>Kotak!Z68</f>
        <v>0</v>
      </c>
      <c r="AA67" s="104">
        <f>Kotak!AA68</f>
        <v>0</v>
      </c>
      <c r="AB67" s="104">
        <f>Kotak!AB68</f>
        <v>0</v>
      </c>
      <c r="AC67" s="104">
        <f>Kotak!AC68</f>
        <v>0</v>
      </c>
      <c r="AD67" s="104">
        <f>Kotak!AD68</f>
        <v>0</v>
      </c>
      <c r="AE67" s="104">
        <f>Kotak!AE68</f>
        <v>0</v>
      </c>
      <c r="AF67" s="104">
        <f>Kotak!AF68</f>
        <v>0</v>
      </c>
      <c r="AG67" s="104">
        <f>Kotak!AG68</f>
        <v>0</v>
      </c>
      <c r="AH67" s="104">
        <f>Kotak!AH68</f>
        <v>0</v>
      </c>
      <c r="AI67" s="104">
        <f>Kotak!AI68</f>
        <v>0</v>
      </c>
      <c r="AJ67" s="104">
        <f>Kotak!AJ68</f>
        <v>0</v>
      </c>
      <c r="AK67" s="104">
        <f>Kotak!AK68</f>
        <v>0</v>
      </c>
      <c r="AL67" s="104">
        <f>Kotak!AL68</f>
        <v>0</v>
      </c>
      <c r="AM67" s="104">
        <f>Kotak!AM68</f>
        <v>0</v>
      </c>
      <c r="AN67" s="104">
        <f>Kotak!AN68</f>
        <v>0</v>
      </c>
      <c r="AO67" s="104">
        <f>Kotak!AO68</f>
        <v>0</v>
      </c>
      <c r="AP67" s="104">
        <f>Kotak!AP68</f>
        <v>0</v>
      </c>
      <c r="AQ67" s="104">
        <f>Kotak!AQ68</f>
        <v>0</v>
      </c>
      <c r="AR67" s="104">
        <f>Kotak!AR68</f>
        <v>0</v>
      </c>
      <c r="AS67" s="104">
        <f>Kotak!AS68</f>
        <v>0</v>
      </c>
      <c r="AT67" s="104">
        <f>Kotak!AT68</f>
        <v>0</v>
      </c>
      <c r="AU67" s="104">
        <f>Kotak!AU68</f>
        <v>0</v>
      </c>
      <c r="AV67" s="104">
        <f>Kotak!AV68</f>
        <v>0</v>
      </c>
      <c r="AW67" s="104">
        <f>Kotak!AW68</f>
        <v>0</v>
      </c>
      <c r="AX67" s="104">
        <f>Kotak!AX68</f>
        <v>0</v>
      </c>
      <c r="AY67" s="104">
        <f>Kotak!AY68</f>
        <v>0</v>
      </c>
      <c r="AZ67" s="104">
        <f>Kotak!AZ68</f>
        <v>0</v>
      </c>
      <c r="BA67" s="104">
        <f>Kotak!BA68</f>
        <v>0</v>
      </c>
      <c r="BB67" s="104">
        <f>Kotak!BB68</f>
        <v>0</v>
      </c>
      <c r="BC67" s="104">
        <f>Kotak!BC68</f>
        <v>0</v>
      </c>
      <c r="BD67" s="104">
        <f>Kotak!BD68</f>
        <v>0</v>
      </c>
      <c r="BE67" s="104">
        <f>Kotak!BE68</f>
        <v>0</v>
      </c>
      <c r="BF67" s="104">
        <f>Kotak!BF68</f>
        <v>0</v>
      </c>
      <c r="BG67" s="104">
        <f>Kotak!BG68</f>
        <v>0</v>
      </c>
      <c r="BH67" s="104">
        <f>Kotak!BH68</f>
        <v>0</v>
      </c>
      <c r="BI67" s="104">
        <f>Kotak!BI68</f>
        <v>0</v>
      </c>
      <c r="BJ67" s="104">
        <f>Kotak!BJ68</f>
        <v>0</v>
      </c>
      <c r="BK67" s="104">
        <f>Kotak!BK68</f>
        <v>0</v>
      </c>
      <c r="BL67" s="104">
        <f>Kotak!BL68</f>
        <v>0</v>
      </c>
      <c r="BM67" s="104">
        <f>Kotak!BM68</f>
        <v>0</v>
      </c>
      <c r="BN67" s="104">
        <f>Kotak!BN68</f>
        <v>0</v>
      </c>
      <c r="BO67" s="104">
        <f>Kotak!BO68</f>
        <v>0</v>
      </c>
      <c r="BP67" s="104">
        <f>Kotak!BP68</f>
        <v>0</v>
      </c>
      <c r="BQ67" s="104">
        <f>Kotak!BQ68</f>
        <v>0</v>
      </c>
      <c r="BR67" s="104">
        <f>Kotak!BR68</f>
        <v>0</v>
      </c>
    </row>
    <row r="68" spans="1:83">
      <c r="A68" s="21">
        <v>68</v>
      </c>
      <c r="B68" s="43"/>
      <c r="C68" s="43"/>
      <c r="D68" s="43"/>
      <c r="E68" s="144"/>
      <c r="F68" s="38">
        <f>IDFC!I68</f>
        <v>0</v>
      </c>
      <c r="G68" s="38">
        <f>Kotak!G69</f>
        <v>0</v>
      </c>
      <c r="H68" s="131">
        <f t="shared" si="6"/>
        <v>0</v>
      </c>
      <c r="I68" s="130">
        <f t="shared" si="7"/>
        <v>0</v>
      </c>
      <c r="J68" s="160">
        <f t="shared" ref="J68:J100" si="8">D68+I68</f>
        <v>0</v>
      </c>
      <c r="K68" s="104">
        <f>Kotak!K69</f>
        <v>0</v>
      </c>
      <c r="L68" s="104">
        <f>Kotak!L69</f>
        <v>0</v>
      </c>
      <c r="M68" s="104">
        <f>Kotak!M69</f>
        <v>0</v>
      </c>
      <c r="N68" s="104">
        <f>Kotak!N69</f>
        <v>0</v>
      </c>
      <c r="O68" s="104">
        <f>Kotak!O69</f>
        <v>0</v>
      </c>
      <c r="P68" s="104">
        <f>Kotak!P69</f>
        <v>0</v>
      </c>
      <c r="Q68" s="104">
        <f>Kotak!Q69</f>
        <v>0</v>
      </c>
      <c r="R68" s="104">
        <f>Kotak!R69</f>
        <v>0</v>
      </c>
      <c r="S68" s="104">
        <f>Kotak!S69</f>
        <v>0</v>
      </c>
      <c r="T68" s="104">
        <f>Kotak!T69</f>
        <v>0</v>
      </c>
      <c r="U68" s="104">
        <f>Kotak!U69</f>
        <v>0</v>
      </c>
      <c r="V68" s="104">
        <f>Kotak!V69</f>
        <v>0</v>
      </c>
      <c r="W68" s="104">
        <f>Kotak!W69</f>
        <v>0</v>
      </c>
      <c r="X68" s="104">
        <f>Kotak!X69</f>
        <v>0</v>
      </c>
      <c r="Y68" s="104">
        <f>Kotak!Y69</f>
        <v>0</v>
      </c>
      <c r="Z68" s="104">
        <f>Kotak!Z69</f>
        <v>0</v>
      </c>
      <c r="AA68" s="104">
        <f>Kotak!AA69</f>
        <v>0</v>
      </c>
      <c r="AB68" s="104">
        <f>Kotak!AB69</f>
        <v>0</v>
      </c>
      <c r="AC68" s="104">
        <f>Kotak!AC69</f>
        <v>0</v>
      </c>
      <c r="AD68" s="104">
        <f>Kotak!AD69</f>
        <v>0</v>
      </c>
      <c r="AE68" s="104">
        <f>Kotak!AE69</f>
        <v>0</v>
      </c>
      <c r="AF68" s="104">
        <f>Kotak!AF69</f>
        <v>0</v>
      </c>
      <c r="AG68" s="104">
        <f>Kotak!AG69</f>
        <v>0</v>
      </c>
      <c r="AH68" s="104">
        <f>Kotak!AH69</f>
        <v>0</v>
      </c>
      <c r="AI68" s="104">
        <f>Kotak!AI69</f>
        <v>0</v>
      </c>
      <c r="AJ68" s="104">
        <f>Kotak!AJ69</f>
        <v>0</v>
      </c>
      <c r="AK68" s="104">
        <f>Kotak!AK69</f>
        <v>0</v>
      </c>
      <c r="AL68" s="104">
        <f>Kotak!AL69</f>
        <v>0</v>
      </c>
      <c r="AM68" s="104">
        <f>Kotak!AM69</f>
        <v>0</v>
      </c>
      <c r="AN68" s="104">
        <f>Kotak!AN69</f>
        <v>0</v>
      </c>
      <c r="AO68" s="104">
        <f>Kotak!AO69</f>
        <v>0</v>
      </c>
      <c r="AP68" s="104">
        <f>Kotak!AP69</f>
        <v>0</v>
      </c>
      <c r="AQ68" s="104">
        <f>Kotak!AQ69</f>
        <v>0</v>
      </c>
      <c r="AR68" s="104">
        <f>Kotak!AR69</f>
        <v>0</v>
      </c>
      <c r="AS68" s="104">
        <f>Kotak!AS69</f>
        <v>0</v>
      </c>
      <c r="AT68" s="104">
        <f>Kotak!AT69</f>
        <v>0</v>
      </c>
      <c r="AU68" s="104">
        <f>Kotak!AU69</f>
        <v>0</v>
      </c>
      <c r="AV68" s="104">
        <f>Kotak!AV69</f>
        <v>0</v>
      </c>
      <c r="AW68" s="104">
        <f>Kotak!AW69</f>
        <v>0</v>
      </c>
      <c r="AX68" s="104">
        <f>Kotak!AX69</f>
        <v>0</v>
      </c>
      <c r="AY68" s="104">
        <f>Kotak!AY69</f>
        <v>0</v>
      </c>
      <c r="AZ68" s="104">
        <f>Kotak!AZ69</f>
        <v>0</v>
      </c>
      <c r="BA68" s="104">
        <f>Kotak!BA69</f>
        <v>0</v>
      </c>
      <c r="BB68" s="104">
        <f>Kotak!BB69</f>
        <v>0</v>
      </c>
      <c r="BC68" s="104">
        <f>Kotak!BC69</f>
        <v>0</v>
      </c>
      <c r="BD68" s="104">
        <f>Kotak!BD69</f>
        <v>0</v>
      </c>
      <c r="BE68" s="104">
        <f>Kotak!BE69</f>
        <v>0</v>
      </c>
      <c r="BF68" s="104">
        <f>Kotak!BF69</f>
        <v>0</v>
      </c>
      <c r="BG68" s="104">
        <f>Kotak!BG69</f>
        <v>0</v>
      </c>
      <c r="BH68" s="104">
        <f>Kotak!BH69</f>
        <v>0</v>
      </c>
      <c r="BI68" s="104">
        <f>Kotak!BI69</f>
        <v>0</v>
      </c>
      <c r="BJ68" s="104">
        <f>Kotak!BJ69</f>
        <v>0</v>
      </c>
      <c r="BK68" s="104">
        <f>Kotak!BK69</f>
        <v>0</v>
      </c>
      <c r="BL68" s="104">
        <f>Kotak!BL69</f>
        <v>0</v>
      </c>
      <c r="BM68" s="104">
        <f>Kotak!BM69</f>
        <v>0</v>
      </c>
      <c r="BN68" s="104">
        <f>Kotak!BN69</f>
        <v>0</v>
      </c>
      <c r="BO68" s="104">
        <f>Kotak!BO69</f>
        <v>0</v>
      </c>
      <c r="BP68" s="104">
        <f>Kotak!BP69</f>
        <v>0</v>
      </c>
      <c r="BQ68" s="104">
        <f>Kotak!BQ69</f>
        <v>0</v>
      </c>
      <c r="BR68" s="104">
        <f>Kotak!BR69</f>
        <v>0</v>
      </c>
    </row>
    <row r="69" spans="1:83">
      <c r="A69" s="21">
        <v>69</v>
      </c>
      <c r="B69" s="30"/>
      <c r="C69" s="30"/>
      <c r="D69" s="30"/>
      <c r="E69" s="104"/>
      <c r="F69" s="38">
        <f>IDFC!I69</f>
        <v>0</v>
      </c>
      <c r="G69" s="38">
        <f>Kotak!G70</f>
        <v>0</v>
      </c>
      <c r="H69" s="131">
        <f t="shared" si="6"/>
        <v>0</v>
      </c>
      <c r="I69" s="130">
        <f t="shared" si="7"/>
        <v>0</v>
      </c>
      <c r="J69" s="160">
        <f t="shared" si="8"/>
        <v>0</v>
      </c>
      <c r="K69" s="104">
        <f>Kotak!K70</f>
        <v>0</v>
      </c>
      <c r="L69" s="104">
        <f>Kotak!L70</f>
        <v>0</v>
      </c>
      <c r="M69" s="104">
        <f>Kotak!M70</f>
        <v>0</v>
      </c>
      <c r="N69" s="104">
        <f>Kotak!N70</f>
        <v>0</v>
      </c>
      <c r="O69" s="104">
        <f>Kotak!O70</f>
        <v>0</v>
      </c>
      <c r="P69" s="104">
        <f>Kotak!P70</f>
        <v>0</v>
      </c>
      <c r="Q69" s="104">
        <f>Kotak!Q70</f>
        <v>0</v>
      </c>
      <c r="R69" s="104">
        <f>Kotak!R70</f>
        <v>0</v>
      </c>
      <c r="S69" s="104">
        <f>Kotak!S70</f>
        <v>0</v>
      </c>
      <c r="T69" s="104">
        <f>Kotak!T70</f>
        <v>0</v>
      </c>
      <c r="U69" s="104">
        <f>Kotak!U70</f>
        <v>0</v>
      </c>
      <c r="V69" s="104">
        <f>Kotak!V70</f>
        <v>0</v>
      </c>
      <c r="W69" s="104">
        <f>Kotak!W70</f>
        <v>0</v>
      </c>
      <c r="X69" s="104">
        <f>Kotak!X70</f>
        <v>0</v>
      </c>
      <c r="Y69" s="104">
        <f>Kotak!Y70</f>
        <v>0</v>
      </c>
      <c r="Z69" s="104">
        <f>Kotak!Z70</f>
        <v>0</v>
      </c>
      <c r="AA69" s="104">
        <f>Kotak!AA70</f>
        <v>0</v>
      </c>
      <c r="AB69" s="104">
        <f>Kotak!AB70</f>
        <v>0</v>
      </c>
      <c r="AC69" s="104">
        <f>Kotak!AC70</f>
        <v>0</v>
      </c>
      <c r="AD69" s="104">
        <f>Kotak!AD70</f>
        <v>0</v>
      </c>
      <c r="AE69" s="104">
        <f>Kotak!AE70</f>
        <v>0</v>
      </c>
      <c r="AF69" s="104">
        <f>Kotak!AF70</f>
        <v>0</v>
      </c>
      <c r="AG69" s="104">
        <f>Kotak!AG70</f>
        <v>0</v>
      </c>
      <c r="AH69" s="104">
        <f>Kotak!AH70</f>
        <v>0</v>
      </c>
      <c r="AI69" s="104">
        <f>Kotak!AI70</f>
        <v>0</v>
      </c>
      <c r="AJ69" s="104">
        <f>Kotak!AJ70</f>
        <v>0</v>
      </c>
      <c r="AK69" s="104">
        <f>Kotak!AK70</f>
        <v>0</v>
      </c>
      <c r="AL69" s="104">
        <f>Kotak!AL70</f>
        <v>0</v>
      </c>
      <c r="AM69" s="104">
        <f>Kotak!AM70</f>
        <v>0</v>
      </c>
      <c r="AN69" s="104">
        <f>Kotak!AN70</f>
        <v>0</v>
      </c>
      <c r="AO69" s="104">
        <f>Kotak!AO70</f>
        <v>0</v>
      </c>
      <c r="AP69" s="104">
        <f>Kotak!AP70</f>
        <v>0</v>
      </c>
      <c r="AQ69" s="104">
        <f>Kotak!AQ70</f>
        <v>0</v>
      </c>
      <c r="AR69" s="104">
        <f>Kotak!AR70</f>
        <v>0</v>
      </c>
      <c r="AS69" s="104">
        <f>Kotak!AS70</f>
        <v>0</v>
      </c>
      <c r="AT69" s="104">
        <f>Kotak!AT70</f>
        <v>0</v>
      </c>
      <c r="AU69" s="104">
        <f>Kotak!AU70</f>
        <v>0</v>
      </c>
      <c r="AV69" s="104">
        <f>Kotak!AV70</f>
        <v>0</v>
      </c>
      <c r="AW69" s="104">
        <f>Kotak!AW70</f>
        <v>0</v>
      </c>
      <c r="AX69" s="104">
        <f>Kotak!AX70</f>
        <v>0</v>
      </c>
      <c r="AY69" s="104">
        <f>Kotak!AY70</f>
        <v>0</v>
      </c>
      <c r="AZ69" s="104">
        <f>Kotak!AZ70</f>
        <v>0</v>
      </c>
      <c r="BA69" s="104">
        <f>Kotak!BA70</f>
        <v>0</v>
      </c>
      <c r="BB69" s="104">
        <f>Kotak!BB70</f>
        <v>0</v>
      </c>
      <c r="BC69" s="104">
        <f>Kotak!BC70</f>
        <v>0</v>
      </c>
      <c r="BD69" s="104">
        <f>Kotak!BD70</f>
        <v>0</v>
      </c>
      <c r="BE69" s="104">
        <f>Kotak!BE70</f>
        <v>0</v>
      </c>
      <c r="BF69" s="104">
        <f>Kotak!BF70</f>
        <v>0</v>
      </c>
      <c r="BG69" s="104">
        <f>Kotak!BG70</f>
        <v>0</v>
      </c>
      <c r="BH69" s="104">
        <f>Kotak!BH70</f>
        <v>0</v>
      </c>
      <c r="BI69" s="104">
        <f>Kotak!BI70</f>
        <v>0</v>
      </c>
      <c r="BJ69" s="104">
        <f>Kotak!BJ70</f>
        <v>0</v>
      </c>
      <c r="BK69" s="104">
        <f>Kotak!BK70</f>
        <v>0</v>
      </c>
      <c r="BL69" s="104">
        <f>Kotak!BL70</f>
        <v>0</v>
      </c>
      <c r="BM69" s="104">
        <f>Kotak!BM70</f>
        <v>0</v>
      </c>
      <c r="BN69" s="104">
        <f>Kotak!BN70</f>
        <v>0</v>
      </c>
      <c r="BO69" s="104">
        <f>Kotak!BO70</f>
        <v>0</v>
      </c>
      <c r="BP69" s="104">
        <f>Kotak!BP70</f>
        <v>0</v>
      </c>
      <c r="BQ69" s="104">
        <f>Kotak!BQ70</f>
        <v>0</v>
      </c>
      <c r="BR69" s="104">
        <f>Kotak!BR70</f>
        <v>0</v>
      </c>
    </row>
    <row r="70" spans="1:83">
      <c r="A70" s="21">
        <v>70</v>
      </c>
      <c r="B70" s="30"/>
      <c r="C70" s="30"/>
      <c r="D70" s="30"/>
      <c r="E70" s="104"/>
      <c r="F70" s="38">
        <f>IDFC!I70</f>
        <v>0</v>
      </c>
      <c r="G70" s="38">
        <f>Kotak!G71</f>
        <v>0</v>
      </c>
      <c r="H70" s="131">
        <f t="shared" si="6"/>
        <v>0</v>
      </c>
      <c r="I70" s="130">
        <f t="shared" si="7"/>
        <v>0</v>
      </c>
      <c r="J70" s="160">
        <f t="shared" si="8"/>
        <v>0</v>
      </c>
      <c r="K70" s="104">
        <f>Kotak!K71</f>
        <v>0</v>
      </c>
      <c r="L70" s="104">
        <f>Kotak!L71</f>
        <v>0</v>
      </c>
      <c r="M70" s="104">
        <f>Kotak!M71</f>
        <v>0</v>
      </c>
      <c r="N70" s="104">
        <f>Kotak!N71</f>
        <v>0</v>
      </c>
      <c r="O70" s="104">
        <f>Kotak!O71</f>
        <v>0</v>
      </c>
      <c r="P70" s="104">
        <f>Kotak!P71</f>
        <v>0</v>
      </c>
      <c r="Q70" s="104">
        <f>Kotak!Q71</f>
        <v>0</v>
      </c>
      <c r="R70" s="104">
        <f>Kotak!R71</f>
        <v>0</v>
      </c>
      <c r="S70" s="104">
        <f>Kotak!S71</f>
        <v>0</v>
      </c>
      <c r="T70" s="104">
        <f>Kotak!T71</f>
        <v>0</v>
      </c>
      <c r="U70" s="104">
        <f>Kotak!U71</f>
        <v>0</v>
      </c>
      <c r="V70" s="104">
        <f>Kotak!V71</f>
        <v>0</v>
      </c>
      <c r="W70" s="104">
        <f>Kotak!W71</f>
        <v>0</v>
      </c>
      <c r="X70" s="104">
        <f>Kotak!X71</f>
        <v>0</v>
      </c>
      <c r="Y70" s="104">
        <f>Kotak!Y71</f>
        <v>0</v>
      </c>
      <c r="Z70" s="104">
        <f>Kotak!Z71</f>
        <v>0</v>
      </c>
      <c r="AA70" s="104">
        <f>Kotak!AA71</f>
        <v>0</v>
      </c>
      <c r="AB70" s="104">
        <f>Kotak!AB71</f>
        <v>0</v>
      </c>
      <c r="AC70" s="104">
        <f>Kotak!AC71</f>
        <v>0</v>
      </c>
      <c r="AD70" s="104">
        <f>Kotak!AD71</f>
        <v>0</v>
      </c>
      <c r="AE70" s="104">
        <f>Kotak!AE71</f>
        <v>0</v>
      </c>
      <c r="AF70" s="104">
        <f>Kotak!AF71</f>
        <v>0</v>
      </c>
      <c r="AG70" s="104">
        <f>Kotak!AG71</f>
        <v>0</v>
      </c>
      <c r="AH70" s="104">
        <f>Kotak!AH71</f>
        <v>0</v>
      </c>
      <c r="AI70" s="104">
        <f>Kotak!AI71</f>
        <v>0</v>
      </c>
      <c r="AJ70" s="104">
        <f>Kotak!AJ71</f>
        <v>0</v>
      </c>
      <c r="AK70" s="104">
        <f>Kotak!AK71</f>
        <v>0</v>
      </c>
      <c r="AL70" s="104">
        <f>Kotak!AL71</f>
        <v>0</v>
      </c>
      <c r="AM70" s="104">
        <f>Kotak!AM71</f>
        <v>0</v>
      </c>
      <c r="AN70" s="104">
        <f>Kotak!AN71</f>
        <v>0</v>
      </c>
      <c r="AO70" s="104">
        <f>Kotak!AO71</f>
        <v>0</v>
      </c>
      <c r="AP70" s="104">
        <f>Kotak!AP71</f>
        <v>0</v>
      </c>
      <c r="AQ70" s="104">
        <f>Kotak!AQ71</f>
        <v>0</v>
      </c>
      <c r="AR70" s="104">
        <f>Kotak!AR71</f>
        <v>0</v>
      </c>
      <c r="AS70" s="104">
        <f>Kotak!AS71</f>
        <v>0</v>
      </c>
      <c r="AT70" s="104">
        <f>Kotak!AT71</f>
        <v>0</v>
      </c>
      <c r="AU70" s="104">
        <f>Kotak!AU71</f>
        <v>0</v>
      </c>
      <c r="AV70" s="104">
        <f>Kotak!AV71</f>
        <v>0</v>
      </c>
      <c r="AW70" s="104">
        <f>Kotak!AW71</f>
        <v>0</v>
      </c>
      <c r="AX70" s="104">
        <f>Kotak!AX71</f>
        <v>0</v>
      </c>
      <c r="AY70" s="104">
        <f>Kotak!AY71</f>
        <v>0</v>
      </c>
      <c r="AZ70" s="104">
        <f>Kotak!AZ71</f>
        <v>0</v>
      </c>
      <c r="BA70" s="104">
        <f>Kotak!BA71</f>
        <v>0</v>
      </c>
      <c r="BB70" s="104">
        <f>Kotak!BB71</f>
        <v>0</v>
      </c>
      <c r="BC70" s="104">
        <f>Kotak!BC71</f>
        <v>0</v>
      </c>
      <c r="BD70" s="104">
        <f>Kotak!BD71</f>
        <v>0</v>
      </c>
      <c r="BE70" s="104">
        <f>Kotak!BE71</f>
        <v>0</v>
      </c>
      <c r="BF70" s="104">
        <f>Kotak!BF71</f>
        <v>0</v>
      </c>
      <c r="BG70" s="104">
        <f>Kotak!BG71</f>
        <v>0</v>
      </c>
      <c r="BH70" s="104">
        <f>Kotak!BH71</f>
        <v>0</v>
      </c>
      <c r="BI70" s="104">
        <f>Kotak!BI71</f>
        <v>0</v>
      </c>
      <c r="BJ70" s="104">
        <f>Kotak!BJ71</f>
        <v>0</v>
      </c>
      <c r="BK70" s="104">
        <f>Kotak!BK71</f>
        <v>0</v>
      </c>
      <c r="BL70" s="104">
        <f>Kotak!BL71</f>
        <v>0</v>
      </c>
      <c r="BM70" s="104">
        <f>Kotak!BM71</f>
        <v>0</v>
      </c>
      <c r="BN70" s="104">
        <f>Kotak!BN71</f>
        <v>0</v>
      </c>
      <c r="BO70" s="104">
        <f>Kotak!BO71</f>
        <v>0</v>
      </c>
      <c r="BP70" s="104">
        <f>Kotak!BP71</f>
        <v>0</v>
      </c>
      <c r="BQ70" s="104">
        <f>Kotak!BQ71</f>
        <v>0</v>
      </c>
      <c r="BR70" s="104">
        <f>Kotak!BR71</f>
        <v>0</v>
      </c>
    </row>
    <row r="71" spans="1:83">
      <c r="A71" s="21">
        <v>71</v>
      </c>
      <c r="B71" s="30"/>
      <c r="C71" s="30"/>
      <c r="D71" s="30"/>
      <c r="E71" s="104"/>
      <c r="F71" s="38">
        <f>IDFC!I71</f>
        <v>0</v>
      </c>
      <c r="G71" s="38">
        <f>Kotak!G72</f>
        <v>0</v>
      </c>
      <c r="H71" s="131">
        <f t="shared" si="6"/>
        <v>0</v>
      </c>
      <c r="I71" s="130">
        <f t="shared" si="7"/>
        <v>0</v>
      </c>
      <c r="J71" s="160">
        <f t="shared" si="8"/>
        <v>0</v>
      </c>
      <c r="K71" s="104">
        <f>Kotak!K72</f>
        <v>0</v>
      </c>
      <c r="L71" s="104">
        <f>Kotak!L72</f>
        <v>0</v>
      </c>
      <c r="M71" s="104">
        <f>Kotak!M72</f>
        <v>0</v>
      </c>
      <c r="N71" s="104">
        <f>Kotak!N72</f>
        <v>0</v>
      </c>
      <c r="O71" s="104">
        <f>Kotak!O72</f>
        <v>0</v>
      </c>
      <c r="P71" s="104">
        <f>Kotak!P72</f>
        <v>0</v>
      </c>
      <c r="Q71" s="104">
        <f>Kotak!Q72</f>
        <v>0</v>
      </c>
      <c r="R71" s="104">
        <f>Kotak!R72</f>
        <v>0</v>
      </c>
      <c r="S71" s="104">
        <f>Kotak!S72</f>
        <v>0</v>
      </c>
      <c r="T71" s="104">
        <f>Kotak!T72</f>
        <v>0</v>
      </c>
      <c r="U71" s="104">
        <f>Kotak!U72</f>
        <v>0</v>
      </c>
      <c r="V71" s="104">
        <f>Kotak!V72</f>
        <v>0</v>
      </c>
      <c r="W71" s="104">
        <f>Kotak!W72</f>
        <v>0</v>
      </c>
      <c r="X71" s="104">
        <f>Kotak!X72</f>
        <v>0</v>
      </c>
      <c r="Y71" s="104">
        <f>Kotak!Y72</f>
        <v>0</v>
      </c>
      <c r="Z71" s="104">
        <f>Kotak!Z72</f>
        <v>0</v>
      </c>
      <c r="AA71" s="104">
        <f>Kotak!AA72</f>
        <v>0</v>
      </c>
      <c r="AB71" s="104">
        <f>Kotak!AB72</f>
        <v>0</v>
      </c>
      <c r="AC71" s="104">
        <f>Kotak!AC72</f>
        <v>0</v>
      </c>
      <c r="AD71" s="104">
        <f>Kotak!AD72</f>
        <v>0</v>
      </c>
      <c r="AE71" s="104">
        <f>Kotak!AE72</f>
        <v>0</v>
      </c>
      <c r="AF71" s="104">
        <f>Kotak!AF72</f>
        <v>0</v>
      </c>
      <c r="AG71" s="104">
        <f>Kotak!AG72</f>
        <v>0</v>
      </c>
      <c r="AH71" s="104">
        <f>Kotak!AH72</f>
        <v>0</v>
      </c>
      <c r="AI71" s="104">
        <f>Kotak!AI72</f>
        <v>0</v>
      </c>
      <c r="AJ71" s="104">
        <f>Kotak!AJ72</f>
        <v>0</v>
      </c>
      <c r="AK71" s="104">
        <f>Kotak!AK72</f>
        <v>0</v>
      </c>
      <c r="AL71" s="104">
        <f>Kotak!AL72</f>
        <v>0</v>
      </c>
      <c r="AM71" s="104">
        <f>Kotak!AM72</f>
        <v>0</v>
      </c>
      <c r="AN71" s="104">
        <f>Kotak!AN72</f>
        <v>0</v>
      </c>
      <c r="AO71" s="104">
        <f>Kotak!AO72</f>
        <v>0</v>
      </c>
      <c r="AP71" s="104">
        <f>Kotak!AP72</f>
        <v>0</v>
      </c>
      <c r="AQ71" s="104">
        <f>Kotak!AQ72</f>
        <v>0</v>
      </c>
      <c r="AR71" s="104">
        <f>Kotak!AR72</f>
        <v>0</v>
      </c>
      <c r="AS71" s="104">
        <f>Kotak!AS72</f>
        <v>0</v>
      </c>
      <c r="AT71" s="104">
        <f>Kotak!AT72</f>
        <v>0</v>
      </c>
      <c r="AU71" s="104">
        <f>Kotak!AU72</f>
        <v>0</v>
      </c>
      <c r="AV71" s="104">
        <f>Kotak!AV72</f>
        <v>0</v>
      </c>
      <c r="AW71" s="104">
        <f>Kotak!AW72</f>
        <v>0</v>
      </c>
      <c r="AX71" s="104">
        <f>Kotak!AX72</f>
        <v>0</v>
      </c>
      <c r="AY71" s="104">
        <f>Kotak!AY72</f>
        <v>0</v>
      </c>
      <c r="AZ71" s="104">
        <f>Kotak!AZ72</f>
        <v>0</v>
      </c>
      <c r="BA71" s="104">
        <f>Kotak!BA72</f>
        <v>0</v>
      </c>
      <c r="BB71" s="104">
        <f>Kotak!BB72</f>
        <v>0</v>
      </c>
      <c r="BC71" s="104">
        <f>Kotak!BC72</f>
        <v>0</v>
      </c>
      <c r="BD71" s="104">
        <f>Kotak!BD72</f>
        <v>0</v>
      </c>
      <c r="BE71" s="104">
        <f>Kotak!BE72</f>
        <v>0</v>
      </c>
      <c r="BF71" s="104">
        <f>Kotak!BF72</f>
        <v>0</v>
      </c>
      <c r="BG71" s="104">
        <f>Kotak!BG72</f>
        <v>0</v>
      </c>
      <c r="BH71" s="104">
        <f>Kotak!BH72</f>
        <v>0</v>
      </c>
      <c r="BI71" s="104">
        <f>Kotak!BI72</f>
        <v>0</v>
      </c>
      <c r="BJ71" s="104">
        <f>Kotak!BJ72</f>
        <v>0</v>
      </c>
      <c r="BK71" s="104">
        <f>Kotak!BK72</f>
        <v>0</v>
      </c>
      <c r="BL71" s="104">
        <f>Kotak!BL72</f>
        <v>0</v>
      </c>
      <c r="BM71" s="104">
        <f>Kotak!BM72</f>
        <v>0</v>
      </c>
      <c r="BN71" s="104">
        <f>Kotak!BN72</f>
        <v>0</v>
      </c>
      <c r="BO71" s="104">
        <f>Kotak!BO72</f>
        <v>0</v>
      </c>
      <c r="BP71" s="104">
        <f>Kotak!BP72</f>
        <v>0</v>
      </c>
      <c r="BQ71" s="104">
        <f>Kotak!BQ72</f>
        <v>0</v>
      </c>
      <c r="BR71" s="104">
        <f>Kotak!BR72</f>
        <v>0</v>
      </c>
    </row>
    <row r="72" spans="1:83">
      <c r="A72" s="21">
        <v>72</v>
      </c>
      <c r="B72" s="30"/>
      <c r="C72" s="30"/>
      <c r="D72" s="30"/>
      <c r="E72" s="104"/>
      <c r="F72" s="38">
        <f>IDFC!I72</f>
        <v>0</v>
      </c>
      <c r="G72" s="38">
        <f>Kotak!G73</f>
        <v>0</v>
      </c>
      <c r="H72" s="131">
        <f t="shared" si="6"/>
        <v>0</v>
      </c>
      <c r="I72" s="130">
        <f t="shared" si="7"/>
        <v>0</v>
      </c>
      <c r="J72" s="160">
        <f t="shared" si="8"/>
        <v>0</v>
      </c>
      <c r="K72" s="104">
        <f>Kotak!K73</f>
        <v>0</v>
      </c>
      <c r="L72" s="104">
        <f>Kotak!L73</f>
        <v>0</v>
      </c>
      <c r="M72" s="104">
        <f>Kotak!M73</f>
        <v>0</v>
      </c>
      <c r="N72" s="104">
        <f>Kotak!N73</f>
        <v>0</v>
      </c>
      <c r="O72" s="104">
        <f>Kotak!O73</f>
        <v>0</v>
      </c>
      <c r="P72" s="104">
        <f>Kotak!P73</f>
        <v>0</v>
      </c>
      <c r="Q72" s="104">
        <f>Kotak!Q73</f>
        <v>0</v>
      </c>
      <c r="R72" s="104">
        <f>Kotak!R73</f>
        <v>0</v>
      </c>
      <c r="S72" s="104">
        <f>Kotak!S73</f>
        <v>0</v>
      </c>
      <c r="T72" s="104">
        <f>Kotak!T73</f>
        <v>0</v>
      </c>
      <c r="U72" s="104">
        <f>Kotak!U73</f>
        <v>0</v>
      </c>
      <c r="V72" s="104">
        <f>Kotak!V73</f>
        <v>0</v>
      </c>
      <c r="W72" s="104">
        <f>Kotak!W73</f>
        <v>0</v>
      </c>
      <c r="X72" s="104">
        <f>Kotak!X73</f>
        <v>0</v>
      </c>
      <c r="Y72" s="104">
        <f>Kotak!Y73</f>
        <v>0</v>
      </c>
      <c r="Z72" s="104">
        <f>Kotak!Z73</f>
        <v>0</v>
      </c>
      <c r="AA72" s="104">
        <f>Kotak!AA73</f>
        <v>0</v>
      </c>
      <c r="AB72" s="104">
        <f>Kotak!AB73</f>
        <v>0</v>
      </c>
      <c r="AC72" s="104">
        <f>Kotak!AC73</f>
        <v>0</v>
      </c>
      <c r="AD72" s="104">
        <f>Kotak!AD73</f>
        <v>0</v>
      </c>
      <c r="AE72" s="104">
        <f>Kotak!AE73</f>
        <v>0</v>
      </c>
      <c r="AF72" s="104">
        <f>Kotak!AF73</f>
        <v>0</v>
      </c>
      <c r="AG72" s="104">
        <f>Kotak!AG73</f>
        <v>0</v>
      </c>
      <c r="AH72" s="104">
        <f>Kotak!AH73</f>
        <v>0</v>
      </c>
      <c r="AI72" s="104">
        <f>Kotak!AI73</f>
        <v>0</v>
      </c>
      <c r="AJ72" s="104">
        <f>Kotak!AJ73</f>
        <v>0</v>
      </c>
      <c r="AK72" s="104">
        <f>Kotak!AK73</f>
        <v>0</v>
      </c>
      <c r="AL72" s="104">
        <f>Kotak!AL73</f>
        <v>0</v>
      </c>
      <c r="AM72" s="104">
        <f>Kotak!AM73</f>
        <v>0</v>
      </c>
      <c r="AN72" s="104">
        <f>Kotak!AN73</f>
        <v>0</v>
      </c>
      <c r="AO72" s="104">
        <f>Kotak!AO73</f>
        <v>0</v>
      </c>
      <c r="AP72" s="104">
        <f>Kotak!AP73</f>
        <v>0</v>
      </c>
      <c r="AQ72" s="104">
        <f>Kotak!AQ73</f>
        <v>0</v>
      </c>
      <c r="AR72" s="104">
        <f>Kotak!AR73</f>
        <v>0</v>
      </c>
      <c r="AS72" s="104">
        <f>Kotak!AS73</f>
        <v>0</v>
      </c>
      <c r="AT72" s="104">
        <f>Kotak!AT73</f>
        <v>0</v>
      </c>
      <c r="AU72" s="104">
        <f>Kotak!AU73</f>
        <v>0</v>
      </c>
      <c r="AV72" s="104">
        <f>Kotak!AV73</f>
        <v>0</v>
      </c>
      <c r="AW72" s="104">
        <f>Kotak!AW73</f>
        <v>0</v>
      </c>
      <c r="AX72" s="104">
        <f>Kotak!AX73</f>
        <v>0</v>
      </c>
      <c r="AY72" s="104">
        <f>Kotak!AY73</f>
        <v>0</v>
      </c>
      <c r="AZ72" s="104">
        <f>Kotak!AZ73</f>
        <v>0</v>
      </c>
      <c r="BA72" s="104">
        <f>Kotak!BA73</f>
        <v>0</v>
      </c>
      <c r="BB72" s="104">
        <f>Kotak!BB73</f>
        <v>0</v>
      </c>
      <c r="BC72" s="104">
        <f>Kotak!BC73</f>
        <v>0</v>
      </c>
      <c r="BD72" s="104">
        <f>Kotak!BD73</f>
        <v>0</v>
      </c>
      <c r="BE72" s="104">
        <f>Kotak!BE73</f>
        <v>0</v>
      </c>
      <c r="BF72" s="104">
        <f>Kotak!BF73</f>
        <v>0</v>
      </c>
      <c r="BG72" s="104">
        <f>Kotak!BG73</f>
        <v>0</v>
      </c>
      <c r="BH72" s="104">
        <f>Kotak!BH73</f>
        <v>0</v>
      </c>
      <c r="BI72" s="104">
        <f>Kotak!BI73</f>
        <v>0</v>
      </c>
      <c r="BJ72" s="104">
        <f>Kotak!BJ73</f>
        <v>0</v>
      </c>
      <c r="BK72" s="104">
        <f>Kotak!BK73</f>
        <v>0</v>
      </c>
      <c r="BL72" s="104">
        <f>Kotak!BL73</f>
        <v>0</v>
      </c>
      <c r="BM72" s="104">
        <f>Kotak!BM73</f>
        <v>0</v>
      </c>
      <c r="BN72" s="104">
        <f>Kotak!BN73</f>
        <v>0</v>
      </c>
      <c r="BO72" s="104">
        <f>Kotak!BO73</f>
        <v>0</v>
      </c>
      <c r="BP72" s="104">
        <f>Kotak!BP73</f>
        <v>0</v>
      </c>
      <c r="BQ72" s="104">
        <f>Kotak!BQ73</f>
        <v>0</v>
      </c>
      <c r="BR72" s="104">
        <f>Kotak!BR73</f>
        <v>0</v>
      </c>
    </row>
    <row r="73" spans="1:83">
      <c r="A73" s="21">
        <v>73</v>
      </c>
      <c r="B73" s="30"/>
      <c r="C73" s="30"/>
      <c r="D73" s="30"/>
      <c r="E73" s="104"/>
      <c r="F73" s="38">
        <f>IDFC!I73</f>
        <v>0</v>
      </c>
      <c r="G73" s="38">
        <f>Kotak!G74</f>
        <v>0</v>
      </c>
      <c r="H73" s="131">
        <f t="shared" si="6"/>
        <v>0</v>
      </c>
      <c r="I73" s="130">
        <f t="shared" si="7"/>
        <v>0</v>
      </c>
      <c r="J73" s="160">
        <f t="shared" si="8"/>
        <v>0</v>
      </c>
      <c r="K73" s="104">
        <f>Kotak!K74</f>
        <v>0</v>
      </c>
      <c r="L73" s="104">
        <f>Kotak!L74</f>
        <v>0</v>
      </c>
      <c r="M73" s="104">
        <f>Kotak!M74</f>
        <v>0</v>
      </c>
      <c r="N73" s="104">
        <f>Kotak!N74</f>
        <v>0</v>
      </c>
      <c r="O73" s="104">
        <f>Kotak!O74</f>
        <v>0</v>
      </c>
      <c r="P73" s="104">
        <f>Kotak!P74</f>
        <v>0</v>
      </c>
      <c r="Q73" s="104">
        <f>Kotak!Q74</f>
        <v>0</v>
      </c>
      <c r="R73" s="104">
        <f>Kotak!R74</f>
        <v>0</v>
      </c>
      <c r="S73" s="104">
        <f>Kotak!S74</f>
        <v>0</v>
      </c>
      <c r="T73" s="104">
        <f>Kotak!T74</f>
        <v>0</v>
      </c>
      <c r="U73" s="104">
        <f>Kotak!U74</f>
        <v>0</v>
      </c>
      <c r="V73" s="104">
        <f>Kotak!V74</f>
        <v>0</v>
      </c>
      <c r="W73" s="104">
        <f>Kotak!W74</f>
        <v>0</v>
      </c>
      <c r="X73" s="104">
        <f>Kotak!X74</f>
        <v>0</v>
      </c>
      <c r="Y73" s="104">
        <f>Kotak!Y74</f>
        <v>0</v>
      </c>
      <c r="Z73" s="104">
        <f>Kotak!Z74</f>
        <v>0</v>
      </c>
      <c r="AA73" s="104">
        <f>Kotak!AA74</f>
        <v>0</v>
      </c>
      <c r="AB73" s="104">
        <f>Kotak!AB74</f>
        <v>0</v>
      </c>
      <c r="AC73" s="104">
        <f>Kotak!AC74</f>
        <v>0</v>
      </c>
      <c r="AD73" s="104">
        <f>Kotak!AD74</f>
        <v>0</v>
      </c>
      <c r="AE73" s="104">
        <f>Kotak!AE74</f>
        <v>0</v>
      </c>
      <c r="AF73" s="104">
        <f>Kotak!AF74</f>
        <v>0</v>
      </c>
      <c r="AG73" s="104">
        <f>Kotak!AG74</f>
        <v>0</v>
      </c>
      <c r="AH73" s="104">
        <f>Kotak!AH74</f>
        <v>0</v>
      </c>
      <c r="AI73" s="104">
        <f>Kotak!AI74</f>
        <v>0</v>
      </c>
      <c r="AJ73" s="104">
        <f>Kotak!AJ74</f>
        <v>0</v>
      </c>
      <c r="AK73" s="104">
        <f>Kotak!AK74</f>
        <v>0</v>
      </c>
      <c r="AL73" s="104">
        <f>Kotak!AL74</f>
        <v>0</v>
      </c>
      <c r="AM73" s="104">
        <f>Kotak!AM74</f>
        <v>0</v>
      </c>
      <c r="AN73" s="104">
        <f>Kotak!AN74</f>
        <v>0</v>
      </c>
      <c r="AO73" s="104">
        <f>Kotak!AO74</f>
        <v>0</v>
      </c>
      <c r="AP73" s="104">
        <f>Kotak!AP74</f>
        <v>0</v>
      </c>
      <c r="AQ73" s="104">
        <f>Kotak!AQ74</f>
        <v>0</v>
      </c>
      <c r="AR73" s="104">
        <f>Kotak!AR74</f>
        <v>0</v>
      </c>
      <c r="AS73" s="104">
        <f>Kotak!AS74</f>
        <v>0</v>
      </c>
      <c r="AT73" s="104">
        <f>Kotak!AT74</f>
        <v>0</v>
      </c>
      <c r="AU73" s="104">
        <f>Kotak!AU74</f>
        <v>0</v>
      </c>
      <c r="AV73" s="104">
        <f>Kotak!AV74</f>
        <v>0</v>
      </c>
      <c r="AW73" s="104">
        <f>Kotak!AW74</f>
        <v>0</v>
      </c>
      <c r="AX73" s="104">
        <f>Kotak!AX74</f>
        <v>0</v>
      </c>
      <c r="AY73" s="104">
        <f>Kotak!AY74</f>
        <v>0</v>
      </c>
      <c r="AZ73" s="104">
        <f>Kotak!AZ74</f>
        <v>0</v>
      </c>
      <c r="BA73" s="104">
        <f>Kotak!BA74</f>
        <v>0</v>
      </c>
      <c r="BB73" s="104">
        <f>Kotak!BB74</f>
        <v>0</v>
      </c>
      <c r="BC73" s="104">
        <f>Kotak!BC74</f>
        <v>0</v>
      </c>
      <c r="BD73" s="104">
        <f>Kotak!BD74</f>
        <v>0</v>
      </c>
      <c r="BE73" s="104">
        <f>Kotak!BE74</f>
        <v>0</v>
      </c>
      <c r="BF73" s="104">
        <f>Kotak!BF74</f>
        <v>0</v>
      </c>
      <c r="BG73" s="104">
        <f>Kotak!BG74</f>
        <v>0</v>
      </c>
      <c r="BH73" s="104">
        <f>Kotak!BH74</f>
        <v>0</v>
      </c>
      <c r="BI73" s="104">
        <f>Kotak!BI74</f>
        <v>0</v>
      </c>
      <c r="BJ73" s="104">
        <f>Kotak!BJ74</f>
        <v>0</v>
      </c>
      <c r="BK73" s="104">
        <f>Kotak!BK74</f>
        <v>0</v>
      </c>
      <c r="BL73" s="104">
        <f>Kotak!BL74</f>
        <v>0</v>
      </c>
      <c r="BM73" s="104">
        <f>Kotak!BM74</f>
        <v>0</v>
      </c>
      <c r="BN73" s="104">
        <f>Kotak!BN74</f>
        <v>0</v>
      </c>
      <c r="BO73" s="104">
        <f>Kotak!BO74</f>
        <v>0</v>
      </c>
      <c r="BP73" s="104">
        <f>Kotak!BP74</f>
        <v>0</v>
      </c>
      <c r="BQ73" s="104">
        <f>Kotak!BQ74</f>
        <v>0</v>
      </c>
      <c r="BR73" s="104">
        <f>Kotak!BR74</f>
        <v>0</v>
      </c>
    </row>
    <row r="74" spans="1:83">
      <c r="A74" s="21">
        <v>74</v>
      </c>
      <c r="B74" s="30"/>
      <c r="C74" s="30"/>
      <c r="D74" s="30"/>
      <c r="E74" s="104"/>
      <c r="F74" s="38">
        <f>IDFC!I74</f>
        <v>0</v>
      </c>
      <c r="G74" s="38">
        <f>Kotak!G75</f>
        <v>0</v>
      </c>
      <c r="H74" s="131">
        <f t="shared" si="6"/>
        <v>0</v>
      </c>
      <c r="I74" s="130">
        <f t="shared" si="7"/>
        <v>0</v>
      </c>
      <c r="J74" s="160">
        <f t="shared" si="8"/>
        <v>0</v>
      </c>
      <c r="K74" s="104">
        <f>Kotak!K75</f>
        <v>0</v>
      </c>
      <c r="L74" s="104">
        <f>Kotak!L75</f>
        <v>0</v>
      </c>
      <c r="M74" s="104">
        <f>Kotak!M75</f>
        <v>0</v>
      </c>
      <c r="N74" s="104">
        <f>Kotak!N75</f>
        <v>0</v>
      </c>
      <c r="O74" s="104">
        <f>Kotak!O75</f>
        <v>0</v>
      </c>
      <c r="P74" s="104">
        <f>Kotak!P75</f>
        <v>0</v>
      </c>
      <c r="Q74" s="104">
        <f>Kotak!Q75</f>
        <v>0</v>
      </c>
      <c r="R74" s="104">
        <f>Kotak!R75</f>
        <v>0</v>
      </c>
      <c r="S74" s="104">
        <f>Kotak!S75</f>
        <v>0</v>
      </c>
      <c r="T74" s="104">
        <f>Kotak!T75</f>
        <v>0</v>
      </c>
      <c r="U74" s="104">
        <f>Kotak!U75</f>
        <v>0</v>
      </c>
      <c r="V74" s="104">
        <f>Kotak!V75</f>
        <v>0</v>
      </c>
      <c r="W74" s="104">
        <f>Kotak!W75</f>
        <v>0</v>
      </c>
      <c r="X74" s="104">
        <f>Kotak!X75</f>
        <v>0</v>
      </c>
      <c r="Y74" s="104">
        <f>Kotak!Y75</f>
        <v>0</v>
      </c>
      <c r="Z74" s="104">
        <f>Kotak!Z75</f>
        <v>0</v>
      </c>
      <c r="AA74" s="104">
        <f>Kotak!AA75</f>
        <v>0</v>
      </c>
      <c r="AB74" s="104">
        <f>Kotak!AB75</f>
        <v>0</v>
      </c>
      <c r="AC74" s="104">
        <f>Kotak!AC75</f>
        <v>0</v>
      </c>
      <c r="AD74" s="104">
        <f>Kotak!AD75</f>
        <v>0</v>
      </c>
      <c r="AE74" s="104">
        <f>Kotak!AE75</f>
        <v>0</v>
      </c>
      <c r="AF74" s="104">
        <f>Kotak!AF75</f>
        <v>0</v>
      </c>
      <c r="AG74" s="104">
        <f>Kotak!AG75</f>
        <v>0</v>
      </c>
      <c r="AH74" s="104">
        <f>Kotak!AH75</f>
        <v>0</v>
      </c>
      <c r="AI74" s="104">
        <f>Kotak!AI75</f>
        <v>0</v>
      </c>
      <c r="AJ74" s="104">
        <f>Kotak!AJ75</f>
        <v>0</v>
      </c>
      <c r="AK74" s="104">
        <f>Kotak!AK75</f>
        <v>0</v>
      </c>
      <c r="AL74" s="104">
        <f>Kotak!AL75</f>
        <v>0</v>
      </c>
      <c r="AM74" s="104">
        <f>Kotak!AM75</f>
        <v>0</v>
      </c>
      <c r="AN74" s="104">
        <f>Kotak!AN75</f>
        <v>0</v>
      </c>
      <c r="AO74" s="104">
        <f>Kotak!AO75</f>
        <v>0</v>
      </c>
      <c r="AP74" s="104">
        <f>Kotak!AP75</f>
        <v>0</v>
      </c>
      <c r="AQ74" s="104">
        <f>Kotak!AQ75</f>
        <v>0</v>
      </c>
      <c r="AR74" s="104">
        <f>Kotak!AR75</f>
        <v>0</v>
      </c>
      <c r="AS74" s="104">
        <f>Kotak!AS75</f>
        <v>0</v>
      </c>
      <c r="AT74" s="104">
        <f>Kotak!AT75</f>
        <v>0</v>
      </c>
      <c r="AU74" s="104">
        <f>Kotak!AU75</f>
        <v>0</v>
      </c>
      <c r="AV74" s="104">
        <f>Kotak!AV75</f>
        <v>0</v>
      </c>
      <c r="AW74" s="104">
        <f>Kotak!AW75</f>
        <v>0</v>
      </c>
      <c r="AX74" s="104">
        <f>Kotak!AX75</f>
        <v>0</v>
      </c>
      <c r="AY74" s="104">
        <f>Kotak!AY75</f>
        <v>0</v>
      </c>
      <c r="AZ74" s="104">
        <f>Kotak!AZ75</f>
        <v>0</v>
      </c>
      <c r="BA74" s="104">
        <f>Kotak!BA75</f>
        <v>0</v>
      </c>
      <c r="BB74" s="104">
        <f>Kotak!BB75</f>
        <v>0</v>
      </c>
      <c r="BC74" s="104">
        <f>Kotak!BC75</f>
        <v>0</v>
      </c>
      <c r="BD74" s="104">
        <f>Kotak!BD75</f>
        <v>0</v>
      </c>
      <c r="BE74" s="104">
        <f>Kotak!BE75</f>
        <v>0</v>
      </c>
      <c r="BF74" s="104">
        <f>Kotak!BF75</f>
        <v>0</v>
      </c>
      <c r="BG74" s="104">
        <f>Kotak!BG75</f>
        <v>0</v>
      </c>
      <c r="BH74" s="104">
        <f>Kotak!BH75</f>
        <v>0</v>
      </c>
      <c r="BI74" s="104">
        <f>Kotak!BI75</f>
        <v>0</v>
      </c>
      <c r="BJ74" s="104">
        <f>Kotak!BJ75</f>
        <v>0</v>
      </c>
      <c r="BK74" s="104">
        <f>Kotak!BK75</f>
        <v>0</v>
      </c>
      <c r="BL74" s="104">
        <f>Kotak!BL75</f>
        <v>0</v>
      </c>
      <c r="BM74" s="104">
        <f>Kotak!BM75</f>
        <v>0</v>
      </c>
      <c r="BN74" s="104">
        <f>Kotak!BN75</f>
        <v>0</v>
      </c>
      <c r="BO74" s="104">
        <f>Kotak!BO75</f>
        <v>0</v>
      </c>
      <c r="BP74" s="104">
        <f>Kotak!BP75</f>
        <v>0</v>
      </c>
      <c r="BQ74" s="104">
        <f>Kotak!BQ75</f>
        <v>0</v>
      </c>
      <c r="BR74" s="104">
        <f>Kotak!BR75</f>
        <v>0</v>
      </c>
    </row>
    <row r="75" spans="1:83">
      <c r="A75" s="21">
        <v>75</v>
      </c>
      <c r="B75" s="30"/>
      <c r="C75" s="30"/>
      <c r="D75" s="30"/>
      <c r="E75" s="104"/>
      <c r="F75" s="38">
        <f>IDFC!I75</f>
        <v>0</v>
      </c>
      <c r="G75" s="38">
        <f>Kotak!G76</f>
        <v>0</v>
      </c>
      <c r="H75" s="131">
        <f t="shared" si="6"/>
        <v>0</v>
      </c>
      <c r="I75" s="130">
        <f t="shared" si="7"/>
        <v>0</v>
      </c>
      <c r="J75" s="160">
        <f t="shared" si="8"/>
        <v>0</v>
      </c>
      <c r="K75" s="104">
        <f>Kotak!K76</f>
        <v>0</v>
      </c>
      <c r="L75" s="104">
        <f>Kotak!L76</f>
        <v>0</v>
      </c>
      <c r="M75" s="104">
        <f>Kotak!M76</f>
        <v>0</v>
      </c>
      <c r="N75" s="104">
        <f>Kotak!N76</f>
        <v>0</v>
      </c>
      <c r="O75" s="104">
        <f>Kotak!O76</f>
        <v>0</v>
      </c>
      <c r="P75" s="104">
        <f>Kotak!P76</f>
        <v>0</v>
      </c>
      <c r="Q75" s="104">
        <f>Kotak!Q76</f>
        <v>0</v>
      </c>
      <c r="R75" s="104">
        <f>Kotak!R76</f>
        <v>0</v>
      </c>
      <c r="S75" s="104">
        <f>Kotak!S76</f>
        <v>0</v>
      </c>
      <c r="T75" s="104">
        <f>Kotak!T76</f>
        <v>0</v>
      </c>
      <c r="U75" s="104">
        <f>Kotak!U76</f>
        <v>0</v>
      </c>
      <c r="V75" s="104">
        <f>Kotak!V76</f>
        <v>0</v>
      </c>
      <c r="W75" s="104">
        <f>Kotak!W76</f>
        <v>0</v>
      </c>
      <c r="X75" s="104">
        <f>Kotak!X76</f>
        <v>0</v>
      </c>
      <c r="Y75" s="104">
        <f>Kotak!Y76</f>
        <v>0</v>
      </c>
      <c r="Z75" s="104">
        <f>Kotak!Z76</f>
        <v>0</v>
      </c>
      <c r="AA75" s="104">
        <f>Kotak!AA76</f>
        <v>0</v>
      </c>
      <c r="AB75" s="104">
        <f>Kotak!AB76</f>
        <v>0</v>
      </c>
      <c r="AC75" s="104">
        <f>Kotak!AC76</f>
        <v>0</v>
      </c>
      <c r="AD75" s="104">
        <f>Kotak!AD76</f>
        <v>0</v>
      </c>
      <c r="AE75" s="104">
        <f>Kotak!AE76</f>
        <v>0</v>
      </c>
      <c r="AF75" s="104">
        <f>Kotak!AF76</f>
        <v>0</v>
      </c>
      <c r="AG75" s="104">
        <f>Kotak!AG76</f>
        <v>0</v>
      </c>
      <c r="AH75" s="104">
        <f>Kotak!AH76</f>
        <v>0</v>
      </c>
      <c r="AI75" s="104">
        <f>Kotak!AI76</f>
        <v>0</v>
      </c>
      <c r="AJ75" s="104">
        <f>Kotak!AJ76</f>
        <v>0</v>
      </c>
      <c r="AK75" s="104">
        <f>Kotak!AK76</f>
        <v>0</v>
      </c>
      <c r="AL75" s="104">
        <f>Kotak!AL76</f>
        <v>0</v>
      </c>
      <c r="AM75" s="104">
        <f>Kotak!AM76</f>
        <v>0</v>
      </c>
      <c r="AN75" s="104">
        <f>Kotak!AN76</f>
        <v>0</v>
      </c>
      <c r="AO75" s="104">
        <f>Kotak!AO76</f>
        <v>0</v>
      </c>
      <c r="AP75" s="104">
        <f>Kotak!AP76</f>
        <v>0</v>
      </c>
      <c r="AQ75" s="104">
        <f>Kotak!AQ76</f>
        <v>0</v>
      </c>
      <c r="AR75" s="104">
        <f>Kotak!AR76</f>
        <v>0</v>
      </c>
      <c r="AS75" s="104">
        <f>Kotak!AS76</f>
        <v>0</v>
      </c>
      <c r="AT75" s="104">
        <f>Kotak!AT76</f>
        <v>0</v>
      </c>
      <c r="AU75" s="104">
        <f>Kotak!AU76</f>
        <v>0</v>
      </c>
      <c r="AV75" s="104">
        <f>Kotak!AV76</f>
        <v>0</v>
      </c>
      <c r="AW75" s="104">
        <f>Kotak!AW76</f>
        <v>0</v>
      </c>
      <c r="AX75" s="104">
        <f>Kotak!AX76</f>
        <v>0</v>
      </c>
      <c r="AY75" s="104">
        <f>Kotak!AY76</f>
        <v>0</v>
      </c>
      <c r="AZ75" s="104">
        <f>Kotak!AZ76</f>
        <v>0</v>
      </c>
      <c r="BA75" s="104">
        <f>Kotak!BA76</f>
        <v>0</v>
      </c>
      <c r="BB75" s="104">
        <f>Kotak!BB76</f>
        <v>0</v>
      </c>
      <c r="BC75" s="104">
        <f>Kotak!BC76</f>
        <v>0</v>
      </c>
      <c r="BD75" s="104">
        <f>Kotak!BD76</f>
        <v>0</v>
      </c>
      <c r="BE75" s="104">
        <f>Kotak!BE76</f>
        <v>0</v>
      </c>
      <c r="BF75" s="104">
        <f>Kotak!BF76</f>
        <v>0</v>
      </c>
      <c r="BG75" s="104">
        <f>Kotak!BG76</f>
        <v>0</v>
      </c>
      <c r="BH75" s="104">
        <f>Kotak!BH76</f>
        <v>0</v>
      </c>
      <c r="BI75" s="104">
        <f>Kotak!BI76</f>
        <v>0</v>
      </c>
      <c r="BJ75" s="104">
        <f>Kotak!BJ76</f>
        <v>0</v>
      </c>
      <c r="BK75" s="104">
        <f>Kotak!BK76</f>
        <v>0</v>
      </c>
      <c r="BL75" s="104">
        <f>Kotak!BL76</f>
        <v>0</v>
      </c>
      <c r="BM75" s="104">
        <f>Kotak!BM76</f>
        <v>0</v>
      </c>
      <c r="BN75" s="104">
        <f>Kotak!BN76</f>
        <v>0</v>
      </c>
      <c r="BO75" s="104">
        <f>Kotak!BO76</f>
        <v>0</v>
      </c>
      <c r="BP75" s="104">
        <f>Kotak!BP76</f>
        <v>0</v>
      </c>
      <c r="BQ75" s="104">
        <f>Kotak!BQ76</f>
        <v>0</v>
      </c>
      <c r="BR75" s="104">
        <f>Kotak!BR76</f>
        <v>0</v>
      </c>
    </row>
    <row r="76" spans="1:83">
      <c r="A76" s="21">
        <v>76</v>
      </c>
      <c r="B76" s="30"/>
      <c r="C76" s="30"/>
      <c r="D76" s="30"/>
      <c r="E76" s="104"/>
      <c r="F76" s="38">
        <f>IDFC!I76</f>
        <v>0</v>
      </c>
      <c r="G76" s="38">
        <f>Kotak!G77</f>
        <v>0</v>
      </c>
      <c r="H76" s="131">
        <f t="shared" si="6"/>
        <v>0</v>
      </c>
      <c r="I76" s="130">
        <f t="shared" si="7"/>
        <v>0</v>
      </c>
      <c r="J76" s="160">
        <f t="shared" si="8"/>
        <v>0</v>
      </c>
      <c r="K76" s="104">
        <f>Kotak!K77</f>
        <v>0</v>
      </c>
      <c r="L76" s="104">
        <f>Kotak!L77</f>
        <v>0</v>
      </c>
      <c r="M76" s="104">
        <f>Kotak!M77</f>
        <v>0</v>
      </c>
      <c r="N76" s="104">
        <f>Kotak!N77</f>
        <v>0</v>
      </c>
      <c r="O76" s="104">
        <f>Kotak!O77</f>
        <v>0</v>
      </c>
      <c r="P76" s="104">
        <f>Kotak!P77</f>
        <v>0</v>
      </c>
      <c r="Q76" s="104">
        <f>Kotak!Q77</f>
        <v>0</v>
      </c>
      <c r="R76" s="104">
        <f>Kotak!R77</f>
        <v>0</v>
      </c>
      <c r="S76" s="104">
        <f>Kotak!S77</f>
        <v>0</v>
      </c>
      <c r="T76" s="104">
        <f>Kotak!T77</f>
        <v>0</v>
      </c>
      <c r="U76" s="104">
        <f>Kotak!U77</f>
        <v>0</v>
      </c>
      <c r="V76" s="104">
        <f>Kotak!V77</f>
        <v>0</v>
      </c>
      <c r="W76" s="104">
        <f>Kotak!W77</f>
        <v>0</v>
      </c>
      <c r="X76" s="104">
        <f>Kotak!X77</f>
        <v>0</v>
      </c>
      <c r="Y76" s="104">
        <f>Kotak!Y77</f>
        <v>0</v>
      </c>
      <c r="Z76" s="104">
        <f>Kotak!Z77</f>
        <v>0</v>
      </c>
      <c r="AA76" s="104">
        <f>Kotak!AA77</f>
        <v>0</v>
      </c>
      <c r="AB76" s="104">
        <f>Kotak!AB77</f>
        <v>0</v>
      </c>
      <c r="AC76" s="104">
        <f>Kotak!AC77</f>
        <v>0</v>
      </c>
      <c r="AD76" s="104">
        <f>Kotak!AD77</f>
        <v>0</v>
      </c>
      <c r="AE76" s="104">
        <f>Kotak!AE77</f>
        <v>0</v>
      </c>
      <c r="AF76" s="104">
        <f>Kotak!AF77</f>
        <v>0</v>
      </c>
      <c r="AG76" s="104">
        <f>Kotak!AG77</f>
        <v>0</v>
      </c>
      <c r="AH76" s="104">
        <f>Kotak!AH77</f>
        <v>0</v>
      </c>
      <c r="AI76" s="104">
        <f>Kotak!AI77</f>
        <v>0</v>
      </c>
      <c r="AJ76" s="104">
        <f>Kotak!AJ77</f>
        <v>0</v>
      </c>
      <c r="AK76" s="104">
        <f>Kotak!AK77</f>
        <v>0</v>
      </c>
      <c r="AL76" s="104">
        <f>Kotak!AL77</f>
        <v>0</v>
      </c>
      <c r="AM76" s="104">
        <f>Kotak!AM77</f>
        <v>0</v>
      </c>
      <c r="AN76" s="104">
        <f>Kotak!AN77</f>
        <v>0</v>
      </c>
      <c r="AO76" s="104">
        <f>Kotak!AO77</f>
        <v>0</v>
      </c>
      <c r="AP76" s="104">
        <f>Kotak!AP77</f>
        <v>0</v>
      </c>
      <c r="AQ76" s="104">
        <f>Kotak!AQ77</f>
        <v>0</v>
      </c>
      <c r="AR76" s="104">
        <f>Kotak!AR77</f>
        <v>0</v>
      </c>
      <c r="AS76" s="104">
        <f>Kotak!AS77</f>
        <v>0</v>
      </c>
      <c r="AT76" s="104">
        <f>Kotak!AT77</f>
        <v>0</v>
      </c>
      <c r="AU76" s="104">
        <f>Kotak!AU77</f>
        <v>0</v>
      </c>
      <c r="AV76" s="104">
        <f>Kotak!AV77</f>
        <v>0</v>
      </c>
      <c r="AW76" s="104">
        <f>Kotak!AW77</f>
        <v>0</v>
      </c>
      <c r="AX76" s="104">
        <f>Kotak!AX77</f>
        <v>0</v>
      </c>
      <c r="AY76" s="104">
        <f>Kotak!AY77</f>
        <v>0</v>
      </c>
      <c r="AZ76" s="104">
        <f>Kotak!AZ77</f>
        <v>0</v>
      </c>
      <c r="BA76" s="104">
        <f>Kotak!BA77</f>
        <v>0</v>
      </c>
      <c r="BB76" s="104">
        <f>Kotak!BB77</f>
        <v>0</v>
      </c>
      <c r="BC76" s="104">
        <f>Kotak!BC77</f>
        <v>0</v>
      </c>
      <c r="BD76" s="104">
        <f>Kotak!BD77</f>
        <v>0</v>
      </c>
      <c r="BE76" s="104">
        <f>Kotak!BE77</f>
        <v>0</v>
      </c>
      <c r="BF76" s="104">
        <f>Kotak!BF77</f>
        <v>0</v>
      </c>
      <c r="BG76" s="104">
        <f>Kotak!BG77</f>
        <v>0</v>
      </c>
      <c r="BH76" s="104">
        <f>Kotak!BH77</f>
        <v>0</v>
      </c>
      <c r="BI76" s="104">
        <f>Kotak!BI77</f>
        <v>0</v>
      </c>
      <c r="BJ76" s="104">
        <f>Kotak!BJ77</f>
        <v>0</v>
      </c>
      <c r="BK76" s="104">
        <f>Kotak!BK77</f>
        <v>0</v>
      </c>
      <c r="BL76" s="104">
        <f>Kotak!BL77</f>
        <v>0</v>
      </c>
      <c r="BM76" s="104">
        <f>Kotak!BM77</f>
        <v>0</v>
      </c>
      <c r="BN76" s="104">
        <f>Kotak!BN77</f>
        <v>0</v>
      </c>
      <c r="BO76" s="104">
        <f>Kotak!BO77</f>
        <v>0</v>
      </c>
      <c r="BP76" s="104">
        <f>Kotak!BP77</f>
        <v>0</v>
      </c>
      <c r="BQ76" s="104">
        <f>Kotak!BQ77</f>
        <v>0</v>
      </c>
      <c r="BR76" s="104">
        <f>Kotak!BR77</f>
        <v>0</v>
      </c>
    </row>
    <row r="77" spans="1:83">
      <c r="A77" s="21">
        <v>77</v>
      </c>
      <c r="B77" s="30"/>
      <c r="C77" s="30"/>
      <c r="D77" s="30"/>
      <c r="E77" s="104"/>
      <c r="F77" s="38">
        <f>IDFC!I77</f>
        <v>0</v>
      </c>
      <c r="G77" s="38">
        <f>Kotak!G78</f>
        <v>0</v>
      </c>
      <c r="H77" s="131">
        <f t="shared" si="6"/>
        <v>0</v>
      </c>
      <c r="I77" s="130">
        <f t="shared" si="7"/>
        <v>0</v>
      </c>
      <c r="J77" s="160">
        <f t="shared" si="8"/>
        <v>0</v>
      </c>
      <c r="K77" s="104">
        <f>Kotak!K78</f>
        <v>0</v>
      </c>
      <c r="L77" s="104">
        <f>Kotak!L78</f>
        <v>0</v>
      </c>
      <c r="M77" s="104">
        <f>Kotak!M78</f>
        <v>0</v>
      </c>
      <c r="N77" s="104">
        <f>Kotak!N78</f>
        <v>0</v>
      </c>
      <c r="O77" s="104">
        <f>Kotak!O78</f>
        <v>0</v>
      </c>
      <c r="P77" s="104">
        <f>Kotak!P78</f>
        <v>0</v>
      </c>
      <c r="Q77" s="104">
        <f>Kotak!Q78</f>
        <v>0</v>
      </c>
      <c r="R77" s="104">
        <f>Kotak!R78</f>
        <v>0</v>
      </c>
      <c r="S77" s="104">
        <f>Kotak!S78</f>
        <v>0</v>
      </c>
      <c r="T77" s="104">
        <f>Kotak!T78</f>
        <v>0</v>
      </c>
      <c r="U77" s="104">
        <f>Kotak!U78</f>
        <v>0</v>
      </c>
      <c r="V77" s="104">
        <f>Kotak!V78</f>
        <v>0</v>
      </c>
      <c r="W77" s="104">
        <f>Kotak!W78</f>
        <v>0</v>
      </c>
      <c r="X77" s="104">
        <f>Kotak!X78</f>
        <v>0</v>
      </c>
      <c r="Y77" s="104">
        <f>Kotak!Y78</f>
        <v>0</v>
      </c>
      <c r="Z77" s="104">
        <f>Kotak!Z78</f>
        <v>0</v>
      </c>
      <c r="AA77" s="104">
        <f>Kotak!AA78</f>
        <v>0</v>
      </c>
      <c r="AB77" s="104">
        <f>Kotak!AB78</f>
        <v>0</v>
      </c>
      <c r="AC77" s="104">
        <f>Kotak!AC78</f>
        <v>0</v>
      </c>
      <c r="AD77" s="104">
        <f>Kotak!AD78</f>
        <v>0</v>
      </c>
      <c r="AE77" s="104">
        <f>Kotak!AE78</f>
        <v>0</v>
      </c>
      <c r="AF77" s="104">
        <f>Kotak!AF78</f>
        <v>0</v>
      </c>
      <c r="AG77" s="104">
        <f>Kotak!AG78</f>
        <v>0</v>
      </c>
      <c r="AH77" s="104">
        <f>Kotak!AH78</f>
        <v>0</v>
      </c>
      <c r="AI77" s="104">
        <f>Kotak!AI78</f>
        <v>0</v>
      </c>
      <c r="AJ77" s="104">
        <f>Kotak!AJ78</f>
        <v>0</v>
      </c>
      <c r="AK77" s="104">
        <f>Kotak!AK78</f>
        <v>0</v>
      </c>
      <c r="AL77" s="104">
        <f>Kotak!AL78</f>
        <v>0</v>
      </c>
      <c r="AM77" s="104">
        <f>Kotak!AM78</f>
        <v>0</v>
      </c>
      <c r="AN77" s="104">
        <f>Kotak!AN78</f>
        <v>0</v>
      </c>
      <c r="AO77" s="104">
        <f>Kotak!AO78</f>
        <v>0</v>
      </c>
      <c r="AP77" s="104">
        <f>Kotak!AP78</f>
        <v>0</v>
      </c>
      <c r="AQ77" s="104">
        <f>Kotak!AQ78</f>
        <v>0</v>
      </c>
      <c r="AR77" s="104">
        <f>Kotak!AR78</f>
        <v>0</v>
      </c>
      <c r="AS77" s="104">
        <f>Kotak!AS78</f>
        <v>0</v>
      </c>
      <c r="AT77" s="104">
        <f>Kotak!AT78</f>
        <v>0</v>
      </c>
      <c r="AU77" s="104">
        <f>Kotak!AU78</f>
        <v>0</v>
      </c>
      <c r="AV77" s="104">
        <f>Kotak!AV78</f>
        <v>0</v>
      </c>
      <c r="AW77" s="104">
        <f>Kotak!AW78</f>
        <v>0</v>
      </c>
      <c r="AX77" s="104">
        <f>Kotak!AX78</f>
        <v>0</v>
      </c>
      <c r="AY77" s="104">
        <f>Kotak!AY78</f>
        <v>0</v>
      </c>
      <c r="AZ77" s="104">
        <f>Kotak!AZ78</f>
        <v>0</v>
      </c>
      <c r="BA77" s="104">
        <f>Kotak!BA78</f>
        <v>0</v>
      </c>
      <c r="BB77" s="104">
        <f>Kotak!BB78</f>
        <v>0</v>
      </c>
      <c r="BC77" s="104">
        <f>Kotak!BC78</f>
        <v>0</v>
      </c>
      <c r="BD77" s="104">
        <f>Kotak!BD78</f>
        <v>0</v>
      </c>
      <c r="BE77" s="104">
        <f>Kotak!BE78</f>
        <v>0</v>
      </c>
      <c r="BF77" s="104">
        <f>Kotak!BF78</f>
        <v>0</v>
      </c>
      <c r="BG77" s="104">
        <f>Kotak!BG78</f>
        <v>0</v>
      </c>
      <c r="BH77" s="104">
        <f>Kotak!BH78</f>
        <v>0</v>
      </c>
      <c r="BI77" s="104">
        <f>Kotak!BI78</f>
        <v>0</v>
      </c>
      <c r="BJ77" s="104">
        <f>Kotak!BJ78</f>
        <v>0</v>
      </c>
      <c r="BK77" s="104">
        <f>Kotak!BK78</f>
        <v>0</v>
      </c>
      <c r="BL77" s="104">
        <f>Kotak!BL78</f>
        <v>0</v>
      </c>
      <c r="BM77" s="104">
        <f>Kotak!BM78</f>
        <v>0</v>
      </c>
      <c r="BN77" s="104">
        <f>Kotak!BN78</f>
        <v>0</v>
      </c>
      <c r="BO77" s="104">
        <f>Kotak!BO78</f>
        <v>0</v>
      </c>
      <c r="BP77" s="104">
        <f>Kotak!BP78</f>
        <v>0</v>
      </c>
      <c r="BQ77" s="104">
        <f>Kotak!BQ78</f>
        <v>0</v>
      </c>
      <c r="BR77" s="104">
        <f>Kotak!BR78</f>
        <v>0</v>
      </c>
    </row>
    <row r="78" spans="1:83">
      <c r="A78" s="21">
        <v>78</v>
      </c>
      <c r="B78" s="30"/>
      <c r="C78" s="30"/>
      <c r="D78" s="30"/>
      <c r="E78" s="104"/>
      <c r="F78" s="38">
        <f>IDFC!I78</f>
        <v>0</v>
      </c>
      <c r="G78" s="38">
        <f>Kotak!G79</f>
        <v>0</v>
      </c>
      <c r="H78" s="131">
        <f t="shared" si="6"/>
        <v>0</v>
      </c>
      <c r="I78" s="130">
        <f t="shared" si="7"/>
        <v>0</v>
      </c>
      <c r="J78" s="160">
        <f t="shared" si="8"/>
        <v>0</v>
      </c>
      <c r="K78" s="104">
        <f>Kotak!K79</f>
        <v>0</v>
      </c>
      <c r="L78" s="104">
        <f>Kotak!L79</f>
        <v>0</v>
      </c>
      <c r="M78" s="104">
        <f>Kotak!M79</f>
        <v>0</v>
      </c>
      <c r="N78" s="104">
        <f>Kotak!N79</f>
        <v>0</v>
      </c>
      <c r="O78" s="104">
        <f>Kotak!O79</f>
        <v>0</v>
      </c>
      <c r="P78" s="104">
        <f>Kotak!P79</f>
        <v>0</v>
      </c>
      <c r="Q78" s="104">
        <f>Kotak!Q79</f>
        <v>0</v>
      </c>
      <c r="R78" s="104">
        <f>Kotak!R79</f>
        <v>0</v>
      </c>
      <c r="S78" s="104">
        <f>Kotak!S79</f>
        <v>0</v>
      </c>
      <c r="T78" s="104">
        <f>Kotak!T79</f>
        <v>0</v>
      </c>
      <c r="U78" s="104">
        <f>Kotak!U79</f>
        <v>0</v>
      </c>
      <c r="V78" s="104">
        <f>Kotak!V79</f>
        <v>0</v>
      </c>
      <c r="W78" s="104">
        <f>Kotak!W79</f>
        <v>0</v>
      </c>
      <c r="X78" s="104">
        <f>Kotak!X79</f>
        <v>0</v>
      </c>
      <c r="Y78" s="104">
        <f>Kotak!Y79</f>
        <v>0</v>
      </c>
      <c r="Z78" s="104">
        <f>Kotak!Z79</f>
        <v>0</v>
      </c>
      <c r="AA78" s="104">
        <f>Kotak!AA79</f>
        <v>0</v>
      </c>
      <c r="AB78" s="104">
        <f>Kotak!AB79</f>
        <v>0</v>
      </c>
      <c r="AC78" s="104">
        <f>Kotak!AC79</f>
        <v>0</v>
      </c>
      <c r="AD78" s="104">
        <f>Kotak!AD79</f>
        <v>0</v>
      </c>
      <c r="AE78" s="104">
        <f>Kotak!AE79</f>
        <v>0</v>
      </c>
      <c r="AF78" s="104">
        <f>Kotak!AF79</f>
        <v>0</v>
      </c>
      <c r="AG78" s="104">
        <f>Kotak!AG79</f>
        <v>0</v>
      </c>
      <c r="AH78" s="104">
        <f>Kotak!AH79</f>
        <v>0</v>
      </c>
      <c r="AI78" s="104">
        <f>Kotak!AI79</f>
        <v>0</v>
      </c>
      <c r="AJ78" s="104">
        <f>Kotak!AJ79</f>
        <v>0</v>
      </c>
      <c r="AK78" s="104">
        <f>Kotak!AK79</f>
        <v>0</v>
      </c>
      <c r="AL78" s="104">
        <f>Kotak!AL79</f>
        <v>0</v>
      </c>
      <c r="AM78" s="104">
        <f>Kotak!AM79</f>
        <v>0</v>
      </c>
      <c r="AN78" s="104">
        <f>Kotak!AN79</f>
        <v>0</v>
      </c>
      <c r="AO78" s="104">
        <f>Kotak!AO79</f>
        <v>0</v>
      </c>
      <c r="AP78" s="104">
        <f>Kotak!AP79</f>
        <v>0</v>
      </c>
      <c r="AQ78" s="104">
        <f>Kotak!AQ79</f>
        <v>0</v>
      </c>
      <c r="AR78" s="104">
        <f>Kotak!AR79</f>
        <v>0</v>
      </c>
      <c r="AS78" s="104">
        <f>Kotak!AS79</f>
        <v>0</v>
      </c>
      <c r="AT78" s="104">
        <f>Kotak!AT79</f>
        <v>0</v>
      </c>
      <c r="AU78" s="104">
        <f>Kotak!AU79</f>
        <v>0</v>
      </c>
      <c r="AV78" s="104">
        <f>Kotak!AV79</f>
        <v>0</v>
      </c>
      <c r="AW78" s="104">
        <f>Kotak!AW79</f>
        <v>0</v>
      </c>
      <c r="AX78" s="104">
        <f>Kotak!AX79</f>
        <v>0</v>
      </c>
      <c r="AY78" s="104">
        <f>Kotak!AY79</f>
        <v>0</v>
      </c>
      <c r="AZ78" s="104">
        <f>Kotak!AZ79</f>
        <v>0</v>
      </c>
      <c r="BA78" s="104">
        <f>Kotak!BA79</f>
        <v>0</v>
      </c>
      <c r="BB78" s="104">
        <f>Kotak!BB79</f>
        <v>0</v>
      </c>
      <c r="BC78" s="104">
        <f>Kotak!BC79</f>
        <v>0</v>
      </c>
      <c r="BD78" s="104">
        <f>Kotak!BD79</f>
        <v>0</v>
      </c>
      <c r="BE78" s="104">
        <f>Kotak!BE79</f>
        <v>0</v>
      </c>
      <c r="BF78" s="104">
        <f>Kotak!BF79</f>
        <v>0</v>
      </c>
      <c r="BG78" s="104">
        <f>Kotak!BG79</f>
        <v>0</v>
      </c>
      <c r="BH78" s="104">
        <f>Kotak!BH79</f>
        <v>0</v>
      </c>
      <c r="BI78" s="104">
        <f>Kotak!BI79</f>
        <v>0</v>
      </c>
      <c r="BJ78" s="104">
        <f>Kotak!BJ79</f>
        <v>0</v>
      </c>
      <c r="BK78" s="104">
        <f>Kotak!BK79</f>
        <v>0</v>
      </c>
      <c r="BL78" s="104">
        <f>Kotak!BL79</f>
        <v>0</v>
      </c>
      <c r="BM78" s="104">
        <f>Kotak!BM79</f>
        <v>0</v>
      </c>
      <c r="BN78" s="104">
        <f>Kotak!BN79</f>
        <v>0</v>
      </c>
      <c r="BO78" s="104">
        <f>Kotak!BO79</f>
        <v>0</v>
      </c>
      <c r="BP78" s="104">
        <f>Kotak!BP79</f>
        <v>0</v>
      </c>
      <c r="BQ78" s="104">
        <f>Kotak!BQ79</f>
        <v>0</v>
      </c>
      <c r="BR78" s="104">
        <f>Kotak!BR79</f>
        <v>0</v>
      </c>
    </row>
    <row r="79" spans="1:83">
      <c r="A79" s="21">
        <v>79</v>
      </c>
      <c r="B79" s="30"/>
      <c r="C79" s="30"/>
      <c r="D79" s="30"/>
      <c r="E79" s="104"/>
      <c r="F79" s="38">
        <f>IDFC!I79</f>
        <v>0</v>
      </c>
      <c r="G79" s="38">
        <f>Kotak!G80</f>
        <v>0</v>
      </c>
      <c r="H79" s="131">
        <f t="shared" si="6"/>
        <v>0</v>
      </c>
      <c r="I79" s="130">
        <f t="shared" si="7"/>
        <v>0</v>
      </c>
      <c r="J79" s="160">
        <f t="shared" si="8"/>
        <v>0</v>
      </c>
      <c r="K79" s="104">
        <f>Kotak!K80</f>
        <v>0</v>
      </c>
      <c r="L79" s="104">
        <f>Kotak!L80</f>
        <v>0</v>
      </c>
      <c r="M79" s="104">
        <f>Kotak!M80</f>
        <v>0</v>
      </c>
      <c r="N79" s="104">
        <f>Kotak!N80</f>
        <v>0</v>
      </c>
      <c r="O79" s="104">
        <f>Kotak!O80</f>
        <v>0</v>
      </c>
      <c r="P79" s="104">
        <f>Kotak!P80</f>
        <v>0</v>
      </c>
      <c r="Q79" s="104">
        <f>Kotak!Q80</f>
        <v>0</v>
      </c>
      <c r="R79" s="104">
        <f>Kotak!R80</f>
        <v>0</v>
      </c>
      <c r="S79" s="104">
        <f>Kotak!S80</f>
        <v>0</v>
      </c>
      <c r="T79" s="104">
        <f>Kotak!T80</f>
        <v>0</v>
      </c>
      <c r="U79" s="104">
        <f>Kotak!U80</f>
        <v>0</v>
      </c>
      <c r="V79" s="104">
        <f>Kotak!V80</f>
        <v>0</v>
      </c>
      <c r="W79" s="104">
        <f>Kotak!W80</f>
        <v>0</v>
      </c>
      <c r="X79" s="104">
        <f>Kotak!X80</f>
        <v>0</v>
      </c>
      <c r="Y79" s="104">
        <f>Kotak!Y80</f>
        <v>0</v>
      </c>
      <c r="Z79" s="104">
        <f>Kotak!Z80</f>
        <v>0</v>
      </c>
      <c r="AA79" s="104">
        <f>Kotak!AA80</f>
        <v>0</v>
      </c>
      <c r="AB79" s="104">
        <f>Kotak!AB80</f>
        <v>0</v>
      </c>
      <c r="AC79" s="104">
        <f>Kotak!AC80</f>
        <v>0</v>
      </c>
      <c r="AD79" s="104">
        <f>Kotak!AD80</f>
        <v>0</v>
      </c>
      <c r="AE79" s="104">
        <f>Kotak!AE80</f>
        <v>0</v>
      </c>
      <c r="AF79" s="104">
        <f>Kotak!AF80</f>
        <v>0</v>
      </c>
      <c r="AG79" s="104">
        <f>Kotak!AG80</f>
        <v>0</v>
      </c>
      <c r="AH79" s="104">
        <f>Kotak!AH80</f>
        <v>0</v>
      </c>
      <c r="AI79" s="104">
        <f>Kotak!AI80</f>
        <v>0</v>
      </c>
      <c r="AJ79" s="104">
        <f>Kotak!AJ80</f>
        <v>0</v>
      </c>
      <c r="AK79" s="104">
        <f>Kotak!AK80</f>
        <v>0</v>
      </c>
      <c r="AL79" s="104">
        <f>Kotak!AL80</f>
        <v>0</v>
      </c>
      <c r="AM79" s="104">
        <f>Kotak!AM80</f>
        <v>0</v>
      </c>
      <c r="AN79" s="104">
        <f>Kotak!AN80</f>
        <v>0</v>
      </c>
      <c r="AO79" s="104">
        <f>Kotak!AO80</f>
        <v>0</v>
      </c>
      <c r="AP79" s="104">
        <f>Kotak!AP80</f>
        <v>0</v>
      </c>
      <c r="AQ79" s="104">
        <f>Kotak!AQ80</f>
        <v>0</v>
      </c>
      <c r="AR79" s="104">
        <f>Kotak!AR80</f>
        <v>0</v>
      </c>
      <c r="AS79" s="104">
        <f>Kotak!AS80</f>
        <v>0</v>
      </c>
      <c r="AT79" s="104">
        <f>Kotak!AT80</f>
        <v>0</v>
      </c>
      <c r="AU79" s="104">
        <f>Kotak!AU80</f>
        <v>0</v>
      </c>
      <c r="AV79" s="104">
        <f>Kotak!AV80</f>
        <v>0</v>
      </c>
      <c r="AW79" s="104">
        <f>Kotak!AW80</f>
        <v>0</v>
      </c>
      <c r="AX79" s="104">
        <f>Kotak!AX80</f>
        <v>0</v>
      </c>
      <c r="AY79" s="104">
        <f>Kotak!AY80</f>
        <v>0</v>
      </c>
      <c r="AZ79" s="104">
        <f>Kotak!AZ80</f>
        <v>0</v>
      </c>
      <c r="BA79" s="104">
        <f>Kotak!BA80</f>
        <v>0</v>
      </c>
      <c r="BB79" s="104">
        <f>Kotak!BB80</f>
        <v>0</v>
      </c>
      <c r="BC79" s="104">
        <f>Kotak!BC80</f>
        <v>0</v>
      </c>
      <c r="BD79" s="104">
        <f>Kotak!BD80</f>
        <v>0</v>
      </c>
      <c r="BE79" s="104">
        <f>Kotak!BE80</f>
        <v>0</v>
      </c>
      <c r="BF79" s="104">
        <f>Kotak!BF80</f>
        <v>0</v>
      </c>
      <c r="BG79" s="104">
        <f>Kotak!BG80</f>
        <v>0</v>
      </c>
      <c r="BH79" s="104">
        <f>Kotak!BH80</f>
        <v>0</v>
      </c>
      <c r="BI79" s="104">
        <f>Kotak!BI80</f>
        <v>0</v>
      </c>
      <c r="BJ79" s="104">
        <f>Kotak!BJ80</f>
        <v>0</v>
      </c>
      <c r="BK79" s="104">
        <f>Kotak!BK80</f>
        <v>0</v>
      </c>
      <c r="BL79" s="104">
        <f>Kotak!BL80</f>
        <v>0</v>
      </c>
      <c r="BM79" s="104">
        <f>Kotak!BM80</f>
        <v>0</v>
      </c>
      <c r="BN79" s="104">
        <f>Kotak!BN80</f>
        <v>0</v>
      </c>
      <c r="BO79" s="104">
        <f>Kotak!BO80</f>
        <v>0</v>
      </c>
      <c r="BP79" s="104">
        <f>Kotak!BP80</f>
        <v>0</v>
      </c>
      <c r="BQ79" s="104">
        <f>Kotak!BQ80</f>
        <v>0</v>
      </c>
      <c r="BR79" s="104">
        <f>Kotak!BR80</f>
        <v>0</v>
      </c>
    </row>
    <row r="80" spans="1:83">
      <c r="A80" s="21">
        <v>80</v>
      </c>
      <c r="B80" s="30"/>
      <c r="C80" s="30"/>
      <c r="D80" s="30"/>
      <c r="E80" s="104"/>
      <c r="F80" s="38">
        <f>IDFC!I80</f>
        <v>0</v>
      </c>
      <c r="G80" s="38">
        <f>Kotak!G81</f>
        <v>0</v>
      </c>
      <c r="H80" s="131">
        <f t="shared" ref="H80:H100" si="9">SUM(K80:ZH80)</f>
        <v>0</v>
      </c>
      <c r="I80" s="130">
        <f t="shared" si="7"/>
        <v>0</v>
      </c>
      <c r="J80" s="160">
        <f t="shared" si="8"/>
        <v>0</v>
      </c>
      <c r="K80" s="104">
        <f>Kotak!K81</f>
        <v>0</v>
      </c>
      <c r="L80" s="104">
        <f>Kotak!L81</f>
        <v>0</v>
      </c>
      <c r="M80" s="104">
        <f>Kotak!M81</f>
        <v>0</v>
      </c>
      <c r="N80" s="104">
        <f>Kotak!N81</f>
        <v>0</v>
      </c>
      <c r="O80" s="104">
        <f>Kotak!O81</f>
        <v>0</v>
      </c>
      <c r="P80" s="104">
        <f>Kotak!P81</f>
        <v>0</v>
      </c>
      <c r="Q80" s="104">
        <f>Kotak!Q81</f>
        <v>0</v>
      </c>
      <c r="R80" s="104">
        <f>Kotak!R81</f>
        <v>0</v>
      </c>
      <c r="S80" s="104">
        <f>Kotak!S81</f>
        <v>0</v>
      </c>
      <c r="T80" s="104">
        <f>Kotak!T81</f>
        <v>0</v>
      </c>
      <c r="U80" s="104">
        <f>Kotak!U81</f>
        <v>0</v>
      </c>
      <c r="V80" s="104">
        <f>Kotak!V81</f>
        <v>0</v>
      </c>
      <c r="W80" s="104">
        <f>Kotak!W81</f>
        <v>0</v>
      </c>
      <c r="X80" s="104">
        <f>Kotak!X81</f>
        <v>0</v>
      </c>
      <c r="Y80" s="104">
        <f>Kotak!Y81</f>
        <v>0</v>
      </c>
      <c r="Z80" s="104">
        <f>Kotak!Z81</f>
        <v>0</v>
      </c>
      <c r="AA80" s="104">
        <f>Kotak!AA81</f>
        <v>0</v>
      </c>
      <c r="AB80" s="104">
        <f>Kotak!AB81</f>
        <v>0</v>
      </c>
      <c r="AC80" s="104">
        <f>Kotak!AC81</f>
        <v>0</v>
      </c>
      <c r="AD80" s="104">
        <f>Kotak!AD81</f>
        <v>0</v>
      </c>
      <c r="AE80" s="104">
        <f>Kotak!AE81</f>
        <v>0</v>
      </c>
      <c r="AF80" s="104">
        <f>Kotak!AF81</f>
        <v>0</v>
      </c>
      <c r="AG80" s="104">
        <f>Kotak!AG81</f>
        <v>0</v>
      </c>
      <c r="AH80" s="104">
        <f>Kotak!AH81</f>
        <v>0</v>
      </c>
      <c r="AI80" s="104">
        <f>Kotak!AI81</f>
        <v>0</v>
      </c>
      <c r="AJ80" s="104">
        <f>Kotak!AJ81</f>
        <v>0</v>
      </c>
      <c r="AK80" s="104">
        <f>Kotak!AK81</f>
        <v>0</v>
      </c>
      <c r="AL80" s="104">
        <f>Kotak!AL81</f>
        <v>0</v>
      </c>
      <c r="AM80" s="104">
        <f>Kotak!AM81</f>
        <v>0</v>
      </c>
      <c r="AN80" s="104">
        <f>Kotak!AN81</f>
        <v>0</v>
      </c>
      <c r="AO80" s="104">
        <f>Kotak!AO81</f>
        <v>0</v>
      </c>
      <c r="AP80" s="104">
        <f>Kotak!AP81</f>
        <v>0</v>
      </c>
      <c r="AQ80" s="104">
        <f>Kotak!AQ81</f>
        <v>0</v>
      </c>
      <c r="AR80" s="104">
        <f>Kotak!AR81</f>
        <v>0</v>
      </c>
      <c r="AS80" s="104">
        <f>Kotak!AS81</f>
        <v>0</v>
      </c>
      <c r="AT80" s="104">
        <f>Kotak!AT81</f>
        <v>0</v>
      </c>
      <c r="AU80" s="104">
        <f>Kotak!AU81</f>
        <v>0</v>
      </c>
      <c r="AV80" s="104">
        <f>Kotak!AV81</f>
        <v>0</v>
      </c>
      <c r="AW80" s="104">
        <f>Kotak!AW81</f>
        <v>0</v>
      </c>
      <c r="AX80" s="104">
        <f>Kotak!AX81</f>
        <v>0</v>
      </c>
      <c r="AY80" s="104">
        <f>Kotak!AY81</f>
        <v>0</v>
      </c>
      <c r="AZ80" s="104">
        <f>Kotak!AZ81</f>
        <v>0</v>
      </c>
      <c r="BA80" s="104">
        <f>Kotak!BA81</f>
        <v>0</v>
      </c>
      <c r="BB80" s="104">
        <f>Kotak!BB81</f>
        <v>0</v>
      </c>
      <c r="BC80" s="104">
        <f>Kotak!BC81</f>
        <v>0</v>
      </c>
      <c r="BD80" s="104">
        <f>Kotak!BD81</f>
        <v>0</v>
      </c>
      <c r="BE80" s="104">
        <f>Kotak!BE81</f>
        <v>0</v>
      </c>
      <c r="BF80" s="104">
        <f>Kotak!BF81</f>
        <v>0</v>
      </c>
      <c r="BG80" s="104">
        <f>Kotak!BG81</f>
        <v>0</v>
      </c>
      <c r="BH80" s="104">
        <f>Kotak!BH81</f>
        <v>0</v>
      </c>
      <c r="BI80" s="104">
        <f>Kotak!BI81</f>
        <v>0</v>
      </c>
      <c r="BJ80" s="104">
        <f>Kotak!BJ81</f>
        <v>0</v>
      </c>
      <c r="BK80" s="104">
        <f>Kotak!BK81</f>
        <v>0</v>
      </c>
      <c r="BL80" s="104">
        <f>Kotak!BL81</f>
        <v>0</v>
      </c>
      <c r="BM80" s="104">
        <f>Kotak!BM81</f>
        <v>0</v>
      </c>
      <c r="BN80" s="104">
        <f>Kotak!BN81</f>
        <v>0</v>
      </c>
      <c r="BO80" s="104">
        <f>Kotak!BO81</f>
        <v>0</v>
      </c>
      <c r="BP80" s="104">
        <f>Kotak!BP81</f>
        <v>0</v>
      </c>
      <c r="BQ80" s="104">
        <f>Kotak!BQ81</f>
        <v>0</v>
      </c>
      <c r="BR80" s="104">
        <f>Kotak!BR81</f>
        <v>0</v>
      </c>
    </row>
    <row r="81" spans="1:70">
      <c r="A81" s="21">
        <v>81</v>
      </c>
      <c r="B81" s="30"/>
      <c r="C81" s="30"/>
      <c r="D81" s="30"/>
      <c r="E81" s="104"/>
      <c r="F81" s="38">
        <f>IDFC!I81</f>
        <v>0</v>
      </c>
      <c r="G81" s="38">
        <f>Kotak!G82</f>
        <v>0</v>
      </c>
      <c r="H81" s="131">
        <f t="shared" si="9"/>
        <v>0</v>
      </c>
      <c r="I81" s="130">
        <f t="shared" si="7"/>
        <v>0</v>
      </c>
      <c r="J81" s="160">
        <f t="shared" si="8"/>
        <v>0</v>
      </c>
      <c r="K81" s="104">
        <f>Kotak!K82</f>
        <v>0</v>
      </c>
      <c r="L81" s="104">
        <f>Kotak!L82</f>
        <v>0</v>
      </c>
      <c r="M81" s="104">
        <f>Kotak!M82</f>
        <v>0</v>
      </c>
      <c r="N81" s="104">
        <f>Kotak!N82</f>
        <v>0</v>
      </c>
      <c r="O81" s="104">
        <f>Kotak!O82</f>
        <v>0</v>
      </c>
      <c r="P81" s="104">
        <f>Kotak!P82</f>
        <v>0</v>
      </c>
      <c r="Q81" s="104">
        <f>Kotak!Q82</f>
        <v>0</v>
      </c>
      <c r="R81" s="104">
        <f>Kotak!R82</f>
        <v>0</v>
      </c>
      <c r="S81" s="104">
        <f>Kotak!S82</f>
        <v>0</v>
      </c>
      <c r="T81" s="104">
        <f>Kotak!T82</f>
        <v>0</v>
      </c>
      <c r="U81" s="104">
        <f>Kotak!U82</f>
        <v>0</v>
      </c>
      <c r="V81" s="104">
        <f>Kotak!V82</f>
        <v>0</v>
      </c>
      <c r="W81" s="104">
        <f>Kotak!W82</f>
        <v>0</v>
      </c>
      <c r="X81" s="104">
        <f>Kotak!X82</f>
        <v>0</v>
      </c>
      <c r="Y81" s="104">
        <f>Kotak!Y82</f>
        <v>0</v>
      </c>
      <c r="Z81" s="104">
        <f>Kotak!Z82</f>
        <v>0</v>
      </c>
      <c r="AA81" s="104">
        <f>Kotak!AA82</f>
        <v>0</v>
      </c>
      <c r="AB81" s="104">
        <f>Kotak!AB82</f>
        <v>0</v>
      </c>
      <c r="AC81" s="104">
        <f>Kotak!AC82</f>
        <v>0</v>
      </c>
      <c r="AD81" s="104">
        <f>Kotak!AD82</f>
        <v>0</v>
      </c>
      <c r="AE81" s="104">
        <f>Kotak!AE82</f>
        <v>0</v>
      </c>
      <c r="AF81" s="104">
        <f>Kotak!AF82</f>
        <v>0</v>
      </c>
      <c r="AG81" s="104">
        <f>Kotak!AG82</f>
        <v>0</v>
      </c>
      <c r="AH81" s="104">
        <f>Kotak!AH82</f>
        <v>0</v>
      </c>
      <c r="AI81" s="104">
        <f>Kotak!AI82</f>
        <v>0</v>
      </c>
      <c r="AJ81" s="104">
        <f>Kotak!AJ82</f>
        <v>0</v>
      </c>
      <c r="AK81" s="104">
        <f>Kotak!AK82</f>
        <v>0</v>
      </c>
      <c r="AL81" s="104">
        <f>Kotak!AL82</f>
        <v>0</v>
      </c>
      <c r="AM81" s="104">
        <f>Kotak!AM82</f>
        <v>0</v>
      </c>
      <c r="AN81" s="104">
        <f>Kotak!AN82</f>
        <v>0</v>
      </c>
      <c r="AO81" s="104">
        <f>Kotak!AO82</f>
        <v>0</v>
      </c>
      <c r="AP81" s="104">
        <f>Kotak!AP82</f>
        <v>0</v>
      </c>
      <c r="AQ81" s="104">
        <f>Kotak!AQ82</f>
        <v>0</v>
      </c>
      <c r="AR81" s="104">
        <f>Kotak!AR82</f>
        <v>0</v>
      </c>
      <c r="AS81" s="104">
        <f>Kotak!AS82</f>
        <v>0</v>
      </c>
      <c r="AT81" s="104">
        <f>Kotak!AT82</f>
        <v>0</v>
      </c>
      <c r="AU81" s="104">
        <f>Kotak!AU82</f>
        <v>0</v>
      </c>
      <c r="AV81" s="104">
        <f>Kotak!AV82</f>
        <v>0</v>
      </c>
      <c r="AW81" s="104">
        <f>Kotak!AW82</f>
        <v>0</v>
      </c>
      <c r="AX81" s="104">
        <f>Kotak!AX82</f>
        <v>0</v>
      </c>
      <c r="AY81" s="104">
        <f>Kotak!AY82</f>
        <v>0</v>
      </c>
      <c r="AZ81" s="104">
        <f>Kotak!AZ82</f>
        <v>0</v>
      </c>
      <c r="BA81" s="104">
        <f>Kotak!BA82</f>
        <v>0</v>
      </c>
      <c r="BB81" s="104">
        <f>Kotak!BB82</f>
        <v>0</v>
      </c>
      <c r="BC81" s="104">
        <f>Kotak!BC82</f>
        <v>0</v>
      </c>
      <c r="BD81" s="104">
        <f>Kotak!BD82</f>
        <v>0</v>
      </c>
      <c r="BE81" s="104">
        <f>Kotak!BE82</f>
        <v>0</v>
      </c>
      <c r="BF81" s="104">
        <f>Kotak!BF82</f>
        <v>0</v>
      </c>
      <c r="BG81" s="104">
        <f>Kotak!BG82</f>
        <v>0</v>
      </c>
      <c r="BH81" s="104">
        <f>Kotak!BH82</f>
        <v>0</v>
      </c>
      <c r="BI81" s="104">
        <f>Kotak!BI82</f>
        <v>0</v>
      </c>
      <c r="BJ81" s="104">
        <f>Kotak!BJ82</f>
        <v>0</v>
      </c>
      <c r="BK81" s="104">
        <f>Kotak!BK82</f>
        <v>0</v>
      </c>
      <c r="BL81" s="104">
        <f>Kotak!BL82</f>
        <v>0</v>
      </c>
      <c r="BM81" s="104">
        <f>Kotak!BM82</f>
        <v>0</v>
      </c>
      <c r="BN81" s="104">
        <f>Kotak!BN82</f>
        <v>0</v>
      </c>
      <c r="BO81" s="104">
        <f>Kotak!BO82</f>
        <v>0</v>
      </c>
      <c r="BP81" s="104">
        <f>Kotak!BP82</f>
        <v>0</v>
      </c>
      <c r="BQ81" s="104">
        <f>Kotak!BQ82</f>
        <v>0</v>
      </c>
      <c r="BR81" s="104">
        <f>Kotak!BR82</f>
        <v>0</v>
      </c>
    </row>
    <row r="82" spans="1:70">
      <c r="A82" s="21">
        <v>82</v>
      </c>
      <c r="B82" s="30"/>
      <c r="C82" s="30"/>
      <c r="D82" s="30"/>
      <c r="E82" s="104"/>
      <c r="F82" s="38">
        <f>IDFC!I82</f>
        <v>0</v>
      </c>
      <c r="G82" s="38">
        <f>Kotak!G83</f>
        <v>0</v>
      </c>
      <c r="H82" s="131">
        <f t="shared" si="9"/>
        <v>0</v>
      </c>
      <c r="I82" s="130">
        <f t="shared" si="7"/>
        <v>0</v>
      </c>
      <c r="J82" s="160">
        <f t="shared" si="8"/>
        <v>0</v>
      </c>
      <c r="K82" s="104">
        <f>Kotak!K83</f>
        <v>0</v>
      </c>
      <c r="L82" s="104">
        <f>Kotak!L83</f>
        <v>0</v>
      </c>
      <c r="M82" s="104">
        <f>Kotak!M83</f>
        <v>0</v>
      </c>
      <c r="N82" s="104">
        <f>Kotak!N83</f>
        <v>0</v>
      </c>
      <c r="O82" s="104">
        <f>Kotak!O83</f>
        <v>0</v>
      </c>
      <c r="P82" s="104">
        <f>Kotak!P83</f>
        <v>0</v>
      </c>
      <c r="Q82" s="104">
        <f>Kotak!Q83</f>
        <v>0</v>
      </c>
      <c r="R82" s="104">
        <f>Kotak!R83</f>
        <v>0</v>
      </c>
      <c r="S82" s="104">
        <f>Kotak!S83</f>
        <v>0</v>
      </c>
      <c r="T82" s="104">
        <f>Kotak!T83</f>
        <v>0</v>
      </c>
      <c r="U82" s="104">
        <f>Kotak!U83</f>
        <v>0</v>
      </c>
      <c r="V82" s="104">
        <f>Kotak!V83</f>
        <v>0</v>
      </c>
      <c r="W82" s="104">
        <f>Kotak!W83</f>
        <v>0</v>
      </c>
      <c r="X82" s="104">
        <f>Kotak!X83</f>
        <v>0</v>
      </c>
      <c r="Y82" s="104">
        <f>Kotak!Y83</f>
        <v>0</v>
      </c>
      <c r="Z82" s="104">
        <f>Kotak!Z83</f>
        <v>0</v>
      </c>
      <c r="AA82" s="104">
        <f>Kotak!AA83</f>
        <v>0</v>
      </c>
      <c r="AB82" s="104">
        <f>Kotak!AB83</f>
        <v>0</v>
      </c>
      <c r="AC82" s="104">
        <f>Kotak!AC83</f>
        <v>0</v>
      </c>
      <c r="AD82" s="104">
        <f>Kotak!AD83</f>
        <v>0</v>
      </c>
      <c r="AE82" s="104">
        <f>Kotak!AE83</f>
        <v>0</v>
      </c>
      <c r="AF82" s="104">
        <f>Kotak!AF83</f>
        <v>0</v>
      </c>
      <c r="AG82" s="104">
        <f>Kotak!AG83</f>
        <v>0</v>
      </c>
      <c r="AH82" s="104">
        <f>Kotak!AH83</f>
        <v>0</v>
      </c>
      <c r="AI82" s="104">
        <f>Kotak!AI83</f>
        <v>0</v>
      </c>
      <c r="AJ82" s="104">
        <f>Kotak!AJ83</f>
        <v>0</v>
      </c>
      <c r="AK82" s="104">
        <f>Kotak!AK83</f>
        <v>0</v>
      </c>
      <c r="AL82" s="104">
        <f>Kotak!AL83</f>
        <v>0</v>
      </c>
      <c r="AM82" s="104">
        <f>Kotak!AM83</f>
        <v>0</v>
      </c>
      <c r="AN82" s="104">
        <f>Kotak!AN83</f>
        <v>0</v>
      </c>
      <c r="AO82" s="104">
        <f>Kotak!AO83</f>
        <v>0</v>
      </c>
      <c r="AP82" s="104">
        <f>Kotak!AP83</f>
        <v>0</v>
      </c>
      <c r="AQ82" s="104">
        <f>Kotak!AQ83</f>
        <v>0</v>
      </c>
      <c r="AR82" s="104">
        <f>Kotak!AR83</f>
        <v>0</v>
      </c>
      <c r="AS82" s="104">
        <f>Kotak!AS83</f>
        <v>0</v>
      </c>
      <c r="AT82" s="104">
        <f>Kotak!AT83</f>
        <v>0</v>
      </c>
      <c r="AU82" s="104">
        <f>Kotak!AU83</f>
        <v>0</v>
      </c>
      <c r="AV82" s="104">
        <f>Kotak!AV83</f>
        <v>0</v>
      </c>
      <c r="AW82" s="104">
        <f>Kotak!AW83</f>
        <v>0</v>
      </c>
      <c r="AX82" s="104">
        <f>Kotak!AX83</f>
        <v>0</v>
      </c>
      <c r="AY82" s="104">
        <f>Kotak!AY83</f>
        <v>0</v>
      </c>
      <c r="AZ82" s="104">
        <f>Kotak!AZ83</f>
        <v>0</v>
      </c>
      <c r="BA82" s="104">
        <f>Kotak!BA83</f>
        <v>0</v>
      </c>
      <c r="BB82" s="104">
        <f>Kotak!BB83</f>
        <v>0</v>
      </c>
      <c r="BC82" s="104">
        <f>Kotak!BC83</f>
        <v>0</v>
      </c>
      <c r="BD82" s="104">
        <f>Kotak!BD83</f>
        <v>0</v>
      </c>
      <c r="BE82" s="104">
        <f>Kotak!BE83</f>
        <v>0</v>
      </c>
      <c r="BF82" s="104">
        <f>Kotak!BF83</f>
        <v>0</v>
      </c>
      <c r="BG82" s="104">
        <f>Kotak!BG83</f>
        <v>0</v>
      </c>
      <c r="BH82" s="104">
        <f>Kotak!BH83</f>
        <v>0</v>
      </c>
      <c r="BI82" s="104">
        <f>Kotak!BI83</f>
        <v>0</v>
      </c>
      <c r="BJ82" s="104">
        <f>Kotak!BJ83</f>
        <v>0</v>
      </c>
      <c r="BK82" s="104">
        <f>Kotak!BK83</f>
        <v>0</v>
      </c>
      <c r="BL82" s="104">
        <f>Kotak!BL83</f>
        <v>0</v>
      </c>
      <c r="BM82" s="104">
        <f>Kotak!BM83</f>
        <v>0</v>
      </c>
      <c r="BN82" s="104">
        <f>Kotak!BN83</f>
        <v>0</v>
      </c>
      <c r="BO82" s="104">
        <f>Kotak!BO83</f>
        <v>0</v>
      </c>
      <c r="BP82" s="104">
        <f>Kotak!BP83</f>
        <v>0</v>
      </c>
      <c r="BQ82" s="104">
        <f>Kotak!BQ83</f>
        <v>0</v>
      </c>
      <c r="BR82" s="104">
        <f>Kotak!BR83</f>
        <v>0</v>
      </c>
    </row>
    <row r="83" spans="1:70">
      <c r="A83" s="21">
        <v>83</v>
      </c>
      <c r="B83" s="30"/>
      <c r="C83" s="30"/>
      <c r="D83" s="30"/>
      <c r="E83" s="104"/>
      <c r="F83" s="38">
        <f>IDFC!I83</f>
        <v>0</v>
      </c>
      <c r="G83" s="38">
        <f>Kotak!G84</f>
        <v>0</v>
      </c>
      <c r="H83" s="131">
        <f t="shared" si="9"/>
        <v>0</v>
      </c>
      <c r="I83" s="130">
        <f t="shared" si="7"/>
        <v>0</v>
      </c>
      <c r="J83" s="160">
        <f t="shared" si="8"/>
        <v>0</v>
      </c>
      <c r="K83" s="104">
        <f>Kotak!K84</f>
        <v>0</v>
      </c>
      <c r="L83" s="104">
        <f>Kotak!L84</f>
        <v>0</v>
      </c>
      <c r="M83" s="104">
        <f>Kotak!M84</f>
        <v>0</v>
      </c>
      <c r="N83" s="104">
        <f>Kotak!N84</f>
        <v>0</v>
      </c>
      <c r="O83" s="104">
        <f>Kotak!O84</f>
        <v>0</v>
      </c>
      <c r="P83" s="104">
        <f>Kotak!P84</f>
        <v>0</v>
      </c>
      <c r="Q83" s="104">
        <f>Kotak!Q84</f>
        <v>0</v>
      </c>
      <c r="R83" s="104">
        <f>Kotak!R84</f>
        <v>0</v>
      </c>
      <c r="S83" s="104">
        <f>Kotak!S84</f>
        <v>0</v>
      </c>
      <c r="T83" s="104">
        <f>Kotak!T84</f>
        <v>0</v>
      </c>
      <c r="U83" s="104">
        <f>Kotak!U84</f>
        <v>0</v>
      </c>
      <c r="V83" s="104">
        <f>Kotak!V84</f>
        <v>0</v>
      </c>
      <c r="W83" s="104">
        <f>Kotak!W84</f>
        <v>0</v>
      </c>
      <c r="X83" s="104">
        <f>Kotak!X84</f>
        <v>0</v>
      </c>
      <c r="Y83" s="104">
        <f>Kotak!Y84</f>
        <v>0</v>
      </c>
      <c r="Z83" s="104">
        <f>Kotak!Z84</f>
        <v>0</v>
      </c>
      <c r="AA83" s="104">
        <f>Kotak!AA84</f>
        <v>0</v>
      </c>
      <c r="AB83" s="104">
        <f>Kotak!AB84</f>
        <v>0</v>
      </c>
      <c r="AC83" s="104">
        <f>Kotak!AC84</f>
        <v>0</v>
      </c>
      <c r="AD83" s="104">
        <f>Kotak!AD84</f>
        <v>0</v>
      </c>
      <c r="AE83" s="104">
        <f>Kotak!AE84</f>
        <v>0</v>
      </c>
      <c r="AF83" s="104">
        <f>Kotak!AF84</f>
        <v>0</v>
      </c>
      <c r="AG83" s="104">
        <f>Kotak!AG84</f>
        <v>0</v>
      </c>
      <c r="AH83" s="104">
        <f>Kotak!AH84</f>
        <v>0</v>
      </c>
      <c r="AI83" s="104">
        <f>Kotak!AI84</f>
        <v>0</v>
      </c>
      <c r="AJ83" s="104">
        <f>Kotak!AJ84</f>
        <v>0</v>
      </c>
      <c r="AK83" s="104">
        <f>Kotak!AK84</f>
        <v>0</v>
      </c>
      <c r="AL83" s="104">
        <f>Kotak!AL84</f>
        <v>0</v>
      </c>
      <c r="AM83" s="104">
        <f>Kotak!AM84</f>
        <v>0</v>
      </c>
      <c r="AN83" s="104">
        <f>Kotak!AN84</f>
        <v>0</v>
      </c>
      <c r="AO83" s="104">
        <f>Kotak!AO84</f>
        <v>0</v>
      </c>
      <c r="AP83" s="104">
        <f>Kotak!AP84</f>
        <v>0</v>
      </c>
      <c r="AQ83" s="104">
        <f>Kotak!AQ84</f>
        <v>0</v>
      </c>
      <c r="AR83" s="104">
        <f>Kotak!AR84</f>
        <v>0</v>
      </c>
      <c r="AS83" s="104">
        <f>Kotak!AS84</f>
        <v>0</v>
      </c>
      <c r="AT83" s="104">
        <f>Kotak!AT84</f>
        <v>0</v>
      </c>
      <c r="AU83" s="104">
        <f>Kotak!AU84</f>
        <v>0</v>
      </c>
      <c r="AV83" s="104">
        <f>Kotak!AV84</f>
        <v>0</v>
      </c>
      <c r="AW83" s="104">
        <f>Kotak!AW84</f>
        <v>0</v>
      </c>
      <c r="AX83" s="104">
        <f>Kotak!AX84</f>
        <v>0</v>
      </c>
      <c r="AY83" s="104">
        <f>Kotak!AY84</f>
        <v>0</v>
      </c>
      <c r="AZ83" s="104">
        <f>Kotak!AZ84</f>
        <v>0</v>
      </c>
      <c r="BA83" s="104">
        <f>Kotak!BA84</f>
        <v>0</v>
      </c>
      <c r="BB83" s="104">
        <f>Kotak!BB84</f>
        <v>0</v>
      </c>
      <c r="BC83" s="104">
        <f>Kotak!BC84</f>
        <v>0</v>
      </c>
      <c r="BD83" s="104">
        <f>Kotak!BD84</f>
        <v>0</v>
      </c>
      <c r="BE83" s="104">
        <f>Kotak!BE84</f>
        <v>0</v>
      </c>
      <c r="BF83" s="104">
        <f>Kotak!BF84</f>
        <v>0</v>
      </c>
      <c r="BG83" s="104">
        <f>Kotak!BG84</f>
        <v>0</v>
      </c>
      <c r="BH83" s="104">
        <f>Kotak!BH84</f>
        <v>0</v>
      </c>
      <c r="BI83" s="104">
        <f>Kotak!BI84</f>
        <v>0</v>
      </c>
      <c r="BJ83" s="104">
        <f>Kotak!BJ84</f>
        <v>0</v>
      </c>
      <c r="BK83" s="104">
        <f>Kotak!BK84</f>
        <v>0</v>
      </c>
      <c r="BL83" s="104">
        <f>Kotak!BL84</f>
        <v>0</v>
      </c>
      <c r="BM83" s="104">
        <f>Kotak!BM84</f>
        <v>0</v>
      </c>
      <c r="BN83" s="104">
        <f>Kotak!BN84</f>
        <v>0</v>
      </c>
      <c r="BO83" s="104">
        <f>Kotak!BO84</f>
        <v>0</v>
      </c>
      <c r="BP83" s="104">
        <f>Kotak!BP84</f>
        <v>0</v>
      </c>
      <c r="BQ83" s="104">
        <f>Kotak!BQ84</f>
        <v>0</v>
      </c>
      <c r="BR83" s="104">
        <f>Kotak!BR84</f>
        <v>0</v>
      </c>
    </row>
    <row r="84" spans="1:70">
      <c r="A84" s="21">
        <v>84</v>
      </c>
      <c r="B84" s="30"/>
      <c r="C84" s="30"/>
      <c r="D84" s="30"/>
      <c r="E84" s="104"/>
      <c r="F84" s="38">
        <f>IDFC!I84</f>
        <v>0</v>
      </c>
      <c r="G84" s="38">
        <f>Kotak!G85</f>
        <v>0</v>
      </c>
      <c r="H84" s="131">
        <f t="shared" si="9"/>
        <v>0</v>
      </c>
      <c r="I84" s="130">
        <f t="shared" si="7"/>
        <v>0</v>
      </c>
      <c r="J84" s="160">
        <f t="shared" si="8"/>
        <v>0</v>
      </c>
      <c r="K84" s="104">
        <f>Kotak!K85</f>
        <v>0</v>
      </c>
      <c r="L84" s="104">
        <f>Kotak!L85</f>
        <v>0</v>
      </c>
      <c r="M84" s="104">
        <f>Kotak!M85</f>
        <v>0</v>
      </c>
      <c r="N84" s="104">
        <f>Kotak!N85</f>
        <v>0</v>
      </c>
      <c r="O84" s="104">
        <f>Kotak!O85</f>
        <v>0</v>
      </c>
      <c r="P84" s="104">
        <f>Kotak!P85</f>
        <v>0</v>
      </c>
      <c r="Q84" s="104">
        <f>Kotak!Q85</f>
        <v>0</v>
      </c>
      <c r="R84" s="104">
        <f>Kotak!R85</f>
        <v>0</v>
      </c>
      <c r="S84" s="104">
        <f>Kotak!S85</f>
        <v>0</v>
      </c>
      <c r="T84" s="104">
        <f>Kotak!T85</f>
        <v>0</v>
      </c>
      <c r="U84" s="104">
        <f>Kotak!U85</f>
        <v>0</v>
      </c>
      <c r="V84" s="104">
        <f>Kotak!V85</f>
        <v>0</v>
      </c>
      <c r="W84" s="104">
        <f>Kotak!W85</f>
        <v>0</v>
      </c>
      <c r="X84" s="104">
        <f>Kotak!X85</f>
        <v>0</v>
      </c>
      <c r="Y84" s="104">
        <f>Kotak!Y85</f>
        <v>0</v>
      </c>
      <c r="Z84" s="104">
        <f>Kotak!Z85</f>
        <v>0</v>
      </c>
      <c r="AA84" s="104">
        <f>Kotak!AA85</f>
        <v>0</v>
      </c>
      <c r="AB84" s="104">
        <f>Kotak!AB85</f>
        <v>0</v>
      </c>
      <c r="AC84" s="104">
        <f>Kotak!AC85</f>
        <v>0</v>
      </c>
      <c r="AD84" s="104">
        <f>Kotak!AD85</f>
        <v>0</v>
      </c>
      <c r="AE84" s="104">
        <f>Kotak!AE85</f>
        <v>0</v>
      </c>
      <c r="AF84" s="104">
        <f>Kotak!AF85</f>
        <v>0</v>
      </c>
      <c r="AG84" s="104">
        <f>Kotak!AG85</f>
        <v>0</v>
      </c>
      <c r="AH84" s="104">
        <f>Kotak!AH85</f>
        <v>0</v>
      </c>
      <c r="AI84" s="104">
        <f>Kotak!AI85</f>
        <v>0</v>
      </c>
      <c r="AJ84" s="104">
        <f>Kotak!AJ85</f>
        <v>0</v>
      </c>
      <c r="AK84" s="104">
        <f>Kotak!AK85</f>
        <v>0</v>
      </c>
      <c r="AL84" s="104">
        <f>Kotak!AL85</f>
        <v>0</v>
      </c>
      <c r="AM84" s="104">
        <f>Kotak!AM85</f>
        <v>0</v>
      </c>
      <c r="AN84" s="104">
        <f>Kotak!AN85</f>
        <v>0</v>
      </c>
      <c r="AO84" s="104">
        <f>Kotak!AO85</f>
        <v>0</v>
      </c>
      <c r="AP84" s="104">
        <f>Kotak!AP85</f>
        <v>0</v>
      </c>
      <c r="AQ84" s="104">
        <f>Kotak!AQ85</f>
        <v>0</v>
      </c>
      <c r="AR84" s="104">
        <f>Kotak!AR85</f>
        <v>0</v>
      </c>
      <c r="AS84" s="104">
        <f>Kotak!AS85</f>
        <v>0</v>
      </c>
      <c r="AT84" s="104">
        <f>Kotak!AT85</f>
        <v>0</v>
      </c>
      <c r="AU84" s="104">
        <f>Kotak!AU85</f>
        <v>0</v>
      </c>
      <c r="AV84" s="104">
        <f>Kotak!AV85</f>
        <v>0</v>
      </c>
      <c r="AW84" s="104">
        <f>Kotak!AW85</f>
        <v>0</v>
      </c>
      <c r="AX84" s="104">
        <f>Kotak!AX85</f>
        <v>0</v>
      </c>
      <c r="AY84" s="104">
        <f>Kotak!AY85</f>
        <v>0</v>
      </c>
      <c r="AZ84" s="104">
        <f>Kotak!AZ85</f>
        <v>0</v>
      </c>
      <c r="BA84" s="104">
        <f>Kotak!BA85</f>
        <v>0</v>
      </c>
      <c r="BB84" s="104">
        <f>Kotak!BB85</f>
        <v>0</v>
      </c>
      <c r="BC84" s="104">
        <f>Kotak!BC85</f>
        <v>0</v>
      </c>
      <c r="BD84" s="104">
        <f>Kotak!BD85</f>
        <v>0</v>
      </c>
      <c r="BE84" s="104">
        <f>Kotak!BE85</f>
        <v>0</v>
      </c>
      <c r="BF84" s="104">
        <f>Kotak!BF85</f>
        <v>0</v>
      </c>
      <c r="BG84" s="104">
        <f>Kotak!BG85</f>
        <v>0</v>
      </c>
      <c r="BH84" s="104">
        <f>Kotak!BH85</f>
        <v>0</v>
      </c>
      <c r="BI84" s="104">
        <f>Kotak!BI85</f>
        <v>0</v>
      </c>
      <c r="BJ84" s="104">
        <f>Kotak!BJ85</f>
        <v>0</v>
      </c>
      <c r="BK84" s="104">
        <f>Kotak!BK85</f>
        <v>0</v>
      </c>
      <c r="BL84" s="104">
        <f>Kotak!BL85</f>
        <v>0</v>
      </c>
      <c r="BM84" s="104">
        <f>Kotak!BM85</f>
        <v>0</v>
      </c>
      <c r="BN84" s="104">
        <f>Kotak!BN85</f>
        <v>0</v>
      </c>
      <c r="BO84" s="104">
        <f>Kotak!BO85</f>
        <v>0</v>
      </c>
      <c r="BP84" s="104">
        <f>Kotak!BP85</f>
        <v>0</v>
      </c>
      <c r="BQ84" s="104">
        <f>Kotak!BQ85</f>
        <v>0</v>
      </c>
      <c r="BR84" s="104">
        <f>Kotak!BR85</f>
        <v>0</v>
      </c>
    </row>
    <row r="85" spans="1:70">
      <c r="A85" s="21">
        <v>85</v>
      </c>
      <c r="B85" s="30"/>
      <c r="C85" s="30"/>
      <c r="D85" s="30"/>
      <c r="E85" s="104"/>
      <c r="F85" s="38">
        <f>IDFC!I85</f>
        <v>0</v>
      </c>
      <c r="G85" s="38">
        <f>Kotak!G86</f>
        <v>0</v>
      </c>
      <c r="H85" s="131">
        <f t="shared" si="9"/>
        <v>0</v>
      </c>
      <c r="I85" s="130">
        <f t="shared" si="7"/>
        <v>0</v>
      </c>
      <c r="J85" s="160">
        <f t="shared" si="8"/>
        <v>0</v>
      </c>
      <c r="K85" s="104">
        <f>Kotak!K86</f>
        <v>0</v>
      </c>
      <c r="L85" s="104">
        <f>Kotak!L86</f>
        <v>0</v>
      </c>
      <c r="M85" s="104">
        <f>Kotak!M86</f>
        <v>0</v>
      </c>
      <c r="N85" s="104">
        <f>Kotak!N86</f>
        <v>0</v>
      </c>
      <c r="O85" s="104">
        <f>Kotak!O86</f>
        <v>0</v>
      </c>
      <c r="P85" s="104">
        <f>Kotak!P86</f>
        <v>0</v>
      </c>
      <c r="Q85" s="104">
        <f>Kotak!Q86</f>
        <v>0</v>
      </c>
      <c r="R85" s="104">
        <f>Kotak!R86</f>
        <v>0</v>
      </c>
      <c r="S85" s="104">
        <f>Kotak!S86</f>
        <v>0</v>
      </c>
      <c r="T85" s="104">
        <f>Kotak!T86</f>
        <v>0</v>
      </c>
      <c r="U85" s="104">
        <f>Kotak!U86</f>
        <v>0</v>
      </c>
      <c r="V85" s="104">
        <f>Kotak!V86</f>
        <v>0</v>
      </c>
      <c r="W85" s="104">
        <f>Kotak!W86</f>
        <v>0</v>
      </c>
      <c r="X85" s="104">
        <f>Kotak!X86</f>
        <v>0</v>
      </c>
      <c r="Y85" s="104">
        <f>Kotak!Y86</f>
        <v>0</v>
      </c>
      <c r="Z85" s="104">
        <f>Kotak!Z86</f>
        <v>0</v>
      </c>
      <c r="AA85" s="104">
        <f>Kotak!AA86</f>
        <v>0</v>
      </c>
      <c r="AB85" s="104">
        <f>Kotak!AB86</f>
        <v>0</v>
      </c>
      <c r="AC85" s="104">
        <f>Kotak!AC86</f>
        <v>0</v>
      </c>
      <c r="AD85" s="104">
        <f>Kotak!AD86</f>
        <v>0</v>
      </c>
      <c r="AE85" s="104">
        <f>Kotak!AE86</f>
        <v>0</v>
      </c>
      <c r="AF85" s="104">
        <f>Kotak!AF86</f>
        <v>0</v>
      </c>
      <c r="AG85" s="104">
        <f>Kotak!AG86</f>
        <v>0</v>
      </c>
      <c r="AH85" s="104">
        <f>Kotak!AH86</f>
        <v>0</v>
      </c>
      <c r="AI85" s="104">
        <f>Kotak!AI86</f>
        <v>0</v>
      </c>
      <c r="AJ85" s="104">
        <f>Kotak!AJ86</f>
        <v>0</v>
      </c>
      <c r="AK85" s="104">
        <f>Kotak!AK86</f>
        <v>0</v>
      </c>
      <c r="AL85" s="104">
        <f>Kotak!AL86</f>
        <v>0</v>
      </c>
      <c r="AM85" s="104">
        <f>Kotak!AM86</f>
        <v>0</v>
      </c>
      <c r="AN85" s="104">
        <f>Kotak!AN86</f>
        <v>0</v>
      </c>
      <c r="AO85" s="104">
        <f>Kotak!AO86</f>
        <v>0</v>
      </c>
      <c r="AP85" s="104">
        <f>Kotak!AP86</f>
        <v>0</v>
      </c>
      <c r="AQ85" s="104">
        <f>Kotak!AQ86</f>
        <v>0</v>
      </c>
      <c r="AR85" s="104">
        <f>Kotak!AR86</f>
        <v>0</v>
      </c>
      <c r="AS85" s="104">
        <f>Kotak!AS86</f>
        <v>0</v>
      </c>
      <c r="AT85" s="104">
        <f>Kotak!AT86</f>
        <v>0</v>
      </c>
      <c r="AU85" s="104">
        <f>Kotak!AU86</f>
        <v>0</v>
      </c>
      <c r="AV85" s="104">
        <f>Kotak!AV86</f>
        <v>0</v>
      </c>
      <c r="AW85" s="104">
        <f>Kotak!AW86</f>
        <v>0</v>
      </c>
      <c r="AX85" s="104">
        <f>Kotak!AX86</f>
        <v>0</v>
      </c>
      <c r="AY85" s="104">
        <f>Kotak!AY86</f>
        <v>0</v>
      </c>
      <c r="AZ85" s="104">
        <f>Kotak!AZ86</f>
        <v>0</v>
      </c>
      <c r="BA85" s="104">
        <f>Kotak!BA86</f>
        <v>0</v>
      </c>
      <c r="BB85" s="104">
        <f>Kotak!BB86</f>
        <v>0</v>
      </c>
      <c r="BC85" s="104">
        <f>Kotak!BC86</f>
        <v>0</v>
      </c>
      <c r="BD85" s="104">
        <f>Kotak!BD86</f>
        <v>0</v>
      </c>
      <c r="BE85" s="104">
        <f>Kotak!BE86</f>
        <v>0</v>
      </c>
      <c r="BF85" s="104">
        <f>Kotak!BF86</f>
        <v>0</v>
      </c>
      <c r="BG85" s="104">
        <f>Kotak!BG86</f>
        <v>0</v>
      </c>
      <c r="BH85" s="104">
        <f>Kotak!BH86</f>
        <v>0</v>
      </c>
      <c r="BI85" s="104">
        <f>Kotak!BI86</f>
        <v>0</v>
      </c>
      <c r="BJ85" s="104">
        <f>Kotak!BJ86</f>
        <v>0</v>
      </c>
      <c r="BK85" s="104">
        <f>Kotak!BK86</f>
        <v>0</v>
      </c>
      <c r="BL85" s="104">
        <f>Kotak!BL86</f>
        <v>0</v>
      </c>
      <c r="BM85" s="104">
        <f>Kotak!BM86</f>
        <v>0</v>
      </c>
      <c r="BN85" s="104">
        <f>Kotak!BN86</f>
        <v>0</v>
      </c>
      <c r="BO85" s="104">
        <f>Kotak!BO86</f>
        <v>0</v>
      </c>
      <c r="BP85" s="104">
        <f>Kotak!BP86</f>
        <v>0</v>
      </c>
      <c r="BQ85" s="104">
        <f>Kotak!BQ86</f>
        <v>0</v>
      </c>
      <c r="BR85" s="104">
        <f>Kotak!BR86</f>
        <v>0</v>
      </c>
    </row>
    <row r="86" spans="1:70">
      <c r="A86" s="21">
        <v>86</v>
      </c>
      <c r="B86" s="30"/>
      <c r="C86" s="30"/>
      <c r="D86" s="30"/>
      <c r="E86" s="104"/>
      <c r="F86" s="38">
        <f>IDFC!I86</f>
        <v>0</v>
      </c>
      <c r="G86" s="38">
        <f>Kotak!G87</f>
        <v>0</v>
      </c>
      <c r="H86" s="131">
        <f t="shared" si="9"/>
        <v>0</v>
      </c>
      <c r="I86" s="130">
        <f t="shared" si="7"/>
        <v>0</v>
      </c>
      <c r="J86" s="160">
        <f t="shared" si="8"/>
        <v>0</v>
      </c>
      <c r="K86" s="104">
        <f>Kotak!K87</f>
        <v>0</v>
      </c>
      <c r="L86" s="104">
        <f>Kotak!L87</f>
        <v>0</v>
      </c>
      <c r="M86" s="104">
        <f>Kotak!M87</f>
        <v>0</v>
      </c>
      <c r="N86" s="104">
        <f>Kotak!N87</f>
        <v>0</v>
      </c>
      <c r="O86" s="104">
        <f>Kotak!O87</f>
        <v>0</v>
      </c>
      <c r="P86" s="104">
        <f>Kotak!P87</f>
        <v>0</v>
      </c>
      <c r="Q86" s="104">
        <f>Kotak!Q87</f>
        <v>0</v>
      </c>
      <c r="R86" s="104">
        <f>Kotak!R87</f>
        <v>0</v>
      </c>
      <c r="S86" s="104">
        <f>Kotak!S87</f>
        <v>0</v>
      </c>
      <c r="T86" s="104">
        <f>Kotak!T87</f>
        <v>0</v>
      </c>
      <c r="U86" s="104">
        <f>Kotak!U87</f>
        <v>0</v>
      </c>
      <c r="V86" s="104">
        <f>Kotak!V87</f>
        <v>0</v>
      </c>
      <c r="W86" s="104">
        <f>Kotak!W87</f>
        <v>0</v>
      </c>
      <c r="X86" s="104">
        <f>Kotak!X87</f>
        <v>0</v>
      </c>
      <c r="Y86" s="104">
        <f>Kotak!Y87</f>
        <v>0</v>
      </c>
      <c r="Z86" s="104">
        <f>Kotak!Z87</f>
        <v>0</v>
      </c>
      <c r="AA86" s="104">
        <f>Kotak!AA87</f>
        <v>0</v>
      </c>
      <c r="AB86" s="104">
        <f>Kotak!AB87</f>
        <v>0</v>
      </c>
      <c r="AC86" s="104">
        <f>Kotak!AC87</f>
        <v>0</v>
      </c>
      <c r="AD86" s="104">
        <f>Kotak!AD87</f>
        <v>0</v>
      </c>
      <c r="AE86" s="104">
        <f>Kotak!AE87</f>
        <v>0</v>
      </c>
      <c r="AF86" s="104">
        <f>Kotak!AF87</f>
        <v>0</v>
      </c>
      <c r="AG86" s="104">
        <f>Kotak!AG87</f>
        <v>0</v>
      </c>
      <c r="AH86" s="104">
        <f>Kotak!AH87</f>
        <v>0</v>
      </c>
      <c r="AI86" s="104">
        <f>Kotak!AI87</f>
        <v>0</v>
      </c>
      <c r="AJ86" s="104">
        <f>Kotak!AJ87</f>
        <v>0</v>
      </c>
      <c r="AK86" s="104">
        <f>Kotak!AK87</f>
        <v>0</v>
      </c>
      <c r="AL86" s="104">
        <f>Kotak!AL87</f>
        <v>0</v>
      </c>
      <c r="AM86" s="104">
        <f>Kotak!AM87</f>
        <v>0</v>
      </c>
      <c r="AN86" s="104">
        <f>Kotak!AN87</f>
        <v>0</v>
      </c>
      <c r="AO86" s="104">
        <f>Kotak!AO87</f>
        <v>0</v>
      </c>
      <c r="AP86" s="104">
        <f>Kotak!AP87</f>
        <v>0</v>
      </c>
      <c r="AQ86" s="104">
        <f>Kotak!AQ87</f>
        <v>0</v>
      </c>
      <c r="AR86" s="104">
        <f>Kotak!AR87</f>
        <v>0</v>
      </c>
      <c r="AS86" s="104">
        <f>Kotak!AS87</f>
        <v>0</v>
      </c>
      <c r="AT86" s="104">
        <f>Kotak!AT87</f>
        <v>0</v>
      </c>
      <c r="AU86" s="104">
        <f>Kotak!AU87</f>
        <v>0</v>
      </c>
      <c r="AV86" s="104">
        <f>Kotak!AV87</f>
        <v>0</v>
      </c>
      <c r="AW86" s="104">
        <f>Kotak!AW87</f>
        <v>0</v>
      </c>
      <c r="AX86" s="104">
        <f>Kotak!AX87</f>
        <v>0</v>
      </c>
      <c r="AY86" s="104">
        <f>Kotak!AY87</f>
        <v>0</v>
      </c>
      <c r="AZ86" s="104">
        <f>Kotak!AZ87</f>
        <v>0</v>
      </c>
      <c r="BA86" s="104">
        <f>Kotak!BA87</f>
        <v>0</v>
      </c>
      <c r="BB86" s="104">
        <f>Kotak!BB87</f>
        <v>0</v>
      </c>
      <c r="BC86" s="104">
        <f>Kotak!BC87</f>
        <v>0</v>
      </c>
      <c r="BD86" s="104">
        <f>Kotak!BD87</f>
        <v>0</v>
      </c>
      <c r="BE86" s="104">
        <f>Kotak!BE87</f>
        <v>0</v>
      </c>
      <c r="BF86" s="104">
        <f>Kotak!BF87</f>
        <v>0</v>
      </c>
      <c r="BG86" s="104">
        <f>Kotak!BG87</f>
        <v>0</v>
      </c>
      <c r="BH86" s="104">
        <f>Kotak!BH87</f>
        <v>0</v>
      </c>
      <c r="BI86" s="104">
        <f>Kotak!BI87</f>
        <v>0</v>
      </c>
      <c r="BJ86" s="104">
        <f>Kotak!BJ87</f>
        <v>0</v>
      </c>
      <c r="BK86" s="104">
        <f>Kotak!BK87</f>
        <v>0</v>
      </c>
      <c r="BL86" s="104">
        <f>Kotak!BL87</f>
        <v>0</v>
      </c>
      <c r="BM86" s="104">
        <f>Kotak!BM87</f>
        <v>0</v>
      </c>
      <c r="BN86" s="104">
        <f>Kotak!BN87</f>
        <v>0</v>
      </c>
      <c r="BO86" s="104">
        <f>Kotak!BO87</f>
        <v>0</v>
      </c>
      <c r="BP86" s="104">
        <f>Kotak!BP87</f>
        <v>0</v>
      </c>
      <c r="BQ86" s="104">
        <f>Kotak!BQ87</f>
        <v>0</v>
      </c>
      <c r="BR86" s="104">
        <f>Kotak!BR87</f>
        <v>0</v>
      </c>
    </row>
    <row r="87" spans="1:70">
      <c r="A87" s="21">
        <v>87</v>
      </c>
      <c r="B87" s="30"/>
      <c r="C87" s="30"/>
      <c r="D87" s="30"/>
      <c r="E87" s="104"/>
      <c r="F87" s="38">
        <f>IDFC!I87</f>
        <v>0</v>
      </c>
      <c r="G87" s="38">
        <f>Kotak!G88</f>
        <v>0</v>
      </c>
      <c r="H87" s="131">
        <f t="shared" si="9"/>
        <v>0</v>
      </c>
      <c r="I87" s="130">
        <f t="shared" si="7"/>
        <v>0</v>
      </c>
      <c r="J87" s="160">
        <f t="shared" si="8"/>
        <v>0</v>
      </c>
      <c r="K87" s="104">
        <f>Kotak!K88</f>
        <v>0</v>
      </c>
      <c r="L87" s="104">
        <f>Kotak!L88</f>
        <v>0</v>
      </c>
      <c r="M87" s="104">
        <f>Kotak!M88</f>
        <v>0</v>
      </c>
      <c r="N87" s="104">
        <f>Kotak!N88</f>
        <v>0</v>
      </c>
      <c r="O87" s="104">
        <f>Kotak!O88</f>
        <v>0</v>
      </c>
      <c r="P87" s="104">
        <f>Kotak!P88</f>
        <v>0</v>
      </c>
      <c r="Q87" s="104">
        <f>Kotak!Q88</f>
        <v>0</v>
      </c>
      <c r="R87" s="104">
        <f>Kotak!R88</f>
        <v>0</v>
      </c>
      <c r="S87" s="104">
        <f>Kotak!S88</f>
        <v>0</v>
      </c>
      <c r="T87" s="104">
        <f>Kotak!T88</f>
        <v>0</v>
      </c>
      <c r="U87" s="104">
        <f>Kotak!U88</f>
        <v>0</v>
      </c>
      <c r="V87" s="104">
        <f>Kotak!V88</f>
        <v>0</v>
      </c>
      <c r="W87" s="104">
        <f>Kotak!W88</f>
        <v>0</v>
      </c>
      <c r="X87" s="104">
        <f>Kotak!X88</f>
        <v>0</v>
      </c>
      <c r="Y87" s="104">
        <f>Kotak!Y88</f>
        <v>0</v>
      </c>
      <c r="Z87" s="104">
        <f>Kotak!Z88</f>
        <v>0</v>
      </c>
      <c r="AA87" s="104">
        <f>Kotak!AA88</f>
        <v>0</v>
      </c>
      <c r="AB87" s="104">
        <f>Kotak!AB88</f>
        <v>0</v>
      </c>
      <c r="AC87" s="104">
        <f>Kotak!AC88</f>
        <v>0</v>
      </c>
      <c r="AD87" s="104">
        <f>Kotak!AD88</f>
        <v>0</v>
      </c>
      <c r="AE87" s="104">
        <f>Kotak!AE88</f>
        <v>0</v>
      </c>
      <c r="AF87" s="104">
        <f>Kotak!AF88</f>
        <v>0</v>
      </c>
      <c r="AG87" s="104">
        <f>Kotak!AG88</f>
        <v>0</v>
      </c>
      <c r="AH87" s="104">
        <f>Kotak!AH88</f>
        <v>0</v>
      </c>
      <c r="AI87" s="104">
        <f>Kotak!AI88</f>
        <v>0</v>
      </c>
      <c r="AJ87" s="104">
        <f>Kotak!AJ88</f>
        <v>0</v>
      </c>
      <c r="AK87" s="104">
        <f>Kotak!AK88</f>
        <v>0</v>
      </c>
      <c r="AL87" s="104">
        <f>Kotak!AL88</f>
        <v>0</v>
      </c>
      <c r="AM87" s="104">
        <f>Kotak!AM88</f>
        <v>0</v>
      </c>
      <c r="AN87" s="104">
        <f>Kotak!AN88</f>
        <v>0</v>
      </c>
      <c r="AO87" s="104">
        <f>Kotak!AO88</f>
        <v>0</v>
      </c>
      <c r="AP87" s="104">
        <f>Kotak!AP88</f>
        <v>0</v>
      </c>
      <c r="AQ87" s="104">
        <f>Kotak!AQ88</f>
        <v>0</v>
      </c>
      <c r="AR87" s="104">
        <f>Kotak!AR88</f>
        <v>0</v>
      </c>
      <c r="AS87" s="104">
        <f>Kotak!AS88</f>
        <v>0</v>
      </c>
      <c r="AT87" s="104">
        <f>Kotak!AT88</f>
        <v>0</v>
      </c>
      <c r="AU87" s="104">
        <f>Kotak!AU88</f>
        <v>0</v>
      </c>
      <c r="AV87" s="104">
        <f>Kotak!AV88</f>
        <v>0</v>
      </c>
      <c r="AW87" s="104">
        <f>Kotak!AW88</f>
        <v>0</v>
      </c>
      <c r="AX87" s="104">
        <f>Kotak!AX88</f>
        <v>0</v>
      </c>
      <c r="AY87" s="104">
        <f>Kotak!AY88</f>
        <v>0</v>
      </c>
      <c r="AZ87" s="104">
        <f>Kotak!AZ88</f>
        <v>0</v>
      </c>
      <c r="BA87" s="104">
        <f>Kotak!BA88</f>
        <v>0</v>
      </c>
      <c r="BB87" s="104">
        <f>Kotak!BB88</f>
        <v>0</v>
      </c>
      <c r="BC87" s="104">
        <f>Kotak!BC88</f>
        <v>0</v>
      </c>
      <c r="BD87" s="104">
        <f>Kotak!BD88</f>
        <v>0</v>
      </c>
      <c r="BE87" s="104">
        <f>Kotak!BE88</f>
        <v>0</v>
      </c>
      <c r="BF87" s="104">
        <f>Kotak!BF88</f>
        <v>0</v>
      </c>
      <c r="BG87" s="104">
        <f>Kotak!BG88</f>
        <v>0</v>
      </c>
      <c r="BH87" s="104">
        <f>Kotak!BH88</f>
        <v>0</v>
      </c>
      <c r="BI87" s="104">
        <f>Kotak!BI88</f>
        <v>0</v>
      </c>
      <c r="BJ87" s="104">
        <f>Kotak!BJ88</f>
        <v>0</v>
      </c>
      <c r="BK87" s="104">
        <f>Kotak!BK88</f>
        <v>0</v>
      </c>
      <c r="BL87" s="104">
        <f>Kotak!BL88</f>
        <v>0</v>
      </c>
      <c r="BM87" s="104">
        <f>Kotak!BM88</f>
        <v>0</v>
      </c>
      <c r="BN87" s="104">
        <f>Kotak!BN88</f>
        <v>0</v>
      </c>
      <c r="BO87" s="104">
        <f>Kotak!BO88</f>
        <v>0</v>
      </c>
      <c r="BP87" s="104">
        <f>Kotak!BP88</f>
        <v>0</v>
      </c>
      <c r="BQ87" s="104">
        <f>Kotak!BQ88</f>
        <v>0</v>
      </c>
      <c r="BR87" s="104">
        <f>Kotak!BR88</f>
        <v>0</v>
      </c>
    </row>
    <row r="88" spans="1:70">
      <c r="A88" s="21">
        <v>88</v>
      </c>
      <c r="B88" s="30"/>
      <c r="C88" s="30"/>
      <c r="D88" s="30"/>
      <c r="E88" s="104"/>
      <c r="F88" s="38">
        <f>IDFC!I88</f>
        <v>0</v>
      </c>
      <c r="G88" s="38">
        <f>Kotak!G89</f>
        <v>0</v>
      </c>
      <c r="H88" s="131">
        <f t="shared" si="9"/>
        <v>0</v>
      </c>
      <c r="I88" s="130">
        <f t="shared" si="7"/>
        <v>0</v>
      </c>
      <c r="J88" s="160">
        <f t="shared" si="8"/>
        <v>0</v>
      </c>
      <c r="K88" s="104">
        <f>Kotak!K89</f>
        <v>0</v>
      </c>
      <c r="L88" s="104">
        <f>Kotak!L89</f>
        <v>0</v>
      </c>
      <c r="M88" s="104">
        <f>Kotak!M89</f>
        <v>0</v>
      </c>
      <c r="N88" s="104">
        <f>Kotak!N89</f>
        <v>0</v>
      </c>
      <c r="O88" s="104">
        <f>Kotak!O89</f>
        <v>0</v>
      </c>
      <c r="P88" s="104">
        <f>Kotak!P89</f>
        <v>0</v>
      </c>
      <c r="Q88" s="104">
        <f>Kotak!Q89</f>
        <v>0</v>
      </c>
      <c r="R88" s="104">
        <f>Kotak!R89</f>
        <v>0</v>
      </c>
      <c r="S88" s="104">
        <f>Kotak!S89</f>
        <v>0</v>
      </c>
      <c r="T88" s="104">
        <f>Kotak!T89</f>
        <v>0</v>
      </c>
      <c r="U88" s="104">
        <f>Kotak!U89</f>
        <v>0</v>
      </c>
      <c r="V88" s="104">
        <f>Kotak!V89</f>
        <v>0</v>
      </c>
      <c r="W88" s="104">
        <f>Kotak!W89</f>
        <v>0</v>
      </c>
      <c r="X88" s="104">
        <f>Kotak!X89</f>
        <v>0</v>
      </c>
      <c r="Y88" s="104">
        <f>Kotak!Y89</f>
        <v>0</v>
      </c>
      <c r="Z88" s="104">
        <f>Kotak!Z89</f>
        <v>0</v>
      </c>
      <c r="AA88" s="104">
        <f>Kotak!AA89</f>
        <v>0</v>
      </c>
      <c r="AB88" s="104">
        <f>Kotak!AB89</f>
        <v>0</v>
      </c>
      <c r="AC88" s="104">
        <f>Kotak!AC89</f>
        <v>0</v>
      </c>
      <c r="AD88" s="104">
        <f>Kotak!AD89</f>
        <v>0</v>
      </c>
      <c r="AE88" s="104">
        <f>Kotak!AE89</f>
        <v>0</v>
      </c>
      <c r="AF88" s="104">
        <f>Kotak!AF89</f>
        <v>0</v>
      </c>
      <c r="AG88" s="104">
        <f>Kotak!AG89</f>
        <v>0</v>
      </c>
      <c r="AH88" s="104">
        <f>Kotak!AH89</f>
        <v>0</v>
      </c>
      <c r="AI88" s="104">
        <f>Kotak!AI89</f>
        <v>0</v>
      </c>
      <c r="AJ88" s="104">
        <f>Kotak!AJ89</f>
        <v>0</v>
      </c>
      <c r="AK88" s="104">
        <f>Kotak!AK89</f>
        <v>0</v>
      </c>
      <c r="AL88" s="104">
        <f>Kotak!AL89</f>
        <v>0</v>
      </c>
      <c r="AM88" s="104">
        <f>Kotak!AM89</f>
        <v>0</v>
      </c>
      <c r="AN88" s="104">
        <f>Kotak!AN89</f>
        <v>0</v>
      </c>
      <c r="AO88" s="104">
        <f>Kotak!AO89</f>
        <v>0</v>
      </c>
      <c r="AP88" s="104">
        <f>Kotak!AP89</f>
        <v>0</v>
      </c>
      <c r="AQ88" s="104">
        <f>Kotak!AQ89</f>
        <v>0</v>
      </c>
      <c r="AR88" s="104">
        <f>Kotak!AR89</f>
        <v>0</v>
      </c>
      <c r="AS88" s="104">
        <f>Kotak!AS89</f>
        <v>0</v>
      </c>
      <c r="AT88" s="104">
        <f>Kotak!AT89</f>
        <v>0</v>
      </c>
      <c r="AU88" s="104">
        <f>Kotak!AU89</f>
        <v>0</v>
      </c>
      <c r="AV88" s="104">
        <f>Kotak!AV89</f>
        <v>0</v>
      </c>
      <c r="AW88" s="104">
        <f>Kotak!AW89</f>
        <v>0</v>
      </c>
      <c r="AX88" s="104">
        <f>Kotak!AX89</f>
        <v>0</v>
      </c>
      <c r="AY88" s="104">
        <f>Kotak!AY89</f>
        <v>0</v>
      </c>
      <c r="AZ88" s="104">
        <f>Kotak!AZ89</f>
        <v>0</v>
      </c>
      <c r="BA88" s="104">
        <f>Kotak!BA89</f>
        <v>0</v>
      </c>
      <c r="BB88" s="104">
        <f>Kotak!BB89</f>
        <v>0</v>
      </c>
      <c r="BC88" s="104">
        <f>Kotak!BC89</f>
        <v>0</v>
      </c>
      <c r="BD88" s="104">
        <f>Kotak!BD89</f>
        <v>0</v>
      </c>
      <c r="BE88" s="104">
        <f>Kotak!BE89</f>
        <v>0</v>
      </c>
      <c r="BF88" s="104">
        <f>Kotak!BF89</f>
        <v>0</v>
      </c>
      <c r="BG88" s="104">
        <f>Kotak!BG89</f>
        <v>0</v>
      </c>
      <c r="BH88" s="104">
        <f>Kotak!BH89</f>
        <v>0</v>
      </c>
      <c r="BI88" s="104">
        <f>Kotak!BI89</f>
        <v>0</v>
      </c>
      <c r="BJ88" s="104">
        <f>Kotak!BJ89</f>
        <v>0</v>
      </c>
      <c r="BK88" s="104">
        <f>Kotak!BK89</f>
        <v>0</v>
      </c>
      <c r="BL88" s="104">
        <f>Kotak!BL89</f>
        <v>0</v>
      </c>
      <c r="BM88" s="104">
        <f>Kotak!BM89</f>
        <v>0</v>
      </c>
      <c r="BN88" s="104">
        <f>Kotak!BN89</f>
        <v>0</v>
      </c>
      <c r="BO88" s="104">
        <f>Kotak!BO89</f>
        <v>0</v>
      </c>
      <c r="BP88" s="104">
        <f>Kotak!BP89</f>
        <v>0</v>
      </c>
      <c r="BQ88" s="104">
        <f>Kotak!BQ89</f>
        <v>0</v>
      </c>
      <c r="BR88" s="104">
        <f>Kotak!BR89</f>
        <v>0</v>
      </c>
    </row>
    <row r="89" spans="1:70">
      <c r="A89" s="21">
        <v>89</v>
      </c>
      <c r="B89" s="30"/>
      <c r="C89" s="30"/>
      <c r="D89" s="30"/>
      <c r="E89" s="104"/>
      <c r="F89" s="38">
        <f>IDFC!I89</f>
        <v>0</v>
      </c>
      <c r="G89" s="38">
        <f>Kotak!G90</f>
        <v>0</v>
      </c>
      <c r="H89" s="131">
        <f t="shared" si="9"/>
        <v>0</v>
      </c>
      <c r="I89" s="130">
        <f t="shared" si="7"/>
        <v>0</v>
      </c>
      <c r="J89" s="160">
        <f t="shared" si="8"/>
        <v>0</v>
      </c>
      <c r="K89" s="104">
        <f>Kotak!K90</f>
        <v>0</v>
      </c>
      <c r="L89" s="104">
        <f>Kotak!L90</f>
        <v>0</v>
      </c>
      <c r="M89" s="104">
        <f>Kotak!M90</f>
        <v>0</v>
      </c>
      <c r="N89" s="104">
        <f>Kotak!N90</f>
        <v>0</v>
      </c>
      <c r="O89" s="104">
        <f>Kotak!O90</f>
        <v>0</v>
      </c>
      <c r="P89" s="104">
        <f>Kotak!P90</f>
        <v>0</v>
      </c>
      <c r="Q89" s="104">
        <f>Kotak!Q90</f>
        <v>0</v>
      </c>
      <c r="R89" s="104">
        <f>Kotak!R90</f>
        <v>0</v>
      </c>
      <c r="S89" s="104">
        <f>Kotak!S90</f>
        <v>0</v>
      </c>
      <c r="T89" s="104">
        <f>Kotak!T90</f>
        <v>0</v>
      </c>
      <c r="U89" s="104">
        <f>Kotak!U90</f>
        <v>0</v>
      </c>
      <c r="V89" s="104">
        <f>Kotak!V90</f>
        <v>0</v>
      </c>
      <c r="W89" s="104">
        <f>Kotak!W90</f>
        <v>0</v>
      </c>
      <c r="X89" s="104">
        <f>Kotak!X90</f>
        <v>0</v>
      </c>
      <c r="Y89" s="104">
        <f>Kotak!Y90</f>
        <v>0</v>
      </c>
      <c r="Z89" s="104">
        <f>Kotak!Z90</f>
        <v>0</v>
      </c>
      <c r="AA89" s="104">
        <f>Kotak!AA90</f>
        <v>0</v>
      </c>
      <c r="AB89" s="104">
        <f>Kotak!AB90</f>
        <v>0</v>
      </c>
      <c r="AC89" s="104">
        <f>Kotak!AC90</f>
        <v>0</v>
      </c>
      <c r="AD89" s="104">
        <f>Kotak!AD90</f>
        <v>0</v>
      </c>
      <c r="AE89" s="104">
        <f>Kotak!AE90</f>
        <v>0</v>
      </c>
      <c r="AF89" s="104">
        <f>Kotak!AF90</f>
        <v>0</v>
      </c>
      <c r="AG89" s="104">
        <f>Kotak!AG90</f>
        <v>0</v>
      </c>
      <c r="AH89" s="104">
        <f>Kotak!AH90</f>
        <v>0</v>
      </c>
      <c r="AI89" s="104">
        <f>Kotak!AI90</f>
        <v>0</v>
      </c>
      <c r="AJ89" s="104">
        <f>Kotak!AJ90</f>
        <v>0</v>
      </c>
      <c r="AK89" s="104">
        <f>Kotak!AK90</f>
        <v>0</v>
      </c>
      <c r="AL89" s="104">
        <f>Kotak!AL90</f>
        <v>0</v>
      </c>
      <c r="AM89" s="104">
        <f>Kotak!AM90</f>
        <v>0</v>
      </c>
      <c r="AN89" s="104">
        <f>Kotak!AN90</f>
        <v>0</v>
      </c>
      <c r="AO89" s="104">
        <f>Kotak!AO90</f>
        <v>0</v>
      </c>
      <c r="AP89" s="104">
        <f>Kotak!AP90</f>
        <v>0</v>
      </c>
      <c r="AQ89" s="104">
        <f>Kotak!AQ90</f>
        <v>0</v>
      </c>
      <c r="AR89" s="104">
        <f>Kotak!AR90</f>
        <v>0</v>
      </c>
      <c r="AS89" s="104">
        <f>Kotak!AS90</f>
        <v>0</v>
      </c>
      <c r="AT89" s="104">
        <f>Kotak!AT90</f>
        <v>0</v>
      </c>
      <c r="AU89" s="104">
        <f>Kotak!AU90</f>
        <v>0</v>
      </c>
      <c r="AV89" s="104">
        <f>Kotak!AV90</f>
        <v>0</v>
      </c>
      <c r="AW89" s="104">
        <f>Kotak!AW90</f>
        <v>0</v>
      </c>
      <c r="AX89" s="104">
        <f>Kotak!AX90</f>
        <v>0</v>
      </c>
      <c r="AY89" s="104">
        <f>Kotak!AY90</f>
        <v>0</v>
      </c>
      <c r="AZ89" s="104">
        <f>Kotak!AZ90</f>
        <v>0</v>
      </c>
      <c r="BA89" s="104">
        <f>Kotak!BA90</f>
        <v>0</v>
      </c>
      <c r="BB89" s="104">
        <f>Kotak!BB90</f>
        <v>0</v>
      </c>
      <c r="BC89" s="104">
        <f>Kotak!BC90</f>
        <v>0</v>
      </c>
      <c r="BD89" s="104">
        <f>Kotak!BD90</f>
        <v>0</v>
      </c>
      <c r="BE89" s="104">
        <f>Kotak!BE90</f>
        <v>0</v>
      </c>
      <c r="BF89" s="104">
        <f>Kotak!BF90</f>
        <v>0</v>
      </c>
      <c r="BG89" s="104">
        <f>Kotak!BG90</f>
        <v>0</v>
      </c>
      <c r="BH89" s="104">
        <f>Kotak!BH90</f>
        <v>0</v>
      </c>
      <c r="BI89" s="104">
        <f>Kotak!BI90</f>
        <v>0</v>
      </c>
      <c r="BJ89" s="104">
        <f>Kotak!BJ90</f>
        <v>0</v>
      </c>
      <c r="BK89" s="104">
        <f>Kotak!BK90</f>
        <v>0</v>
      </c>
      <c r="BL89" s="104">
        <f>Kotak!BL90</f>
        <v>0</v>
      </c>
      <c r="BM89" s="104">
        <f>Kotak!BM90</f>
        <v>0</v>
      </c>
      <c r="BN89" s="104">
        <f>Kotak!BN90</f>
        <v>0</v>
      </c>
      <c r="BO89" s="104">
        <f>Kotak!BO90</f>
        <v>0</v>
      </c>
      <c r="BP89" s="104">
        <f>Kotak!BP90</f>
        <v>0</v>
      </c>
      <c r="BQ89" s="104">
        <f>Kotak!BQ90</f>
        <v>0</v>
      </c>
      <c r="BR89" s="104">
        <f>Kotak!BR90</f>
        <v>0</v>
      </c>
    </row>
    <row r="90" spans="1:70">
      <c r="A90" s="21">
        <v>90</v>
      </c>
      <c r="B90" s="30"/>
      <c r="C90" s="30"/>
      <c r="D90" s="30"/>
      <c r="E90" s="104"/>
      <c r="F90" s="38">
        <f>IDFC!I90</f>
        <v>0</v>
      </c>
      <c r="G90" s="38">
        <f>Kotak!G91</f>
        <v>0</v>
      </c>
      <c r="H90" s="131">
        <f t="shared" si="9"/>
        <v>0</v>
      </c>
      <c r="I90" s="130">
        <f t="shared" si="7"/>
        <v>0</v>
      </c>
      <c r="J90" s="160">
        <f t="shared" si="8"/>
        <v>0</v>
      </c>
      <c r="K90" s="104">
        <f>Kotak!K91</f>
        <v>0</v>
      </c>
      <c r="L90" s="104">
        <f>Kotak!L91</f>
        <v>0</v>
      </c>
      <c r="M90" s="104">
        <f>Kotak!M91</f>
        <v>0</v>
      </c>
      <c r="N90" s="104">
        <f>Kotak!N91</f>
        <v>0</v>
      </c>
      <c r="O90" s="104">
        <f>Kotak!O91</f>
        <v>0</v>
      </c>
      <c r="P90" s="104">
        <f>Kotak!P91</f>
        <v>0</v>
      </c>
      <c r="Q90" s="104">
        <f>Kotak!Q91</f>
        <v>0</v>
      </c>
      <c r="R90" s="104">
        <f>Kotak!R91</f>
        <v>0</v>
      </c>
      <c r="S90" s="104">
        <f>Kotak!S91</f>
        <v>0</v>
      </c>
      <c r="T90" s="104">
        <f>Kotak!T91</f>
        <v>0</v>
      </c>
      <c r="U90" s="104">
        <f>Kotak!U91</f>
        <v>0</v>
      </c>
      <c r="V90" s="104">
        <f>Kotak!V91</f>
        <v>0</v>
      </c>
      <c r="W90" s="104">
        <f>Kotak!W91</f>
        <v>0</v>
      </c>
      <c r="X90" s="104">
        <f>Kotak!X91</f>
        <v>0</v>
      </c>
      <c r="Y90" s="104">
        <f>Kotak!Y91</f>
        <v>0</v>
      </c>
      <c r="Z90" s="104">
        <f>Kotak!Z91</f>
        <v>0</v>
      </c>
      <c r="AA90" s="104">
        <f>Kotak!AA91</f>
        <v>0</v>
      </c>
      <c r="AB90" s="104">
        <f>Kotak!AB91</f>
        <v>0</v>
      </c>
      <c r="AC90" s="104">
        <f>Kotak!AC91</f>
        <v>0</v>
      </c>
      <c r="AD90" s="104">
        <f>Kotak!AD91</f>
        <v>0</v>
      </c>
      <c r="AE90" s="104">
        <f>Kotak!AE91</f>
        <v>0</v>
      </c>
      <c r="AF90" s="104">
        <f>Kotak!AF91</f>
        <v>0</v>
      </c>
      <c r="AG90" s="104">
        <f>Kotak!AG91</f>
        <v>0</v>
      </c>
      <c r="AH90" s="104">
        <f>Kotak!AH91</f>
        <v>0</v>
      </c>
      <c r="AI90" s="104">
        <f>Kotak!AI91</f>
        <v>0</v>
      </c>
      <c r="AJ90" s="104">
        <f>Kotak!AJ91</f>
        <v>0</v>
      </c>
      <c r="AK90" s="104">
        <f>Kotak!AK91</f>
        <v>0</v>
      </c>
      <c r="AL90" s="104">
        <f>Kotak!AL91</f>
        <v>0</v>
      </c>
      <c r="AM90" s="104">
        <f>Kotak!AM91</f>
        <v>0</v>
      </c>
      <c r="AN90" s="104">
        <f>Kotak!AN91</f>
        <v>0</v>
      </c>
      <c r="AO90" s="104">
        <f>Kotak!AO91</f>
        <v>0</v>
      </c>
      <c r="AP90" s="104">
        <f>Kotak!AP91</f>
        <v>0</v>
      </c>
      <c r="AQ90" s="104">
        <f>Kotak!AQ91</f>
        <v>0</v>
      </c>
      <c r="AR90" s="104">
        <f>Kotak!AR91</f>
        <v>0</v>
      </c>
      <c r="AS90" s="104">
        <f>Kotak!AS91</f>
        <v>0</v>
      </c>
      <c r="AT90" s="104">
        <f>Kotak!AT91</f>
        <v>0</v>
      </c>
      <c r="AU90" s="104">
        <f>Kotak!AU91</f>
        <v>0</v>
      </c>
      <c r="AV90" s="104">
        <f>Kotak!AV91</f>
        <v>0</v>
      </c>
      <c r="AW90" s="104">
        <f>Kotak!AW91</f>
        <v>0</v>
      </c>
      <c r="AX90" s="104">
        <f>Kotak!AX91</f>
        <v>0</v>
      </c>
      <c r="AY90" s="104">
        <f>Kotak!AY91</f>
        <v>0</v>
      </c>
      <c r="AZ90" s="104">
        <f>Kotak!AZ91</f>
        <v>0</v>
      </c>
      <c r="BA90" s="104">
        <f>Kotak!BA91</f>
        <v>0</v>
      </c>
      <c r="BB90" s="104">
        <f>Kotak!BB91</f>
        <v>0</v>
      </c>
      <c r="BC90" s="104">
        <f>Kotak!BC91</f>
        <v>0</v>
      </c>
      <c r="BD90" s="104">
        <f>Kotak!BD91</f>
        <v>0</v>
      </c>
      <c r="BE90" s="104">
        <f>Kotak!BE91</f>
        <v>0</v>
      </c>
      <c r="BF90" s="104">
        <f>Kotak!BF91</f>
        <v>0</v>
      </c>
      <c r="BG90" s="104">
        <f>Kotak!BG91</f>
        <v>0</v>
      </c>
      <c r="BH90" s="104">
        <f>Kotak!BH91</f>
        <v>0</v>
      </c>
      <c r="BI90" s="104">
        <f>Kotak!BI91</f>
        <v>0</v>
      </c>
      <c r="BJ90" s="104">
        <f>Kotak!BJ91</f>
        <v>0</v>
      </c>
      <c r="BK90" s="104">
        <f>Kotak!BK91</f>
        <v>0</v>
      </c>
      <c r="BL90" s="104">
        <f>Kotak!BL91</f>
        <v>0</v>
      </c>
      <c r="BM90" s="104">
        <f>Kotak!BM91</f>
        <v>0</v>
      </c>
      <c r="BN90" s="104">
        <f>Kotak!BN91</f>
        <v>0</v>
      </c>
      <c r="BO90" s="104">
        <f>Kotak!BO91</f>
        <v>0</v>
      </c>
      <c r="BP90" s="104">
        <f>Kotak!BP91</f>
        <v>0</v>
      </c>
      <c r="BQ90" s="104">
        <f>Kotak!BQ91</f>
        <v>0</v>
      </c>
      <c r="BR90" s="104">
        <f>Kotak!BR91</f>
        <v>0</v>
      </c>
    </row>
    <row r="91" spans="1:70">
      <c r="A91" s="21">
        <v>91</v>
      </c>
      <c r="B91" s="30"/>
      <c r="C91" s="30"/>
      <c r="D91" s="30"/>
      <c r="E91" s="104"/>
      <c r="F91" s="38">
        <f>IDFC!I91</f>
        <v>0</v>
      </c>
      <c r="G91" s="38">
        <f>Kotak!G92</f>
        <v>0</v>
      </c>
      <c r="H91" s="131">
        <f t="shared" si="9"/>
        <v>0</v>
      </c>
      <c r="I91" s="130">
        <f t="shared" si="7"/>
        <v>0</v>
      </c>
      <c r="J91" s="160">
        <f t="shared" si="8"/>
        <v>0</v>
      </c>
      <c r="K91" s="104">
        <f>Kotak!K92</f>
        <v>0</v>
      </c>
      <c r="L91" s="104">
        <f>Kotak!L92</f>
        <v>0</v>
      </c>
      <c r="M91" s="104">
        <f>Kotak!M92</f>
        <v>0</v>
      </c>
      <c r="N91" s="104">
        <f>Kotak!N92</f>
        <v>0</v>
      </c>
      <c r="O91" s="104">
        <f>Kotak!O92</f>
        <v>0</v>
      </c>
      <c r="P91" s="104">
        <f>Kotak!P92</f>
        <v>0</v>
      </c>
      <c r="Q91" s="104">
        <f>Kotak!Q92</f>
        <v>0</v>
      </c>
      <c r="R91" s="104">
        <f>Kotak!R92</f>
        <v>0</v>
      </c>
      <c r="S91" s="104">
        <f>Kotak!S92</f>
        <v>0</v>
      </c>
      <c r="T91" s="104">
        <f>Kotak!T92</f>
        <v>0</v>
      </c>
      <c r="U91" s="104">
        <f>Kotak!U92</f>
        <v>0</v>
      </c>
      <c r="V91" s="104">
        <f>Kotak!V92</f>
        <v>0</v>
      </c>
      <c r="W91" s="104">
        <f>Kotak!W92</f>
        <v>0</v>
      </c>
      <c r="X91" s="104">
        <f>Kotak!X92</f>
        <v>0</v>
      </c>
      <c r="Y91" s="104">
        <f>Kotak!Y92</f>
        <v>0</v>
      </c>
      <c r="Z91" s="104">
        <f>Kotak!Z92</f>
        <v>0</v>
      </c>
      <c r="AA91" s="104">
        <f>Kotak!AA92</f>
        <v>0</v>
      </c>
      <c r="AB91" s="104">
        <f>Kotak!AB92</f>
        <v>0</v>
      </c>
      <c r="AC91" s="104">
        <f>Kotak!AC92</f>
        <v>0</v>
      </c>
      <c r="AD91" s="104">
        <f>Kotak!AD92</f>
        <v>0</v>
      </c>
      <c r="AE91" s="104">
        <f>Kotak!AE92</f>
        <v>0</v>
      </c>
      <c r="AF91" s="104">
        <f>Kotak!AF92</f>
        <v>0</v>
      </c>
      <c r="AG91" s="104">
        <f>Kotak!AG92</f>
        <v>0</v>
      </c>
      <c r="AH91" s="104">
        <f>Kotak!AH92</f>
        <v>0</v>
      </c>
      <c r="AI91" s="104">
        <f>Kotak!AI92</f>
        <v>0</v>
      </c>
      <c r="AJ91" s="104">
        <f>Kotak!AJ92</f>
        <v>0</v>
      </c>
      <c r="AK91" s="104">
        <f>Kotak!AK92</f>
        <v>0</v>
      </c>
      <c r="AL91" s="104">
        <f>Kotak!AL92</f>
        <v>0</v>
      </c>
      <c r="AM91" s="104">
        <f>Kotak!AM92</f>
        <v>0</v>
      </c>
      <c r="AN91" s="104">
        <f>Kotak!AN92</f>
        <v>0</v>
      </c>
      <c r="AO91" s="104">
        <f>Kotak!AO92</f>
        <v>0</v>
      </c>
      <c r="AP91" s="104">
        <f>Kotak!AP92</f>
        <v>0</v>
      </c>
      <c r="AQ91" s="104">
        <f>Kotak!AQ92</f>
        <v>0</v>
      </c>
      <c r="AR91" s="104">
        <f>Kotak!AR92</f>
        <v>0</v>
      </c>
      <c r="AS91" s="104">
        <f>Kotak!AS92</f>
        <v>0</v>
      </c>
      <c r="AT91" s="104">
        <f>Kotak!AT92</f>
        <v>0</v>
      </c>
      <c r="AU91" s="104">
        <f>Kotak!AU92</f>
        <v>0</v>
      </c>
      <c r="AV91" s="104">
        <f>Kotak!AV92</f>
        <v>0</v>
      </c>
      <c r="AW91" s="104">
        <f>Kotak!AW92</f>
        <v>0</v>
      </c>
      <c r="AX91" s="104">
        <f>Kotak!AX92</f>
        <v>0</v>
      </c>
      <c r="AY91" s="104">
        <f>Kotak!AY92</f>
        <v>0</v>
      </c>
      <c r="AZ91" s="104">
        <f>Kotak!AZ92</f>
        <v>0</v>
      </c>
      <c r="BA91" s="104">
        <f>Kotak!BA92</f>
        <v>0</v>
      </c>
      <c r="BB91" s="104">
        <f>Kotak!BB92</f>
        <v>0</v>
      </c>
      <c r="BC91" s="104">
        <f>Kotak!BC92</f>
        <v>0</v>
      </c>
      <c r="BD91" s="104">
        <f>Kotak!BD92</f>
        <v>0</v>
      </c>
      <c r="BE91" s="104">
        <f>Kotak!BE92</f>
        <v>0</v>
      </c>
      <c r="BF91" s="104">
        <f>Kotak!BF92</f>
        <v>0</v>
      </c>
      <c r="BG91" s="104">
        <f>Kotak!BG92</f>
        <v>0</v>
      </c>
      <c r="BH91" s="104">
        <f>Kotak!BH92</f>
        <v>0</v>
      </c>
      <c r="BI91" s="104">
        <f>Kotak!BI92</f>
        <v>0</v>
      </c>
      <c r="BJ91" s="104">
        <f>Kotak!BJ92</f>
        <v>0</v>
      </c>
      <c r="BK91" s="104">
        <f>Kotak!BK92</f>
        <v>0</v>
      </c>
      <c r="BL91" s="104">
        <f>Kotak!BL92</f>
        <v>0</v>
      </c>
      <c r="BM91" s="104">
        <f>Kotak!BM92</f>
        <v>0</v>
      </c>
      <c r="BN91" s="104">
        <f>Kotak!BN92</f>
        <v>0</v>
      </c>
      <c r="BO91" s="104">
        <f>Kotak!BO92</f>
        <v>0</v>
      </c>
      <c r="BP91" s="104">
        <f>Kotak!BP92</f>
        <v>0</v>
      </c>
      <c r="BQ91" s="104">
        <f>Kotak!BQ92</f>
        <v>0</v>
      </c>
      <c r="BR91" s="104">
        <f>Kotak!BR92</f>
        <v>0</v>
      </c>
    </row>
    <row r="92" spans="1:70">
      <c r="A92" s="21">
        <v>92</v>
      </c>
      <c r="B92" s="30"/>
      <c r="C92" s="30"/>
      <c r="D92" s="30"/>
      <c r="E92" s="104"/>
      <c r="F92" s="38">
        <f>IDFC!I92</f>
        <v>0</v>
      </c>
      <c r="G92" s="38">
        <f>Kotak!G93</f>
        <v>0</v>
      </c>
      <c r="H92" s="131">
        <f t="shared" si="9"/>
        <v>0</v>
      </c>
      <c r="I92" s="130">
        <f t="shared" si="7"/>
        <v>0</v>
      </c>
      <c r="J92" s="160">
        <f t="shared" si="8"/>
        <v>0</v>
      </c>
      <c r="K92" s="104">
        <f>Kotak!K93</f>
        <v>0</v>
      </c>
      <c r="L92" s="104">
        <f>Kotak!L93</f>
        <v>0</v>
      </c>
      <c r="M92" s="104">
        <f>Kotak!M93</f>
        <v>0</v>
      </c>
      <c r="N92" s="104">
        <f>Kotak!N93</f>
        <v>0</v>
      </c>
      <c r="O92" s="104">
        <f>Kotak!O93</f>
        <v>0</v>
      </c>
      <c r="P92" s="104">
        <f>Kotak!P93</f>
        <v>0</v>
      </c>
      <c r="Q92" s="104">
        <f>Kotak!Q93</f>
        <v>0</v>
      </c>
      <c r="R92" s="104">
        <f>Kotak!R93</f>
        <v>0</v>
      </c>
      <c r="S92" s="104">
        <f>Kotak!S93</f>
        <v>0</v>
      </c>
      <c r="T92" s="104">
        <f>Kotak!T93</f>
        <v>0</v>
      </c>
      <c r="U92" s="104">
        <f>Kotak!U93</f>
        <v>0</v>
      </c>
      <c r="V92" s="104">
        <f>Kotak!V93</f>
        <v>0</v>
      </c>
      <c r="W92" s="104">
        <f>Kotak!W93</f>
        <v>0</v>
      </c>
      <c r="X92" s="104">
        <f>Kotak!X93</f>
        <v>0</v>
      </c>
      <c r="Y92" s="104">
        <f>Kotak!Y93</f>
        <v>0</v>
      </c>
      <c r="Z92" s="104">
        <f>Kotak!Z93</f>
        <v>0</v>
      </c>
      <c r="AA92" s="104">
        <f>Kotak!AA93</f>
        <v>0</v>
      </c>
      <c r="AB92" s="104">
        <f>Kotak!AB93</f>
        <v>0</v>
      </c>
      <c r="AC92" s="104">
        <f>Kotak!AC93</f>
        <v>0</v>
      </c>
      <c r="AD92" s="104">
        <f>Kotak!AD93</f>
        <v>0</v>
      </c>
      <c r="AE92" s="104">
        <f>Kotak!AE93</f>
        <v>0</v>
      </c>
      <c r="AF92" s="104">
        <f>Kotak!AF93</f>
        <v>0</v>
      </c>
      <c r="AG92" s="104">
        <f>Kotak!AG93</f>
        <v>0</v>
      </c>
      <c r="AH92" s="104">
        <f>Kotak!AH93</f>
        <v>0</v>
      </c>
      <c r="AI92" s="104">
        <f>Kotak!AI93</f>
        <v>0</v>
      </c>
      <c r="AJ92" s="104">
        <f>Kotak!AJ93</f>
        <v>0</v>
      </c>
      <c r="AK92" s="104">
        <f>Kotak!AK93</f>
        <v>0</v>
      </c>
      <c r="AL92" s="104">
        <f>Kotak!AL93</f>
        <v>0</v>
      </c>
      <c r="AM92" s="104">
        <f>Kotak!AM93</f>
        <v>0</v>
      </c>
      <c r="AN92" s="104">
        <f>Kotak!AN93</f>
        <v>0</v>
      </c>
      <c r="AO92" s="104">
        <f>Kotak!AO93</f>
        <v>0</v>
      </c>
      <c r="AP92" s="104">
        <f>Kotak!AP93</f>
        <v>0</v>
      </c>
      <c r="AQ92" s="104">
        <f>Kotak!AQ93</f>
        <v>0</v>
      </c>
      <c r="AR92" s="104">
        <f>Kotak!AR93</f>
        <v>0</v>
      </c>
      <c r="AS92" s="104">
        <f>Kotak!AS93</f>
        <v>0</v>
      </c>
      <c r="AT92" s="104">
        <f>Kotak!AT93</f>
        <v>0</v>
      </c>
      <c r="AU92" s="104">
        <f>Kotak!AU93</f>
        <v>0</v>
      </c>
      <c r="AV92" s="104">
        <f>Kotak!AV93</f>
        <v>0</v>
      </c>
      <c r="AW92" s="104">
        <f>Kotak!AW93</f>
        <v>0</v>
      </c>
      <c r="AX92" s="104">
        <f>Kotak!AX93</f>
        <v>0</v>
      </c>
      <c r="AY92" s="104">
        <f>Kotak!AY93</f>
        <v>0</v>
      </c>
      <c r="AZ92" s="104">
        <f>Kotak!AZ93</f>
        <v>0</v>
      </c>
      <c r="BA92" s="104">
        <f>Kotak!BA93</f>
        <v>0</v>
      </c>
      <c r="BB92" s="104">
        <f>Kotak!BB93</f>
        <v>0</v>
      </c>
      <c r="BC92" s="104">
        <f>Kotak!BC93</f>
        <v>0</v>
      </c>
      <c r="BD92" s="104">
        <f>Kotak!BD93</f>
        <v>0</v>
      </c>
      <c r="BE92" s="104">
        <f>Kotak!BE93</f>
        <v>0</v>
      </c>
      <c r="BF92" s="104">
        <f>Kotak!BF93</f>
        <v>0</v>
      </c>
      <c r="BG92" s="104">
        <f>Kotak!BG93</f>
        <v>0</v>
      </c>
      <c r="BH92" s="104">
        <f>Kotak!BH93</f>
        <v>0</v>
      </c>
      <c r="BI92" s="104">
        <f>Kotak!BI93</f>
        <v>0</v>
      </c>
      <c r="BJ92" s="104">
        <f>Kotak!BJ93</f>
        <v>0</v>
      </c>
      <c r="BK92" s="104">
        <f>Kotak!BK93</f>
        <v>0</v>
      </c>
      <c r="BL92" s="104">
        <f>Kotak!BL93</f>
        <v>0</v>
      </c>
      <c r="BM92" s="104">
        <f>Kotak!BM93</f>
        <v>0</v>
      </c>
      <c r="BN92" s="104">
        <f>Kotak!BN93</f>
        <v>0</v>
      </c>
      <c r="BO92" s="104">
        <f>Kotak!BO93</f>
        <v>0</v>
      </c>
      <c r="BP92" s="104">
        <f>Kotak!BP93</f>
        <v>0</v>
      </c>
      <c r="BQ92" s="104">
        <f>Kotak!BQ93</f>
        <v>0</v>
      </c>
      <c r="BR92" s="104">
        <f>Kotak!BR93</f>
        <v>0</v>
      </c>
    </row>
    <row r="93" spans="1:70">
      <c r="A93" s="21">
        <v>93</v>
      </c>
      <c r="B93" s="30"/>
      <c r="C93" s="30"/>
      <c r="D93" s="30"/>
      <c r="E93" s="104"/>
      <c r="F93" s="38">
        <f>IDFC!I93</f>
        <v>0</v>
      </c>
      <c r="G93" s="38">
        <f>Kotak!G94</f>
        <v>0</v>
      </c>
      <c r="H93" s="131">
        <f t="shared" si="9"/>
        <v>0</v>
      </c>
      <c r="I93" s="130">
        <f t="shared" si="7"/>
        <v>0</v>
      </c>
      <c r="J93" s="160">
        <f t="shared" si="8"/>
        <v>0</v>
      </c>
      <c r="K93" s="104">
        <f>Kotak!K94</f>
        <v>0</v>
      </c>
      <c r="L93" s="104">
        <f>Kotak!L94</f>
        <v>0</v>
      </c>
      <c r="M93" s="104">
        <f>Kotak!M94</f>
        <v>0</v>
      </c>
      <c r="N93" s="104">
        <f>Kotak!N94</f>
        <v>0</v>
      </c>
      <c r="O93" s="104">
        <f>Kotak!O94</f>
        <v>0</v>
      </c>
      <c r="P93" s="104">
        <f>Kotak!P94</f>
        <v>0</v>
      </c>
      <c r="Q93" s="104">
        <f>Kotak!Q94</f>
        <v>0</v>
      </c>
      <c r="R93" s="104">
        <f>Kotak!R94</f>
        <v>0</v>
      </c>
      <c r="S93" s="104">
        <f>Kotak!S94</f>
        <v>0</v>
      </c>
      <c r="T93" s="104">
        <f>Kotak!T94</f>
        <v>0</v>
      </c>
      <c r="U93" s="104">
        <f>Kotak!U94</f>
        <v>0</v>
      </c>
      <c r="V93" s="104">
        <f>Kotak!V94</f>
        <v>0</v>
      </c>
      <c r="W93" s="104">
        <f>Kotak!W94</f>
        <v>0</v>
      </c>
      <c r="X93" s="104">
        <f>Kotak!X94</f>
        <v>0</v>
      </c>
      <c r="Y93" s="104">
        <f>Kotak!Y94</f>
        <v>0</v>
      </c>
      <c r="Z93" s="104">
        <f>Kotak!Z94</f>
        <v>0</v>
      </c>
      <c r="AA93" s="104">
        <f>Kotak!AA94</f>
        <v>0</v>
      </c>
      <c r="AB93" s="104">
        <f>Kotak!AB94</f>
        <v>0</v>
      </c>
      <c r="AC93" s="104">
        <f>Kotak!AC94</f>
        <v>0</v>
      </c>
      <c r="AD93" s="104">
        <f>Kotak!AD94</f>
        <v>0</v>
      </c>
      <c r="AE93" s="104">
        <f>Kotak!AE94</f>
        <v>0</v>
      </c>
      <c r="AF93" s="104">
        <f>Kotak!AF94</f>
        <v>0</v>
      </c>
      <c r="AG93" s="104">
        <f>Kotak!AG94</f>
        <v>0</v>
      </c>
      <c r="AH93" s="104">
        <f>Kotak!AH94</f>
        <v>0</v>
      </c>
      <c r="AI93" s="104">
        <f>Kotak!AI94</f>
        <v>0</v>
      </c>
      <c r="AJ93" s="104">
        <f>Kotak!AJ94</f>
        <v>0</v>
      </c>
      <c r="AK93" s="104">
        <f>Kotak!AK94</f>
        <v>0</v>
      </c>
      <c r="AL93" s="104">
        <f>Kotak!AL94</f>
        <v>0</v>
      </c>
      <c r="AM93" s="104">
        <f>Kotak!AM94</f>
        <v>0</v>
      </c>
      <c r="AN93" s="104">
        <f>Kotak!AN94</f>
        <v>0</v>
      </c>
      <c r="AO93" s="104">
        <f>Kotak!AO94</f>
        <v>0</v>
      </c>
      <c r="AP93" s="104">
        <f>Kotak!AP94</f>
        <v>0</v>
      </c>
      <c r="AQ93" s="104">
        <f>Kotak!AQ94</f>
        <v>0</v>
      </c>
      <c r="AR93" s="104">
        <f>Kotak!AR94</f>
        <v>0</v>
      </c>
      <c r="AS93" s="104">
        <f>Kotak!AS94</f>
        <v>0</v>
      </c>
      <c r="AT93" s="104">
        <f>Kotak!AT94</f>
        <v>0</v>
      </c>
      <c r="AU93" s="104">
        <f>Kotak!AU94</f>
        <v>0</v>
      </c>
      <c r="AV93" s="104">
        <f>Kotak!AV94</f>
        <v>0</v>
      </c>
      <c r="AW93" s="104">
        <f>Kotak!AW94</f>
        <v>0</v>
      </c>
      <c r="AX93" s="104">
        <f>Kotak!AX94</f>
        <v>0</v>
      </c>
      <c r="AY93" s="104">
        <f>Kotak!AY94</f>
        <v>0</v>
      </c>
      <c r="AZ93" s="104">
        <f>Kotak!AZ94</f>
        <v>0</v>
      </c>
      <c r="BA93" s="104">
        <f>Kotak!BA94</f>
        <v>0</v>
      </c>
      <c r="BB93" s="104">
        <f>Kotak!BB94</f>
        <v>0</v>
      </c>
      <c r="BC93" s="104">
        <f>Kotak!BC94</f>
        <v>0</v>
      </c>
      <c r="BD93" s="104">
        <f>Kotak!BD94</f>
        <v>0</v>
      </c>
      <c r="BE93" s="104">
        <f>Kotak!BE94</f>
        <v>0</v>
      </c>
      <c r="BF93" s="104">
        <f>Kotak!BF94</f>
        <v>0</v>
      </c>
      <c r="BG93" s="104">
        <f>Kotak!BG94</f>
        <v>0</v>
      </c>
      <c r="BH93" s="104">
        <f>Kotak!BH94</f>
        <v>0</v>
      </c>
      <c r="BI93" s="104">
        <f>Kotak!BI94</f>
        <v>0</v>
      </c>
      <c r="BJ93" s="104">
        <f>Kotak!BJ94</f>
        <v>0</v>
      </c>
      <c r="BK93" s="104">
        <f>Kotak!BK94</f>
        <v>0</v>
      </c>
      <c r="BL93" s="104">
        <f>Kotak!BL94</f>
        <v>0</v>
      </c>
      <c r="BM93" s="104">
        <f>Kotak!BM94</f>
        <v>0</v>
      </c>
      <c r="BN93" s="104">
        <f>Kotak!BN94</f>
        <v>0</v>
      </c>
      <c r="BO93" s="104">
        <f>Kotak!BO94</f>
        <v>0</v>
      </c>
      <c r="BP93" s="104">
        <f>Kotak!BP94</f>
        <v>0</v>
      </c>
      <c r="BQ93" s="104">
        <f>Kotak!BQ94</f>
        <v>0</v>
      </c>
      <c r="BR93" s="104">
        <f>Kotak!BR94</f>
        <v>0</v>
      </c>
    </row>
    <row r="94" spans="1:70">
      <c r="A94" s="21">
        <v>94</v>
      </c>
      <c r="B94" s="30"/>
      <c r="C94" s="30"/>
      <c r="D94" s="30"/>
      <c r="E94" s="104"/>
      <c r="F94" s="38">
        <f>IDFC!I94</f>
        <v>0</v>
      </c>
      <c r="G94" s="38">
        <f>Kotak!G95</f>
        <v>0</v>
      </c>
      <c r="H94" s="131">
        <f t="shared" si="9"/>
        <v>0</v>
      </c>
      <c r="I94" s="130">
        <f t="shared" si="7"/>
        <v>0</v>
      </c>
      <c r="J94" s="160">
        <f t="shared" si="8"/>
        <v>0</v>
      </c>
      <c r="K94" s="104">
        <f>Kotak!K95</f>
        <v>0</v>
      </c>
      <c r="L94" s="104">
        <f>Kotak!L95</f>
        <v>0</v>
      </c>
      <c r="M94" s="104">
        <f>Kotak!M95</f>
        <v>0</v>
      </c>
      <c r="N94" s="104">
        <f>Kotak!N95</f>
        <v>0</v>
      </c>
      <c r="O94" s="104">
        <f>Kotak!O95</f>
        <v>0</v>
      </c>
      <c r="P94" s="104">
        <f>Kotak!P95</f>
        <v>0</v>
      </c>
      <c r="Q94" s="104">
        <f>Kotak!Q95</f>
        <v>0</v>
      </c>
      <c r="R94" s="104">
        <f>Kotak!R95</f>
        <v>0</v>
      </c>
      <c r="S94" s="104">
        <f>Kotak!S95</f>
        <v>0</v>
      </c>
      <c r="T94" s="104">
        <f>Kotak!T95</f>
        <v>0</v>
      </c>
      <c r="U94" s="104">
        <f>Kotak!U95</f>
        <v>0</v>
      </c>
      <c r="V94" s="104">
        <f>Kotak!V95</f>
        <v>0</v>
      </c>
      <c r="W94" s="104">
        <f>Kotak!W95</f>
        <v>0</v>
      </c>
      <c r="X94" s="104">
        <f>Kotak!X95</f>
        <v>0</v>
      </c>
      <c r="Y94" s="104">
        <f>Kotak!Y95</f>
        <v>0</v>
      </c>
      <c r="Z94" s="104">
        <f>Kotak!Z95</f>
        <v>0</v>
      </c>
      <c r="AA94" s="104">
        <f>Kotak!AA95</f>
        <v>0</v>
      </c>
      <c r="AB94" s="104">
        <f>Kotak!AB95</f>
        <v>0</v>
      </c>
      <c r="AC94" s="104">
        <f>Kotak!AC95</f>
        <v>0</v>
      </c>
      <c r="AD94" s="104">
        <f>Kotak!AD95</f>
        <v>0</v>
      </c>
      <c r="AE94" s="104">
        <f>Kotak!AE95</f>
        <v>0</v>
      </c>
      <c r="AF94" s="104">
        <f>Kotak!AF95</f>
        <v>0</v>
      </c>
      <c r="AG94" s="104">
        <f>Kotak!AG95</f>
        <v>0</v>
      </c>
      <c r="AH94" s="104">
        <f>Kotak!AH95</f>
        <v>0</v>
      </c>
      <c r="AI94" s="104">
        <f>Kotak!AI95</f>
        <v>0</v>
      </c>
      <c r="AJ94" s="104">
        <f>Kotak!AJ95</f>
        <v>0</v>
      </c>
      <c r="AK94" s="104">
        <f>Kotak!AK95</f>
        <v>0</v>
      </c>
      <c r="AL94" s="104">
        <f>Kotak!AL95</f>
        <v>0</v>
      </c>
      <c r="AM94" s="104">
        <f>Kotak!AM95</f>
        <v>0</v>
      </c>
      <c r="AN94" s="104">
        <f>Kotak!AN95</f>
        <v>0</v>
      </c>
      <c r="AO94" s="104">
        <f>Kotak!AO95</f>
        <v>0</v>
      </c>
      <c r="AP94" s="104">
        <f>Kotak!AP95</f>
        <v>0</v>
      </c>
      <c r="AQ94" s="104">
        <f>Kotak!AQ95</f>
        <v>0</v>
      </c>
      <c r="AR94" s="104">
        <f>Kotak!AR95</f>
        <v>0</v>
      </c>
      <c r="AS94" s="104">
        <f>Kotak!AS95</f>
        <v>0</v>
      </c>
      <c r="AT94" s="104">
        <f>Kotak!AT95</f>
        <v>0</v>
      </c>
      <c r="AU94" s="104">
        <f>Kotak!AU95</f>
        <v>0</v>
      </c>
      <c r="AV94" s="104">
        <f>Kotak!AV95</f>
        <v>0</v>
      </c>
      <c r="AW94" s="104">
        <f>Kotak!AW95</f>
        <v>0</v>
      </c>
      <c r="AX94" s="104">
        <f>Kotak!AX95</f>
        <v>0</v>
      </c>
      <c r="AY94" s="104">
        <f>Kotak!AY95</f>
        <v>0</v>
      </c>
      <c r="AZ94" s="104">
        <f>Kotak!AZ95</f>
        <v>0</v>
      </c>
      <c r="BA94" s="104">
        <f>Kotak!BA95</f>
        <v>0</v>
      </c>
      <c r="BB94" s="104">
        <f>Kotak!BB95</f>
        <v>0</v>
      </c>
      <c r="BC94" s="104">
        <f>Kotak!BC95</f>
        <v>0</v>
      </c>
      <c r="BD94" s="104">
        <f>Kotak!BD95</f>
        <v>0</v>
      </c>
      <c r="BE94" s="104">
        <f>Kotak!BE95</f>
        <v>0</v>
      </c>
      <c r="BF94" s="104">
        <f>Kotak!BF95</f>
        <v>0</v>
      </c>
      <c r="BG94" s="104">
        <f>Kotak!BG95</f>
        <v>0</v>
      </c>
      <c r="BH94" s="104">
        <f>Kotak!BH95</f>
        <v>0</v>
      </c>
      <c r="BI94" s="104">
        <f>Kotak!BI95</f>
        <v>0</v>
      </c>
      <c r="BJ94" s="104">
        <f>Kotak!BJ95</f>
        <v>0</v>
      </c>
      <c r="BK94" s="104">
        <f>Kotak!BK95</f>
        <v>0</v>
      </c>
      <c r="BL94" s="104">
        <f>Kotak!BL95</f>
        <v>0</v>
      </c>
      <c r="BM94" s="104">
        <f>Kotak!BM95</f>
        <v>0</v>
      </c>
      <c r="BN94" s="104">
        <f>Kotak!BN95</f>
        <v>0</v>
      </c>
      <c r="BO94" s="104">
        <f>Kotak!BO95</f>
        <v>0</v>
      </c>
      <c r="BP94" s="104">
        <f>Kotak!BP95</f>
        <v>0</v>
      </c>
      <c r="BQ94" s="104">
        <f>Kotak!BQ95</f>
        <v>0</v>
      </c>
      <c r="BR94" s="104">
        <f>Kotak!BR95</f>
        <v>0</v>
      </c>
    </row>
    <row r="95" spans="1:70">
      <c r="A95" s="21">
        <v>95</v>
      </c>
      <c r="B95" s="30"/>
      <c r="C95" s="30"/>
      <c r="D95" s="30"/>
      <c r="E95" s="104"/>
      <c r="F95" s="38">
        <f>IDFC!I95</f>
        <v>0</v>
      </c>
      <c r="G95" s="38">
        <f>Kotak!G96</f>
        <v>0</v>
      </c>
      <c r="H95" s="131">
        <f t="shared" si="9"/>
        <v>0</v>
      </c>
      <c r="I95" s="130">
        <f t="shared" si="7"/>
        <v>0</v>
      </c>
      <c r="J95" s="160">
        <f t="shared" si="8"/>
        <v>0</v>
      </c>
      <c r="K95" s="104">
        <f>Kotak!K96</f>
        <v>0</v>
      </c>
      <c r="L95" s="104">
        <f>Kotak!L96</f>
        <v>0</v>
      </c>
      <c r="M95" s="104">
        <f>Kotak!M96</f>
        <v>0</v>
      </c>
      <c r="N95" s="104">
        <f>Kotak!N96</f>
        <v>0</v>
      </c>
      <c r="O95" s="104">
        <f>Kotak!O96</f>
        <v>0</v>
      </c>
      <c r="P95" s="104">
        <f>Kotak!P96</f>
        <v>0</v>
      </c>
      <c r="Q95" s="104">
        <f>Kotak!Q96</f>
        <v>0</v>
      </c>
      <c r="R95" s="104">
        <f>Kotak!R96</f>
        <v>0</v>
      </c>
      <c r="S95" s="104">
        <f>Kotak!S96</f>
        <v>0</v>
      </c>
      <c r="T95" s="104">
        <f>Kotak!T96</f>
        <v>0</v>
      </c>
      <c r="U95" s="104">
        <f>Kotak!U96</f>
        <v>0</v>
      </c>
      <c r="V95" s="104">
        <f>Kotak!V96</f>
        <v>0</v>
      </c>
      <c r="W95" s="104">
        <f>Kotak!W96</f>
        <v>0</v>
      </c>
      <c r="X95" s="104">
        <f>Kotak!X96</f>
        <v>0</v>
      </c>
      <c r="Y95" s="104">
        <f>Kotak!Y96</f>
        <v>0</v>
      </c>
      <c r="Z95" s="104">
        <f>Kotak!Z96</f>
        <v>0</v>
      </c>
      <c r="AA95" s="104">
        <f>Kotak!AA96</f>
        <v>0</v>
      </c>
      <c r="AB95" s="104">
        <f>Kotak!AB96</f>
        <v>0</v>
      </c>
      <c r="AC95" s="104">
        <f>Kotak!AC96</f>
        <v>0</v>
      </c>
      <c r="AD95" s="104">
        <f>Kotak!AD96</f>
        <v>0</v>
      </c>
      <c r="AE95" s="104">
        <f>Kotak!AE96</f>
        <v>0</v>
      </c>
      <c r="AF95" s="104">
        <f>Kotak!AF96</f>
        <v>0</v>
      </c>
      <c r="AG95" s="104">
        <f>Kotak!AG96</f>
        <v>0</v>
      </c>
      <c r="AH95" s="104">
        <f>Kotak!AH96</f>
        <v>0</v>
      </c>
      <c r="AI95" s="104">
        <f>Kotak!AI96</f>
        <v>0</v>
      </c>
      <c r="AJ95" s="104">
        <f>Kotak!AJ96</f>
        <v>0</v>
      </c>
      <c r="AK95" s="104">
        <f>Kotak!AK96</f>
        <v>0</v>
      </c>
      <c r="AL95" s="104">
        <f>Kotak!AL96</f>
        <v>0</v>
      </c>
      <c r="AM95" s="104">
        <f>Kotak!AM96</f>
        <v>0</v>
      </c>
      <c r="AN95" s="104">
        <f>Kotak!AN96</f>
        <v>0</v>
      </c>
      <c r="AO95" s="104">
        <f>Kotak!AO96</f>
        <v>0</v>
      </c>
      <c r="AP95" s="104">
        <f>Kotak!AP96</f>
        <v>0</v>
      </c>
      <c r="AQ95" s="104">
        <f>Kotak!AQ96</f>
        <v>0</v>
      </c>
      <c r="AR95" s="104">
        <f>Kotak!AR96</f>
        <v>0</v>
      </c>
      <c r="AS95" s="104">
        <f>Kotak!AS96</f>
        <v>0</v>
      </c>
      <c r="AT95" s="104">
        <f>Kotak!AT96</f>
        <v>0</v>
      </c>
      <c r="AU95" s="104">
        <f>Kotak!AU96</f>
        <v>0</v>
      </c>
      <c r="AV95" s="104">
        <f>Kotak!AV96</f>
        <v>0</v>
      </c>
      <c r="AW95" s="104">
        <f>Kotak!AW96</f>
        <v>0</v>
      </c>
      <c r="AX95" s="104">
        <f>Kotak!AX96</f>
        <v>0</v>
      </c>
      <c r="AY95" s="104">
        <f>Kotak!AY96</f>
        <v>0</v>
      </c>
      <c r="AZ95" s="104">
        <f>Kotak!AZ96</f>
        <v>0</v>
      </c>
      <c r="BA95" s="104">
        <f>Kotak!BA96</f>
        <v>0</v>
      </c>
      <c r="BB95" s="104">
        <f>Kotak!BB96</f>
        <v>0</v>
      </c>
      <c r="BC95" s="104">
        <f>Kotak!BC96</f>
        <v>0</v>
      </c>
      <c r="BD95" s="104">
        <f>Kotak!BD96</f>
        <v>0</v>
      </c>
      <c r="BE95" s="104">
        <f>Kotak!BE96</f>
        <v>0</v>
      </c>
      <c r="BF95" s="104">
        <f>Kotak!BF96</f>
        <v>0</v>
      </c>
      <c r="BG95" s="104">
        <f>Kotak!BG96</f>
        <v>0</v>
      </c>
      <c r="BH95" s="104">
        <f>Kotak!BH96</f>
        <v>0</v>
      </c>
      <c r="BI95" s="104">
        <f>Kotak!BI96</f>
        <v>0</v>
      </c>
      <c r="BJ95" s="104">
        <f>Kotak!BJ96</f>
        <v>0</v>
      </c>
      <c r="BK95" s="104">
        <f>Kotak!BK96</f>
        <v>0</v>
      </c>
      <c r="BL95" s="104">
        <f>Kotak!BL96</f>
        <v>0</v>
      </c>
      <c r="BM95" s="104">
        <f>Kotak!BM96</f>
        <v>0</v>
      </c>
      <c r="BN95" s="104">
        <f>Kotak!BN96</f>
        <v>0</v>
      </c>
      <c r="BO95" s="104">
        <f>Kotak!BO96</f>
        <v>0</v>
      </c>
      <c r="BP95" s="104">
        <f>Kotak!BP96</f>
        <v>0</v>
      </c>
      <c r="BQ95" s="104">
        <f>Kotak!BQ96</f>
        <v>0</v>
      </c>
      <c r="BR95" s="104">
        <f>Kotak!BR96</f>
        <v>0</v>
      </c>
    </row>
    <row r="96" spans="1:70">
      <c r="A96" s="21">
        <v>96</v>
      </c>
      <c r="B96" s="30"/>
      <c r="C96" s="30"/>
      <c r="D96" s="30"/>
      <c r="E96" s="104"/>
      <c r="F96" s="38">
        <f>IDFC!I96</f>
        <v>0</v>
      </c>
      <c r="G96" s="38">
        <f>Kotak!G97</f>
        <v>0</v>
      </c>
      <c r="H96" s="131">
        <f t="shared" si="9"/>
        <v>0</v>
      </c>
      <c r="I96" s="130">
        <f t="shared" si="7"/>
        <v>0</v>
      </c>
      <c r="J96" s="160">
        <f t="shared" si="8"/>
        <v>0</v>
      </c>
      <c r="K96" s="104">
        <f>Kotak!K97</f>
        <v>0</v>
      </c>
      <c r="L96" s="104">
        <f>Kotak!L97</f>
        <v>0</v>
      </c>
      <c r="M96" s="104">
        <f>Kotak!M97</f>
        <v>0</v>
      </c>
      <c r="N96" s="104">
        <f>Kotak!N97</f>
        <v>0</v>
      </c>
      <c r="O96" s="104">
        <f>Kotak!O97</f>
        <v>0</v>
      </c>
      <c r="P96" s="104">
        <f>Kotak!P97</f>
        <v>0</v>
      </c>
      <c r="Q96" s="104">
        <f>Kotak!Q97</f>
        <v>0</v>
      </c>
      <c r="R96" s="104">
        <f>Kotak!R97</f>
        <v>0</v>
      </c>
      <c r="S96" s="104">
        <f>Kotak!S97</f>
        <v>0</v>
      </c>
      <c r="T96" s="104">
        <f>Kotak!T97</f>
        <v>0</v>
      </c>
      <c r="U96" s="104">
        <f>Kotak!U97</f>
        <v>0</v>
      </c>
      <c r="V96" s="104">
        <f>Kotak!V97</f>
        <v>0</v>
      </c>
      <c r="W96" s="104">
        <f>Kotak!W97</f>
        <v>0</v>
      </c>
      <c r="X96" s="104">
        <f>Kotak!X97</f>
        <v>0</v>
      </c>
      <c r="Y96" s="104">
        <f>Kotak!Y97</f>
        <v>0</v>
      </c>
      <c r="Z96" s="104">
        <f>Kotak!Z97</f>
        <v>0</v>
      </c>
      <c r="AA96" s="104">
        <f>Kotak!AA97</f>
        <v>0</v>
      </c>
      <c r="AB96" s="104">
        <f>Kotak!AB97</f>
        <v>0</v>
      </c>
      <c r="AC96" s="104">
        <f>Kotak!AC97</f>
        <v>0</v>
      </c>
      <c r="AD96" s="104">
        <f>Kotak!AD97</f>
        <v>0</v>
      </c>
      <c r="AE96" s="104">
        <f>Kotak!AE97</f>
        <v>0</v>
      </c>
      <c r="AF96" s="104">
        <f>Kotak!AF97</f>
        <v>0</v>
      </c>
      <c r="AG96" s="104">
        <f>Kotak!AG97</f>
        <v>0</v>
      </c>
      <c r="AH96" s="104">
        <f>Kotak!AH97</f>
        <v>0</v>
      </c>
      <c r="AI96" s="104">
        <f>Kotak!AI97</f>
        <v>0</v>
      </c>
      <c r="AJ96" s="104">
        <f>Kotak!AJ97</f>
        <v>0</v>
      </c>
      <c r="AK96" s="104">
        <f>Kotak!AK97</f>
        <v>0</v>
      </c>
      <c r="AL96" s="104">
        <f>Kotak!AL97</f>
        <v>0</v>
      </c>
      <c r="AM96" s="104">
        <f>Kotak!AM97</f>
        <v>0</v>
      </c>
      <c r="AN96" s="104">
        <f>Kotak!AN97</f>
        <v>0</v>
      </c>
      <c r="AO96" s="104">
        <f>Kotak!AO97</f>
        <v>0</v>
      </c>
      <c r="AP96" s="104">
        <f>Kotak!AP97</f>
        <v>0</v>
      </c>
      <c r="AQ96" s="104">
        <f>Kotak!AQ97</f>
        <v>0</v>
      </c>
      <c r="AR96" s="104">
        <f>Kotak!AR97</f>
        <v>0</v>
      </c>
      <c r="AS96" s="104">
        <f>Kotak!AS97</f>
        <v>0</v>
      </c>
      <c r="AT96" s="104">
        <f>Kotak!AT97</f>
        <v>0</v>
      </c>
      <c r="AU96" s="104">
        <f>Kotak!AU97</f>
        <v>0</v>
      </c>
      <c r="AV96" s="104">
        <f>Kotak!AV97</f>
        <v>0</v>
      </c>
      <c r="AW96" s="104">
        <f>Kotak!AW97</f>
        <v>0</v>
      </c>
      <c r="AX96" s="104">
        <f>Kotak!AX97</f>
        <v>0</v>
      </c>
      <c r="AY96" s="104">
        <f>Kotak!AY97</f>
        <v>0</v>
      </c>
      <c r="AZ96" s="104">
        <f>Kotak!AZ97</f>
        <v>0</v>
      </c>
      <c r="BA96" s="104">
        <f>Kotak!BA97</f>
        <v>0</v>
      </c>
      <c r="BB96" s="104">
        <f>Kotak!BB97</f>
        <v>0</v>
      </c>
      <c r="BC96" s="104">
        <f>Kotak!BC97</f>
        <v>0</v>
      </c>
      <c r="BD96" s="104">
        <f>Kotak!BD97</f>
        <v>0</v>
      </c>
      <c r="BE96" s="104">
        <f>Kotak!BE97</f>
        <v>0</v>
      </c>
      <c r="BF96" s="104">
        <f>Kotak!BF97</f>
        <v>0</v>
      </c>
      <c r="BG96" s="104">
        <f>Kotak!BG97</f>
        <v>0</v>
      </c>
      <c r="BH96" s="104">
        <f>Kotak!BH97</f>
        <v>0</v>
      </c>
      <c r="BI96" s="104">
        <f>Kotak!BI97</f>
        <v>0</v>
      </c>
      <c r="BJ96" s="104">
        <f>Kotak!BJ97</f>
        <v>0</v>
      </c>
      <c r="BK96" s="104">
        <f>Kotak!BK97</f>
        <v>0</v>
      </c>
      <c r="BL96" s="104">
        <f>Kotak!BL97</f>
        <v>0</v>
      </c>
      <c r="BM96" s="104">
        <f>Kotak!BM97</f>
        <v>0</v>
      </c>
      <c r="BN96" s="104">
        <f>Kotak!BN97</f>
        <v>0</v>
      </c>
      <c r="BO96" s="104">
        <f>Kotak!BO97</f>
        <v>0</v>
      </c>
      <c r="BP96" s="104">
        <f>Kotak!BP97</f>
        <v>0</v>
      </c>
      <c r="BQ96" s="104">
        <f>Kotak!BQ97</f>
        <v>0</v>
      </c>
      <c r="BR96" s="104">
        <f>Kotak!BR97</f>
        <v>0</v>
      </c>
    </row>
    <row r="97" spans="1:70">
      <c r="A97" s="21">
        <v>97</v>
      </c>
      <c r="B97" s="30"/>
      <c r="C97" s="30"/>
      <c r="D97" s="30"/>
      <c r="E97" s="104"/>
      <c r="F97" s="38">
        <f>IDFC!I97</f>
        <v>0</v>
      </c>
      <c r="G97" s="38">
        <f>Kotak!G98</f>
        <v>0</v>
      </c>
      <c r="H97" s="131">
        <f t="shared" si="9"/>
        <v>0</v>
      </c>
      <c r="I97" s="130">
        <f t="shared" si="7"/>
        <v>0</v>
      </c>
      <c r="J97" s="160">
        <f t="shared" si="8"/>
        <v>0</v>
      </c>
      <c r="K97" s="104">
        <f>Kotak!K98</f>
        <v>0</v>
      </c>
      <c r="L97" s="104">
        <f>Kotak!L98</f>
        <v>0</v>
      </c>
      <c r="M97" s="104">
        <f>Kotak!M98</f>
        <v>0</v>
      </c>
      <c r="N97" s="104">
        <f>Kotak!N98</f>
        <v>0</v>
      </c>
      <c r="O97" s="104">
        <f>Kotak!O98</f>
        <v>0</v>
      </c>
      <c r="P97" s="104">
        <f>Kotak!P98</f>
        <v>0</v>
      </c>
      <c r="Q97" s="104">
        <f>Kotak!Q98</f>
        <v>0</v>
      </c>
      <c r="R97" s="104">
        <f>Kotak!R98</f>
        <v>0</v>
      </c>
      <c r="S97" s="104">
        <f>Kotak!S98</f>
        <v>0</v>
      </c>
      <c r="T97" s="104">
        <f>Kotak!T98</f>
        <v>0</v>
      </c>
      <c r="U97" s="104">
        <f>Kotak!U98</f>
        <v>0</v>
      </c>
      <c r="V97" s="104">
        <f>Kotak!V98</f>
        <v>0</v>
      </c>
      <c r="W97" s="104">
        <f>Kotak!W98</f>
        <v>0</v>
      </c>
      <c r="X97" s="104">
        <f>Kotak!X98</f>
        <v>0</v>
      </c>
      <c r="Y97" s="104">
        <f>Kotak!Y98</f>
        <v>0</v>
      </c>
      <c r="Z97" s="104">
        <f>Kotak!Z98</f>
        <v>0</v>
      </c>
      <c r="AA97" s="104">
        <f>Kotak!AA98</f>
        <v>0</v>
      </c>
      <c r="AB97" s="104">
        <f>Kotak!AB98</f>
        <v>0</v>
      </c>
      <c r="AC97" s="104">
        <f>Kotak!AC98</f>
        <v>0</v>
      </c>
      <c r="AD97" s="104">
        <f>Kotak!AD98</f>
        <v>0</v>
      </c>
      <c r="AE97" s="104">
        <f>Kotak!AE98</f>
        <v>0</v>
      </c>
      <c r="AF97" s="104">
        <f>Kotak!AF98</f>
        <v>0</v>
      </c>
      <c r="AG97" s="104">
        <f>Kotak!AG98</f>
        <v>0</v>
      </c>
      <c r="AH97" s="104">
        <f>Kotak!AH98</f>
        <v>0</v>
      </c>
      <c r="AI97" s="104">
        <f>Kotak!AI98</f>
        <v>0</v>
      </c>
      <c r="AJ97" s="104">
        <f>Kotak!AJ98</f>
        <v>0</v>
      </c>
      <c r="AK97" s="104">
        <f>Kotak!AK98</f>
        <v>0</v>
      </c>
      <c r="AL97" s="104">
        <f>Kotak!AL98</f>
        <v>0</v>
      </c>
      <c r="AM97" s="104">
        <f>Kotak!AM98</f>
        <v>0</v>
      </c>
      <c r="AN97" s="104">
        <f>Kotak!AN98</f>
        <v>0</v>
      </c>
      <c r="AO97" s="104">
        <f>Kotak!AO98</f>
        <v>0</v>
      </c>
      <c r="AP97" s="104">
        <f>Kotak!AP98</f>
        <v>0</v>
      </c>
      <c r="AQ97" s="104">
        <f>Kotak!AQ98</f>
        <v>0</v>
      </c>
      <c r="AR97" s="104">
        <f>Kotak!AR98</f>
        <v>0</v>
      </c>
      <c r="AS97" s="104">
        <f>Kotak!AS98</f>
        <v>0</v>
      </c>
      <c r="AT97" s="104">
        <f>Kotak!AT98</f>
        <v>0</v>
      </c>
      <c r="AU97" s="104">
        <f>Kotak!AU98</f>
        <v>0</v>
      </c>
      <c r="AV97" s="104">
        <f>Kotak!AV98</f>
        <v>0</v>
      </c>
      <c r="AW97" s="104">
        <f>Kotak!AW98</f>
        <v>0</v>
      </c>
      <c r="AX97" s="104">
        <f>Kotak!AX98</f>
        <v>0</v>
      </c>
      <c r="AY97" s="104">
        <f>Kotak!AY98</f>
        <v>0</v>
      </c>
      <c r="AZ97" s="104">
        <f>Kotak!AZ98</f>
        <v>0</v>
      </c>
      <c r="BA97" s="104">
        <f>Kotak!BA98</f>
        <v>0</v>
      </c>
      <c r="BB97" s="104">
        <f>Kotak!BB98</f>
        <v>0</v>
      </c>
      <c r="BC97" s="104">
        <f>Kotak!BC98</f>
        <v>0</v>
      </c>
      <c r="BD97" s="104">
        <f>Kotak!BD98</f>
        <v>0</v>
      </c>
      <c r="BE97" s="104">
        <f>Kotak!BE98</f>
        <v>0</v>
      </c>
      <c r="BF97" s="104">
        <f>Kotak!BF98</f>
        <v>0</v>
      </c>
      <c r="BG97" s="104">
        <f>Kotak!BG98</f>
        <v>0</v>
      </c>
      <c r="BH97" s="104">
        <f>Kotak!BH98</f>
        <v>0</v>
      </c>
      <c r="BI97" s="104">
        <f>Kotak!BI98</f>
        <v>0</v>
      </c>
      <c r="BJ97" s="104">
        <f>Kotak!BJ98</f>
        <v>0</v>
      </c>
      <c r="BK97" s="104">
        <f>Kotak!BK98</f>
        <v>0</v>
      </c>
      <c r="BL97" s="104">
        <f>Kotak!BL98</f>
        <v>0</v>
      </c>
      <c r="BM97" s="104">
        <f>Kotak!BM98</f>
        <v>0</v>
      </c>
      <c r="BN97" s="104">
        <f>Kotak!BN98</f>
        <v>0</v>
      </c>
      <c r="BO97" s="104">
        <f>Kotak!BO98</f>
        <v>0</v>
      </c>
      <c r="BP97" s="104">
        <f>Kotak!BP98</f>
        <v>0</v>
      </c>
      <c r="BQ97" s="104">
        <f>Kotak!BQ98</f>
        <v>0</v>
      </c>
      <c r="BR97" s="104">
        <f>Kotak!BR98</f>
        <v>0</v>
      </c>
    </row>
    <row r="98" spans="1:70">
      <c r="A98" s="21">
        <v>98</v>
      </c>
      <c r="B98" s="30"/>
      <c r="C98" s="30"/>
      <c r="D98" s="30"/>
      <c r="E98" s="104"/>
      <c r="F98" s="38">
        <f>IDFC!I98</f>
        <v>0</v>
      </c>
      <c r="G98" s="38">
        <f>Kotak!G99</f>
        <v>0</v>
      </c>
      <c r="H98" s="131">
        <f t="shared" si="9"/>
        <v>0</v>
      </c>
      <c r="I98" s="130">
        <f t="shared" si="7"/>
        <v>0</v>
      </c>
      <c r="J98" s="160">
        <f t="shared" si="8"/>
        <v>0</v>
      </c>
      <c r="K98" s="104">
        <f>Kotak!K99</f>
        <v>0</v>
      </c>
      <c r="L98" s="104">
        <f>Kotak!L99</f>
        <v>0</v>
      </c>
      <c r="M98" s="104">
        <f>Kotak!M99</f>
        <v>0</v>
      </c>
      <c r="N98" s="104">
        <f>Kotak!N99</f>
        <v>0</v>
      </c>
      <c r="O98" s="104">
        <f>Kotak!O99</f>
        <v>0</v>
      </c>
      <c r="P98" s="104">
        <f>Kotak!P99</f>
        <v>0</v>
      </c>
      <c r="Q98" s="104">
        <f>Kotak!Q99</f>
        <v>0</v>
      </c>
      <c r="R98" s="104">
        <f>Kotak!R99</f>
        <v>0</v>
      </c>
      <c r="S98" s="104">
        <f>Kotak!S99</f>
        <v>0</v>
      </c>
      <c r="T98" s="104">
        <f>Kotak!T99</f>
        <v>0</v>
      </c>
      <c r="U98" s="104">
        <f>Kotak!U99</f>
        <v>0</v>
      </c>
      <c r="V98" s="104">
        <f>Kotak!V99</f>
        <v>0</v>
      </c>
      <c r="W98" s="104">
        <f>Kotak!W99</f>
        <v>0</v>
      </c>
      <c r="X98" s="104">
        <f>Kotak!X99</f>
        <v>0</v>
      </c>
      <c r="Y98" s="104">
        <f>Kotak!Y99</f>
        <v>0</v>
      </c>
      <c r="Z98" s="104">
        <f>Kotak!Z99</f>
        <v>0</v>
      </c>
      <c r="AA98" s="104">
        <f>Kotak!AA99</f>
        <v>0</v>
      </c>
      <c r="AB98" s="104">
        <f>Kotak!AB99</f>
        <v>0</v>
      </c>
      <c r="AC98" s="104">
        <f>Kotak!AC99</f>
        <v>0</v>
      </c>
      <c r="AD98" s="104">
        <f>Kotak!AD99</f>
        <v>0</v>
      </c>
      <c r="AE98" s="104">
        <f>Kotak!AE99</f>
        <v>0</v>
      </c>
      <c r="AF98" s="104">
        <f>Kotak!AF99</f>
        <v>0</v>
      </c>
      <c r="AG98" s="104">
        <f>Kotak!AG99</f>
        <v>0</v>
      </c>
      <c r="AH98" s="104">
        <f>Kotak!AH99</f>
        <v>0</v>
      </c>
      <c r="AI98" s="104">
        <f>Kotak!AI99</f>
        <v>0</v>
      </c>
      <c r="AJ98" s="104">
        <f>Kotak!AJ99</f>
        <v>0</v>
      </c>
      <c r="AK98" s="104">
        <f>Kotak!AK99</f>
        <v>0</v>
      </c>
      <c r="AL98" s="104">
        <f>Kotak!AL99</f>
        <v>0</v>
      </c>
      <c r="AM98" s="104">
        <f>Kotak!AM99</f>
        <v>0</v>
      </c>
      <c r="AN98" s="104">
        <f>Kotak!AN99</f>
        <v>0</v>
      </c>
      <c r="AO98" s="104">
        <f>Kotak!AO99</f>
        <v>0</v>
      </c>
      <c r="AP98" s="104">
        <f>Kotak!AP99</f>
        <v>0</v>
      </c>
      <c r="AQ98" s="104">
        <f>Kotak!AQ99</f>
        <v>0</v>
      </c>
      <c r="AR98" s="104">
        <f>Kotak!AR99</f>
        <v>0</v>
      </c>
      <c r="AS98" s="104">
        <f>Kotak!AS99</f>
        <v>0</v>
      </c>
      <c r="AT98" s="104">
        <f>Kotak!AT99</f>
        <v>0</v>
      </c>
      <c r="AU98" s="104">
        <f>Kotak!AU99</f>
        <v>0</v>
      </c>
      <c r="AV98" s="104">
        <f>Kotak!AV99</f>
        <v>0</v>
      </c>
      <c r="AW98" s="104">
        <f>Kotak!AW99</f>
        <v>0</v>
      </c>
      <c r="AX98" s="104">
        <f>Kotak!AX99</f>
        <v>0</v>
      </c>
      <c r="AY98" s="104">
        <f>Kotak!AY99</f>
        <v>0</v>
      </c>
      <c r="AZ98" s="104">
        <f>Kotak!AZ99</f>
        <v>0</v>
      </c>
      <c r="BA98" s="104">
        <f>Kotak!BA99</f>
        <v>0</v>
      </c>
      <c r="BB98" s="104">
        <f>Kotak!BB99</f>
        <v>0</v>
      </c>
      <c r="BC98" s="104">
        <f>Kotak!BC99</f>
        <v>0</v>
      </c>
      <c r="BD98" s="104">
        <f>Kotak!BD99</f>
        <v>0</v>
      </c>
      <c r="BE98" s="104">
        <f>Kotak!BE99</f>
        <v>0</v>
      </c>
      <c r="BF98" s="104">
        <f>Kotak!BF99</f>
        <v>0</v>
      </c>
      <c r="BG98" s="104">
        <f>Kotak!BG99</f>
        <v>0</v>
      </c>
      <c r="BH98" s="104">
        <f>Kotak!BH99</f>
        <v>0</v>
      </c>
      <c r="BI98" s="104">
        <f>Kotak!BI99</f>
        <v>0</v>
      </c>
      <c r="BJ98" s="104">
        <f>Kotak!BJ99</f>
        <v>0</v>
      </c>
      <c r="BK98" s="104">
        <f>Kotak!BK99</f>
        <v>0</v>
      </c>
      <c r="BL98" s="104">
        <f>Kotak!BL99</f>
        <v>0</v>
      </c>
      <c r="BM98" s="104">
        <f>Kotak!BM99</f>
        <v>0</v>
      </c>
      <c r="BN98" s="104">
        <f>Kotak!BN99</f>
        <v>0</v>
      </c>
      <c r="BO98" s="104">
        <f>Kotak!BO99</f>
        <v>0</v>
      </c>
      <c r="BP98" s="104">
        <f>Kotak!BP99</f>
        <v>0</v>
      </c>
      <c r="BQ98" s="104">
        <f>Kotak!BQ99</f>
        <v>0</v>
      </c>
      <c r="BR98" s="104">
        <f>Kotak!BR99</f>
        <v>0</v>
      </c>
    </row>
    <row r="99" spans="1:70">
      <c r="A99" s="14">
        <v>99</v>
      </c>
      <c r="B99" s="5"/>
      <c r="C99" s="5"/>
      <c r="D99" s="5"/>
      <c r="E99" s="38"/>
      <c r="F99" s="38">
        <f>IDFC!I99</f>
        <v>0</v>
      </c>
      <c r="G99" s="38">
        <f>Kotak!G100</f>
        <v>0</v>
      </c>
      <c r="H99" s="129">
        <f t="shared" si="9"/>
        <v>0</v>
      </c>
      <c r="I99" s="130">
        <f t="shared" si="7"/>
        <v>0</v>
      </c>
      <c r="J99" s="160">
        <f t="shared" si="8"/>
        <v>0</v>
      </c>
      <c r="K99" s="104">
        <f>Kotak!K100</f>
        <v>0</v>
      </c>
      <c r="L99" s="104">
        <f>Kotak!L100</f>
        <v>0</v>
      </c>
      <c r="M99" s="104">
        <f>Kotak!M100</f>
        <v>0</v>
      </c>
      <c r="N99" s="104">
        <f>Kotak!N100</f>
        <v>0</v>
      </c>
      <c r="O99" s="104">
        <f>Kotak!O100</f>
        <v>0</v>
      </c>
      <c r="P99" s="104">
        <f>Kotak!P100</f>
        <v>0</v>
      </c>
      <c r="Q99" s="104">
        <f>Kotak!Q100</f>
        <v>0</v>
      </c>
      <c r="R99" s="104">
        <f>Kotak!R100</f>
        <v>0</v>
      </c>
      <c r="S99" s="104">
        <f>Kotak!S100</f>
        <v>0</v>
      </c>
      <c r="T99" s="104">
        <f>Kotak!T100</f>
        <v>0</v>
      </c>
      <c r="U99" s="104">
        <f>Kotak!U100</f>
        <v>0</v>
      </c>
      <c r="V99" s="104">
        <f>Kotak!V100</f>
        <v>0</v>
      </c>
      <c r="W99" s="104">
        <f>Kotak!W100</f>
        <v>0</v>
      </c>
      <c r="X99" s="104">
        <f>Kotak!X100</f>
        <v>0</v>
      </c>
      <c r="Y99" s="104">
        <f>Kotak!Y100</f>
        <v>0</v>
      </c>
      <c r="Z99" s="104">
        <f>Kotak!Z100</f>
        <v>0</v>
      </c>
      <c r="AA99" s="104">
        <f>Kotak!AA100</f>
        <v>0</v>
      </c>
      <c r="AB99" s="104">
        <f>Kotak!AB100</f>
        <v>0</v>
      </c>
      <c r="AC99" s="104">
        <f>Kotak!AC100</f>
        <v>0</v>
      </c>
      <c r="AD99" s="104">
        <f>Kotak!AD100</f>
        <v>0</v>
      </c>
      <c r="AE99" s="104">
        <f>Kotak!AE100</f>
        <v>0</v>
      </c>
      <c r="AF99" s="104">
        <f>Kotak!AF100</f>
        <v>0</v>
      </c>
      <c r="AG99" s="104">
        <f>Kotak!AG100</f>
        <v>0</v>
      </c>
      <c r="AH99" s="104">
        <f>Kotak!AH100</f>
        <v>0</v>
      </c>
      <c r="AI99" s="104">
        <f>Kotak!AI100</f>
        <v>0</v>
      </c>
      <c r="AJ99" s="104">
        <f>Kotak!AJ100</f>
        <v>0</v>
      </c>
      <c r="AK99" s="104">
        <f>Kotak!AK100</f>
        <v>0</v>
      </c>
      <c r="AL99" s="104">
        <f>Kotak!AL100</f>
        <v>0</v>
      </c>
      <c r="AM99" s="104">
        <f>Kotak!AM100</f>
        <v>0</v>
      </c>
      <c r="AN99" s="104">
        <f>Kotak!AN100</f>
        <v>0</v>
      </c>
      <c r="AO99" s="104">
        <f>Kotak!AO100</f>
        <v>0</v>
      </c>
      <c r="AP99" s="104">
        <f>Kotak!AP100</f>
        <v>0</v>
      </c>
      <c r="AQ99" s="104">
        <f>Kotak!AQ100</f>
        <v>0</v>
      </c>
      <c r="AR99" s="104">
        <f>Kotak!AR100</f>
        <v>0</v>
      </c>
      <c r="AS99" s="104">
        <f>Kotak!AS100</f>
        <v>0</v>
      </c>
      <c r="AT99" s="104">
        <f>Kotak!AT100</f>
        <v>0</v>
      </c>
      <c r="AU99" s="104">
        <f>Kotak!AU100</f>
        <v>0</v>
      </c>
      <c r="AV99" s="104">
        <f>Kotak!AV100</f>
        <v>0</v>
      </c>
      <c r="AW99" s="104">
        <f>Kotak!AW100</f>
        <v>0</v>
      </c>
      <c r="AX99" s="104">
        <f>Kotak!AX100</f>
        <v>0</v>
      </c>
      <c r="AY99" s="104">
        <f>Kotak!AY100</f>
        <v>0</v>
      </c>
      <c r="AZ99" s="104">
        <f>Kotak!AZ100</f>
        <v>0</v>
      </c>
      <c r="BA99" s="104">
        <f>Kotak!BA100</f>
        <v>0</v>
      </c>
      <c r="BB99" s="104">
        <f>Kotak!BB100</f>
        <v>0</v>
      </c>
      <c r="BC99" s="104">
        <f>Kotak!BC100</f>
        <v>0</v>
      </c>
      <c r="BD99" s="104">
        <f>Kotak!BD100</f>
        <v>0</v>
      </c>
      <c r="BE99" s="104">
        <f>Kotak!BE100</f>
        <v>0</v>
      </c>
      <c r="BF99" s="104">
        <f>Kotak!BF100</f>
        <v>0</v>
      </c>
      <c r="BG99" s="104">
        <f>Kotak!BG100</f>
        <v>0</v>
      </c>
      <c r="BH99" s="104">
        <f>Kotak!BH100</f>
        <v>0</v>
      </c>
      <c r="BI99" s="104">
        <f>Kotak!BI100</f>
        <v>0</v>
      </c>
      <c r="BJ99" s="104">
        <f>Kotak!BJ100</f>
        <v>0</v>
      </c>
      <c r="BK99" s="104">
        <f>Kotak!BK100</f>
        <v>0</v>
      </c>
      <c r="BL99" s="104">
        <f>Kotak!BL100</f>
        <v>0</v>
      </c>
      <c r="BM99" s="104">
        <f>Kotak!BM100</f>
        <v>0</v>
      </c>
      <c r="BN99" s="104">
        <f>Kotak!BN100</f>
        <v>0</v>
      </c>
      <c r="BO99" s="104">
        <f>Kotak!BO100</f>
        <v>0</v>
      </c>
      <c r="BP99" s="104">
        <f>Kotak!BP100</f>
        <v>0</v>
      </c>
      <c r="BQ99" s="104">
        <f>Kotak!BQ100</f>
        <v>0</v>
      </c>
      <c r="BR99" s="104">
        <f>Kotak!BR100</f>
        <v>0</v>
      </c>
    </row>
    <row r="100" spans="1:70">
      <c r="A100" s="38">
        <v>100</v>
      </c>
      <c r="B100" s="5"/>
      <c r="C100" s="5"/>
      <c r="D100" s="5"/>
      <c r="E100" s="38"/>
      <c r="F100" s="38">
        <f>IDFC!I100</f>
        <v>0</v>
      </c>
      <c r="G100" s="38">
        <f>Kotak!G101</f>
        <v>0</v>
      </c>
      <c r="H100" s="129">
        <f t="shared" si="9"/>
        <v>0</v>
      </c>
      <c r="I100" s="130">
        <f t="shared" si="7"/>
        <v>0</v>
      </c>
      <c r="J100" s="160">
        <f t="shared" si="8"/>
        <v>0</v>
      </c>
      <c r="K100" s="104">
        <f>Kotak!K101</f>
        <v>0</v>
      </c>
      <c r="L100" s="104">
        <f>Kotak!L101</f>
        <v>0</v>
      </c>
      <c r="M100" s="104">
        <f>Kotak!M101</f>
        <v>0</v>
      </c>
      <c r="N100" s="104">
        <f>Kotak!N101</f>
        <v>0</v>
      </c>
      <c r="O100" s="104">
        <f>Kotak!O101</f>
        <v>0</v>
      </c>
      <c r="P100" s="104">
        <f>Kotak!P101</f>
        <v>0</v>
      </c>
      <c r="Q100" s="104">
        <f>Kotak!Q101</f>
        <v>0</v>
      </c>
      <c r="R100" s="104">
        <f>Kotak!R101</f>
        <v>0</v>
      </c>
      <c r="S100" s="104">
        <f>Kotak!S101</f>
        <v>0</v>
      </c>
      <c r="T100" s="104">
        <f>Kotak!T101</f>
        <v>0</v>
      </c>
      <c r="U100" s="104">
        <f>Kotak!U101</f>
        <v>0</v>
      </c>
      <c r="V100" s="104">
        <f>Kotak!V101</f>
        <v>0</v>
      </c>
      <c r="W100" s="104">
        <f>Kotak!W101</f>
        <v>0</v>
      </c>
      <c r="X100" s="104">
        <f>Kotak!X101</f>
        <v>0</v>
      </c>
      <c r="Y100" s="104">
        <f>Kotak!Y101</f>
        <v>0</v>
      </c>
      <c r="Z100" s="104">
        <f>Kotak!Z101</f>
        <v>0</v>
      </c>
      <c r="AA100" s="104">
        <f>Kotak!AA101</f>
        <v>0</v>
      </c>
      <c r="AB100" s="104">
        <f>Kotak!AB101</f>
        <v>0</v>
      </c>
      <c r="AC100" s="104">
        <f>Kotak!AC101</f>
        <v>0</v>
      </c>
      <c r="AD100" s="104">
        <f>Kotak!AD101</f>
        <v>0</v>
      </c>
      <c r="AE100" s="104">
        <f>Kotak!AE101</f>
        <v>0</v>
      </c>
      <c r="AF100" s="104">
        <f>Kotak!AF101</f>
        <v>0</v>
      </c>
      <c r="AG100" s="104">
        <f>Kotak!AG101</f>
        <v>0</v>
      </c>
      <c r="AH100" s="104">
        <f>Kotak!AH101</f>
        <v>0</v>
      </c>
      <c r="AI100" s="104">
        <f>Kotak!AI101</f>
        <v>0</v>
      </c>
      <c r="AJ100" s="104">
        <f>Kotak!AJ101</f>
        <v>0</v>
      </c>
      <c r="AK100" s="104">
        <f>Kotak!AK101</f>
        <v>0</v>
      </c>
      <c r="AL100" s="104">
        <f>Kotak!AL101</f>
        <v>0</v>
      </c>
      <c r="AM100" s="104">
        <f>Kotak!AM101</f>
        <v>0</v>
      </c>
      <c r="AN100" s="104">
        <f>Kotak!AN101</f>
        <v>0</v>
      </c>
      <c r="AO100" s="104">
        <f>Kotak!AO101</f>
        <v>0</v>
      </c>
      <c r="AP100" s="104">
        <f>Kotak!AP101</f>
        <v>0</v>
      </c>
      <c r="AQ100" s="104">
        <f>Kotak!AQ101</f>
        <v>0</v>
      </c>
      <c r="AR100" s="104">
        <f>Kotak!AR101</f>
        <v>0</v>
      </c>
      <c r="AS100" s="104">
        <f>Kotak!AS101</f>
        <v>0</v>
      </c>
      <c r="AT100" s="104">
        <f>Kotak!AT101</f>
        <v>0</v>
      </c>
      <c r="AU100" s="104">
        <f>Kotak!AU101</f>
        <v>0</v>
      </c>
      <c r="AV100" s="104">
        <f>Kotak!AV101</f>
        <v>0</v>
      </c>
      <c r="AW100" s="104">
        <f>Kotak!AW101</f>
        <v>0</v>
      </c>
      <c r="AX100" s="104">
        <f>Kotak!AX101</f>
        <v>0</v>
      </c>
      <c r="AY100" s="104">
        <f>Kotak!AY101</f>
        <v>0</v>
      </c>
      <c r="AZ100" s="104">
        <f>Kotak!AZ101</f>
        <v>0</v>
      </c>
      <c r="BA100" s="104">
        <f>Kotak!BA101</f>
        <v>0</v>
      </c>
      <c r="BB100" s="104">
        <f>Kotak!BB101</f>
        <v>0</v>
      </c>
      <c r="BC100" s="104">
        <f>Kotak!BC101</f>
        <v>0</v>
      </c>
      <c r="BD100" s="104">
        <f>Kotak!BD101</f>
        <v>0</v>
      </c>
      <c r="BE100" s="104">
        <f>Kotak!BE101</f>
        <v>0</v>
      </c>
      <c r="BF100" s="104">
        <f>Kotak!BF101</f>
        <v>0</v>
      </c>
      <c r="BG100" s="104">
        <f>Kotak!BG101</f>
        <v>0</v>
      </c>
      <c r="BH100" s="104">
        <f>Kotak!BH101</f>
        <v>0</v>
      </c>
      <c r="BI100" s="104">
        <f>Kotak!BI101</f>
        <v>0</v>
      </c>
      <c r="BJ100" s="104">
        <f>Kotak!BJ101</f>
        <v>0</v>
      </c>
      <c r="BK100" s="104">
        <f>Kotak!BK101</f>
        <v>0</v>
      </c>
      <c r="BL100" s="104">
        <f>Kotak!BL101</f>
        <v>0</v>
      </c>
      <c r="BM100" s="104">
        <f>Kotak!BM101</f>
        <v>0</v>
      </c>
      <c r="BN100" s="104">
        <f>Kotak!BN101</f>
        <v>0</v>
      </c>
      <c r="BO100" s="104">
        <f>Kotak!BO101</f>
        <v>0</v>
      </c>
      <c r="BP100" s="104">
        <f>Kotak!BP101</f>
        <v>0</v>
      </c>
      <c r="BQ100" s="104">
        <f>Kotak!BQ101</f>
        <v>0</v>
      </c>
      <c r="BR100" s="104">
        <f>Kotak!BR101</f>
        <v>0</v>
      </c>
    </row>
    <row r="101" spans="1:70">
      <c r="A101" s="5"/>
      <c r="B101" s="5"/>
      <c r="C101" s="5"/>
      <c r="D101" s="5"/>
      <c r="E101" s="38"/>
      <c r="F101" s="38"/>
      <c r="G101" s="5"/>
      <c r="H101" s="125"/>
      <c r="I101" s="126"/>
      <c r="J101" s="126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70">
      <c r="A102" s="5"/>
      <c r="B102" s="5"/>
      <c r="C102" s="5"/>
      <c r="D102" s="5"/>
      <c r="E102" s="38"/>
      <c r="F102" s="38"/>
      <c r="G102" s="5"/>
      <c r="H102" s="125"/>
      <c r="I102" s="126"/>
      <c r="J102" s="126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70">
      <c r="A103" s="5"/>
      <c r="B103" s="5"/>
      <c r="C103" s="5"/>
      <c r="D103" s="5"/>
      <c r="E103" s="38"/>
      <c r="F103" s="38"/>
      <c r="G103" s="5"/>
      <c r="H103" s="125"/>
      <c r="I103" s="126"/>
      <c r="J103" s="126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70">
      <c r="A104" s="5"/>
      <c r="B104" s="5"/>
      <c r="C104" s="5"/>
      <c r="D104" s="5"/>
      <c r="E104" s="38"/>
      <c r="F104" s="38"/>
      <c r="G104" s="5"/>
      <c r="H104" s="125"/>
      <c r="I104" s="126"/>
      <c r="J104" s="126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70">
      <c r="A105" s="5"/>
      <c r="B105" s="5"/>
      <c r="C105" s="5"/>
      <c r="D105" s="5"/>
      <c r="E105" s="38"/>
      <c r="F105" s="38"/>
      <c r="G105" s="5"/>
      <c r="H105" s="125"/>
      <c r="I105" s="126"/>
      <c r="J105" s="126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70">
      <c r="A106" s="5"/>
      <c r="B106" s="5"/>
      <c r="C106" s="5"/>
      <c r="D106" s="5"/>
      <c r="E106" s="38"/>
      <c r="F106" s="38"/>
      <c r="G106" s="5"/>
      <c r="H106" s="125"/>
      <c r="I106" s="126"/>
      <c r="J106" s="126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70">
      <c r="A107" s="5"/>
      <c r="B107" s="5"/>
      <c r="C107" s="5"/>
      <c r="D107" s="5"/>
      <c r="E107" s="38"/>
      <c r="F107" s="38"/>
      <c r="G107" s="5"/>
      <c r="H107" s="125"/>
      <c r="I107" s="126"/>
      <c r="J107" s="126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70">
      <c r="A108" s="5"/>
      <c r="B108" s="5"/>
      <c r="C108" s="5"/>
      <c r="D108" s="5"/>
      <c r="E108" s="38"/>
      <c r="F108" s="38"/>
      <c r="G108" s="5"/>
      <c r="H108" s="125"/>
      <c r="I108" s="126"/>
      <c r="J108" s="126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70">
      <c r="A109" s="5"/>
      <c r="B109" s="5"/>
      <c r="C109" s="5"/>
      <c r="D109" s="5"/>
      <c r="E109" s="38"/>
      <c r="F109" s="38"/>
      <c r="G109" s="5"/>
      <c r="H109" s="125"/>
      <c r="I109" s="126"/>
      <c r="J109" s="126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70">
      <c r="A110" s="5"/>
      <c r="B110" s="5"/>
      <c r="C110" s="5"/>
      <c r="D110" s="5"/>
      <c r="E110" s="38"/>
      <c r="F110" s="38"/>
      <c r="G110" s="5"/>
      <c r="H110" s="125"/>
      <c r="I110" s="126"/>
      <c r="J110" s="126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70">
      <c r="A111" s="5"/>
      <c r="B111" s="5"/>
      <c r="C111" s="5"/>
      <c r="D111" s="5"/>
      <c r="E111" s="38"/>
      <c r="F111" s="38"/>
      <c r="G111" s="5"/>
      <c r="H111" s="125"/>
      <c r="I111" s="126"/>
      <c r="J111" s="126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</row>
    <row r="112" spans="1:70">
      <c r="A112" s="5"/>
      <c r="B112" s="5"/>
      <c r="C112" s="5"/>
      <c r="D112" s="5"/>
      <c r="E112" s="38"/>
      <c r="F112" s="38"/>
      <c r="G112" s="5"/>
      <c r="H112" s="125"/>
      <c r="I112" s="126"/>
      <c r="J112" s="126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</row>
    <row r="113" spans="1:37">
      <c r="A113" s="5"/>
      <c r="B113" s="5"/>
      <c r="C113" s="5"/>
      <c r="D113" s="5"/>
      <c r="E113" s="38"/>
      <c r="F113" s="38"/>
      <c r="G113" s="5"/>
      <c r="H113" s="125"/>
      <c r="I113" s="126"/>
      <c r="J113" s="126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</row>
    <row r="114" spans="1:37">
      <c r="A114" s="5"/>
      <c r="B114" s="5"/>
      <c r="C114" s="5"/>
      <c r="D114" s="5"/>
      <c r="E114" s="38"/>
      <c r="F114" s="38"/>
      <c r="G114" s="5"/>
      <c r="H114" s="125"/>
      <c r="I114" s="126"/>
      <c r="J114" s="126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</row>
  </sheetData>
  <sheetProtection sheet="1" objects="1" scenarios="1"/>
  <conditionalFormatting sqref="C3:F3">
    <cfRule type="duplicateValues" dxfId="29" priority="7"/>
  </conditionalFormatting>
  <conditionalFormatting sqref="G101:G1048576 C2:F2 C4:F4 C6:F6 C5:D5 D10:D11">
    <cfRule type="duplicateValues" dxfId="28" priority="8"/>
  </conditionalFormatting>
  <conditionalFormatting sqref="D9">
    <cfRule type="duplicateValues" dxfId="27" priority="6"/>
  </conditionalFormatting>
  <conditionalFormatting sqref="D7">
    <cfRule type="duplicateValues" dxfId="26" priority="5"/>
  </conditionalFormatting>
  <conditionalFormatting sqref="F7:F100">
    <cfRule type="duplicateValues" dxfId="25" priority="2"/>
  </conditionalFormatting>
  <conditionalFormatting sqref="D12:D35">
    <cfRule type="duplicateValues" dxfId="2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E115"/>
  <sheetViews>
    <sheetView workbookViewId="0">
      <pane xSplit="8" ySplit="10" topLeftCell="P11" activePane="bottomRight" state="frozen"/>
      <selection pane="topRight" activeCell="I1" sqref="I1"/>
      <selection pane="bottomLeft" activeCell="A10" sqref="A10"/>
      <selection pane="bottomRight" sqref="A1:XFD1048576"/>
    </sheetView>
  </sheetViews>
  <sheetFormatPr defaultRowHeight="15"/>
  <cols>
    <col min="1" max="1" width="6.140625" bestFit="1" customWidth="1"/>
    <col min="2" max="2" width="16" bestFit="1" customWidth="1"/>
    <col min="3" max="3" width="9.5703125" customWidth="1"/>
    <col min="4" max="4" width="11.7109375" customWidth="1"/>
    <col min="5" max="5" width="9.42578125" style="68" customWidth="1"/>
    <col min="6" max="6" width="15.42578125" style="68" bestFit="1" customWidth="1"/>
    <col min="7" max="7" width="12.140625" bestFit="1" customWidth="1"/>
    <col min="8" max="8" width="13.7109375" style="127" customWidth="1"/>
    <col min="9" max="9" width="7.85546875" style="128" bestFit="1" customWidth="1"/>
    <col min="10" max="10" width="15.5703125" style="128" bestFit="1" customWidth="1"/>
    <col min="11" max="11" width="8.28515625" customWidth="1"/>
    <col min="12" max="12" width="10.5703125" customWidth="1"/>
    <col min="13" max="13" width="11.85546875" customWidth="1"/>
    <col min="14" max="15" width="8.85546875" customWidth="1"/>
    <col min="16" max="16" width="10" customWidth="1"/>
    <col min="17" max="17" width="10.7109375" customWidth="1"/>
    <col min="18" max="18" width="12.7109375" customWidth="1"/>
    <col min="19" max="19" width="10" customWidth="1"/>
    <col min="20" max="20" width="9.42578125" bestFit="1" customWidth="1"/>
    <col min="21" max="21" width="9.28515625" customWidth="1"/>
    <col min="22" max="22" width="7.5703125" bestFit="1" customWidth="1"/>
    <col min="23" max="23" width="8.7109375" customWidth="1"/>
    <col min="24" max="24" width="14.140625" bestFit="1" customWidth="1"/>
    <col min="25" max="25" width="9.28515625" bestFit="1" customWidth="1"/>
    <col min="26" max="26" width="9.5703125" bestFit="1" customWidth="1"/>
    <col min="27" max="27" width="8.42578125" customWidth="1"/>
    <col min="28" max="28" width="8.5703125" bestFit="1" customWidth="1"/>
    <col min="29" max="29" width="8" customWidth="1"/>
    <col min="30" max="30" width="9.5703125" bestFit="1" customWidth="1"/>
    <col min="31" max="31" width="7.140625" bestFit="1" customWidth="1"/>
    <col min="32" max="32" width="9.140625" bestFit="1" customWidth="1"/>
    <col min="33" max="33" width="18.140625" bestFit="1" customWidth="1"/>
    <col min="34" max="34" width="12.140625" customWidth="1"/>
    <col min="35" max="35" width="12.5703125" bestFit="1" customWidth="1"/>
    <col min="36" max="36" width="13.28515625" bestFit="1" customWidth="1"/>
    <col min="37" max="37" width="14.7109375" bestFit="1" customWidth="1"/>
    <col min="38" max="38" width="12.42578125" bestFit="1" customWidth="1"/>
    <col min="39" max="39" width="17.140625" bestFit="1" customWidth="1"/>
    <col min="40" max="40" width="12.7109375" bestFit="1" customWidth="1"/>
    <col min="41" max="41" width="15.7109375" customWidth="1"/>
    <col min="42" max="42" width="6.85546875" customWidth="1"/>
    <col min="43" max="43" width="12.5703125" bestFit="1" customWidth="1"/>
    <col min="44" max="44" width="9.7109375" bestFit="1" customWidth="1"/>
    <col min="45" max="45" width="9.140625" customWidth="1"/>
    <col min="46" max="46" width="12.42578125" bestFit="1" customWidth="1"/>
    <col min="47" max="47" width="17.140625" bestFit="1" customWidth="1"/>
    <col min="48" max="48" width="14.42578125" bestFit="1" customWidth="1"/>
    <col min="49" max="49" width="17.7109375" bestFit="1" customWidth="1"/>
    <col min="50" max="51" width="13.7109375" bestFit="1" customWidth="1"/>
    <col min="52" max="52" width="12.140625" bestFit="1" customWidth="1"/>
    <col min="53" max="53" width="9.85546875" bestFit="1" customWidth="1"/>
    <col min="54" max="54" width="15.28515625" bestFit="1" customWidth="1"/>
    <col min="55" max="55" width="5" bestFit="1" customWidth="1"/>
    <col min="56" max="56" width="5.7109375" bestFit="1" customWidth="1"/>
    <col min="57" max="58" width="9" bestFit="1" customWidth="1"/>
    <col min="59" max="59" width="8.7109375" customWidth="1"/>
    <col min="60" max="60" width="9.7109375" customWidth="1"/>
    <col min="61" max="61" width="7.7109375" customWidth="1"/>
    <col min="62" max="62" width="4.7109375" customWidth="1"/>
    <col min="63" max="63" width="8.42578125" bestFit="1" customWidth="1"/>
    <col min="64" max="64" width="6.5703125" customWidth="1"/>
    <col min="65" max="65" width="9.42578125" customWidth="1"/>
    <col min="66" max="66" width="6.140625" customWidth="1"/>
    <col min="67" max="67" width="6" customWidth="1"/>
    <col min="68" max="68" width="6.28515625" customWidth="1"/>
    <col min="69" max="69" width="5.28515625" customWidth="1"/>
  </cols>
  <sheetData>
    <row r="1" spans="1:83" ht="15.75" thickBot="1">
      <c r="J1" s="128" t="s">
        <v>1155</v>
      </c>
    </row>
    <row r="2" spans="1:83" s="110" customFormat="1" ht="30.75" thickBot="1">
      <c r="A2" s="119"/>
      <c r="B2" s="119"/>
      <c r="C2" s="133" t="s">
        <v>28</v>
      </c>
      <c r="D2" s="137">
        <f>SUM(D4:D101)+I2</f>
        <v>288980</v>
      </c>
      <c r="E2" s="121">
        <f>SUM(E4:E101)</f>
        <v>25000</v>
      </c>
      <c r="F2" s="121">
        <f>SUM(F4:F101)</f>
        <v>0</v>
      </c>
      <c r="G2" s="121">
        <f>SUM(G4:G101)</f>
        <v>657513</v>
      </c>
      <c r="H2" s="120" t="s">
        <v>303</v>
      </c>
      <c r="I2" s="140">
        <f>SUM(I4:I101)</f>
        <v>271212</v>
      </c>
      <c r="J2" s="158">
        <f>SUM(J4:J101)</f>
        <v>288980</v>
      </c>
      <c r="K2" s="114">
        <f>SUM(K4:K101)</f>
        <v>4602</v>
      </c>
      <c r="L2" s="114">
        <f t="shared" ref="L2:BQ2" si="0">SUM(L4:L101)</f>
        <v>7425</v>
      </c>
      <c r="M2" s="114">
        <f t="shared" si="0"/>
        <v>14500</v>
      </c>
      <c r="N2" s="114">
        <f t="shared" si="0"/>
        <v>3450</v>
      </c>
      <c r="O2" s="114">
        <f t="shared" si="0"/>
        <v>24500</v>
      </c>
      <c r="P2" s="114">
        <f t="shared" si="0"/>
        <v>1287</v>
      </c>
      <c r="Q2" s="114">
        <f t="shared" si="0"/>
        <v>6663</v>
      </c>
      <c r="R2" s="114">
        <f t="shared" si="0"/>
        <v>45000</v>
      </c>
      <c r="S2" s="114">
        <f t="shared" si="0"/>
        <v>7300</v>
      </c>
      <c r="T2" s="114">
        <f t="shared" si="0"/>
        <v>6000</v>
      </c>
      <c r="U2" s="114">
        <f t="shared" si="0"/>
        <v>1980</v>
      </c>
      <c r="V2" s="114">
        <f t="shared" si="0"/>
        <v>19754</v>
      </c>
      <c r="W2" s="114">
        <f t="shared" si="0"/>
        <v>3035</v>
      </c>
      <c r="X2" s="114">
        <f t="shared" si="0"/>
        <v>5000</v>
      </c>
      <c r="Y2" s="114">
        <f t="shared" si="0"/>
        <v>5376</v>
      </c>
      <c r="Z2" s="114">
        <f t="shared" si="0"/>
        <v>0</v>
      </c>
      <c r="AA2" s="114">
        <f t="shared" si="0"/>
        <v>13508</v>
      </c>
      <c r="AB2" s="114">
        <f t="shared" si="0"/>
        <v>5000</v>
      </c>
      <c r="AC2" s="114">
        <f t="shared" si="0"/>
        <v>9527</v>
      </c>
      <c r="AD2" s="114">
        <f t="shared" si="0"/>
        <v>3000</v>
      </c>
      <c r="AE2" s="114">
        <f t="shared" si="0"/>
        <v>10000</v>
      </c>
      <c r="AF2" s="114">
        <f t="shared" si="0"/>
        <v>4000</v>
      </c>
      <c r="AG2" s="114">
        <f t="shared" si="0"/>
        <v>1900</v>
      </c>
      <c r="AH2" s="114">
        <f t="shared" si="0"/>
        <v>87300</v>
      </c>
      <c r="AI2" s="114">
        <f t="shared" si="0"/>
        <v>2661</v>
      </c>
      <c r="AJ2" s="114">
        <f t="shared" si="0"/>
        <v>3385</v>
      </c>
      <c r="AK2" s="114">
        <f t="shared" si="0"/>
        <v>5148</v>
      </c>
      <c r="AL2" s="114">
        <f t="shared" si="0"/>
        <v>0</v>
      </c>
      <c r="AM2" s="114">
        <f t="shared" si="0"/>
        <v>0</v>
      </c>
      <c r="AN2" s="114">
        <f t="shared" si="0"/>
        <v>0</v>
      </c>
      <c r="AO2" s="114">
        <f t="shared" si="0"/>
        <v>0</v>
      </c>
      <c r="AP2" s="114">
        <f t="shared" si="0"/>
        <v>0</v>
      </c>
      <c r="AQ2" s="114">
        <f t="shared" si="0"/>
        <v>0</v>
      </c>
      <c r="AR2" s="114">
        <f t="shared" si="0"/>
        <v>0</v>
      </c>
      <c r="AS2" s="114">
        <f t="shared" si="0"/>
        <v>25000</v>
      </c>
      <c r="AT2" s="114">
        <f t="shared" si="0"/>
        <v>0</v>
      </c>
      <c r="AU2" s="114">
        <f t="shared" si="0"/>
        <v>0</v>
      </c>
      <c r="AV2" s="114">
        <f t="shared" si="0"/>
        <v>0</v>
      </c>
      <c r="AW2" s="114">
        <f t="shared" si="0"/>
        <v>0</v>
      </c>
      <c r="AX2" s="114">
        <f t="shared" si="0"/>
        <v>0</v>
      </c>
      <c r="AY2" s="114">
        <f t="shared" si="0"/>
        <v>0</v>
      </c>
      <c r="AZ2" s="114">
        <f t="shared" si="0"/>
        <v>0</v>
      </c>
      <c r="BA2" s="114">
        <f t="shared" si="0"/>
        <v>0</v>
      </c>
      <c r="BB2" s="114">
        <f t="shared" si="0"/>
        <v>0</v>
      </c>
      <c r="BC2" s="114">
        <f t="shared" si="0"/>
        <v>0</v>
      </c>
      <c r="BD2" s="114">
        <f t="shared" si="0"/>
        <v>0</v>
      </c>
      <c r="BE2" s="114">
        <f t="shared" si="0"/>
        <v>0</v>
      </c>
      <c r="BF2" s="114">
        <f t="shared" si="0"/>
        <v>0</v>
      </c>
      <c r="BG2" s="114">
        <f t="shared" si="0"/>
        <v>0</v>
      </c>
      <c r="BH2" s="114">
        <f t="shared" si="0"/>
        <v>0</v>
      </c>
      <c r="BI2" s="114">
        <f t="shared" si="0"/>
        <v>0</v>
      </c>
      <c r="BJ2" s="114">
        <f t="shared" si="0"/>
        <v>0</v>
      </c>
      <c r="BK2" s="114">
        <f t="shared" si="0"/>
        <v>0</v>
      </c>
      <c r="BL2" s="114">
        <f t="shared" si="0"/>
        <v>60000</v>
      </c>
      <c r="BM2" s="114">
        <f t="shared" si="0"/>
        <v>0</v>
      </c>
      <c r="BN2" s="114">
        <f t="shared" si="0"/>
        <v>0</v>
      </c>
      <c r="BO2" s="114">
        <f t="shared" si="0"/>
        <v>0</v>
      </c>
      <c r="BP2" s="114">
        <f t="shared" si="0"/>
        <v>0</v>
      </c>
      <c r="BQ2" s="114">
        <f t="shared" si="0"/>
        <v>0</v>
      </c>
      <c r="BR2" s="2"/>
    </row>
    <row r="3" spans="1:83" s="110" customFormat="1" ht="60">
      <c r="A3" s="115" t="s">
        <v>51</v>
      </c>
      <c r="B3" s="115" t="s">
        <v>302</v>
      </c>
      <c r="C3" s="116" t="s">
        <v>313</v>
      </c>
      <c r="D3" s="116" t="s">
        <v>852</v>
      </c>
      <c r="E3" s="117" t="s">
        <v>378</v>
      </c>
      <c r="F3" s="117" t="s">
        <v>1092</v>
      </c>
      <c r="G3" s="117" t="s">
        <v>1093</v>
      </c>
      <c r="H3" s="122" t="s">
        <v>496</v>
      </c>
      <c r="I3" s="123" t="s">
        <v>26</v>
      </c>
      <c r="J3" s="157"/>
      <c r="K3" s="111" t="s">
        <v>1098</v>
      </c>
      <c r="L3" s="111" t="s">
        <v>836</v>
      </c>
      <c r="M3" s="111" t="s">
        <v>857</v>
      </c>
      <c r="N3" s="111" t="s">
        <v>1103</v>
      </c>
      <c r="O3" s="111" t="s">
        <v>1104</v>
      </c>
      <c r="P3" s="111" t="s">
        <v>1105</v>
      </c>
      <c r="Q3" s="111" t="s">
        <v>1106</v>
      </c>
      <c r="R3" s="111" t="s">
        <v>593</v>
      </c>
      <c r="S3" s="111" t="s">
        <v>1090</v>
      </c>
      <c r="T3" s="111" t="s">
        <v>1107</v>
      </c>
      <c r="U3" s="111" t="s">
        <v>839</v>
      </c>
      <c r="V3" s="111" t="s">
        <v>1116</v>
      </c>
      <c r="W3" s="111" t="s">
        <v>331</v>
      </c>
      <c r="X3" s="111" t="s">
        <v>1117</v>
      </c>
      <c r="Y3" s="111" t="s">
        <v>1118</v>
      </c>
      <c r="Z3" s="111" t="s">
        <v>399</v>
      </c>
      <c r="AA3" s="111" t="s">
        <v>1125</v>
      </c>
      <c r="AB3" s="111" t="s">
        <v>1126</v>
      </c>
      <c r="AC3" s="111" t="s">
        <v>1124</v>
      </c>
      <c r="AD3" s="111" t="s">
        <v>1127</v>
      </c>
      <c r="AE3" s="111" t="s">
        <v>1141</v>
      </c>
      <c r="AF3" s="111" t="s">
        <v>1142</v>
      </c>
      <c r="AG3" s="111" t="s">
        <v>272</v>
      </c>
      <c r="AH3" s="111" t="s">
        <v>1143</v>
      </c>
      <c r="AI3" s="111" t="s">
        <v>1144</v>
      </c>
      <c r="AJ3" s="111" t="s">
        <v>1145</v>
      </c>
      <c r="AK3" s="111" t="s">
        <v>1147</v>
      </c>
      <c r="AL3" s="111" t="s">
        <v>1076</v>
      </c>
      <c r="AM3" s="111" t="s">
        <v>501</v>
      </c>
      <c r="AN3" s="111" t="s">
        <v>837</v>
      </c>
      <c r="AO3" s="111" t="s">
        <v>838</v>
      </c>
      <c r="AP3" s="111" t="s">
        <v>729</v>
      </c>
      <c r="AQ3" s="111" t="s">
        <v>431</v>
      </c>
      <c r="AR3" s="111" t="s">
        <v>503</v>
      </c>
      <c r="AS3" s="111" t="s">
        <v>1102</v>
      </c>
      <c r="AT3" s="111" t="s">
        <v>858</v>
      </c>
      <c r="AU3" s="111" t="s">
        <v>334</v>
      </c>
      <c r="AV3" s="111" t="s">
        <v>728</v>
      </c>
      <c r="AW3" s="111" t="s">
        <v>423</v>
      </c>
      <c r="AX3" s="111" t="s">
        <v>469</v>
      </c>
      <c r="AY3" s="111" t="s">
        <v>1072</v>
      </c>
      <c r="AZ3" s="111" t="s">
        <v>432</v>
      </c>
      <c r="BA3" s="111" t="s">
        <v>456</v>
      </c>
      <c r="BB3" s="111" t="s">
        <v>736</v>
      </c>
      <c r="BC3" s="111" t="s">
        <v>1074</v>
      </c>
      <c r="BD3" s="111" t="s">
        <v>308</v>
      </c>
      <c r="BE3" s="111" t="s">
        <v>329</v>
      </c>
      <c r="BF3" s="111" t="s">
        <v>40</v>
      </c>
      <c r="BG3" s="112" t="s">
        <v>40</v>
      </c>
      <c r="BH3" s="132" t="s">
        <v>448</v>
      </c>
      <c r="BI3" s="132" t="s">
        <v>449</v>
      </c>
      <c r="BJ3" s="132" t="s">
        <v>450</v>
      </c>
      <c r="BK3" s="132" t="s">
        <v>451</v>
      </c>
      <c r="BL3" s="132" t="s">
        <v>452</v>
      </c>
      <c r="BM3" s="113" t="s">
        <v>335</v>
      </c>
      <c r="BN3" s="113" t="s">
        <v>856</v>
      </c>
      <c r="BO3" s="113"/>
      <c r="BP3" s="113"/>
      <c r="BQ3" s="113"/>
      <c r="BR3" s="2"/>
    </row>
    <row r="4" spans="1:83">
      <c r="A4" s="38">
        <v>1</v>
      </c>
      <c r="B4" s="30" t="s">
        <v>1091</v>
      </c>
      <c r="C4" s="5"/>
      <c r="D4" s="5"/>
      <c r="E4" s="38"/>
      <c r="F4" s="38"/>
      <c r="G4" s="38">
        <v>84406</v>
      </c>
      <c r="H4" s="129">
        <f t="shared" ref="H4:H67" si="1">SUM(K4:ZH4)</f>
        <v>73217</v>
      </c>
      <c r="I4" s="130">
        <f>F4+G4-H4</f>
        <v>11189</v>
      </c>
      <c r="J4" s="130">
        <f>D4+I4</f>
        <v>11189</v>
      </c>
      <c r="K4" s="104">
        <v>3068</v>
      </c>
      <c r="L4" s="104">
        <v>7425</v>
      </c>
      <c r="M4" s="104">
        <v>8000</v>
      </c>
      <c r="N4" s="104">
        <v>3450</v>
      </c>
      <c r="O4" s="104">
        <v>24500</v>
      </c>
      <c r="P4" s="104">
        <v>1287</v>
      </c>
      <c r="Q4" s="104">
        <v>1287</v>
      </c>
      <c r="R4" s="104"/>
      <c r="S4" s="104">
        <v>7300</v>
      </c>
      <c r="T4" s="104">
        <v>6000</v>
      </c>
      <c r="U4" s="104"/>
      <c r="V4" s="104"/>
      <c r="W4" s="104"/>
      <c r="X4" s="104"/>
      <c r="Y4" s="104"/>
      <c r="Z4" s="104"/>
      <c r="AA4" s="104">
        <v>6000</v>
      </c>
      <c r="AB4" s="104"/>
      <c r="AC4" s="104"/>
      <c r="AD4" s="104">
        <v>3000</v>
      </c>
      <c r="AE4" s="104"/>
      <c r="AF4" s="104"/>
      <c r="AG4" s="104">
        <v>1900</v>
      </c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42"/>
      <c r="BH4" s="104"/>
      <c r="BI4" s="104"/>
      <c r="BJ4" s="104"/>
      <c r="BK4" s="104"/>
      <c r="BL4" s="104"/>
      <c r="BM4" s="104"/>
      <c r="BN4" s="30"/>
      <c r="BO4" s="30"/>
      <c r="BP4" s="30"/>
      <c r="BQ4" s="30"/>
      <c r="BR4" s="3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</row>
    <row r="5" spans="1:83" s="40" customFormat="1">
      <c r="A5" s="104">
        <v>2</v>
      </c>
      <c r="B5" s="30" t="s">
        <v>1038</v>
      </c>
      <c r="C5" s="30"/>
      <c r="D5" s="30">
        <f>8768+50000-G8-G9-G11</f>
        <v>17768</v>
      </c>
      <c r="E5" s="104"/>
      <c r="F5" s="104"/>
      <c r="G5" s="104"/>
      <c r="H5" s="131">
        <f t="shared" si="1"/>
        <v>10000</v>
      </c>
      <c r="I5" s="130">
        <f t="shared" ref="I5:I68" si="2">F5+G5-H5</f>
        <v>-10000</v>
      </c>
      <c r="J5" s="130">
        <f t="shared" ref="J5:J68" si="3">D5+I5</f>
        <v>7768</v>
      </c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5"/>
      <c r="BH5" s="104"/>
      <c r="BI5" s="104"/>
      <c r="BJ5" s="104"/>
      <c r="BK5" s="104"/>
      <c r="BL5" s="104">
        <v>10000</v>
      </c>
      <c r="BM5" s="104"/>
      <c r="BN5" s="30"/>
      <c r="BO5" s="30"/>
      <c r="BP5" s="30"/>
      <c r="BQ5" s="30"/>
      <c r="BR5" s="30"/>
    </row>
    <row r="6" spans="1:83">
      <c r="A6" s="38">
        <v>4</v>
      </c>
      <c r="B6" s="5" t="s">
        <v>33</v>
      </c>
      <c r="C6" s="5" t="s">
        <v>1079</v>
      </c>
      <c r="D6" s="5"/>
      <c r="E6" s="38"/>
      <c r="F6" s="38"/>
      <c r="G6" s="104">
        <f>221000</f>
        <v>221000</v>
      </c>
      <c r="H6" s="129">
        <f t="shared" si="1"/>
        <v>149833</v>
      </c>
      <c r="I6" s="130">
        <f t="shared" si="2"/>
        <v>71167</v>
      </c>
      <c r="J6" s="130">
        <f t="shared" si="3"/>
        <v>71167</v>
      </c>
      <c r="K6" s="104"/>
      <c r="L6" s="104"/>
      <c r="M6" s="104"/>
      <c r="N6" s="145"/>
      <c r="O6" s="145"/>
      <c r="P6" s="104"/>
      <c r="Q6" s="104">
        <v>5376</v>
      </c>
      <c r="R6">
        <v>45000</v>
      </c>
      <c r="S6" s="145"/>
      <c r="T6" s="104"/>
      <c r="U6" s="145"/>
      <c r="V6" s="145"/>
      <c r="W6" s="104">
        <v>3035</v>
      </c>
      <c r="X6" s="21">
        <v>5000</v>
      </c>
      <c r="Y6" s="104">
        <v>5376</v>
      </c>
      <c r="Z6" s="104"/>
      <c r="AA6" s="104"/>
      <c r="AB6" s="104">
        <v>5000</v>
      </c>
      <c r="AC6" s="104"/>
      <c r="AD6" s="104"/>
      <c r="AE6" s="104"/>
      <c r="AF6" s="104"/>
      <c r="AG6" s="104"/>
      <c r="AH6" s="104"/>
      <c r="AI6" s="104">
        <v>2661</v>
      </c>
      <c r="AJ6" s="104">
        <v>3385</v>
      </c>
      <c r="AK6" s="104"/>
      <c r="AL6" s="104"/>
      <c r="AM6" s="104"/>
      <c r="AN6" s="104"/>
      <c r="AO6" s="104"/>
      <c r="AP6" s="104"/>
      <c r="AQ6" s="104"/>
      <c r="AR6" s="104"/>
      <c r="AS6" s="104">
        <v>25000</v>
      </c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5"/>
      <c r="BH6" s="104"/>
      <c r="BI6" s="104"/>
      <c r="BJ6" s="104"/>
      <c r="BK6" s="104"/>
      <c r="BL6" s="104">
        <v>50000</v>
      </c>
      <c r="BM6" s="104"/>
      <c r="BN6" s="30"/>
      <c r="BO6" s="30"/>
      <c r="BP6" s="30"/>
      <c r="BQ6" s="30"/>
      <c r="BR6" s="3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</row>
    <row r="7" spans="1:83">
      <c r="A7" s="38">
        <v>7</v>
      </c>
      <c r="B7" s="5" t="s">
        <v>502</v>
      </c>
      <c r="C7" s="5"/>
      <c r="D7" s="38"/>
      <c r="E7" s="104"/>
      <c r="F7" s="38"/>
      <c r="G7" s="38"/>
      <c r="H7" s="129">
        <f t="shared" si="1"/>
        <v>0</v>
      </c>
      <c r="I7" s="130">
        <f t="shared" si="2"/>
        <v>0</v>
      </c>
      <c r="J7" s="130">
        <f t="shared" si="3"/>
        <v>0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5"/>
      <c r="BH7" s="104"/>
      <c r="BI7" s="104"/>
      <c r="BJ7" s="104"/>
      <c r="BK7" s="104"/>
      <c r="BL7" s="104"/>
      <c r="BM7" s="104"/>
      <c r="BN7" s="30"/>
      <c r="BO7" s="30"/>
      <c r="BP7" s="30"/>
      <c r="BQ7" s="30"/>
      <c r="BR7" s="3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</row>
    <row r="8" spans="1:83">
      <c r="A8" s="38">
        <v>5</v>
      </c>
      <c r="B8" s="5" t="s">
        <v>1113</v>
      </c>
      <c r="C8" s="5" t="s">
        <v>1109</v>
      </c>
      <c r="D8" s="5"/>
      <c r="E8" s="104"/>
      <c r="F8" s="38"/>
      <c r="G8" s="38">
        <v>21000</v>
      </c>
      <c r="H8" s="129">
        <f t="shared" si="1"/>
        <v>12230</v>
      </c>
      <c r="I8" s="130">
        <f t="shared" si="2"/>
        <v>8770</v>
      </c>
      <c r="J8" s="130">
        <f t="shared" si="3"/>
        <v>8770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>
        <v>12230</v>
      </c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5"/>
      <c r="BH8" s="104"/>
      <c r="BI8" s="104"/>
      <c r="BJ8" s="104"/>
      <c r="BK8" s="104"/>
      <c r="BL8" s="104"/>
      <c r="BM8" s="104"/>
      <c r="BN8" s="30"/>
      <c r="BO8" s="30"/>
      <c r="BP8" s="30"/>
      <c r="BQ8" s="30"/>
      <c r="BR8" s="3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</row>
    <row r="9" spans="1:83">
      <c r="A9" s="38">
        <v>6</v>
      </c>
      <c r="B9" s="30" t="s">
        <v>1113</v>
      </c>
      <c r="C9" s="5" t="s">
        <v>1110</v>
      </c>
      <c r="D9" s="5"/>
      <c r="E9" s="104">
        <v>10000</v>
      </c>
      <c r="F9" s="38"/>
      <c r="G9" s="38">
        <v>10000</v>
      </c>
      <c r="H9" s="129">
        <f t="shared" si="1"/>
        <v>4752</v>
      </c>
      <c r="I9" s="130">
        <f t="shared" si="2"/>
        <v>5248</v>
      </c>
      <c r="J9" s="130">
        <f t="shared" si="3"/>
        <v>5248</v>
      </c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>
        <v>1980</v>
      </c>
      <c r="V9" s="104">
        <v>2772</v>
      </c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5"/>
      <c r="BH9" s="104"/>
      <c r="BI9" s="104"/>
      <c r="BJ9" s="104"/>
      <c r="BK9" s="104"/>
      <c r="BL9" s="104"/>
      <c r="BM9" s="104"/>
      <c r="BN9" s="30"/>
      <c r="BO9" s="30"/>
      <c r="BP9" s="30"/>
      <c r="BQ9" s="30"/>
      <c r="BR9" s="3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</row>
    <row r="10" spans="1:83" s="40" customFormat="1">
      <c r="A10" s="104">
        <v>3</v>
      </c>
      <c r="B10" s="5" t="s">
        <v>1113</v>
      </c>
      <c r="C10" s="30" t="s">
        <v>1111</v>
      </c>
      <c r="D10" s="30"/>
      <c r="E10" s="104">
        <v>15000</v>
      </c>
      <c r="F10" s="104"/>
      <c r="G10" s="104"/>
      <c r="H10" s="124">
        <f t="shared" si="1"/>
        <v>0</v>
      </c>
      <c r="I10" s="130">
        <f t="shared" si="2"/>
        <v>0</v>
      </c>
      <c r="J10" s="130">
        <f t="shared" si="3"/>
        <v>0</v>
      </c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5"/>
      <c r="BH10" s="104"/>
      <c r="BI10" s="104"/>
      <c r="BJ10" s="104"/>
      <c r="BK10" s="104"/>
      <c r="BL10" s="104"/>
      <c r="BM10" s="104"/>
      <c r="BN10" s="30"/>
      <c r="BO10" s="30"/>
      <c r="BP10" s="30"/>
      <c r="BQ10" s="30"/>
      <c r="BR10" s="30"/>
    </row>
    <row r="11" spans="1:83">
      <c r="A11" s="104">
        <v>10</v>
      </c>
      <c r="B11" s="30" t="s">
        <v>1113</v>
      </c>
      <c r="C11" s="30" t="s">
        <v>1112</v>
      </c>
      <c r="D11" s="30"/>
      <c r="E11" s="104"/>
      <c r="F11" s="104"/>
      <c r="G11" s="104">
        <v>10000</v>
      </c>
      <c r="H11" s="131">
        <f t="shared" si="1"/>
        <v>0</v>
      </c>
      <c r="I11" s="130">
        <f t="shared" si="2"/>
        <v>10000</v>
      </c>
      <c r="J11" s="130">
        <f t="shared" si="3"/>
        <v>10000</v>
      </c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5"/>
      <c r="BH11" s="104"/>
      <c r="BI11" s="104"/>
      <c r="BJ11" s="104"/>
      <c r="BK11" s="104"/>
      <c r="BL11" s="104"/>
      <c r="BM11" s="104"/>
      <c r="BN11" s="30"/>
      <c r="BO11" s="30"/>
      <c r="BP11" s="30"/>
      <c r="BQ11" s="30"/>
      <c r="BR11" s="3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</row>
    <row r="12" spans="1:83">
      <c r="A12" s="104">
        <v>11</v>
      </c>
      <c r="B12" s="30" t="s">
        <v>1113</v>
      </c>
      <c r="C12" s="30" t="s">
        <v>848</v>
      </c>
      <c r="D12" s="30"/>
      <c r="E12" s="104"/>
      <c r="F12" s="104"/>
      <c r="G12" s="104"/>
      <c r="H12" s="131">
        <f t="shared" si="1"/>
        <v>11061</v>
      </c>
      <c r="I12" s="130">
        <f t="shared" si="2"/>
        <v>-11061</v>
      </c>
      <c r="J12" s="130">
        <f t="shared" si="3"/>
        <v>-11061</v>
      </c>
      <c r="K12" s="104">
        <v>1534</v>
      </c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>
        <v>9527</v>
      </c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5"/>
      <c r="BH12" s="104"/>
      <c r="BI12" s="104"/>
      <c r="BJ12" s="104"/>
      <c r="BK12" s="104"/>
      <c r="BL12" s="104"/>
      <c r="BM12" s="104"/>
      <c r="BN12" s="30"/>
      <c r="BO12" s="30"/>
      <c r="BP12" s="30"/>
      <c r="BQ12" s="30"/>
      <c r="BR12" s="3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</row>
    <row r="13" spans="1:83">
      <c r="A13" s="104">
        <v>12</v>
      </c>
      <c r="B13" s="30" t="s">
        <v>1113</v>
      </c>
      <c r="C13" s="30" t="s">
        <v>1135</v>
      </c>
      <c r="D13" s="30"/>
      <c r="E13" s="104"/>
      <c r="F13" s="104"/>
      <c r="G13" s="104"/>
      <c r="H13" s="131">
        <f>SUM(K13:BQ13)</f>
        <v>10500</v>
      </c>
      <c r="I13" s="130">
        <f t="shared" si="2"/>
        <v>-10500</v>
      </c>
      <c r="J13" s="130">
        <f t="shared" si="3"/>
        <v>-10500</v>
      </c>
      <c r="K13" s="104"/>
      <c r="L13" s="104"/>
      <c r="M13" s="104">
        <v>6500</v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>
        <v>4000</v>
      </c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5"/>
      <c r="BH13" s="104"/>
      <c r="BI13" s="104"/>
      <c r="BJ13" s="104"/>
      <c r="BK13" s="104"/>
      <c r="BL13" s="104"/>
      <c r="BM13" s="104"/>
      <c r="BN13" s="30"/>
      <c r="BO13" s="30"/>
      <c r="BP13" s="30"/>
      <c r="BQ13" s="30"/>
      <c r="BR13" s="3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</row>
    <row r="14" spans="1:83">
      <c r="A14" s="104">
        <v>13</v>
      </c>
      <c r="B14" s="30" t="s">
        <v>581</v>
      </c>
      <c r="C14" s="30" t="s">
        <v>1140</v>
      </c>
      <c r="D14" s="30"/>
      <c r="E14" s="104"/>
      <c r="F14" s="104"/>
      <c r="G14" s="104">
        <f>25000</f>
        <v>25000</v>
      </c>
      <c r="H14" s="131">
        <f t="shared" si="1"/>
        <v>104808</v>
      </c>
      <c r="I14" s="130">
        <f t="shared" si="2"/>
        <v>-79808</v>
      </c>
      <c r="J14" s="130">
        <f t="shared" si="3"/>
        <v>-79808</v>
      </c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>
        <v>7508</v>
      </c>
      <c r="AB14" s="104"/>
      <c r="AC14" s="104"/>
      <c r="AD14" s="104"/>
      <c r="AE14" s="104">
        <v>10000</v>
      </c>
      <c r="AF14" s="104"/>
      <c r="AG14" s="104"/>
      <c r="AH14" s="104">
        <v>87300</v>
      </c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5"/>
      <c r="BH14" s="104"/>
      <c r="BI14" s="104"/>
      <c r="BJ14" s="104"/>
      <c r="BK14" s="104"/>
      <c r="BL14" s="104"/>
      <c r="BM14" s="104"/>
      <c r="BN14" s="30"/>
      <c r="BO14" s="30"/>
      <c r="BP14" s="30"/>
      <c r="BQ14" s="30"/>
      <c r="BR14" s="3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</row>
    <row r="15" spans="1:83">
      <c r="A15" s="104">
        <v>14</v>
      </c>
      <c r="B15" s="30" t="s">
        <v>581</v>
      </c>
      <c r="C15" s="30" t="s">
        <v>1146</v>
      </c>
      <c r="D15" s="30"/>
      <c r="E15" s="104"/>
      <c r="F15" s="104"/>
      <c r="G15" s="104"/>
      <c r="H15" s="131">
        <f t="shared" si="1"/>
        <v>9900</v>
      </c>
      <c r="I15" s="130">
        <f t="shared" si="2"/>
        <v>-9900</v>
      </c>
      <c r="J15" s="130">
        <f t="shared" si="3"/>
        <v>-9900</v>
      </c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>
        <v>4752</v>
      </c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>
        <v>5148</v>
      </c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5"/>
      <c r="BH15" s="104"/>
      <c r="BI15" s="104"/>
      <c r="BJ15" s="104"/>
      <c r="BK15" s="104"/>
      <c r="BL15" s="104"/>
      <c r="BM15" s="104"/>
      <c r="BN15" s="30"/>
      <c r="BO15" s="30"/>
      <c r="BP15" s="30"/>
      <c r="BQ15" s="30"/>
      <c r="BR15" s="3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</row>
    <row r="16" spans="1:83" s="87" customFormat="1">
      <c r="A16" s="104">
        <v>15</v>
      </c>
      <c r="B16" s="30" t="s">
        <v>581</v>
      </c>
      <c r="C16" s="30" t="s">
        <v>598</v>
      </c>
      <c r="D16" s="30"/>
      <c r="E16" s="104"/>
      <c r="F16" s="104"/>
      <c r="G16" s="104">
        <v>286107</v>
      </c>
      <c r="H16" s="131">
        <f t="shared" si="1"/>
        <v>0</v>
      </c>
      <c r="I16" s="130">
        <f t="shared" si="2"/>
        <v>286107</v>
      </c>
      <c r="J16" s="130">
        <f t="shared" si="3"/>
        <v>286107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146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</row>
    <row r="17" spans="1:83">
      <c r="A17" s="104">
        <v>16</v>
      </c>
      <c r="B17" s="30"/>
      <c r="C17" s="30"/>
      <c r="D17" s="30"/>
      <c r="E17" s="104"/>
      <c r="F17" s="104"/>
      <c r="G17" s="104"/>
      <c r="H17" s="131">
        <f t="shared" si="1"/>
        <v>0</v>
      </c>
      <c r="I17" s="130">
        <f t="shared" si="2"/>
        <v>0</v>
      </c>
      <c r="J17" s="130">
        <f t="shared" si="3"/>
        <v>0</v>
      </c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146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</row>
    <row r="18" spans="1:83">
      <c r="A18" s="104">
        <v>17</v>
      </c>
      <c r="B18" s="30"/>
      <c r="C18" s="30"/>
      <c r="D18" s="30"/>
      <c r="E18" s="104"/>
      <c r="F18" s="104"/>
      <c r="G18" s="30"/>
      <c r="H18" s="131">
        <f t="shared" si="1"/>
        <v>0</v>
      </c>
      <c r="I18" s="130">
        <f t="shared" si="2"/>
        <v>0</v>
      </c>
      <c r="J18" s="130">
        <f t="shared" si="3"/>
        <v>0</v>
      </c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146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</row>
    <row r="19" spans="1:83">
      <c r="A19" s="104">
        <v>18</v>
      </c>
      <c r="B19" s="30"/>
      <c r="C19" s="30"/>
      <c r="D19" s="30"/>
      <c r="E19" s="104"/>
      <c r="F19" s="104"/>
      <c r="G19" s="104"/>
      <c r="H19" s="131">
        <f t="shared" si="1"/>
        <v>0</v>
      </c>
      <c r="I19" s="130">
        <f t="shared" si="2"/>
        <v>0</v>
      </c>
      <c r="J19" s="130">
        <f t="shared" si="3"/>
        <v>0</v>
      </c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146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>
      <c r="A20" s="104">
        <v>19</v>
      </c>
      <c r="B20" s="30"/>
      <c r="C20" s="30"/>
      <c r="D20" s="30"/>
      <c r="E20" s="104"/>
      <c r="F20" s="104"/>
      <c r="G20" s="104"/>
      <c r="H20" s="131">
        <f t="shared" si="1"/>
        <v>0</v>
      </c>
      <c r="I20" s="130">
        <f t="shared" si="2"/>
        <v>0</v>
      </c>
      <c r="J20" s="130">
        <f t="shared" si="3"/>
        <v>0</v>
      </c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146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>
      <c r="A21" s="104">
        <v>20</v>
      </c>
      <c r="B21" s="30"/>
      <c r="C21" s="30"/>
      <c r="D21" s="30"/>
      <c r="E21" s="104"/>
      <c r="F21" s="104"/>
      <c r="G21" s="104"/>
      <c r="H21" s="131">
        <f t="shared" si="1"/>
        <v>0</v>
      </c>
      <c r="I21" s="130">
        <f t="shared" si="2"/>
        <v>0</v>
      </c>
      <c r="J21" s="130">
        <f t="shared" si="3"/>
        <v>0</v>
      </c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146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</row>
    <row r="22" spans="1:83">
      <c r="A22" s="104">
        <v>21</v>
      </c>
      <c r="B22" s="30"/>
      <c r="C22" s="30"/>
      <c r="D22" s="30"/>
      <c r="E22" s="104"/>
      <c r="F22" s="104"/>
      <c r="G22" s="104"/>
      <c r="H22" s="131">
        <f t="shared" si="1"/>
        <v>0</v>
      </c>
      <c r="I22" s="130">
        <f t="shared" si="2"/>
        <v>0</v>
      </c>
      <c r="J22" s="130">
        <f t="shared" si="3"/>
        <v>0</v>
      </c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146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>
      <c r="A23" s="104">
        <v>22</v>
      </c>
      <c r="B23" s="30"/>
      <c r="C23" s="30"/>
      <c r="D23" s="30"/>
      <c r="E23" s="104"/>
      <c r="F23" s="104"/>
      <c r="G23" s="104"/>
      <c r="H23" s="131">
        <f t="shared" si="1"/>
        <v>0</v>
      </c>
      <c r="I23" s="130">
        <f t="shared" si="2"/>
        <v>0</v>
      </c>
      <c r="J23" s="130">
        <f t="shared" si="3"/>
        <v>0</v>
      </c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146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>
      <c r="A24" s="104">
        <v>23</v>
      </c>
      <c r="B24" s="30"/>
      <c r="C24" s="30"/>
      <c r="D24" s="30"/>
      <c r="E24" s="104"/>
      <c r="F24" s="104"/>
      <c r="G24" s="104"/>
      <c r="H24" s="131">
        <f t="shared" si="1"/>
        <v>0</v>
      </c>
      <c r="I24" s="130">
        <f t="shared" si="2"/>
        <v>0</v>
      </c>
      <c r="J24" s="130">
        <f t="shared" si="3"/>
        <v>0</v>
      </c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146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>
      <c r="A25" s="104">
        <v>24</v>
      </c>
      <c r="B25" s="30"/>
      <c r="C25" s="30"/>
      <c r="D25" s="30"/>
      <c r="E25" s="104"/>
      <c r="F25" s="104"/>
      <c r="G25" s="104"/>
      <c r="H25" s="131">
        <f t="shared" si="1"/>
        <v>0</v>
      </c>
      <c r="I25" s="130">
        <f t="shared" si="2"/>
        <v>0</v>
      </c>
      <c r="J25" s="130">
        <f t="shared" si="3"/>
        <v>0</v>
      </c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146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</row>
    <row r="26" spans="1:83">
      <c r="A26" s="104">
        <v>25</v>
      </c>
      <c r="B26" s="30"/>
      <c r="C26" s="30"/>
      <c r="D26" s="30"/>
      <c r="E26" s="104"/>
      <c r="F26" s="104"/>
      <c r="G26" s="104"/>
      <c r="H26" s="131">
        <f t="shared" si="1"/>
        <v>0</v>
      </c>
      <c r="I26" s="130">
        <f t="shared" si="2"/>
        <v>0</v>
      </c>
      <c r="J26" s="130">
        <f t="shared" si="3"/>
        <v>0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146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>
      <c r="A27" s="104">
        <v>26</v>
      </c>
      <c r="B27" s="30"/>
      <c r="C27" s="30"/>
      <c r="D27" s="30"/>
      <c r="E27" s="104"/>
      <c r="F27" s="104"/>
      <c r="G27" s="104"/>
      <c r="H27" s="131">
        <f t="shared" si="1"/>
        <v>0</v>
      </c>
      <c r="I27" s="130">
        <f t="shared" si="2"/>
        <v>0</v>
      </c>
      <c r="J27" s="130">
        <f t="shared" si="3"/>
        <v>0</v>
      </c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146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>
      <c r="A28" s="104">
        <v>27</v>
      </c>
      <c r="B28" s="30"/>
      <c r="C28" s="30"/>
      <c r="D28" s="30"/>
      <c r="E28" s="104"/>
      <c r="F28" s="104"/>
      <c r="G28" s="104"/>
      <c r="H28" s="131">
        <f t="shared" si="1"/>
        <v>0</v>
      </c>
      <c r="I28" s="130">
        <f t="shared" si="2"/>
        <v>0</v>
      </c>
      <c r="J28" s="130">
        <f t="shared" si="3"/>
        <v>0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146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</row>
    <row r="29" spans="1:83">
      <c r="A29" s="104">
        <v>28</v>
      </c>
      <c r="B29" s="30"/>
      <c r="C29" s="30"/>
      <c r="D29" s="30"/>
      <c r="E29" s="104"/>
      <c r="F29" s="104"/>
      <c r="G29" s="30"/>
      <c r="H29" s="131">
        <f t="shared" si="1"/>
        <v>0</v>
      </c>
      <c r="I29" s="130">
        <f t="shared" si="2"/>
        <v>0</v>
      </c>
      <c r="J29" s="130">
        <f t="shared" si="3"/>
        <v>0</v>
      </c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146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</row>
    <row r="30" spans="1:83">
      <c r="A30" s="104">
        <v>29</v>
      </c>
      <c r="B30" s="30"/>
      <c r="C30" s="30"/>
      <c r="D30" s="30"/>
      <c r="E30" s="104"/>
      <c r="F30" s="104"/>
      <c r="G30" s="30"/>
      <c r="H30" s="131">
        <f t="shared" si="1"/>
        <v>0</v>
      </c>
      <c r="I30" s="130">
        <f t="shared" si="2"/>
        <v>0</v>
      </c>
      <c r="J30" s="130">
        <f t="shared" si="3"/>
        <v>0</v>
      </c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146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</row>
    <row r="31" spans="1:83">
      <c r="A31" s="104">
        <v>30</v>
      </c>
      <c r="B31" s="30"/>
      <c r="C31" s="30"/>
      <c r="D31" s="30"/>
      <c r="E31" s="104"/>
      <c r="F31" s="104"/>
      <c r="G31" s="30"/>
      <c r="H31" s="131">
        <f t="shared" si="1"/>
        <v>0</v>
      </c>
      <c r="I31" s="130">
        <f t="shared" si="2"/>
        <v>0</v>
      </c>
      <c r="J31" s="130">
        <f t="shared" si="3"/>
        <v>0</v>
      </c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146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</row>
    <row r="32" spans="1:83">
      <c r="A32" s="104">
        <v>31</v>
      </c>
      <c r="B32" s="30"/>
      <c r="C32" s="30"/>
      <c r="D32" s="30"/>
      <c r="E32" s="104"/>
      <c r="F32" s="104"/>
      <c r="G32" s="30"/>
      <c r="H32" s="131">
        <f t="shared" si="1"/>
        <v>0</v>
      </c>
      <c r="I32" s="130">
        <f t="shared" si="2"/>
        <v>0</v>
      </c>
      <c r="J32" s="130">
        <f t="shared" si="3"/>
        <v>0</v>
      </c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146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</row>
    <row r="33" spans="1:83">
      <c r="A33" s="104">
        <v>32</v>
      </c>
      <c r="B33" s="30"/>
      <c r="C33" s="30"/>
      <c r="D33" s="30"/>
      <c r="E33" s="104"/>
      <c r="F33" s="104"/>
      <c r="G33" s="30"/>
      <c r="H33" s="131">
        <f t="shared" si="1"/>
        <v>0</v>
      </c>
      <c r="I33" s="130">
        <f t="shared" si="2"/>
        <v>0</v>
      </c>
      <c r="J33" s="130">
        <f t="shared" si="3"/>
        <v>0</v>
      </c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146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</row>
    <row r="34" spans="1:83">
      <c r="A34" s="104">
        <v>33</v>
      </c>
      <c r="B34" s="30"/>
      <c r="C34" s="30"/>
      <c r="D34" s="30"/>
      <c r="E34" s="104"/>
      <c r="F34" s="104"/>
      <c r="G34" s="30"/>
      <c r="H34" s="131">
        <f t="shared" si="1"/>
        <v>0</v>
      </c>
      <c r="I34" s="130">
        <f t="shared" si="2"/>
        <v>0</v>
      </c>
      <c r="J34" s="130">
        <f t="shared" si="3"/>
        <v>0</v>
      </c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146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</row>
    <row r="35" spans="1:83">
      <c r="A35" s="104">
        <v>34</v>
      </c>
      <c r="B35" s="30"/>
      <c r="C35" s="30"/>
      <c r="D35" s="30"/>
      <c r="E35" s="104"/>
      <c r="F35" s="104"/>
      <c r="G35" s="30"/>
      <c r="H35" s="131">
        <f t="shared" si="1"/>
        <v>0</v>
      </c>
      <c r="I35" s="130">
        <f t="shared" si="2"/>
        <v>0</v>
      </c>
      <c r="J35" s="130">
        <f t="shared" si="3"/>
        <v>0</v>
      </c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146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</row>
    <row r="36" spans="1:83">
      <c r="A36" s="104">
        <v>35</v>
      </c>
      <c r="B36" s="30"/>
      <c r="C36" s="30"/>
      <c r="D36" s="30"/>
      <c r="E36" s="104"/>
      <c r="F36" s="104"/>
      <c r="G36" s="30"/>
      <c r="H36" s="131">
        <f t="shared" si="1"/>
        <v>0</v>
      </c>
      <c r="I36" s="130">
        <f t="shared" si="2"/>
        <v>0</v>
      </c>
      <c r="J36" s="130">
        <f t="shared" si="3"/>
        <v>0</v>
      </c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146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</row>
    <row r="37" spans="1:83">
      <c r="A37" s="104">
        <v>36</v>
      </c>
      <c r="B37" s="30"/>
      <c r="C37" s="30"/>
      <c r="D37" s="30"/>
      <c r="E37" s="104"/>
      <c r="F37" s="104"/>
      <c r="G37" s="30"/>
      <c r="H37" s="131">
        <f t="shared" si="1"/>
        <v>0</v>
      </c>
      <c r="I37" s="130">
        <f t="shared" si="2"/>
        <v>0</v>
      </c>
      <c r="J37" s="130">
        <f t="shared" si="3"/>
        <v>0</v>
      </c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146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</row>
    <row r="38" spans="1:83">
      <c r="A38" s="21">
        <v>37</v>
      </c>
      <c r="B38" s="30"/>
      <c r="C38" s="30"/>
      <c r="D38" s="30"/>
      <c r="E38" s="104"/>
      <c r="F38" s="104"/>
      <c r="G38" s="30"/>
      <c r="H38" s="131">
        <f t="shared" si="1"/>
        <v>0</v>
      </c>
      <c r="I38" s="130">
        <f t="shared" si="2"/>
        <v>0</v>
      </c>
      <c r="J38" s="130">
        <f t="shared" si="3"/>
        <v>0</v>
      </c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146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</row>
    <row r="39" spans="1:83">
      <c r="A39" s="21">
        <v>38</v>
      </c>
      <c r="B39" s="30"/>
      <c r="C39" s="30"/>
      <c r="D39" s="30"/>
      <c r="E39" s="104"/>
      <c r="F39" s="104"/>
      <c r="G39" s="30"/>
      <c r="H39" s="131">
        <f t="shared" si="1"/>
        <v>0</v>
      </c>
      <c r="I39" s="130">
        <f t="shared" si="2"/>
        <v>0</v>
      </c>
      <c r="J39" s="130">
        <f t="shared" si="3"/>
        <v>0</v>
      </c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146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</row>
    <row r="40" spans="1:83">
      <c r="A40" s="21">
        <v>39</v>
      </c>
      <c r="B40" s="30"/>
      <c r="C40" s="30"/>
      <c r="D40" s="30"/>
      <c r="E40" s="104"/>
      <c r="F40" s="104"/>
      <c r="G40" s="30"/>
      <c r="H40" s="131">
        <f t="shared" si="1"/>
        <v>0</v>
      </c>
      <c r="I40" s="130">
        <f t="shared" si="2"/>
        <v>0</v>
      </c>
      <c r="J40" s="130">
        <f t="shared" si="3"/>
        <v>0</v>
      </c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146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</row>
    <row r="41" spans="1:83">
      <c r="A41" s="21">
        <v>40</v>
      </c>
      <c r="B41" s="30"/>
      <c r="C41" s="30"/>
      <c r="D41" s="30"/>
      <c r="E41" s="104"/>
      <c r="F41" s="104"/>
      <c r="G41" s="30"/>
      <c r="H41" s="131">
        <f t="shared" si="1"/>
        <v>0</v>
      </c>
      <c r="I41" s="130">
        <f t="shared" si="2"/>
        <v>0</v>
      </c>
      <c r="J41" s="130">
        <f t="shared" si="3"/>
        <v>0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146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1:83">
      <c r="A42" s="21">
        <v>41</v>
      </c>
      <c r="B42" s="30"/>
      <c r="C42" s="30"/>
      <c r="D42" s="30"/>
      <c r="E42" s="104"/>
      <c r="F42" s="104"/>
      <c r="G42" s="30"/>
      <c r="H42" s="131">
        <f t="shared" si="1"/>
        <v>0</v>
      </c>
      <c r="I42" s="130">
        <f t="shared" si="2"/>
        <v>0</v>
      </c>
      <c r="J42" s="130">
        <f t="shared" si="3"/>
        <v>0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146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1:83">
      <c r="A43" s="21">
        <v>42</v>
      </c>
      <c r="B43" s="141"/>
      <c r="C43" s="141"/>
      <c r="D43" s="141"/>
      <c r="E43" s="25"/>
      <c r="F43" s="25"/>
      <c r="G43" s="25"/>
      <c r="H43" s="131">
        <f t="shared" si="1"/>
        <v>0</v>
      </c>
      <c r="I43" s="130">
        <f t="shared" si="2"/>
        <v>0</v>
      </c>
      <c r="J43" s="130">
        <f t="shared" si="3"/>
        <v>0</v>
      </c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146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1:83">
      <c r="A44" s="21">
        <v>43</v>
      </c>
      <c r="B44" s="142"/>
      <c r="C44" s="142"/>
      <c r="D44" s="142"/>
      <c r="E44" s="143"/>
      <c r="F44" s="143"/>
      <c r="G44" s="143"/>
      <c r="H44" s="131">
        <f t="shared" si="1"/>
        <v>0</v>
      </c>
      <c r="I44" s="130">
        <f t="shared" si="2"/>
        <v>0</v>
      </c>
      <c r="J44" s="130">
        <f t="shared" si="3"/>
        <v>0</v>
      </c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146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1:83">
      <c r="A45" s="21">
        <v>44</v>
      </c>
      <c r="B45" s="142"/>
      <c r="C45" s="142"/>
      <c r="D45" s="142"/>
      <c r="E45" s="143"/>
      <c r="F45" s="143"/>
      <c r="G45" s="143"/>
      <c r="H45" s="131">
        <f t="shared" si="1"/>
        <v>0</v>
      </c>
      <c r="I45" s="130">
        <f t="shared" si="2"/>
        <v>0</v>
      </c>
      <c r="J45" s="130">
        <f t="shared" si="3"/>
        <v>0</v>
      </c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146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1:83">
      <c r="A46" s="21">
        <v>45</v>
      </c>
      <c r="B46" s="142"/>
      <c r="C46" s="142"/>
      <c r="D46" s="142"/>
      <c r="E46" s="143"/>
      <c r="F46" s="143"/>
      <c r="G46" s="143"/>
      <c r="H46" s="131">
        <f t="shared" si="1"/>
        <v>0</v>
      </c>
      <c r="I46" s="130">
        <f t="shared" si="2"/>
        <v>0</v>
      </c>
      <c r="J46" s="130">
        <f t="shared" si="3"/>
        <v>0</v>
      </c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146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1:83">
      <c r="A47" s="21">
        <v>46</v>
      </c>
      <c r="B47" s="142"/>
      <c r="C47" s="142"/>
      <c r="D47" s="142"/>
      <c r="E47" s="143"/>
      <c r="F47" s="143"/>
      <c r="G47" s="143"/>
      <c r="H47" s="131">
        <f t="shared" si="1"/>
        <v>0</v>
      </c>
      <c r="I47" s="130">
        <f t="shared" si="2"/>
        <v>0</v>
      </c>
      <c r="J47" s="130">
        <f t="shared" si="3"/>
        <v>0</v>
      </c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146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</row>
    <row r="48" spans="1:83">
      <c r="A48" s="21">
        <v>47</v>
      </c>
      <c r="B48" s="142"/>
      <c r="C48" s="142"/>
      <c r="D48" s="142"/>
      <c r="E48" s="143"/>
      <c r="F48" s="143"/>
      <c r="G48" s="143"/>
      <c r="H48" s="131">
        <f t="shared" si="1"/>
        <v>0</v>
      </c>
      <c r="I48" s="130">
        <f t="shared" si="2"/>
        <v>0</v>
      </c>
      <c r="J48" s="130">
        <f t="shared" si="3"/>
        <v>0</v>
      </c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146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</row>
    <row r="49" spans="1:83">
      <c r="A49" s="21">
        <v>48</v>
      </c>
      <c r="B49" s="142"/>
      <c r="C49" s="142"/>
      <c r="D49" s="142"/>
      <c r="E49" s="143"/>
      <c r="F49" s="143"/>
      <c r="G49" s="143"/>
      <c r="H49" s="131">
        <f t="shared" si="1"/>
        <v>0</v>
      </c>
      <c r="I49" s="130">
        <f t="shared" si="2"/>
        <v>0</v>
      </c>
      <c r="J49" s="130">
        <f t="shared" si="3"/>
        <v>0</v>
      </c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146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</row>
    <row r="50" spans="1:83">
      <c r="A50" s="21">
        <v>49</v>
      </c>
      <c r="B50" s="142"/>
      <c r="C50" s="142"/>
      <c r="D50" s="142"/>
      <c r="E50" s="143"/>
      <c r="F50" s="143"/>
      <c r="G50" s="143"/>
      <c r="H50" s="131">
        <f t="shared" si="1"/>
        <v>0</v>
      </c>
      <c r="I50" s="130">
        <f t="shared" si="2"/>
        <v>0</v>
      </c>
      <c r="J50" s="130">
        <f t="shared" si="3"/>
        <v>0</v>
      </c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146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</row>
    <row r="51" spans="1:83">
      <c r="A51" s="21">
        <v>50</v>
      </c>
      <c r="B51" s="142"/>
      <c r="C51" s="142"/>
      <c r="D51" s="142"/>
      <c r="E51" s="143"/>
      <c r="F51" s="143"/>
      <c r="G51" s="143"/>
      <c r="H51" s="131">
        <f t="shared" si="1"/>
        <v>0</v>
      </c>
      <c r="I51" s="130">
        <f t="shared" si="2"/>
        <v>0</v>
      </c>
      <c r="J51" s="130">
        <f t="shared" si="3"/>
        <v>0</v>
      </c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146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</row>
    <row r="52" spans="1:83">
      <c r="A52" s="21">
        <v>51</v>
      </c>
      <c r="B52" s="142"/>
      <c r="C52" s="142"/>
      <c r="D52" s="142"/>
      <c r="E52" s="143"/>
      <c r="F52" s="143"/>
      <c r="G52" s="143"/>
      <c r="H52" s="131">
        <f t="shared" si="1"/>
        <v>0</v>
      </c>
      <c r="I52" s="130">
        <f t="shared" si="2"/>
        <v>0</v>
      </c>
      <c r="J52" s="130">
        <f t="shared" si="3"/>
        <v>0</v>
      </c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146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</row>
    <row r="53" spans="1:83">
      <c r="A53" s="21">
        <v>52</v>
      </c>
      <c r="B53" s="142"/>
      <c r="C53" s="142"/>
      <c r="D53" s="142"/>
      <c r="E53" s="143"/>
      <c r="F53" s="143"/>
      <c r="G53" s="143"/>
      <c r="H53" s="131">
        <f t="shared" si="1"/>
        <v>0</v>
      </c>
      <c r="I53" s="130">
        <f t="shared" si="2"/>
        <v>0</v>
      </c>
      <c r="J53" s="130">
        <f t="shared" si="3"/>
        <v>0</v>
      </c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146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</row>
    <row r="54" spans="1:83">
      <c r="A54" s="21">
        <v>53</v>
      </c>
      <c r="B54" s="142"/>
      <c r="C54" s="142"/>
      <c r="D54" s="142"/>
      <c r="E54" s="143"/>
      <c r="F54" s="143"/>
      <c r="G54" s="143"/>
      <c r="H54" s="131">
        <f t="shared" si="1"/>
        <v>0</v>
      </c>
      <c r="I54" s="130">
        <f t="shared" si="2"/>
        <v>0</v>
      </c>
      <c r="J54" s="130">
        <f t="shared" si="3"/>
        <v>0</v>
      </c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146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</row>
    <row r="55" spans="1:83">
      <c r="A55" s="21">
        <v>54</v>
      </c>
      <c r="B55" s="142"/>
      <c r="C55" s="142"/>
      <c r="D55" s="142"/>
      <c r="E55" s="143"/>
      <c r="F55" s="143"/>
      <c r="G55" s="143"/>
      <c r="H55" s="131">
        <f t="shared" si="1"/>
        <v>0</v>
      </c>
      <c r="I55" s="130">
        <f t="shared" si="2"/>
        <v>0</v>
      </c>
      <c r="J55" s="130">
        <f t="shared" si="3"/>
        <v>0</v>
      </c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146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</row>
    <row r="56" spans="1:83">
      <c r="A56" s="21">
        <v>55</v>
      </c>
      <c r="B56" s="142"/>
      <c r="C56" s="142"/>
      <c r="D56" s="142"/>
      <c r="E56" s="143"/>
      <c r="F56" s="143"/>
      <c r="G56" s="143"/>
      <c r="H56" s="131">
        <f t="shared" si="1"/>
        <v>0</v>
      </c>
      <c r="I56" s="130">
        <f t="shared" si="2"/>
        <v>0</v>
      </c>
      <c r="J56" s="130">
        <f t="shared" si="3"/>
        <v>0</v>
      </c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146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</row>
    <row r="57" spans="1:83">
      <c r="A57" s="21">
        <v>56</v>
      </c>
      <c r="B57" s="142"/>
      <c r="C57" s="142"/>
      <c r="D57" s="142"/>
      <c r="E57" s="143"/>
      <c r="F57" s="143"/>
      <c r="G57" s="143"/>
      <c r="H57" s="131">
        <f t="shared" si="1"/>
        <v>0</v>
      </c>
      <c r="I57" s="130">
        <f t="shared" si="2"/>
        <v>0</v>
      </c>
      <c r="J57" s="130">
        <f t="shared" si="3"/>
        <v>0</v>
      </c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146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</row>
    <row r="58" spans="1:83">
      <c r="A58" s="21">
        <v>57</v>
      </c>
      <c r="B58" s="142"/>
      <c r="C58" s="142"/>
      <c r="D58" s="142"/>
      <c r="E58" s="143"/>
      <c r="F58" s="143"/>
      <c r="G58" s="143"/>
      <c r="H58" s="131">
        <f t="shared" si="1"/>
        <v>0</v>
      </c>
      <c r="I58" s="130">
        <f t="shared" si="2"/>
        <v>0</v>
      </c>
      <c r="J58" s="130">
        <f t="shared" si="3"/>
        <v>0</v>
      </c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146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</row>
    <row r="59" spans="1:83">
      <c r="A59" s="21">
        <v>58</v>
      </c>
      <c r="B59" s="142"/>
      <c r="C59" s="142"/>
      <c r="D59" s="142"/>
      <c r="E59" s="143"/>
      <c r="F59" s="143"/>
      <c r="G59" s="143"/>
      <c r="H59" s="131">
        <f t="shared" si="1"/>
        <v>0</v>
      </c>
      <c r="I59" s="130">
        <f t="shared" si="2"/>
        <v>0</v>
      </c>
      <c r="J59" s="130">
        <f t="shared" si="3"/>
        <v>0</v>
      </c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146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</row>
    <row r="60" spans="1:83">
      <c r="A60" s="21">
        <v>59</v>
      </c>
      <c r="B60" s="142"/>
      <c r="C60" s="142"/>
      <c r="D60" s="142"/>
      <c r="E60" s="143"/>
      <c r="F60" s="143"/>
      <c r="G60" s="143"/>
      <c r="H60" s="131">
        <f t="shared" si="1"/>
        <v>0</v>
      </c>
      <c r="I60" s="130">
        <f t="shared" si="2"/>
        <v>0</v>
      </c>
      <c r="J60" s="130">
        <f t="shared" si="3"/>
        <v>0</v>
      </c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146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</row>
    <row r="61" spans="1:83">
      <c r="A61" s="21">
        <v>60</v>
      </c>
      <c r="B61" s="30"/>
      <c r="C61" s="30"/>
      <c r="D61" s="30"/>
      <c r="E61" s="104"/>
      <c r="F61" s="104"/>
      <c r="G61" s="30"/>
      <c r="H61" s="131">
        <f t="shared" si="1"/>
        <v>0</v>
      </c>
      <c r="I61" s="130">
        <f t="shared" si="2"/>
        <v>0</v>
      </c>
      <c r="J61" s="130">
        <f t="shared" si="3"/>
        <v>0</v>
      </c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146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</row>
    <row r="62" spans="1:83">
      <c r="A62" s="21">
        <v>61</v>
      </c>
      <c r="B62" s="142"/>
      <c r="C62" s="142"/>
      <c r="D62" s="142"/>
      <c r="E62" s="143"/>
      <c r="F62" s="143"/>
      <c r="G62" s="143"/>
      <c r="H62" s="131">
        <f t="shared" si="1"/>
        <v>0</v>
      </c>
      <c r="I62" s="130">
        <f t="shared" si="2"/>
        <v>0</v>
      </c>
      <c r="J62" s="130">
        <f t="shared" si="3"/>
        <v>0</v>
      </c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146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</row>
    <row r="63" spans="1:83">
      <c r="A63" s="21">
        <v>62</v>
      </c>
      <c r="B63" s="30"/>
      <c r="C63" s="30"/>
      <c r="D63" s="30"/>
      <c r="E63" s="104"/>
      <c r="F63" s="104"/>
      <c r="G63" s="143"/>
      <c r="H63" s="131">
        <f t="shared" si="1"/>
        <v>0</v>
      </c>
      <c r="I63" s="130">
        <f t="shared" si="2"/>
        <v>0</v>
      </c>
      <c r="J63" s="130">
        <f t="shared" si="3"/>
        <v>0</v>
      </c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146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</row>
    <row r="64" spans="1:83">
      <c r="A64" s="21">
        <v>63</v>
      </c>
      <c r="B64" s="142"/>
      <c r="C64" s="142"/>
      <c r="D64" s="142"/>
      <c r="E64" s="143"/>
      <c r="F64" s="143"/>
      <c r="G64" s="143"/>
      <c r="H64" s="131">
        <f t="shared" si="1"/>
        <v>0</v>
      </c>
      <c r="I64" s="130">
        <f t="shared" si="2"/>
        <v>0</v>
      </c>
      <c r="J64" s="130">
        <f t="shared" si="3"/>
        <v>0</v>
      </c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146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</row>
    <row r="65" spans="1:83">
      <c r="A65" s="21">
        <v>64</v>
      </c>
      <c r="B65" s="43"/>
      <c r="C65" s="43"/>
      <c r="D65" s="43"/>
      <c r="E65" s="144"/>
      <c r="F65" s="144"/>
      <c r="G65" s="143"/>
      <c r="H65" s="131">
        <f t="shared" si="1"/>
        <v>0</v>
      </c>
      <c r="I65" s="130">
        <f t="shared" si="2"/>
        <v>0</v>
      </c>
      <c r="J65" s="130">
        <f t="shared" si="3"/>
        <v>0</v>
      </c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146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</row>
    <row r="66" spans="1:83">
      <c r="A66" s="21">
        <v>65</v>
      </c>
      <c r="B66" s="30"/>
      <c r="C66" s="30"/>
      <c r="D66" s="30"/>
      <c r="E66" s="104"/>
      <c r="F66" s="104"/>
      <c r="G66" s="143"/>
      <c r="H66" s="131">
        <f t="shared" si="1"/>
        <v>0</v>
      </c>
      <c r="I66" s="130">
        <f t="shared" si="2"/>
        <v>0</v>
      </c>
      <c r="J66" s="130">
        <f t="shared" si="3"/>
        <v>0</v>
      </c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146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</row>
    <row r="67" spans="1:83">
      <c r="A67" s="21">
        <v>66</v>
      </c>
      <c r="B67" s="43"/>
      <c r="C67" s="43"/>
      <c r="D67" s="43"/>
      <c r="E67" s="144"/>
      <c r="F67" s="144"/>
      <c r="G67" s="143"/>
      <c r="H67" s="131">
        <f t="shared" si="1"/>
        <v>0</v>
      </c>
      <c r="I67" s="130">
        <f t="shared" si="2"/>
        <v>0</v>
      </c>
      <c r="J67" s="130">
        <f t="shared" si="3"/>
        <v>0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107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 spans="1:83">
      <c r="A68" s="21">
        <v>67</v>
      </c>
      <c r="B68" s="43"/>
      <c r="C68" s="43"/>
      <c r="D68" s="43"/>
      <c r="E68" s="144"/>
      <c r="F68" s="144"/>
      <c r="G68" s="143"/>
      <c r="H68" s="131">
        <f t="shared" ref="H68:H101" si="4">SUM(K68:ZH68)</f>
        <v>0</v>
      </c>
      <c r="I68" s="130">
        <f t="shared" si="2"/>
        <v>0</v>
      </c>
      <c r="J68" s="130">
        <f t="shared" si="3"/>
        <v>0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107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 spans="1:83">
      <c r="A69" s="21">
        <v>68</v>
      </c>
      <c r="B69" s="43"/>
      <c r="C69" s="43"/>
      <c r="D69" s="43"/>
      <c r="E69" s="144"/>
      <c r="F69" s="144"/>
      <c r="G69" s="143"/>
      <c r="H69" s="131">
        <f t="shared" si="4"/>
        <v>0</v>
      </c>
      <c r="I69" s="130">
        <f t="shared" ref="I69:I101" si="5">F69+G69-H69</f>
        <v>0</v>
      </c>
      <c r="J69" s="130">
        <f t="shared" ref="J69:J101" si="6">D69+I69</f>
        <v>0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107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 spans="1:83">
      <c r="A70" s="21">
        <v>69</v>
      </c>
      <c r="B70" s="30"/>
      <c r="C70" s="30"/>
      <c r="D70" s="30"/>
      <c r="E70" s="104"/>
      <c r="F70" s="104"/>
      <c r="G70" s="30"/>
      <c r="H70" s="131">
        <f t="shared" si="4"/>
        <v>0</v>
      </c>
      <c r="I70" s="130">
        <f t="shared" si="5"/>
        <v>0</v>
      </c>
      <c r="J70" s="130">
        <f t="shared" si="6"/>
        <v>0</v>
      </c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107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 spans="1:83">
      <c r="A71" s="21">
        <v>70</v>
      </c>
      <c r="B71" s="30"/>
      <c r="C71" s="30"/>
      <c r="D71" s="30"/>
      <c r="E71" s="104"/>
      <c r="F71" s="104"/>
      <c r="G71" s="30"/>
      <c r="H71" s="131">
        <f t="shared" si="4"/>
        <v>0</v>
      </c>
      <c r="I71" s="130">
        <f t="shared" si="5"/>
        <v>0</v>
      </c>
      <c r="J71" s="130">
        <f t="shared" si="6"/>
        <v>0</v>
      </c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107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 spans="1:83">
      <c r="A72" s="21">
        <v>71</v>
      </c>
      <c r="B72" s="30"/>
      <c r="C72" s="30"/>
      <c r="D72" s="30"/>
      <c r="E72" s="104"/>
      <c r="F72" s="104"/>
      <c r="G72" s="30"/>
      <c r="H72" s="131">
        <f t="shared" si="4"/>
        <v>0</v>
      </c>
      <c r="I72" s="130">
        <f t="shared" si="5"/>
        <v>0</v>
      </c>
      <c r="J72" s="130">
        <f t="shared" si="6"/>
        <v>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107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 spans="1:83">
      <c r="A73" s="21">
        <v>72</v>
      </c>
      <c r="B73" s="30"/>
      <c r="C73" s="30"/>
      <c r="D73" s="30"/>
      <c r="E73" s="104"/>
      <c r="F73" s="104"/>
      <c r="G73" s="30"/>
      <c r="H73" s="131">
        <f t="shared" si="4"/>
        <v>0</v>
      </c>
      <c r="I73" s="130">
        <f t="shared" si="5"/>
        <v>0</v>
      </c>
      <c r="J73" s="130">
        <f t="shared" si="6"/>
        <v>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107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 spans="1:83">
      <c r="A74" s="21">
        <v>73</v>
      </c>
      <c r="B74" s="30"/>
      <c r="C74" s="30"/>
      <c r="D74" s="30"/>
      <c r="E74" s="104"/>
      <c r="F74" s="104"/>
      <c r="G74" s="30"/>
      <c r="H74" s="131">
        <f t="shared" si="4"/>
        <v>0</v>
      </c>
      <c r="I74" s="130">
        <f t="shared" si="5"/>
        <v>0</v>
      </c>
      <c r="J74" s="130">
        <f t="shared" si="6"/>
        <v>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107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 spans="1:83">
      <c r="A75" s="21">
        <v>74</v>
      </c>
      <c r="B75" s="30"/>
      <c r="C75" s="30"/>
      <c r="D75" s="30"/>
      <c r="E75" s="104"/>
      <c r="F75" s="104"/>
      <c r="G75" s="30"/>
      <c r="H75" s="131">
        <f t="shared" si="4"/>
        <v>0</v>
      </c>
      <c r="I75" s="130">
        <f t="shared" si="5"/>
        <v>0</v>
      </c>
      <c r="J75" s="130">
        <f t="shared" si="6"/>
        <v>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107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 spans="1:83">
      <c r="A76" s="21">
        <v>75</v>
      </c>
      <c r="B76" s="30"/>
      <c r="C76" s="30"/>
      <c r="D76" s="30"/>
      <c r="E76" s="104"/>
      <c r="F76" s="104"/>
      <c r="G76" s="30"/>
      <c r="H76" s="131">
        <f t="shared" si="4"/>
        <v>0</v>
      </c>
      <c r="I76" s="130">
        <f t="shared" si="5"/>
        <v>0</v>
      </c>
      <c r="J76" s="130">
        <f t="shared" si="6"/>
        <v>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107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 spans="1:83">
      <c r="A77" s="21">
        <v>76</v>
      </c>
      <c r="B77" s="30"/>
      <c r="C77" s="30"/>
      <c r="D77" s="30"/>
      <c r="E77" s="104"/>
      <c r="F77" s="104"/>
      <c r="G77" s="30"/>
      <c r="H77" s="131">
        <f t="shared" si="4"/>
        <v>0</v>
      </c>
      <c r="I77" s="130">
        <f t="shared" si="5"/>
        <v>0</v>
      </c>
      <c r="J77" s="130">
        <f t="shared" si="6"/>
        <v>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107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 spans="1:83">
      <c r="A78" s="21">
        <v>77</v>
      </c>
      <c r="B78" s="30"/>
      <c r="C78" s="30"/>
      <c r="D78" s="30"/>
      <c r="E78" s="104"/>
      <c r="F78" s="104"/>
      <c r="G78" s="30"/>
      <c r="H78" s="131">
        <f t="shared" si="4"/>
        <v>0</v>
      </c>
      <c r="I78" s="130">
        <f t="shared" si="5"/>
        <v>0</v>
      </c>
      <c r="J78" s="130">
        <f t="shared" si="6"/>
        <v>0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107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 spans="1:83">
      <c r="A79" s="21">
        <v>78</v>
      </c>
      <c r="B79" s="30"/>
      <c r="C79" s="30"/>
      <c r="D79" s="30"/>
      <c r="E79" s="104"/>
      <c r="F79" s="104"/>
      <c r="G79" s="30"/>
      <c r="H79" s="131">
        <f t="shared" si="4"/>
        <v>0</v>
      </c>
      <c r="I79" s="130">
        <f t="shared" si="5"/>
        <v>0</v>
      </c>
      <c r="J79" s="130">
        <f t="shared" si="6"/>
        <v>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107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 spans="1:83">
      <c r="A80" s="21">
        <v>79</v>
      </c>
      <c r="B80" s="30"/>
      <c r="C80" s="30"/>
      <c r="D80" s="30"/>
      <c r="E80" s="104"/>
      <c r="F80" s="104"/>
      <c r="G80" s="30"/>
      <c r="H80" s="131">
        <f t="shared" si="4"/>
        <v>0</v>
      </c>
      <c r="I80" s="130">
        <f t="shared" si="5"/>
        <v>0</v>
      </c>
      <c r="J80" s="130">
        <f t="shared" si="6"/>
        <v>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107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 spans="1:70">
      <c r="A81" s="21">
        <v>80</v>
      </c>
      <c r="B81" s="30"/>
      <c r="C81" s="30"/>
      <c r="D81" s="30"/>
      <c r="E81" s="104"/>
      <c r="F81" s="104"/>
      <c r="G81" s="30"/>
      <c r="H81" s="131">
        <f t="shared" si="4"/>
        <v>0</v>
      </c>
      <c r="I81" s="130">
        <f t="shared" si="5"/>
        <v>0</v>
      </c>
      <c r="J81" s="130">
        <f t="shared" si="6"/>
        <v>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107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 spans="1:70">
      <c r="A82" s="21">
        <v>81</v>
      </c>
      <c r="B82" s="30"/>
      <c r="C82" s="30"/>
      <c r="D82" s="30"/>
      <c r="E82" s="104"/>
      <c r="F82" s="104"/>
      <c r="G82" s="30"/>
      <c r="H82" s="131">
        <f t="shared" si="4"/>
        <v>0</v>
      </c>
      <c r="I82" s="130">
        <f t="shared" si="5"/>
        <v>0</v>
      </c>
      <c r="J82" s="130">
        <f t="shared" si="6"/>
        <v>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107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 spans="1:70">
      <c r="A83" s="21">
        <v>82</v>
      </c>
      <c r="B83" s="30"/>
      <c r="C83" s="30"/>
      <c r="D83" s="30"/>
      <c r="E83" s="104"/>
      <c r="F83" s="104"/>
      <c r="G83" s="30"/>
      <c r="H83" s="131">
        <f t="shared" si="4"/>
        <v>0</v>
      </c>
      <c r="I83" s="130">
        <f t="shared" si="5"/>
        <v>0</v>
      </c>
      <c r="J83" s="130">
        <f t="shared" si="6"/>
        <v>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107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 spans="1:70">
      <c r="A84" s="21">
        <v>83</v>
      </c>
      <c r="B84" s="30"/>
      <c r="C84" s="30"/>
      <c r="D84" s="30"/>
      <c r="E84" s="104"/>
      <c r="F84" s="104"/>
      <c r="G84" s="30"/>
      <c r="H84" s="131">
        <f t="shared" si="4"/>
        <v>0</v>
      </c>
      <c r="I84" s="130">
        <f t="shared" si="5"/>
        <v>0</v>
      </c>
      <c r="J84" s="130">
        <f t="shared" si="6"/>
        <v>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107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 spans="1:70">
      <c r="A85" s="21">
        <v>84</v>
      </c>
      <c r="B85" s="30"/>
      <c r="C85" s="30"/>
      <c r="D85" s="30"/>
      <c r="E85" s="104"/>
      <c r="F85" s="104"/>
      <c r="G85" s="30"/>
      <c r="H85" s="131">
        <f t="shared" si="4"/>
        <v>0</v>
      </c>
      <c r="I85" s="130">
        <f t="shared" si="5"/>
        <v>0</v>
      </c>
      <c r="J85" s="130">
        <f t="shared" si="6"/>
        <v>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107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 spans="1:70">
      <c r="A86" s="21">
        <v>85</v>
      </c>
      <c r="B86" s="30"/>
      <c r="C86" s="30"/>
      <c r="D86" s="30"/>
      <c r="E86" s="104"/>
      <c r="F86" s="104"/>
      <c r="G86" s="30"/>
      <c r="H86" s="131">
        <f t="shared" si="4"/>
        <v>0</v>
      </c>
      <c r="I86" s="130">
        <f t="shared" si="5"/>
        <v>0</v>
      </c>
      <c r="J86" s="130">
        <f t="shared" si="6"/>
        <v>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107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 spans="1:70">
      <c r="A87" s="21">
        <v>86</v>
      </c>
      <c r="B87" s="30"/>
      <c r="C87" s="30"/>
      <c r="D87" s="30"/>
      <c r="E87" s="104"/>
      <c r="F87" s="104"/>
      <c r="G87" s="30"/>
      <c r="H87" s="131">
        <f t="shared" si="4"/>
        <v>0</v>
      </c>
      <c r="I87" s="130">
        <f t="shared" si="5"/>
        <v>0</v>
      </c>
      <c r="J87" s="130">
        <f t="shared" si="6"/>
        <v>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107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 spans="1:70">
      <c r="A88" s="21">
        <v>87</v>
      </c>
      <c r="B88" s="30"/>
      <c r="C88" s="30"/>
      <c r="D88" s="30"/>
      <c r="E88" s="104"/>
      <c r="F88" s="104"/>
      <c r="G88" s="30"/>
      <c r="H88" s="131">
        <f t="shared" si="4"/>
        <v>0</v>
      </c>
      <c r="I88" s="130">
        <f t="shared" si="5"/>
        <v>0</v>
      </c>
      <c r="J88" s="130">
        <f t="shared" si="6"/>
        <v>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107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 spans="1:70">
      <c r="A89" s="21">
        <v>88</v>
      </c>
      <c r="B89" s="30"/>
      <c r="C89" s="30"/>
      <c r="D89" s="30"/>
      <c r="E89" s="104"/>
      <c r="F89" s="104"/>
      <c r="G89" s="30"/>
      <c r="H89" s="131">
        <f t="shared" si="4"/>
        <v>0</v>
      </c>
      <c r="I89" s="130">
        <f t="shared" si="5"/>
        <v>0</v>
      </c>
      <c r="J89" s="130">
        <f t="shared" si="6"/>
        <v>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107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 spans="1:70">
      <c r="A90" s="21">
        <v>89</v>
      </c>
      <c r="B90" s="30"/>
      <c r="C90" s="30"/>
      <c r="D90" s="30"/>
      <c r="E90" s="104"/>
      <c r="F90" s="104"/>
      <c r="G90" s="30"/>
      <c r="H90" s="131">
        <f t="shared" si="4"/>
        <v>0</v>
      </c>
      <c r="I90" s="130">
        <f t="shared" si="5"/>
        <v>0</v>
      </c>
      <c r="J90" s="130">
        <f t="shared" si="6"/>
        <v>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107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 spans="1:70">
      <c r="A91" s="21">
        <v>90</v>
      </c>
      <c r="B91" s="30"/>
      <c r="C91" s="30"/>
      <c r="D91" s="30"/>
      <c r="E91" s="104"/>
      <c r="F91" s="104"/>
      <c r="G91" s="30"/>
      <c r="H91" s="131">
        <f t="shared" si="4"/>
        <v>0</v>
      </c>
      <c r="I91" s="130">
        <f t="shared" si="5"/>
        <v>0</v>
      </c>
      <c r="J91" s="130">
        <f t="shared" si="6"/>
        <v>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107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 spans="1:70">
      <c r="A92" s="21">
        <v>91</v>
      </c>
      <c r="B92" s="30"/>
      <c r="C92" s="30"/>
      <c r="D92" s="30"/>
      <c r="E92" s="104"/>
      <c r="F92" s="104"/>
      <c r="G92" s="30"/>
      <c r="H92" s="131">
        <f t="shared" si="4"/>
        <v>0</v>
      </c>
      <c r="I92" s="130">
        <f t="shared" si="5"/>
        <v>0</v>
      </c>
      <c r="J92" s="130">
        <f t="shared" si="6"/>
        <v>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107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 spans="1:70">
      <c r="A93" s="21">
        <v>92</v>
      </c>
      <c r="B93" s="30"/>
      <c r="C93" s="30"/>
      <c r="D93" s="30"/>
      <c r="E93" s="104"/>
      <c r="F93" s="104"/>
      <c r="G93" s="30"/>
      <c r="H93" s="131">
        <f t="shared" si="4"/>
        <v>0</v>
      </c>
      <c r="I93" s="130">
        <f t="shared" si="5"/>
        <v>0</v>
      </c>
      <c r="J93" s="130">
        <f t="shared" si="6"/>
        <v>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107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 spans="1:70">
      <c r="A94" s="21">
        <v>93</v>
      </c>
      <c r="B94" s="30"/>
      <c r="C94" s="30"/>
      <c r="D94" s="30"/>
      <c r="E94" s="104"/>
      <c r="F94" s="104"/>
      <c r="G94" s="30"/>
      <c r="H94" s="131">
        <f t="shared" si="4"/>
        <v>0</v>
      </c>
      <c r="I94" s="130">
        <f t="shared" si="5"/>
        <v>0</v>
      </c>
      <c r="J94" s="130">
        <f t="shared" si="6"/>
        <v>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107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 spans="1:70">
      <c r="A95" s="21">
        <v>94</v>
      </c>
      <c r="B95" s="30"/>
      <c r="C95" s="30"/>
      <c r="D95" s="30"/>
      <c r="E95" s="104"/>
      <c r="F95" s="104"/>
      <c r="G95" s="30"/>
      <c r="H95" s="131">
        <f t="shared" si="4"/>
        <v>0</v>
      </c>
      <c r="I95" s="130">
        <f t="shared" si="5"/>
        <v>0</v>
      </c>
      <c r="J95" s="130">
        <f t="shared" si="6"/>
        <v>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107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 spans="1:70">
      <c r="A96" s="21">
        <v>95</v>
      </c>
      <c r="B96" s="30"/>
      <c r="C96" s="30"/>
      <c r="D96" s="30"/>
      <c r="E96" s="104"/>
      <c r="F96" s="104"/>
      <c r="G96" s="30"/>
      <c r="H96" s="131">
        <f t="shared" si="4"/>
        <v>0</v>
      </c>
      <c r="I96" s="130">
        <f t="shared" si="5"/>
        <v>0</v>
      </c>
      <c r="J96" s="130">
        <f t="shared" si="6"/>
        <v>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107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 spans="1:70">
      <c r="A97" s="21">
        <v>96</v>
      </c>
      <c r="B97" s="30"/>
      <c r="C97" s="30"/>
      <c r="D97" s="30"/>
      <c r="E97" s="104"/>
      <c r="F97" s="104"/>
      <c r="G97" s="30"/>
      <c r="H97" s="131">
        <f t="shared" si="4"/>
        <v>0</v>
      </c>
      <c r="I97" s="130">
        <f t="shared" si="5"/>
        <v>0</v>
      </c>
      <c r="J97" s="130">
        <f t="shared" si="6"/>
        <v>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107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</row>
    <row r="98" spans="1:70">
      <c r="A98" s="21">
        <v>97</v>
      </c>
      <c r="B98" s="30"/>
      <c r="C98" s="30"/>
      <c r="D98" s="30"/>
      <c r="E98" s="104"/>
      <c r="F98" s="104"/>
      <c r="G98" s="30"/>
      <c r="H98" s="131">
        <f t="shared" si="4"/>
        <v>0</v>
      </c>
      <c r="I98" s="130">
        <f t="shared" si="5"/>
        <v>0</v>
      </c>
      <c r="J98" s="130">
        <f t="shared" si="6"/>
        <v>0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107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</row>
    <row r="99" spans="1:70">
      <c r="A99" s="21">
        <v>98</v>
      </c>
      <c r="B99" s="30"/>
      <c r="C99" s="30"/>
      <c r="D99" s="30"/>
      <c r="E99" s="104"/>
      <c r="F99" s="104"/>
      <c r="G99" s="30"/>
      <c r="H99" s="131">
        <f t="shared" si="4"/>
        <v>0</v>
      </c>
      <c r="I99" s="130">
        <f t="shared" si="5"/>
        <v>0</v>
      </c>
      <c r="J99" s="130">
        <f t="shared" si="6"/>
        <v>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107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</row>
    <row r="100" spans="1:70">
      <c r="A100" s="14">
        <v>99</v>
      </c>
      <c r="B100" s="5"/>
      <c r="C100" s="5"/>
      <c r="D100" s="5"/>
      <c r="E100" s="38"/>
      <c r="F100" s="38"/>
      <c r="G100" s="5"/>
      <c r="H100" s="129">
        <f t="shared" si="4"/>
        <v>0</v>
      </c>
      <c r="I100" s="130">
        <f t="shared" si="5"/>
        <v>0</v>
      </c>
      <c r="J100" s="130">
        <f t="shared" si="6"/>
        <v>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107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 spans="1:70">
      <c r="A101" s="38">
        <v>100</v>
      </c>
      <c r="B101" s="5"/>
      <c r="C101" s="5"/>
      <c r="D101" s="5"/>
      <c r="E101" s="38"/>
      <c r="F101" s="38"/>
      <c r="G101" s="5"/>
      <c r="H101" s="129">
        <f t="shared" si="4"/>
        <v>0</v>
      </c>
      <c r="I101" s="130">
        <f t="shared" si="5"/>
        <v>0</v>
      </c>
      <c r="J101" s="130">
        <f t="shared" si="6"/>
        <v>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107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 spans="1:70">
      <c r="A102" s="5"/>
      <c r="B102" s="5"/>
      <c r="C102" s="5"/>
      <c r="D102" s="5"/>
      <c r="E102" s="38"/>
      <c r="F102" s="38"/>
      <c r="G102" s="5"/>
      <c r="H102" s="125"/>
      <c r="I102" s="126"/>
      <c r="J102" s="126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70">
      <c r="A103" s="5"/>
      <c r="B103" s="5"/>
      <c r="C103" s="5"/>
      <c r="D103" s="5"/>
      <c r="E103" s="38"/>
      <c r="F103" s="38"/>
      <c r="G103" s="5"/>
      <c r="H103" s="125"/>
      <c r="I103" s="126"/>
      <c r="J103" s="126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70">
      <c r="A104" s="5"/>
      <c r="B104" s="5"/>
      <c r="C104" s="5"/>
      <c r="D104" s="5"/>
      <c r="E104" s="38"/>
      <c r="F104" s="38"/>
      <c r="G104" s="5"/>
      <c r="H104" s="125"/>
      <c r="I104" s="126"/>
      <c r="J104" s="126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70">
      <c r="A105" s="5"/>
      <c r="B105" s="5"/>
      <c r="C105" s="5"/>
      <c r="D105" s="5"/>
      <c r="E105" s="38"/>
      <c r="F105" s="38"/>
      <c r="G105" s="5"/>
      <c r="H105" s="125"/>
      <c r="I105" s="126"/>
      <c r="J105" s="126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70">
      <c r="A106" s="5"/>
      <c r="B106" s="5"/>
      <c r="C106" s="5"/>
      <c r="D106" s="5"/>
      <c r="E106" s="38"/>
      <c r="F106" s="38"/>
      <c r="G106" s="5"/>
      <c r="H106" s="125"/>
      <c r="I106" s="126"/>
      <c r="J106" s="126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70">
      <c r="A107" s="5"/>
      <c r="B107" s="5"/>
      <c r="C107" s="5"/>
      <c r="D107" s="5"/>
      <c r="E107" s="38"/>
      <c r="F107" s="38"/>
      <c r="G107" s="5"/>
      <c r="H107" s="125"/>
      <c r="I107" s="126"/>
      <c r="J107" s="126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70">
      <c r="A108" s="5"/>
      <c r="B108" s="5"/>
      <c r="C108" s="5"/>
      <c r="D108" s="5"/>
      <c r="E108" s="38"/>
      <c r="F108" s="38"/>
      <c r="G108" s="5"/>
      <c r="H108" s="125"/>
      <c r="I108" s="126"/>
      <c r="J108" s="126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70">
      <c r="A109" s="5"/>
      <c r="B109" s="5"/>
      <c r="C109" s="5"/>
      <c r="D109" s="5"/>
      <c r="E109" s="38"/>
      <c r="F109" s="38"/>
      <c r="G109" s="5"/>
      <c r="H109" s="125"/>
      <c r="I109" s="126"/>
      <c r="J109" s="126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70">
      <c r="A110" s="5"/>
      <c r="B110" s="5"/>
      <c r="C110" s="5"/>
      <c r="D110" s="5"/>
      <c r="E110" s="38"/>
      <c r="F110" s="38"/>
      <c r="G110" s="5"/>
      <c r="H110" s="125"/>
      <c r="I110" s="126"/>
      <c r="J110" s="126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70">
      <c r="A111" s="5"/>
      <c r="B111" s="5"/>
      <c r="C111" s="5"/>
      <c r="D111" s="5"/>
      <c r="E111" s="38"/>
      <c r="F111" s="38"/>
      <c r="G111" s="5"/>
      <c r="H111" s="125"/>
      <c r="I111" s="126"/>
      <c r="J111" s="126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</row>
    <row r="112" spans="1:70">
      <c r="A112" s="5"/>
      <c r="B112" s="5"/>
      <c r="C112" s="5"/>
      <c r="D112" s="5"/>
      <c r="E112" s="38"/>
      <c r="F112" s="38"/>
      <c r="G112" s="5"/>
      <c r="H112" s="125"/>
      <c r="I112" s="126"/>
      <c r="J112" s="126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</row>
    <row r="113" spans="1:37">
      <c r="A113" s="5"/>
      <c r="B113" s="5"/>
      <c r="C113" s="5"/>
      <c r="D113" s="5"/>
      <c r="E113" s="38"/>
      <c r="F113" s="38"/>
      <c r="G113" s="5"/>
      <c r="H113" s="125"/>
      <c r="I113" s="126"/>
      <c r="J113" s="126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</row>
    <row r="114" spans="1:37">
      <c r="A114" s="5"/>
      <c r="B114" s="5"/>
      <c r="C114" s="5"/>
      <c r="D114" s="5"/>
      <c r="E114" s="38"/>
      <c r="F114" s="38"/>
      <c r="G114" s="5"/>
      <c r="H114" s="125"/>
      <c r="I114" s="126"/>
      <c r="J114" s="126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</row>
    <row r="115" spans="1:37">
      <c r="A115" s="5"/>
      <c r="B115" s="5"/>
      <c r="C115" s="5"/>
      <c r="D115" s="5"/>
      <c r="E115" s="38"/>
      <c r="F115" s="38"/>
      <c r="G115" s="5"/>
      <c r="H115" s="125"/>
      <c r="I115" s="126"/>
      <c r="J115" s="126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</row>
  </sheetData>
  <conditionalFormatting sqref="C4:F4">
    <cfRule type="duplicateValues" dxfId="23" priority="5"/>
  </conditionalFormatting>
  <conditionalFormatting sqref="G17:G1048576 C3:F3 C5:F5 C7:F7 C6:D6 C11:F15">
    <cfRule type="duplicateValues" dxfId="22" priority="6"/>
  </conditionalFormatting>
  <conditionalFormatting sqref="C10:F10">
    <cfRule type="duplicateValues" dxfId="21" priority="4"/>
  </conditionalFormatting>
  <conditionalFormatting sqref="C8:D8">
    <cfRule type="duplicateValues" dxfId="20" priority="3"/>
  </conditionalFormatting>
  <conditionalFormatting sqref="C9:D9">
    <cfRule type="duplicateValues" dxfId="19" priority="2"/>
  </conditionalFormatting>
  <conditionalFormatting sqref="C24">
    <cfRule type="duplicateValues" dxfId="18" priority="1"/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CK114"/>
  <sheetViews>
    <sheetView workbookViewId="0">
      <selection activeCell="F17" sqref="F17"/>
    </sheetView>
  </sheetViews>
  <sheetFormatPr defaultRowHeight="15"/>
  <cols>
    <col min="1" max="1" width="6.140625" bestFit="1" customWidth="1"/>
    <col min="2" max="2" width="16" bestFit="1" customWidth="1"/>
    <col min="3" max="3" width="9.5703125" customWidth="1"/>
    <col min="4" max="4" width="11.7109375" customWidth="1"/>
    <col min="5" max="6" width="9.42578125" style="68" customWidth="1"/>
    <col min="7" max="7" width="12.140625" bestFit="1" customWidth="1"/>
    <col min="8" max="8" width="13.7109375" style="127" customWidth="1"/>
    <col min="9" max="9" width="7.85546875" style="128" bestFit="1" customWidth="1"/>
    <col min="10" max="10" width="8.28515625" hidden="1" customWidth="1"/>
    <col min="11" max="11" width="10.5703125" hidden="1" customWidth="1"/>
    <col min="12" max="12" width="11.85546875" hidden="1" customWidth="1"/>
    <col min="13" max="14" width="8.85546875" hidden="1" customWidth="1"/>
    <col min="15" max="15" width="10" hidden="1" customWidth="1"/>
    <col min="16" max="16" width="10.7109375" hidden="1" customWidth="1"/>
    <col min="17" max="17" width="12.7109375" hidden="1" customWidth="1"/>
    <col min="18" max="18" width="10" hidden="1" customWidth="1"/>
    <col min="19" max="19" width="9.42578125" hidden="1" customWidth="1"/>
    <col min="20" max="20" width="9.28515625" hidden="1" customWidth="1"/>
    <col min="21" max="21" width="7.5703125" hidden="1" customWidth="1"/>
    <col min="22" max="22" width="8.7109375" hidden="1" customWidth="1"/>
    <col min="23" max="23" width="14.140625" hidden="1" customWidth="1"/>
    <col min="24" max="24" width="9.28515625" hidden="1" customWidth="1"/>
    <col min="25" max="25" width="9.5703125" hidden="1" customWidth="1"/>
    <col min="26" max="26" width="8.42578125" hidden="1" customWidth="1"/>
    <col min="27" max="27" width="8.5703125" hidden="1" customWidth="1"/>
    <col min="28" max="28" width="8" hidden="1" customWidth="1"/>
    <col min="29" max="29" width="9.5703125" hidden="1" customWidth="1"/>
    <col min="30" max="30" width="7.140625" hidden="1" customWidth="1"/>
    <col min="31" max="31" width="9.140625" hidden="1" customWidth="1"/>
    <col min="32" max="32" width="18.140625" hidden="1" customWidth="1"/>
    <col min="33" max="33" width="12.140625" hidden="1" customWidth="1"/>
    <col min="34" max="34" width="12.5703125" hidden="1" customWidth="1"/>
    <col min="35" max="35" width="13.28515625" hidden="1" customWidth="1"/>
    <col min="36" max="36" width="14.7109375" hidden="1" customWidth="1"/>
    <col min="37" max="37" width="12.42578125" hidden="1" customWidth="1"/>
    <col min="38" max="38" width="17.140625" hidden="1" customWidth="1"/>
    <col min="39" max="39" width="12.7109375" hidden="1" customWidth="1"/>
    <col min="40" max="40" width="15.7109375" hidden="1" customWidth="1"/>
    <col min="41" max="41" width="6.85546875" hidden="1" customWidth="1"/>
    <col min="42" max="42" width="12.5703125" hidden="1" customWidth="1"/>
    <col min="43" max="43" width="9.7109375" hidden="1" customWidth="1"/>
    <col min="44" max="44" width="9.140625" hidden="1" customWidth="1"/>
    <col min="45" max="45" width="12.42578125" hidden="1" customWidth="1"/>
    <col min="46" max="46" width="17.140625" hidden="1" customWidth="1"/>
    <col min="47" max="47" width="14.42578125" hidden="1" customWidth="1"/>
    <col min="48" max="48" width="17.7109375" hidden="1" customWidth="1"/>
    <col min="49" max="50" width="13.7109375" hidden="1" customWidth="1"/>
    <col min="51" max="51" width="12.140625" hidden="1" customWidth="1"/>
    <col min="52" max="52" width="9.85546875" hidden="1" customWidth="1"/>
    <col min="53" max="53" width="15.28515625" hidden="1" customWidth="1"/>
    <col min="54" max="54" width="5" hidden="1" customWidth="1"/>
    <col min="55" max="55" width="5.7109375" hidden="1" customWidth="1"/>
    <col min="56" max="57" width="9" hidden="1" customWidth="1"/>
    <col min="58" max="58" width="8.7109375" hidden="1" customWidth="1"/>
    <col min="59" max="59" width="9.7109375" hidden="1" customWidth="1"/>
    <col min="60" max="60" width="7.7109375" hidden="1" customWidth="1"/>
    <col min="61" max="61" width="4.7109375" hidden="1" customWidth="1"/>
    <col min="62" max="62" width="8.42578125" hidden="1" customWidth="1"/>
    <col min="63" max="63" width="6.5703125" hidden="1" customWidth="1"/>
    <col min="64" max="64" width="9.42578125" hidden="1" customWidth="1"/>
    <col min="65" max="65" width="6.140625" hidden="1" customWidth="1"/>
    <col min="66" max="66" width="6" hidden="1" customWidth="1"/>
    <col min="67" max="67" width="6.28515625" hidden="1" customWidth="1"/>
    <col min="68" max="68" width="5.28515625" hidden="1" customWidth="1"/>
    <col min="69" max="69" width="11.85546875" customWidth="1"/>
  </cols>
  <sheetData>
    <row r="1" spans="1:89" s="110" customFormat="1" ht="30.75" thickBot="1">
      <c r="A1" s="119"/>
      <c r="B1" s="119"/>
      <c r="C1" s="133" t="s">
        <v>28</v>
      </c>
      <c r="D1" s="137">
        <f>SUM(D3:D100)+I1</f>
        <v>12181</v>
      </c>
      <c r="E1" s="121">
        <f>SUM(E3:E100)</f>
        <v>0</v>
      </c>
      <c r="F1" s="121">
        <f>SUM(F3:F100)</f>
        <v>136807</v>
      </c>
      <c r="G1" s="121">
        <f>SUM(G3:G100)</f>
        <v>0</v>
      </c>
      <c r="H1" s="120" t="s">
        <v>303</v>
      </c>
      <c r="I1" s="140">
        <f>SUM(I3:I100)</f>
        <v>12181</v>
      </c>
      <c r="J1" s="114">
        <f>SUM(J3:J100)</f>
        <v>0</v>
      </c>
      <c r="K1" s="114">
        <f t="shared" ref="K1:BV1" si="0">SUM(K3:K100)</f>
        <v>0</v>
      </c>
      <c r="L1" s="114">
        <f t="shared" si="0"/>
        <v>0</v>
      </c>
      <c r="M1" s="114">
        <f t="shared" si="0"/>
        <v>0</v>
      </c>
      <c r="N1" s="114">
        <f t="shared" si="0"/>
        <v>0</v>
      </c>
      <c r="O1" s="114">
        <f t="shared" si="0"/>
        <v>0</v>
      </c>
      <c r="P1" s="114">
        <f t="shared" si="0"/>
        <v>0</v>
      </c>
      <c r="Q1" s="114">
        <f t="shared" si="0"/>
        <v>0</v>
      </c>
      <c r="R1" s="114">
        <f t="shared" si="0"/>
        <v>0</v>
      </c>
      <c r="S1" s="114">
        <f t="shared" si="0"/>
        <v>0</v>
      </c>
      <c r="T1" s="114">
        <f t="shared" si="0"/>
        <v>0</v>
      </c>
      <c r="U1" s="114">
        <f t="shared" si="0"/>
        <v>0</v>
      </c>
      <c r="V1" s="114">
        <f t="shared" si="0"/>
        <v>0</v>
      </c>
      <c r="W1" s="114">
        <f t="shared" si="0"/>
        <v>0</v>
      </c>
      <c r="X1" s="114">
        <f t="shared" si="0"/>
        <v>0</v>
      </c>
      <c r="Y1" s="114">
        <f t="shared" si="0"/>
        <v>0</v>
      </c>
      <c r="Z1" s="114">
        <f t="shared" si="0"/>
        <v>0</v>
      </c>
      <c r="AA1" s="114">
        <f t="shared" si="0"/>
        <v>0</v>
      </c>
      <c r="AB1" s="114">
        <f t="shared" si="0"/>
        <v>0</v>
      </c>
      <c r="AC1" s="114">
        <f t="shared" si="0"/>
        <v>0</v>
      </c>
      <c r="AD1" s="114">
        <f t="shared" si="0"/>
        <v>0</v>
      </c>
      <c r="AE1" s="114">
        <f t="shared" si="0"/>
        <v>0</v>
      </c>
      <c r="AF1" s="114">
        <f t="shared" si="0"/>
        <v>0</v>
      </c>
      <c r="AG1" s="114">
        <f t="shared" si="0"/>
        <v>0</v>
      </c>
      <c r="AH1" s="114">
        <f t="shared" si="0"/>
        <v>0</v>
      </c>
      <c r="AI1" s="114">
        <f t="shared" si="0"/>
        <v>0</v>
      </c>
      <c r="AJ1" s="114">
        <f t="shared" si="0"/>
        <v>0</v>
      </c>
      <c r="AK1" s="114">
        <f t="shared" si="0"/>
        <v>0</v>
      </c>
      <c r="AL1" s="114">
        <f t="shared" si="0"/>
        <v>0</v>
      </c>
      <c r="AM1" s="114">
        <f t="shared" si="0"/>
        <v>0</v>
      </c>
      <c r="AN1" s="114">
        <f t="shared" si="0"/>
        <v>0</v>
      </c>
      <c r="AO1" s="114">
        <f t="shared" si="0"/>
        <v>0</v>
      </c>
      <c r="AP1" s="114">
        <f t="shared" si="0"/>
        <v>0</v>
      </c>
      <c r="AQ1" s="114">
        <f t="shared" si="0"/>
        <v>0</v>
      </c>
      <c r="AR1" s="114">
        <f t="shared" si="0"/>
        <v>0</v>
      </c>
      <c r="AS1" s="114">
        <f t="shared" si="0"/>
        <v>0</v>
      </c>
      <c r="AT1" s="114">
        <f t="shared" si="0"/>
        <v>0</v>
      </c>
      <c r="AU1" s="114">
        <f t="shared" si="0"/>
        <v>0</v>
      </c>
      <c r="AV1" s="114">
        <f t="shared" si="0"/>
        <v>0</v>
      </c>
      <c r="AW1" s="114">
        <f t="shared" si="0"/>
        <v>0</v>
      </c>
      <c r="AX1" s="114">
        <f t="shared" si="0"/>
        <v>0</v>
      </c>
      <c r="AY1" s="114">
        <f t="shared" si="0"/>
        <v>0</v>
      </c>
      <c r="AZ1" s="114">
        <f t="shared" si="0"/>
        <v>0</v>
      </c>
      <c r="BA1" s="114">
        <f t="shared" si="0"/>
        <v>0</v>
      </c>
      <c r="BB1" s="114">
        <f t="shared" si="0"/>
        <v>0</v>
      </c>
      <c r="BC1" s="114">
        <f t="shared" si="0"/>
        <v>0</v>
      </c>
      <c r="BD1" s="114">
        <f t="shared" si="0"/>
        <v>0</v>
      </c>
      <c r="BE1" s="114">
        <f t="shared" si="0"/>
        <v>0</v>
      </c>
      <c r="BF1" s="114">
        <f t="shared" si="0"/>
        <v>0</v>
      </c>
      <c r="BG1" s="114">
        <f t="shared" si="0"/>
        <v>0</v>
      </c>
      <c r="BH1" s="114">
        <f t="shared" si="0"/>
        <v>0</v>
      </c>
      <c r="BI1" s="114">
        <f t="shared" si="0"/>
        <v>0</v>
      </c>
      <c r="BJ1" s="114">
        <f t="shared" si="0"/>
        <v>0</v>
      </c>
      <c r="BK1" s="114">
        <f t="shared" si="0"/>
        <v>0</v>
      </c>
      <c r="BL1" s="114">
        <f t="shared" si="0"/>
        <v>0</v>
      </c>
      <c r="BM1" s="114">
        <f t="shared" si="0"/>
        <v>0</v>
      </c>
      <c r="BN1" s="114">
        <f t="shared" si="0"/>
        <v>0</v>
      </c>
      <c r="BO1" s="114">
        <f t="shared" si="0"/>
        <v>0</v>
      </c>
      <c r="BP1" s="114">
        <f t="shared" si="0"/>
        <v>0</v>
      </c>
      <c r="BQ1" s="154">
        <f t="shared" si="0"/>
        <v>124626</v>
      </c>
      <c r="BR1" s="154">
        <f t="shared" si="0"/>
        <v>0</v>
      </c>
      <c r="BS1" s="154">
        <f t="shared" si="0"/>
        <v>0</v>
      </c>
      <c r="BT1" s="154">
        <f t="shared" si="0"/>
        <v>0</v>
      </c>
      <c r="BU1" s="154">
        <f t="shared" si="0"/>
        <v>0</v>
      </c>
      <c r="BV1" s="154">
        <f t="shared" si="0"/>
        <v>0</v>
      </c>
      <c r="BW1" s="154">
        <f t="shared" ref="BW1:CK1" si="1">SUM(BW3:BW100)</f>
        <v>0</v>
      </c>
      <c r="BX1" s="154">
        <f t="shared" si="1"/>
        <v>0</v>
      </c>
      <c r="BY1" s="154">
        <f t="shared" si="1"/>
        <v>0</v>
      </c>
      <c r="BZ1" s="154">
        <f t="shared" si="1"/>
        <v>0</v>
      </c>
      <c r="CA1" s="154">
        <f t="shared" si="1"/>
        <v>0</v>
      </c>
      <c r="CB1" s="154">
        <f t="shared" si="1"/>
        <v>0</v>
      </c>
      <c r="CC1" s="154">
        <f t="shared" si="1"/>
        <v>0</v>
      </c>
      <c r="CD1" s="154">
        <f t="shared" si="1"/>
        <v>0</v>
      </c>
      <c r="CE1" s="154">
        <f t="shared" si="1"/>
        <v>0</v>
      </c>
      <c r="CF1" s="154">
        <f t="shared" si="1"/>
        <v>0</v>
      </c>
      <c r="CG1" s="154">
        <f t="shared" si="1"/>
        <v>0</v>
      </c>
      <c r="CH1" s="154">
        <f t="shared" si="1"/>
        <v>0</v>
      </c>
      <c r="CI1" s="154">
        <f t="shared" si="1"/>
        <v>0</v>
      </c>
      <c r="CJ1" s="154">
        <f t="shared" si="1"/>
        <v>0</v>
      </c>
      <c r="CK1" s="154">
        <f t="shared" si="1"/>
        <v>0</v>
      </c>
    </row>
    <row r="2" spans="1:89" s="110" customFormat="1" ht="60">
      <c r="A2" s="115" t="s">
        <v>51</v>
      </c>
      <c r="B2" s="115" t="s">
        <v>302</v>
      </c>
      <c r="C2" s="116" t="s">
        <v>313</v>
      </c>
      <c r="D2" s="116" t="s">
        <v>852</v>
      </c>
      <c r="E2" s="117" t="s">
        <v>378</v>
      </c>
      <c r="F2" s="117" t="s">
        <v>600</v>
      </c>
      <c r="G2" s="117" t="s">
        <v>592</v>
      </c>
      <c r="H2" s="122" t="s">
        <v>496</v>
      </c>
      <c r="I2" s="123" t="s">
        <v>26</v>
      </c>
      <c r="J2" s="111" t="str">
        <f>Kotak!K3</f>
        <v>Zoom</v>
      </c>
      <c r="K2" s="111" t="str">
        <f>Kotak!L3</f>
        <v>All Star Manjunath</v>
      </c>
      <c r="L2" s="111" t="str">
        <f>Kotak!M3</f>
        <v>Abhipsa Mohanty</v>
      </c>
      <c r="M2" s="111" t="str">
        <f>Kotak!N3</f>
        <v>Subhadeep Banarjee</v>
      </c>
      <c r="N2" s="111" t="str">
        <f>Kotak!O3</f>
        <v>Aradhana Singh</v>
      </c>
      <c r="O2" s="111" t="str">
        <f>Kotak!P3</f>
        <v>Sadanand Sharma</v>
      </c>
      <c r="P2" s="111" t="str">
        <f>Kotak!Q3</f>
        <v>Sandeep Mishra</v>
      </c>
      <c r="Q2" s="111" t="str">
        <f>Kotak!R3</f>
        <v>IDFC</v>
      </c>
      <c r="R2" s="111" t="str">
        <f>Kotak!S3</f>
        <v>Vipin</v>
      </c>
      <c r="S2" s="111" t="str">
        <f>Kotak!T3</f>
        <v>Citi credit card</v>
      </c>
      <c r="T2" s="111" t="str">
        <f>Kotak!U3</f>
        <v>Hemant Arora</v>
      </c>
      <c r="U2" s="111" t="str">
        <f>Kotak!V3</f>
        <v>Dinesh Chimaji</v>
      </c>
      <c r="V2" s="111" t="str">
        <f>Kotak!W3</f>
        <v>Alok Majumdar</v>
      </c>
      <c r="W2" s="111" t="str">
        <f>Kotak!X3</f>
        <v>Karan</v>
      </c>
      <c r="X2" s="111" t="str">
        <f>Kotak!Y3</f>
        <v>K K PANCHAL</v>
      </c>
      <c r="Y2" s="111" t="str">
        <f>Kotak!Z3</f>
        <v>Nalin Sharma</v>
      </c>
      <c r="Z2" s="111" t="str">
        <f>Kotak!AA3</f>
        <v>Axis Card</v>
      </c>
      <c r="AA2" s="111" t="str">
        <f>Kotak!AB3</f>
        <v>Rahul</v>
      </c>
      <c r="AB2" s="111" t="str">
        <f>Kotak!AC3</f>
        <v>Train Ticket</v>
      </c>
      <c r="AC2" s="111" t="str">
        <f>Kotak!AD3</f>
        <v>CA</v>
      </c>
      <c r="AD2" s="111" t="str">
        <f>Kotak!AE3</f>
        <v>RAJINDER PANIKAR</v>
      </c>
      <c r="AE2" s="111" t="str">
        <f>Kotak!AF3</f>
        <v>HARISH</v>
      </c>
      <c r="AF2" s="111" t="str">
        <f>Kotak!AG3</f>
        <v>RAJNISH KUMAR JHA</v>
      </c>
      <c r="AG2" s="111" t="str">
        <f>Kotak!AH3</f>
        <v xml:space="preserve">DAS TELECOM </v>
      </c>
      <c r="AH2" s="111" t="str">
        <f>Kotak!AI3</f>
        <v>BHAVESH TULSIRAM</v>
      </c>
      <c r="AI2" s="111" t="str">
        <f>Kotak!AJ3</f>
        <v>AMANDEEP SINGH</v>
      </c>
      <c r="AJ2" s="111" t="str">
        <f>Kotak!AK3</f>
        <v>SANTOSH</v>
      </c>
      <c r="AK2" s="111" t="str">
        <f>Kotak!AL3</f>
        <v>Krishan Kumar Jha</v>
      </c>
      <c r="AL2" s="111" t="str">
        <f>Kotak!AM3</f>
        <v>Rajnish Kumar Jha</v>
      </c>
      <c r="AM2" s="111" t="str">
        <f>Kotak!AN3</f>
        <v>Ratan R Gaud</v>
      </c>
      <c r="AN2" s="111" t="str">
        <f>Kotak!AO3</f>
        <v>Insight Market Research</v>
      </c>
      <c r="AO2" s="111" t="str">
        <f>Kotak!AP3</f>
        <v>Ritz</v>
      </c>
      <c r="AP2" s="111" t="str">
        <f>Kotak!AQ3</f>
        <v>Rupali Sarkar</v>
      </c>
      <c r="AQ2" s="111" t="str">
        <f>Kotak!AR3</f>
        <v>Sadanand</v>
      </c>
      <c r="AR2" s="111" t="str">
        <f>Kotak!AS3</f>
        <v>Ashok Iyear</v>
      </c>
      <c r="AS2" s="111" t="str">
        <f>Kotak!AT3</f>
        <v>SIDDHESH LKO</v>
      </c>
      <c r="AT2" s="111" t="str">
        <f>Kotak!AU3</f>
        <v>Sangeeta Massion</v>
      </c>
      <c r="AU2" s="111" t="str">
        <f>Kotak!AV3</f>
        <v>Sheetal Mishra</v>
      </c>
      <c r="AV2" s="111" t="str">
        <f>Kotak!AW3</f>
        <v>Total Link Solution</v>
      </c>
      <c r="AW2" s="111" t="str">
        <f>Kotak!AX3</f>
        <v>Sheetal Kanse</v>
      </c>
      <c r="AX2" s="111" t="str">
        <f>Kotak!AY3</f>
        <v>Raj Mangal Sharma</v>
      </c>
      <c r="AY2" s="111" t="str">
        <f>Kotak!AZ3</f>
        <v>Veenu Berry</v>
      </c>
      <c r="AZ2" s="111" t="str">
        <f>Kotak!BA3</f>
        <v>VAISNAVI</v>
      </c>
      <c r="BA2" s="111" t="str">
        <f>Kotak!BB3</f>
        <v>VIKASH MISHRA</v>
      </c>
      <c r="BB2" s="111" t="str">
        <f>Kotak!BC3</f>
        <v>Dr. Pallav</v>
      </c>
      <c r="BC2" s="111" t="str">
        <f>Kotak!BD3</f>
        <v>YASH</v>
      </c>
      <c r="BD2" s="111" t="str">
        <f>Kotak!BE3</f>
        <v>Subrat</v>
      </c>
      <c r="BE2" s="111" t="str">
        <f>Kotak!BF3</f>
        <v>Payment</v>
      </c>
      <c r="BF2" s="111" t="str">
        <f>Kotak!BG3</f>
        <v>Payment</v>
      </c>
      <c r="BG2" s="111" t="str">
        <f>Kotak!BH3</f>
        <v>RT</v>
      </c>
      <c r="BH2" s="111" t="str">
        <f>Kotak!BI3</f>
        <v>AT</v>
      </c>
      <c r="BI2" s="111" t="str">
        <f>Kotak!BJ3</f>
        <v>SB</v>
      </c>
      <c r="BJ2" s="111" t="str">
        <f>Kotak!BK3</f>
        <v>GCP</v>
      </c>
      <c r="BK2" s="111" t="str">
        <f>Kotak!BL3</f>
        <v>PM</v>
      </c>
      <c r="BL2" s="111" t="str">
        <f>Kotak!BM3</f>
        <v>Other Expenses</v>
      </c>
      <c r="BM2" s="111" t="str">
        <f>Kotak!BN3</f>
        <v xml:space="preserve">Loan to New </v>
      </c>
      <c r="BN2" s="111">
        <f>Kotak!BO3</f>
        <v>0</v>
      </c>
      <c r="BO2" s="111">
        <f>Kotak!BP3</f>
        <v>0</v>
      </c>
      <c r="BP2" s="112">
        <f>Kotak!BQ3</f>
        <v>0</v>
      </c>
      <c r="BQ2" s="155" t="s">
        <v>289</v>
      </c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</row>
    <row r="3" spans="1:89">
      <c r="A3" s="38">
        <v>1</v>
      </c>
      <c r="B3" s="30" t="s">
        <v>1091</v>
      </c>
      <c r="C3" s="5"/>
      <c r="D3" s="5"/>
      <c r="E3" s="38"/>
      <c r="F3" s="38"/>
      <c r="G3" s="38">
        <v>0</v>
      </c>
      <c r="H3" s="129">
        <f t="shared" ref="H3:H66" si="2">SUM(J3:ZG3)</f>
        <v>0</v>
      </c>
      <c r="I3" s="130">
        <f>F3+G3-H3</f>
        <v>0</v>
      </c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8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5"/>
      <c r="CF3" s="5"/>
      <c r="CG3" s="5"/>
      <c r="CH3" s="5"/>
      <c r="CI3" s="5"/>
      <c r="CJ3" s="5"/>
      <c r="CK3" s="5"/>
    </row>
    <row r="4" spans="1:89" s="40" customFormat="1">
      <c r="A4" s="104">
        <v>2</v>
      </c>
      <c r="B4" s="30" t="s">
        <v>1038</v>
      </c>
      <c r="C4" s="30"/>
      <c r="D4" s="30"/>
      <c r="E4" s="104"/>
      <c r="F4" s="104">
        <v>11807</v>
      </c>
      <c r="G4" s="104"/>
      <c r="H4" s="131">
        <f t="shared" si="2"/>
        <v>0</v>
      </c>
      <c r="I4" s="130">
        <f t="shared" ref="I4:I67" si="3">F4+G4-H4</f>
        <v>11807</v>
      </c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8"/>
      <c r="BG4" s="147"/>
      <c r="BH4" s="147"/>
      <c r="BI4" s="147"/>
      <c r="BJ4" s="147"/>
      <c r="BK4" s="147"/>
      <c r="BL4" s="147"/>
      <c r="BM4" s="135"/>
      <c r="BN4" s="135"/>
      <c r="BO4" s="135"/>
      <c r="BP4" s="152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</row>
    <row r="5" spans="1:89">
      <c r="A5" s="38">
        <v>4</v>
      </c>
      <c r="B5" s="5" t="s">
        <v>33</v>
      </c>
      <c r="C5" s="5" t="s">
        <v>1079</v>
      </c>
      <c r="D5" s="5"/>
      <c r="E5" s="38"/>
      <c r="F5" s="38"/>
      <c r="G5" s="104">
        <v>0</v>
      </c>
      <c r="H5" s="129">
        <f t="shared" si="2"/>
        <v>0</v>
      </c>
      <c r="I5" s="130">
        <f t="shared" si="3"/>
        <v>0</v>
      </c>
      <c r="J5" s="147"/>
      <c r="K5" s="147"/>
      <c r="L5" s="147"/>
      <c r="M5" s="149"/>
      <c r="N5" s="149"/>
      <c r="O5" s="147"/>
      <c r="P5" s="147"/>
      <c r="Q5" s="150"/>
      <c r="R5" s="149"/>
      <c r="S5" s="147"/>
      <c r="T5" s="149"/>
      <c r="U5" s="149"/>
      <c r="V5" s="149"/>
      <c r="W5" s="151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8"/>
      <c r="BG5" s="147"/>
      <c r="BH5" s="147"/>
      <c r="BI5" s="147"/>
      <c r="BJ5" s="147"/>
      <c r="BK5" s="147"/>
      <c r="BL5" s="147"/>
      <c r="BM5" s="135"/>
      <c r="BN5" s="135"/>
      <c r="BO5" s="135"/>
      <c r="BP5" s="152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5"/>
      <c r="CF5" s="5"/>
      <c r="CG5" s="5"/>
      <c r="CH5" s="5"/>
      <c r="CI5" s="5"/>
      <c r="CJ5" s="5"/>
      <c r="CK5" s="5"/>
    </row>
    <row r="6" spans="1:89">
      <c r="A6" s="38">
        <v>7</v>
      </c>
      <c r="B6" s="5" t="s">
        <v>502</v>
      </c>
      <c r="C6" s="5" t="s">
        <v>1108</v>
      </c>
      <c r="D6" s="38"/>
      <c r="E6" s="104"/>
      <c r="F6" s="38">
        <v>125000</v>
      </c>
      <c r="G6" s="38">
        <v>0</v>
      </c>
      <c r="H6" s="129">
        <f t="shared" si="2"/>
        <v>124626</v>
      </c>
      <c r="I6" s="130">
        <f t="shared" si="3"/>
        <v>374</v>
      </c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8"/>
      <c r="BG6" s="147"/>
      <c r="BH6" s="147"/>
      <c r="BI6" s="147"/>
      <c r="BJ6" s="147"/>
      <c r="BK6" s="147"/>
      <c r="BL6" s="147"/>
      <c r="BM6" s="135"/>
      <c r="BN6" s="135"/>
      <c r="BO6" s="135"/>
      <c r="BP6" s="152"/>
      <c r="BQ6" s="21">
        <v>124626</v>
      </c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5"/>
      <c r="CF6" s="5"/>
      <c r="CG6" s="5"/>
      <c r="CH6" s="5"/>
      <c r="CI6" s="5"/>
      <c r="CJ6" s="5"/>
      <c r="CK6" s="5"/>
    </row>
    <row r="7" spans="1:89">
      <c r="A7" s="38">
        <v>5</v>
      </c>
      <c r="B7" s="5"/>
      <c r="C7" s="5"/>
      <c r="D7" s="5"/>
      <c r="E7" s="104"/>
      <c r="F7" s="104"/>
      <c r="G7" s="38"/>
      <c r="H7" s="129">
        <f t="shared" si="2"/>
        <v>0</v>
      </c>
      <c r="I7" s="130">
        <f t="shared" si="3"/>
        <v>0</v>
      </c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8"/>
      <c r="BG7" s="147"/>
      <c r="BH7" s="147"/>
      <c r="BI7" s="147"/>
      <c r="BJ7" s="147"/>
      <c r="BK7" s="147"/>
      <c r="BL7" s="147"/>
      <c r="BM7" s="135"/>
      <c r="BN7" s="135"/>
      <c r="BO7" s="135"/>
      <c r="BP7" s="152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5"/>
      <c r="CF7" s="5"/>
      <c r="CG7" s="5"/>
      <c r="CH7" s="5"/>
      <c r="CI7" s="5"/>
      <c r="CJ7" s="5"/>
      <c r="CK7" s="5"/>
    </row>
    <row r="8" spans="1:89">
      <c r="A8" s="38">
        <v>6</v>
      </c>
      <c r="B8" s="30"/>
      <c r="C8" s="5"/>
      <c r="D8" s="5"/>
      <c r="E8" s="104"/>
      <c r="F8" s="104"/>
      <c r="G8" s="38"/>
      <c r="H8" s="129">
        <f t="shared" si="2"/>
        <v>0</v>
      </c>
      <c r="I8" s="130">
        <f t="shared" si="3"/>
        <v>0</v>
      </c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8"/>
      <c r="BG8" s="147"/>
      <c r="BH8" s="147"/>
      <c r="BI8" s="147"/>
      <c r="BJ8" s="147"/>
      <c r="BK8" s="147"/>
      <c r="BL8" s="147"/>
      <c r="BM8" s="135"/>
      <c r="BN8" s="135"/>
      <c r="BO8" s="135"/>
      <c r="BP8" s="152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5"/>
      <c r="CF8" s="5"/>
      <c r="CG8" s="5"/>
      <c r="CH8" s="5"/>
      <c r="CI8" s="5"/>
      <c r="CJ8" s="5"/>
      <c r="CK8" s="5"/>
    </row>
    <row r="9" spans="1:89" s="40" customFormat="1">
      <c r="A9" s="104">
        <v>3</v>
      </c>
      <c r="B9" s="5"/>
      <c r="C9" s="30"/>
      <c r="D9" s="30"/>
      <c r="E9" s="104"/>
      <c r="F9" s="104"/>
      <c r="G9" s="104"/>
      <c r="H9" s="124">
        <f t="shared" si="2"/>
        <v>0</v>
      </c>
      <c r="I9" s="130">
        <f t="shared" si="3"/>
        <v>0</v>
      </c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8"/>
      <c r="BG9" s="147"/>
      <c r="BH9" s="147"/>
      <c r="BI9" s="147"/>
      <c r="BJ9" s="147"/>
      <c r="BK9" s="147"/>
      <c r="BL9" s="147"/>
      <c r="BM9" s="135"/>
      <c r="BN9" s="135"/>
      <c r="BO9" s="135"/>
      <c r="BP9" s="152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</row>
    <row r="10" spans="1:89">
      <c r="A10" s="104">
        <v>10</v>
      </c>
      <c r="B10" s="30"/>
      <c r="C10" s="30"/>
      <c r="D10" s="30"/>
      <c r="E10" s="104"/>
      <c r="F10" s="104"/>
      <c r="G10" s="104"/>
      <c r="H10" s="131">
        <f t="shared" si="2"/>
        <v>0</v>
      </c>
      <c r="I10" s="130">
        <f t="shared" si="3"/>
        <v>0</v>
      </c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8"/>
      <c r="BG10" s="147"/>
      <c r="BH10" s="147"/>
      <c r="BI10" s="147"/>
      <c r="BJ10" s="147"/>
      <c r="BK10" s="147"/>
      <c r="BL10" s="147"/>
      <c r="BM10" s="135"/>
      <c r="BN10" s="135"/>
      <c r="BO10" s="135"/>
      <c r="BP10" s="152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5"/>
      <c r="CF10" s="5"/>
      <c r="CG10" s="5"/>
      <c r="CH10" s="5"/>
      <c r="CI10" s="5"/>
      <c r="CJ10" s="5"/>
      <c r="CK10" s="5"/>
    </row>
    <row r="11" spans="1:89">
      <c r="A11" s="104">
        <v>11</v>
      </c>
      <c r="B11" s="30"/>
      <c r="C11" s="30"/>
      <c r="D11" s="30"/>
      <c r="E11" s="104"/>
      <c r="F11" s="104"/>
      <c r="G11" s="104"/>
      <c r="H11" s="131">
        <f t="shared" si="2"/>
        <v>0</v>
      </c>
      <c r="I11" s="130">
        <f t="shared" si="3"/>
        <v>0</v>
      </c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8"/>
      <c r="BG11" s="147"/>
      <c r="BH11" s="147"/>
      <c r="BI11" s="147"/>
      <c r="BJ11" s="147"/>
      <c r="BK11" s="147"/>
      <c r="BL11" s="147"/>
      <c r="BM11" s="135"/>
      <c r="BN11" s="135"/>
      <c r="BO11" s="135"/>
      <c r="BP11" s="152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5"/>
      <c r="CF11" s="5"/>
      <c r="CG11" s="5"/>
      <c r="CH11" s="5"/>
      <c r="CI11" s="5"/>
      <c r="CJ11" s="5"/>
      <c r="CK11" s="5"/>
    </row>
    <row r="12" spans="1:89">
      <c r="A12" s="104">
        <v>12</v>
      </c>
      <c r="B12" s="30"/>
      <c r="C12" s="30"/>
      <c r="D12" s="30"/>
      <c r="E12" s="104"/>
      <c r="F12" s="104"/>
      <c r="G12" s="104"/>
      <c r="H12" s="131">
        <f>SUM(J12:BP12)</f>
        <v>0</v>
      </c>
      <c r="I12" s="130">
        <f t="shared" si="3"/>
        <v>0</v>
      </c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8"/>
      <c r="BG12" s="147"/>
      <c r="BH12" s="147"/>
      <c r="BI12" s="147"/>
      <c r="BJ12" s="147"/>
      <c r="BK12" s="147"/>
      <c r="BL12" s="147"/>
      <c r="BM12" s="135"/>
      <c r="BN12" s="135"/>
      <c r="BO12" s="135"/>
      <c r="BP12" s="152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5"/>
      <c r="CF12" s="5"/>
      <c r="CG12" s="5"/>
      <c r="CH12" s="5"/>
      <c r="CI12" s="5"/>
      <c r="CJ12" s="5"/>
      <c r="CK12" s="5"/>
    </row>
    <row r="13" spans="1:89">
      <c r="A13" s="104">
        <v>13</v>
      </c>
      <c r="B13" s="30"/>
      <c r="C13" s="30"/>
      <c r="D13" s="30"/>
      <c r="E13" s="104"/>
      <c r="F13" s="104"/>
      <c r="G13" s="104"/>
      <c r="H13" s="131">
        <f t="shared" si="2"/>
        <v>0</v>
      </c>
      <c r="I13" s="130">
        <f t="shared" si="3"/>
        <v>0</v>
      </c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8"/>
      <c r="BG13" s="147"/>
      <c r="BH13" s="147"/>
      <c r="BI13" s="147"/>
      <c r="BJ13" s="147"/>
      <c r="BK13" s="147"/>
      <c r="BL13" s="147"/>
      <c r="BM13" s="135"/>
      <c r="BN13" s="135"/>
      <c r="BO13" s="135"/>
      <c r="BP13" s="152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5"/>
      <c r="CF13" s="5"/>
      <c r="CG13" s="5"/>
      <c r="CH13" s="5"/>
      <c r="CI13" s="5"/>
      <c r="CJ13" s="5"/>
      <c r="CK13" s="5"/>
    </row>
    <row r="14" spans="1:89">
      <c r="A14" s="104">
        <v>14</v>
      </c>
      <c r="B14" s="30"/>
      <c r="C14" s="30"/>
      <c r="D14" s="30"/>
      <c r="E14" s="104"/>
      <c r="F14" s="104"/>
      <c r="G14" s="104"/>
      <c r="H14" s="131">
        <f t="shared" si="2"/>
        <v>0</v>
      </c>
      <c r="I14" s="130">
        <f t="shared" si="3"/>
        <v>0</v>
      </c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8"/>
      <c r="BG14" s="147"/>
      <c r="BH14" s="147"/>
      <c r="BI14" s="147"/>
      <c r="BJ14" s="147"/>
      <c r="BK14" s="147"/>
      <c r="BL14" s="147"/>
      <c r="BM14" s="135"/>
      <c r="BN14" s="135"/>
      <c r="BO14" s="135"/>
      <c r="BP14" s="152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5"/>
      <c r="CF14" s="5"/>
      <c r="CG14" s="5"/>
      <c r="CH14" s="5"/>
      <c r="CI14" s="5"/>
      <c r="CJ14" s="5"/>
      <c r="CK14" s="5"/>
    </row>
    <row r="15" spans="1:89" s="87" customFormat="1">
      <c r="A15" s="104">
        <v>15</v>
      </c>
      <c r="B15" s="30"/>
      <c r="C15" s="30"/>
      <c r="D15" s="30"/>
      <c r="E15" s="104"/>
      <c r="F15" s="104"/>
      <c r="G15" s="104"/>
      <c r="H15" s="131">
        <f t="shared" si="2"/>
        <v>0</v>
      </c>
      <c r="I15" s="130">
        <f t="shared" si="3"/>
        <v>0</v>
      </c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52"/>
      <c r="BG15" s="135"/>
      <c r="BH15" s="135"/>
      <c r="BI15" s="135"/>
      <c r="BJ15" s="135"/>
      <c r="BK15" s="135"/>
      <c r="BL15" s="135"/>
      <c r="BM15" s="135"/>
      <c r="BN15" s="135"/>
      <c r="BO15" s="135"/>
      <c r="BP15" s="152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56"/>
      <c r="CF15" s="56"/>
      <c r="CG15" s="56"/>
      <c r="CH15" s="56"/>
      <c r="CI15" s="56"/>
      <c r="CJ15" s="56"/>
      <c r="CK15" s="56"/>
    </row>
    <row r="16" spans="1:89">
      <c r="A16" s="104">
        <v>16</v>
      </c>
      <c r="B16" s="30"/>
      <c r="C16" s="30"/>
      <c r="D16" s="30"/>
      <c r="E16" s="104"/>
      <c r="F16" s="104"/>
      <c r="G16" s="104"/>
      <c r="H16" s="131">
        <f t="shared" si="2"/>
        <v>0</v>
      </c>
      <c r="I16" s="130">
        <f t="shared" si="3"/>
        <v>0</v>
      </c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52"/>
      <c r="BG16" s="135"/>
      <c r="BH16" s="135"/>
      <c r="BI16" s="135"/>
      <c r="BJ16" s="135"/>
      <c r="BK16" s="135"/>
      <c r="BL16" s="135"/>
      <c r="BM16" s="135"/>
      <c r="BN16" s="135"/>
      <c r="BO16" s="135"/>
      <c r="BP16" s="152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5"/>
      <c r="CF16" s="5"/>
      <c r="CG16" s="5"/>
      <c r="CH16" s="5"/>
      <c r="CI16" s="5"/>
      <c r="CJ16" s="5"/>
      <c r="CK16" s="5"/>
    </row>
    <row r="17" spans="1:89">
      <c r="A17" s="104">
        <v>17</v>
      </c>
      <c r="B17" s="30"/>
      <c r="C17" s="30"/>
      <c r="D17" s="30"/>
      <c r="E17" s="104"/>
      <c r="F17" s="104"/>
      <c r="G17" s="30"/>
      <c r="H17" s="131">
        <f t="shared" si="2"/>
        <v>0</v>
      </c>
      <c r="I17" s="130">
        <f t="shared" si="3"/>
        <v>0</v>
      </c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52"/>
      <c r="BG17" s="135"/>
      <c r="BH17" s="135"/>
      <c r="BI17" s="135"/>
      <c r="BJ17" s="135"/>
      <c r="BK17" s="135"/>
      <c r="BL17" s="135"/>
      <c r="BM17" s="135"/>
      <c r="BN17" s="135"/>
      <c r="BO17" s="135"/>
      <c r="BP17" s="152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5"/>
      <c r="CF17" s="5"/>
      <c r="CG17" s="5"/>
      <c r="CH17" s="5"/>
      <c r="CI17" s="5"/>
      <c r="CJ17" s="5"/>
      <c r="CK17" s="5"/>
    </row>
    <row r="18" spans="1:89">
      <c r="A18" s="104">
        <v>18</v>
      </c>
      <c r="B18" s="30"/>
      <c r="C18" s="30"/>
      <c r="D18" s="30"/>
      <c r="E18" s="104"/>
      <c r="F18" s="104"/>
      <c r="G18" s="104"/>
      <c r="H18" s="131">
        <f t="shared" si="2"/>
        <v>0</v>
      </c>
      <c r="I18" s="130">
        <f t="shared" si="3"/>
        <v>0</v>
      </c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52"/>
      <c r="BG18" s="135"/>
      <c r="BH18" s="135"/>
      <c r="BI18" s="135"/>
      <c r="BJ18" s="135"/>
      <c r="BK18" s="135"/>
      <c r="BL18" s="135"/>
      <c r="BM18" s="135"/>
      <c r="BN18" s="135"/>
      <c r="BO18" s="135"/>
      <c r="BP18" s="152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5"/>
      <c r="CF18" s="5"/>
      <c r="CG18" s="5"/>
      <c r="CH18" s="5"/>
      <c r="CI18" s="5"/>
      <c r="CJ18" s="5"/>
      <c r="CK18" s="5"/>
    </row>
    <row r="19" spans="1:89">
      <c r="A19" s="104">
        <v>19</v>
      </c>
      <c r="B19" s="30"/>
      <c r="C19" s="30"/>
      <c r="D19" s="30"/>
      <c r="E19" s="104"/>
      <c r="F19" s="104"/>
      <c r="G19" s="104"/>
      <c r="H19" s="131">
        <f t="shared" si="2"/>
        <v>0</v>
      </c>
      <c r="I19" s="130">
        <f t="shared" si="3"/>
        <v>0</v>
      </c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52"/>
      <c r="BG19" s="135"/>
      <c r="BH19" s="135"/>
      <c r="BI19" s="135"/>
      <c r="BJ19" s="135"/>
      <c r="BK19" s="135"/>
      <c r="BL19" s="135"/>
      <c r="BM19" s="135"/>
      <c r="BN19" s="135"/>
      <c r="BO19" s="135"/>
      <c r="BP19" s="152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5"/>
      <c r="CF19" s="5"/>
      <c r="CG19" s="5"/>
      <c r="CH19" s="5"/>
      <c r="CI19" s="5"/>
      <c r="CJ19" s="5"/>
      <c r="CK19" s="5"/>
    </row>
    <row r="20" spans="1:89">
      <c r="A20" s="104">
        <v>20</v>
      </c>
      <c r="B20" s="30"/>
      <c r="C20" s="30"/>
      <c r="D20" s="30"/>
      <c r="E20" s="104"/>
      <c r="F20" s="104"/>
      <c r="G20" s="104"/>
      <c r="H20" s="131">
        <f t="shared" si="2"/>
        <v>0</v>
      </c>
      <c r="I20" s="130">
        <f t="shared" si="3"/>
        <v>0</v>
      </c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52"/>
      <c r="BG20" s="135"/>
      <c r="BH20" s="135"/>
      <c r="BI20" s="135"/>
      <c r="BJ20" s="135"/>
      <c r="BK20" s="135"/>
      <c r="BL20" s="135"/>
      <c r="BM20" s="135"/>
      <c r="BN20" s="135"/>
      <c r="BO20" s="135"/>
      <c r="BP20" s="152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5"/>
      <c r="CF20" s="5"/>
      <c r="CG20" s="5"/>
      <c r="CH20" s="5"/>
      <c r="CI20" s="5"/>
      <c r="CJ20" s="5"/>
      <c r="CK20" s="5"/>
    </row>
    <row r="21" spans="1:89">
      <c r="A21" s="104">
        <v>21</v>
      </c>
      <c r="B21" s="30"/>
      <c r="C21" s="30"/>
      <c r="D21" s="30"/>
      <c r="E21" s="104"/>
      <c r="F21" s="104"/>
      <c r="G21" s="104"/>
      <c r="H21" s="131">
        <f t="shared" si="2"/>
        <v>0</v>
      </c>
      <c r="I21" s="130">
        <f t="shared" si="3"/>
        <v>0</v>
      </c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52"/>
      <c r="BG21" s="135"/>
      <c r="BH21" s="135"/>
      <c r="BI21" s="135"/>
      <c r="BJ21" s="135"/>
      <c r="BK21" s="135"/>
      <c r="BL21" s="135"/>
      <c r="BM21" s="135"/>
      <c r="BN21" s="135"/>
      <c r="BO21" s="135"/>
      <c r="BP21" s="152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5"/>
      <c r="CF21" s="5"/>
      <c r="CG21" s="5"/>
      <c r="CH21" s="5"/>
      <c r="CI21" s="5"/>
      <c r="CJ21" s="5"/>
      <c r="CK21" s="5"/>
    </row>
    <row r="22" spans="1:89">
      <c r="A22" s="104">
        <v>22</v>
      </c>
      <c r="B22" s="30"/>
      <c r="C22" s="30"/>
      <c r="D22" s="30"/>
      <c r="E22" s="104"/>
      <c r="F22" s="104"/>
      <c r="G22" s="104"/>
      <c r="H22" s="131">
        <f t="shared" si="2"/>
        <v>0</v>
      </c>
      <c r="I22" s="130">
        <f t="shared" si="3"/>
        <v>0</v>
      </c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52"/>
      <c r="BG22" s="135"/>
      <c r="BH22" s="135"/>
      <c r="BI22" s="135"/>
      <c r="BJ22" s="135"/>
      <c r="BK22" s="135"/>
      <c r="BL22" s="135"/>
      <c r="BM22" s="135"/>
      <c r="BN22" s="135"/>
      <c r="BO22" s="135"/>
      <c r="BP22" s="152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5"/>
      <c r="CF22" s="5"/>
      <c r="CG22" s="5"/>
      <c r="CH22" s="5"/>
      <c r="CI22" s="5"/>
      <c r="CJ22" s="5"/>
      <c r="CK22" s="5"/>
    </row>
    <row r="23" spans="1:89">
      <c r="A23" s="104">
        <v>23</v>
      </c>
      <c r="B23" s="30"/>
      <c r="C23" s="30"/>
      <c r="D23" s="30"/>
      <c r="E23" s="104"/>
      <c r="F23" s="104"/>
      <c r="G23" s="104"/>
      <c r="H23" s="131">
        <f t="shared" si="2"/>
        <v>0</v>
      </c>
      <c r="I23" s="130">
        <f t="shared" si="3"/>
        <v>0</v>
      </c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52"/>
      <c r="BG23" s="135"/>
      <c r="BH23" s="135"/>
      <c r="BI23" s="135"/>
      <c r="BJ23" s="135"/>
      <c r="BK23" s="135"/>
      <c r="BL23" s="135"/>
      <c r="BM23" s="135"/>
      <c r="BN23" s="135"/>
      <c r="BO23" s="135"/>
      <c r="BP23" s="152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5"/>
      <c r="CF23" s="5"/>
      <c r="CG23" s="5"/>
      <c r="CH23" s="5"/>
      <c r="CI23" s="5"/>
      <c r="CJ23" s="5"/>
      <c r="CK23" s="5"/>
    </row>
    <row r="24" spans="1:89">
      <c r="A24" s="104">
        <v>24</v>
      </c>
      <c r="B24" s="30"/>
      <c r="C24" s="30"/>
      <c r="D24" s="30"/>
      <c r="E24" s="104"/>
      <c r="F24" s="104"/>
      <c r="G24" s="104"/>
      <c r="H24" s="131">
        <f t="shared" si="2"/>
        <v>0</v>
      </c>
      <c r="I24" s="130">
        <f t="shared" si="3"/>
        <v>0</v>
      </c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52"/>
      <c r="BG24" s="135"/>
      <c r="BH24" s="135"/>
      <c r="BI24" s="135"/>
      <c r="BJ24" s="135"/>
      <c r="BK24" s="135"/>
      <c r="BL24" s="135"/>
      <c r="BM24" s="135"/>
      <c r="BN24" s="135"/>
      <c r="BO24" s="135"/>
      <c r="BP24" s="152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5"/>
      <c r="CF24" s="5"/>
      <c r="CG24" s="5"/>
      <c r="CH24" s="5"/>
      <c r="CI24" s="5"/>
      <c r="CJ24" s="5"/>
      <c r="CK24" s="5"/>
    </row>
    <row r="25" spans="1:89">
      <c r="A25" s="104">
        <v>25</v>
      </c>
      <c r="B25" s="30"/>
      <c r="C25" s="30"/>
      <c r="D25" s="30"/>
      <c r="E25" s="104"/>
      <c r="F25" s="104"/>
      <c r="G25" s="104"/>
      <c r="H25" s="131">
        <f t="shared" si="2"/>
        <v>0</v>
      </c>
      <c r="I25" s="130">
        <f t="shared" si="3"/>
        <v>0</v>
      </c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52"/>
      <c r="BG25" s="135"/>
      <c r="BH25" s="135"/>
      <c r="BI25" s="135"/>
      <c r="BJ25" s="135"/>
      <c r="BK25" s="135"/>
      <c r="BL25" s="135"/>
      <c r="BM25" s="135"/>
      <c r="BN25" s="135"/>
      <c r="BO25" s="135"/>
      <c r="BP25" s="152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5"/>
      <c r="CF25" s="5"/>
      <c r="CG25" s="5"/>
      <c r="CH25" s="5"/>
      <c r="CI25" s="5"/>
      <c r="CJ25" s="5"/>
      <c r="CK25" s="5"/>
    </row>
    <row r="26" spans="1:89">
      <c r="A26" s="104">
        <v>26</v>
      </c>
      <c r="B26" s="30"/>
      <c r="C26" s="30"/>
      <c r="D26" s="30"/>
      <c r="E26" s="104"/>
      <c r="F26" s="104"/>
      <c r="G26" s="104"/>
      <c r="H26" s="131">
        <f t="shared" si="2"/>
        <v>0</v>
      </c>
      <c r="I26" s="130">
        <f t="shared" si="3"/>
        <v>0</v>
      </c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52"/>
      <c r="BG26" s="135"/>
      <c r="BH26" s="135"/>
      <c r="BI26" s="135"/>
      <c r="BJ26" s="135"/>
      <c r="BK26" s="135"/>
      <c r="BL26" s="135"/>
      <c r="BM26" s="135"/>
      <c r="BN26" s="135"/>
      <c r="BO26" s="135"/>
      <c r="BP26" s="152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5"/>
      <c r="CF26" s="5"/>
      <c r="CG26" s="5"/>
      <c r="CH26" s="5"/>
      <c r="CI26" s="5"/>
      <c r="CJ26" s="5"/>
      <c r="CK26" s="5"/>
    </row>
    <row r="27" spans="1:89">
      <c r="A27" s="104">
        <v>27</v>
      </c>
      <c r="B27" s="30"/>
      <c r="C27" s="30"/>
      <c r="D27" s="30"/>
      <c r="E27" s="104"/>
      <c r="F27" s="104"/>
      <c r="G27" s="104"/>
      <c r="H27" s="131">
        <f t="shared" si="2"/>
        <v>0</v>
      </c>
      <c r="I27" s="130">
        <f t="shared" si="3"/>
        <v>0</v>
      </c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52"/>
      <c r="BG27" s="135"/>
      <c r="BH27" s="135"/>
      <c r="BI27" s="135"/>
      <c r="BJ27" s="135"/>
      <c r="BK27" s="135"/>
      <c r="BL27" s="135"/>
      <c r="BM27" s="135"/>
      <c r="BN27" s="135"/>
      <c r="BO27" s="135"/>
      <c r="BP27" s="152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5"/>
      <c r="CF27" s="5"/>
      <c r="CG27" s="5"/>
      <c r="CH27" s="5"/>
      <c r="CI27" s="5"/>
      <c r="CJ27" s="5"/>
      <c r="CK27" s="5"/>
    </row>
    <row r="28" spans="1:89">
      <c r="A28" s="104">
        <v>28</v>
      </c>
      <c r="B28" s="30"/>
      <c r="C28" s="30"/>
      <c r="D28" s="30"/>
      <c r="E28" s="104"/>
      <c r="F28" s="104"/>
      <c r="G28" s="30"/>
      <c r="H28" s="131">
        <f t="shared" si="2"/>
        <v>0</v>
      </c>
      <c r="I28" s="130">
        <f t="shared" si="3"/>
        <v>0</v>
      </c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52"/>
      <c r="BG28" s="135"/>
      <c r="BH28" s="135"/>
      <c r="BI28" s="135"/>
      <c r="BJ28" s="135"/>
      <c r="BK28" s="135"/>
      <c r="BL28" s="135"/>
      <c r="BM28" s="135"/>
      <c r="BN28" s="135"/>
      <c r="BO28" s="135"/>
      <c r="BP28" s="152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5"/>
      <c r="CF28" s="5"/>
      <c r="CG28" s="5"/>
      <c r="CH28" s="5"/>
      <c r="CI28" s="5"/>
      <c r="CJ28" s="5"/>
      <c r="CK28" s="5"/>
    </row>
    <row r="29" spans="1:89">
      <c r="A29" s="104">
        <v>29</v>
      </c>
      <c r="B29" s="30"/>
      <c r="C29" s="30"/>
      <c r="D29" s="30"/>
      <c r="E29" s="104"/>
      <c r="F29" s="104"/>
      <c r="G29" s="30"/>
      <c r="H29" s="131">
        <f t="shared" si="2"/>
        <v>0</v>
      </c>
      <c r="I29" s="130">
        <f t="shared" si="3"/>
        <v>0</v>
      </c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52"/>
      <c r="BG29" s="135"/>
      <c r="BH29" s="135"/>
      <c r="BI29" s="135"/>
      <c r="BJ29" s="135"/>
      <c r="BK29" s="135"/>
      <c r="BL29" s="135"/>
      <c r="BM29" s="135"/>
      <c r="BN29" s="135"/>
      <c r="BO29" s="135"/>
      <c r="BP29" s="152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5"/>
      <c r="CF29" s="5"/>
      <c r="CG29" s="5"/>
      <c r="CH29" s="5"/>
      <c r="CI29" s="5"/>
      <c r="CJ29" s="5"/>
      <c r="CK29" s="5"/>
    </row>
    <row r="30" spans="1:89">
      <c r="A30" s="104">
        <v>30</v>
      </c>
      <c r="B30" s="30"/>
      <c r="C30" s="30"/>
      <c r="D30" s="30"/>
      <c r="E30" s="104"/>
      <c r="F30" s="104"/>
      <c r="G30" s="30"/>
      <c r="H30" s="131">
        <f t="shared" si="2"/>
        <v>0</v>
      </c>
      <c r="I30" s="130">
        <f t="shared" si="3"/>
        <v>0</v>
      </c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52"/>
      <c r="BG30" s="135"/>
      <c r="BH30" s="135"/>
      <c r="BI30" s="135"/>
      <c r="BJ30" s="135"/>
      <c r="BK30" s="135"/>
      <c r="BL30" s="135"/>
      <c r="BM30" s="135"/>
      <c r="BN30" s="135"/>
      <c r="BO30" s="135"/>
      <c r="BP30" s="152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5"/>
      <c r="CF30" s="5"/>
      <c r="CG30" s="5"/>
      <c r="CH30" s="5"/>
      <c r="CI30" s="5"/>
      <c r="CJ30" s="5"/>
      <c r="CK30" s="5"/>
    </row>
    <row r="31" spans="1:89">
      <c r="A31" s="104">
        <v>31</v>
      </c>
      <c r="B31" s="30"/>
      <c r="C31" s="30"/>
      <c r="D31" s="30"/>
      <c r="E31" s="104"/>
      <c r="F31" s="104"/>
      <c r="G31" s="30"/>
      <c r="H31" s="131">
        <f t="shared" si="2"/>
        <v>0</v>
      </c>
      <c r="I31" s="130">
        <f t="shared" si="3"/>
        <v>0</v>
      </c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52"/>
      <c r="BG31" s="135"/>
      <c r="BH31" s="135"/>
      <c r="BI31" s="135"/>
      <c r="BJ31" s="135"/>
      <c r="BK31" s="135"/>
      <c r="BL31" s="135"/>
      <c r="BM31" s="135"/>
      <c r="BN31" s="135"/>
      <c r="BO31" s="135"/>
      <c r="BP31" s="152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5"/>
      <c r="CF31" s="5"/>
      <c r="CG31" s="5"/>
      <c r="CH31" s="5"/>
      <c r="CI31" s="5"/>
      <c r="CJ31" s="5"/>
      <c r="CK31" s="5"/>
    </row>
    <row r="32" spans="1:89">
      <c r="A32" s="104">
        <v>32</v>
      </c>
      <c r="B32" s="30"/>
      <c r="C32" s="30"/>
      <c r="D32" s="30"/>
      <c r="E32" s="104"/>
      <c r="F32" s="104"/>
      <c r="G32" s="30"/>
      <c r="H32" s="131">
        <f t="shared" si="2"/>
        <v>0</v>
      </c>
      <c r="I32" s="130">
        <f t="shared" si="3"/>
        <v>0</v>
      </c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52"/>
      <c r="BG32" s="135"/>
      <c r="BH32" s="135"/>
      <c r="BI32" s="135"/>
      <c r="BJ32" s="135"/>
      <c r="BK32" s="135"/>
      <c r="BL32" s="135"/>
      <c r="BM32" s="135"/>
      <c r="BN32" s="135"/>
      <c r="BO32" s="135"/>
      <c r="BP32" s="152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5"/>
      <c r="CF32" s="5"/>
      <c r="CG32" s="5"/>
      <c r="CH32" s="5"/>
      <c r="CI32" s="5"/>
      <c r="CJ32" s="5"/>
      <c r="CK32" s="5"/>
    </row>
    <row r="33" spans="1:89">
      <c r="A33" s="104">
        <v>33</v>
      </c>
      <c r="B33" s="30"/>
      <c r="C33" s="30"/>
      <c r="D33" s="30"/>
      <c r="E33" s="104"/>
      <c r="F33" s="104"/>
      <c r="G33" s="30"/>
      <c r="H33" s="131">
        <f t="shared" si="2"/>
        <v>0</v>
      </c>
      <c r="I33" s="130">
        <f t="shared" si="3"/>
        <v>0</v>
      </c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52"/>
      <c r="BG33" s="135"/>
      <c r="BH33" s="135"/>
      <c r="BI33" s="135"/>
      <c r="BJ33" s="135"/>
      <c r="BK33" s="135"/>
      <c r="BL33" s="135"/>
      <c r="BM33" s="135"/>
      <c r="BN33" s="135"/>
      <c r="BO33" s="135"/>
      <c r="BP33" s="152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5"/>
      <c r="CF33" s="5"/>
      <c r="CG33" s="5"/>
      <c r="CH33" s="5"/>
      <c r="CI33" s="5"/>
      <c r="CJ33" s="5"/>
      <c r="CK33" s="5"/>
    </row>
    <row r="34" spans="1:89">
      <c r="A34" s="104">
        <v>34</v>
      </c>
      <c r="B34" s="30"/>
      <c r="C34" s="30"/>
      <c r="D34" s="30"/>
      <c r="E34" s="104"/>
      <c r="F34" s="104"/>
      <c r="G34" s="30"/>
      <c r="H34" s="131">
        <f t="shared" si="2"/>
        <v>0</v>
      </c>
      <c r="I34" s="130">
        <f t="shared" si="3"/>
        <v>0</v>
      </c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52"/>
      <c r="BG34" s="135"/>
      <c r="BH34" s="135"/>
      <c r="BI34" s="135"/>
      <c r="BJ34" s="135"/>
      <c r="BK34" s="135"/>
      <c r="BL34" s="135"/>
      <c r="BM34" s="135"/>
      <c r="BN34" s="135"/>
      <c r="BO34" s="135"/>
      <c r="BP34" s="152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5"/>
      <c r="CF34" s="5"/>
      <c r="CG34" s="5"/>
      <c r="CH34" s="5"/>
      <c r="CI34" s="5"/>
      <c r="CJ34" s="5"/>
      <c r="CK34" s="5"/>
    </row>
    <row r="35" spans="1:89">
      <c r="A35" s="104">
        <v>35</v>
      </c>
      <c r="B35" s="30"/>
      <c r="C35" s="30"/>
      <c r="D35" s="30"/>
      <c r="E35" s="104"/>
      <c r="F35" s="104"/>
      <c r="G35" s="30"/>
      <c r="H35" s="131">
        <f t="shared" si="2"/>
        <v>0</v>
      </c>
      <c r="I35" s="130">
        <f t="shared" si="3"/>
        <v>0</v>
      </c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52"/>
      <c r="BG35" s="135"/>
      <c r="BH35" s="135"/>
      <c r="BI35" s="135"/>
      <c r="BJ35" s="135"/>
      <c r="BK35" s="135"/>
      <c r="BL35" s="135"/>
      <c r="BM35" s="135"/>
      <c r="BN35" s="135"/>
      <c r="BO35" s="135"/>
      <c r="BP35" s="152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5"/>
      <c r="CF35" s="5"/>
      <c r="CG35" s="5"/>
      <c r="CH35" s="5"/>
      <c r="CI35" s="5"/>
      <c r="CJ35" s="5"/>
      <c r="CK35" s="5"/>
    </row>
    <row r="36" spans="1:89">
      <c r="A36" s="104">
        <v>36</v>
      </c>
      <c r="B36" s="30"/>
      <c r="C36" s="30"/>
      <c r="D36" s="30"/>
      <c r="E36" s="104"/>
      <c r="F36" s="104"/>
      <c r="G36" s="30"/>
      <c r="H36" s="131">
        <f t="shared" si="2"/>
        <v>0</v>
      </c>
      <c r="I36" s="130">
        <f t="shared" si="3"/>
        <v>0</v>
      </c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52"/>
      <c r="BG36" s="135"/>
      <c r="BH36" s="135"/>
      <c r="BI36" s="135"/>
      <c r="BJ36" s="135"/>
      <c r="BK36" s="135"/>
      <c r="BL36" s="135"/>
      <c r="BM36" s="135"/>
      <c r="BN36" s="135"/>
      <c r="BO36" s="135"/>
      <c r="BP36" s="152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5"/>
      <c r="CF36" s="5"/>
      <c r="CG36" s="5"/>
      <c r="CH36" s="5"/>
      <c r="CI36" s="5"/>
      <c r="CJ36" s="5"/>
      <c r="CK36" s="5"/>
    </row>
    <row r="37" spans="1:89">
      <c r="A37" s="21">
        <v>37</v>
      </c>
      <c r="B37" s="30"/>
      <c r="C37" s="30"/>
      <c r="D37" s="30"/>
      <c r="E37" s="104"/>
      <c r="F37" s="104"/>
      <c r="G37" s="30"/>
      <c r="H37" s="131">
        <f t="shared" si="2"/>
        <v>0</v>
      </c>
      <c r="I37" s="130">
        <f t="shared" si="3"/>
        <v>0</v>
      </c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52"/>
      <c r="BG37" s="135"/>
      <c r="BH37" s="135"/>
      <c r="BI37" s="135"/>
      <c r="BJ37" s="135"/>
      <c r="BK37" s="135"/>
      <c r="BL37" s="135"/>
      <c r="BM37" s="135"/>
      <c r="BN37" s="135"/>
      <c r="BO37" s="135"/>
      <c r="BP37" s="152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5"/>
      <c r="CF37" s="5"/>
      <c r="CG37" s="5"/>
      <c r="CH37" s="5"/>
      <c r="CI37" s="5"/>
      <c r="CJ37" s="5"/>
      <c r="CK37" s="5"/>
    </row>
    <row r="38" spans="1:89">
      <c r="A38" s="21">
        <v>38</v>
      </c>
      <c r="B38" s="30"/>
      <c r="C38" s="30"/>
      <c r="D38" s="30"/>
      <c r="E38" s="104"/>
      <c r="F38" s="104"/>
      <c r="G38" s="30"/>
      <c r="H38" s="131">
        <f t="shared" si="2"/>
        <v>0</v>
      </c>
      <c r="I38" s="130">
        <f t="shared" si="3"/>
        <v>0</v>
      </c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52"/>
      <c r="BG38" s="135"/>
      <c r="BH38" s="135"/>
      <c r="BI38" s="135"/>
      <c r="BJ38" s="135"/>
      <c r="BK38" s="135"/>
      <c r="BL38" s="135"/>
      <c r="BM38" s="135"/>
      <c r="BN38" s="135"/>
      <c r="BO38" s="135"/>
      <c r="BP38" s="152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5"/>
      <c r="CF38" s="5"/>
      <c r="CG38" s="5"/>
      <c r="CH38" s="5"/>
      <c r="CI38" s="5"/>
      <c r="CJ38" s="5"/>
      <c r="CK38" s="5"/>
    </row>
    <row r="39" spans="1:89">
      <c r="A39" s="21">
        <v>39</v>
      </c>
      <c r="B39" s="30"/>
      <c r="C39" s="30"/>
      <c r="D39" s="30"/>
      <c r="E39" s="104"/>
      <c r="F39" s="104"/>
      <c r="G39" s="30"/>
      <c r="H39" s="131">
        <f t="shared" si="2"/>
        <v>0</v>
      </c>
      <c r="I39" s="130">
        <f t="shared" si="3"/>
        <v>0</v>
      </c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52"/>
      <c r="BG39" s="135"/>
      <c r="BH39" s="135"/>
      <c r="BI39" s="135"/>
      <c r="BJ39" s="135"/>
      <c r="BK39" s="135"/>
      <c r="BL39" s="135"/>
      <c r="BM39" s="135"/>
      <c r="BN39" s="135"/>
      <c r="BO39" s="135"/>
      <c r="BP39" s="152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5"/>
      <c r="CF39" s="5"/>
      <c r="CG39" s="5"/>
      <c r="CH39" s="5"/>
      <c r="CI39" s="5"/>
      <c r="CJ39" s="5"/>
      <c r="CK39" s="5"/>
    </row>
    <row r="40" spans="1:89">
      <c r="A40" s="21">
        <v>40</v>
      </c>
      <c r="B40" s="30"/>
      <c r="C40" s="30"/>
      <c r="D40" s="30"/>
      <c r="E40" s="104"/>
      <c r="F40" s="104"/>
      <c r="G40" s="30"/>
      <c r="H40" s="131">
        <f t="shared" si="2"/>
        <v>0</v>
      </c>
      <c r="I40" s="130">
        <f t="shared" si="3"/>
        <v>0</v>
      </c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52"/>
      <c r="BG40" s="135"/>
      <c r="BH40" s="135"/>
      <c r="BI40" s="135"/>
      <c r="BJ40" s="135"/>
      <c r="BK40" s="135"/>
      <c r="BL40" s="135"/>
      <c r="BM40" s="135"/>
      <c r="BN40" s="135"/>
      <c r="BO40" s="135"/>
      <c r="BP40" s="152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5"/>
      <c r="CF40" s="5"/>
      <c r="CG40" s="5"/>
      <c r="CH40" s="5"/>
      <c r="CI40" s="5"/>
      <c r="CJ40" s="5"/>
      <c r="CK40" s="5"/>
    </row>
    <row r="41" spans="1:89">
      <c r="A41" s="21">
        <v>41</v>
      </c>
      <c r="B41" s="30"/>
      <c r="C41" s="30"/>
      <c r="D41" s="30"/>
      <c r="E41" s="104"/>
      <c r="F41" s="104"/>
      <c r="G41" s="30"/>
      <c r="H41" s="131">
        <f t="shared" si="2"/>
        <v>0</v>
      </c>
      <c r="I41" s="130">
        <f t="shared" si="3"/>
        <v>0</v>
      </c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52"/>
      <c r="BG41" s="135"/>
      <c r="BH41" s="135"/>
      <c r="BI41" s="135"/>
      <c r="BJ41" s="135"/>
      <c r="BK41" s="135"/>
      <c r="BL41" s="135"/>
      <c r="BM41" s="135"/>
      <c r="BN41" s="135"/>
      <c r="BO41" s="135"/>
      <c r="BP41" s="152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5"/>
      <c r="CF41" s="5"/>
      <c r="CG41" s="5"/>
      <c r="CH41" s="5"/>
      <c r="CI41" s="5"/>
      <c r="CJ41" s="5"/>
      <c r="CK41" s="5"/>
    </row>
    <row r="42" spans="1:89">
      <c r="A42" s="21">
        <v>42</v>
      </c>
      <c r="B42" s="141"/>
      <c r="C42" s="141"/>
      <c r="D42" s="141"/>
      <c r="E42" s="25"/>
      <c r="F42" s="25"/>
      <c r="G42" s="25"/>
      <c r="H42" s="131">
        <f t="shared" si="2"/>
        <v>0</v>
      </c>
      <c r="I42" s="130">
        <f t="shared" si="3"/>
        <v>0</v>
      </c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52"/>
      <c r="BG42" s="135"/>
      <c r="BH42" s="135"/>
      <c r="BI42" s="135"/>
      <c r="BJ42" s="135"/>
      <c r="BK42" s="135"/>
      <c r="BL42" s="135"/>
      <c r="BM42" s="135"/>
      <c r="BN42" s="135"/>
      <c r="BO42" s="135"/>
      <c r="BP42" s="152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5"/>
      <c r="CF42" s="5"/>
      <c r="CG42" s="5"/>
      <c r="CH42" s="5"/>
      <c r="CI42" s="5"/>
      <c r="CJ42" s="5"/>
      <c r="CK42" s="5"/>
    </row>
    <row r="43" spans="1:89">
      <c r="A43" s="21">
        <v>43</v>
      </c>
      <c r="B43" s="142"/>
      <c r="C43" s="142"/>
      <c r="D43" s="142"/>
      <c r="E43" s="143"/>
      <c r="F43" s="143"/>
      <c r="G43" s="143"/>
      <c r="H43" s="131">
        <f t="shared" si="2"/>
        <v>0</v>
      </c>
      <c r="I43" s="130">
        <f t="shared" si="3"/>
        <v>0</v>
      </c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52"/>
      <c r="BG43" s="135"/>
      <c r="BH43" s="135"/>
      <c r="BI43" s="135"/>
      <c r="BJ43" s="135"/>
      <c r="BK43" s="135"/>
      <c r="BL43" s="135"/>
      <c r="BM43" s="135"/>
      <c r="BN43" s="135"/>
      <c r="BO43" s="135"/>
      <c r="BP43" s="152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5"/>
      <c r="CF43" s="5"/>
      <c r="CG43" s="5"/>
      <c r="CH43" s="5"/>
      <c r="CI43" s="5"/>
      <c r="CJ43" s="5"/>
      <c r="CK43" s="5"/>
    </row>
    <row r="44" spans="1:89">
      <c r="A44" s="21">
        <v>44</v>
      </c>
      <c r="B44" s="142"/>
      <c r="C44" s="142"/>
      <c r="D44" s="142"/>
      <c r="E44" s="143"/>
      <c r="F44" s="143"/>
      <c r="G44" s="143"/>
      <c r="H44" s="131">
        <f t="shared" si="2"/>
        <v>0</v>
      </c>
      <c r="I44" s="130">
        <f t="shared" si="3"/>
        <v>0</v>
      </c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52"/>
      <c r="BG44" s="135"/>
      <c r="BH44" s="135"/>
      <c r="BI44" s="135"/>
      <c r="BJ44" s="135"/>
      <c r="BK44" s="135"/>
      <c r="BL44" s="135"/>
      <c r="BM44" s="135"/>
      <c r="BN44" s="135"/>
      <c r="BO44" s="135"/>
      <c r="BP44" s="152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5"/>
      <c r="CF44" s="5"/>
      <c r="CG44" s="5"/>
      <c r="CH44" s="5"/>
      <c r="CI44" s="5"/>
      <c r="CJ44" s="5"/>
      <c r="CK44" s="5"/>
    </row>
    <row r="45" spans="1:89">
      <c r="A45" s="21">
        <v>45</v>
      </c>
      <c r="B45" s="142"/>
      <c r="C45" s="142"/>
      <c r="D45" s="142"/>
      <c r="E45" s="143"/>
      <c r="F45" s="143"/>
      <c r="G45" s="143"/>
      <c r="H45" s="131">
        <f t="shared" si="2"/>
        <v>0</v>
      </c>
      <c r="I45" s="130">
        <f t="shared" si="3"/>
        <v>0</v>
      </c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52"/>
      <c r="BG45" s="135"/>
      <c r="BH45" s="135"/>
      <c r="BI45" s="135"/>
      <c r="BJ45" s="135"/>
      <c r="BK45" s="135"/>
      <c r="BL45" s="135"/>
      <c r="BM45" s="135"/>
      <c r="BN45" s="135"/>
      <c r="BO45" s="135"/>
      <c r="BP45" s="152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5"/>
      <c r="CF45" s="5"/>
      <c r="CG45" s="5"/>
      <c r="CH45" s="5"/>
      <c r="CI45" s="5"/>
      <c r="CJ45" s="5"/>
      <c r="CK45" s="5"/>
    </row>
    <row r="46" spans="1:89">
      <c r="A46" s="21">
        <v>46</v>
      </c>
      <c r="B46" s="142"/>
      <c r="C46" s="142"/>
      <c r="D46" s="142"/>
      <c r="E46" s="143"/>
      <c r="F46" s="143"/>
      <c r="G46" s="143"/>
      <c r="H46" s="131">
        <f t="shared" si="2"/>
        <v>0</v>
      </c>
      <c r="I46" s="130">
        <f t="shared" si="3"/>
        <v>0</v>
      </c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52"/>
      <c r="BG46" s="135"/>
      <c r="BH46" s="135"/>
      <c r="BI46" s="135"/>
      <c r="BJ46" s="135"/>
      <c r="BK46" s="135"/>
      <c r="BL46" s="135"/>
      <c r="BM46" s="135"/>
      <c r="BN46" s="135"/>
      <c r="BO46" s="135"/>
      <c r="BP46" s="152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5"/>
      <c r="CF46" s="5"/>
      <c r="CG46" s="5"/>
      <c r="CH46" s="5"/>
      <c r="CI46" s="5"/>
      <c r="CJ46" s="5"/>
      <c r="CK46" s="5"/>
    </row>
    <row r="47" spans="1:89">
      <c r="A47" s="21">
        <v>47</v>
      </c>
      <c r="B47" s="142"/>
      <c r="C47" s="142"/>
      <c r="D47" s="142"/>
      <c r="E47" s="143"/>
      <c r="F47" s="143"/>
      <c r="G47" s="143"/>
      <c r="H47" s="131">
        <f t="shared" si="2"/>
        <v>0</v>
      </c>
      <c r="I47" s="130">
        <f t="shared" si="3"/>
        <v>0</v>
      </c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52"/>
      <c r="BG47" s="135"/>
      <c r="BH47" s="135"/>
      <c r="BI47" s="135"/>
      <c r="BJ47" s="135"/>
      <c r="BK47" s="135"/>
      <c r="BL47" s="135"/>
      <c r="BM47" s="135"/>
      <c r="BN47" s="135"/>
      <c r="BO47" s="135"/>
      <c r="BP47" s="152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5"/>
      <c r="CF47" s="5"/>
      <c r="CG47" s="5"/>
      <c r="CH47" s="5"/>
      <c r="CI47" s="5"/>
      <c r="CJ47" s="5"/>
      <c r="CK47" s="5"/>
    </row>
    <row r="48" spans="1:89">
      <c r="A48" s="21">
        <v>48</v>
      </c>
      <c r="B48" s="142"/>
      <c r="C48" s="142"/>
      <c r="D48" s="142"/>
      <c r="E48" s="143"/>
      <c r="F48" s="143"/>
      <c r="G48" s="143"/>
      <c r="H48" s="131">
        <f t="shared" si="2"/>
        <v>0</v>
      </c>
      <c r="I48" s="130">
        <f t="shared" si="3"/>
        <v>0</v>
      </c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52"/>
      <c r="BG48" s="135"/>
      <c r="BH48" s="135"/>
      <c r="BI48" s="135"/>
      <c r="BJ48" s="135"/>
      <c r="BK48" s="135"/>
      <c r="BL48" s="135"/>
      <c r="BM48" s="135"/>
      <c r="BN48" s="135"/>
      <c r="BO48" s="135"/>
      <c r="BP48" s="152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5"/>
      <c r="CF48" s="5"/>
      <c r="CG48" s="5"/>
      <c r="CH48" s="5"/>
      <c r="CI48" s="5"/>
      <c r="CJ48" s="5"/>
      <c r="CK48" s="5"/>
    </row>
    <row r="49" spans="1:89">
      <c r="A49" s="21">
        <v>49</v>
      </c>
      <c r="B49" s="142"/>
      <c r="C49" s="142"/>
      <c r="D49" s="142"/>
      <c r="E49" s="143"/>
      <c r="F49" s="143"/>
      <c r="G49" s="143"/>
      <c r="H49" s="131">
        <f t="shared" si="2"/>
        <v>0</v>
      </c>
      <c r="I49" s="130">
        <f t="shared" si="3"/>
        <v>0</v>
      </c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52"/>
      <c r="BG49" s="135"/>
      <c r="BH49" s="135"/>
      <c r="BI49" s="135"/>
      <c r="BJ49" s="135"/>
      <c r="BK49" s="135"/>
      <c r="BL49" s="135"/>
      <c r="BM49" s="135"/>
      <c r="BN49" s="135"/>
      <c r="BO49" s="135"/>
      <c r="BP49" s="152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5"/>
      <c r="CF49" s="5"/>
      <c r="CG49" s="5"/>
      <c r="CH49" s="5"/>
      <c r="CI49" s="5"/>
      <c r="CJ49" s="5"/>
      <c r="CK49" s="5"/>
    </row>
    <row r="50" spans="1:89">
      <c r="A50" s="21">
        <v>50</v>
      </c>
      <c r="B50" s="142"/>
      <c r="C50" s="142"/>
      <c r="D50" s="142"/>
      <c r="E50" s="143"/>
      <c r="F50" s="143"/>
      <c r="G50" s="143"/>
      <c r="H50" s="131">
        <f t="shared" si="2"/>
        <v>0</v>
      </c>
      <c r="I50" s="130">
        <f t="shared" si="3"/>
        <v>0</v>
      </c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52"/>
      <c r="BG50" s="135"/>
      <c r="BH50" s="135"/>
      <c r="BI50" s="135"/>
      <c r="BJ50" s="135"/>
      <c r="BK50" s="135"/>
      <c r="BL50" s="135"/>
      <c r="BM50" s="135"/>
      <c r="BN50" s="135"/>
      <c r="BO50" s="135"/>
      <c r="BP50" s="152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5"/>
      <c r="CF50" s="5"/>
      <c r="CG50" s="5"/>
      <c r="CH50" s="5"/>
      <c r="CI50" s="5"/>
      <c r="CJ50" s="5"/>
      <c r="CK50" s="5"/>
    </row>
    <row r="51" spans="1:89">
      <c r="A51" s="21">
        <v>51</v>
      </c>
      <c r="B51" s="142"/>
      <c r="C51" s="142"/>
      <c r="D51" s="142"/>
      <c r="E51" s="143"/>
      <c r="F51" s="143"/>
      <c r="G51" s="143"/>
      <c r="H51" s="131">
        <f t="shared" si="2"/>
        <v>0</v>
      </c>
      <c r="I51" s="130">
        <f t="shared" si="3"/>
        <v>0</v>
      </c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52"/>
      <c r="BG51" s="135"/>
      <c r="BH51" s="135"/>
      <c r="BI51" s="135"/>
      <c r="BJ51" s="135"/>
      <c r="BK51" s="135"/>
      <c r="BL51" s="135"/>
      <c r="BM51" s="135"/>
      <c r="BN51" s="135"/>
      <c r="BO51" s="135"/>
      <c r="BP51" s="152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5"/>
      <c r="CF51" s="5"/>
      <c r="CG51" s="5"/>
      <c r="CH51" s="5"/>
      <c r="CI51" s="5"/>
      <c r="CJ51" s="5"/>
      <c r="CK51" s="5"/>
    </row>
    <row r="52" spans="1:89">
      <c r="A52" s="21">
        <v>52</v>
      </c>
      <c r="B52" s="142"/>
      <c r="C52" s="142"/>
      <c r="D52" s="142"/>
      <c r="E52" s="143"/>
      <c r="F52" s="143"/>
      <c r="G52" s="143"/>
      <c r="H52" s="131">
        <f t="shared" si="2"/>
        <v>0</v>
      </c>
      <c r="I52" s="130">
        <f t="shared" si="3"/>
        <v>0</v>
      </c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52"/>
      <c r="BG52" s="135"/>
      <c r="BH52" s="135"/>
      <c r="BI52" s="135"/>
      <c r="BJ52" s="135"/>
      <c r="BK52" s="135"/>
      <c r="BL52" s="135"/>
      <c r="BM52" s="135"/>
      <c r="BN52" s="135"/>
      <c r="BO52" s="135"/>
      <c r="BP52" s="152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5"/>
      <c r="CF52" s="5"/>
      <c r="CG52" s="5"/>
      <c r="CH52" s="5"/>
      <c r="CI52" s="5"/>
      <c r="CJ52" s="5"/>
      <c r="CK52" s="5"/>
    </row>
    <row r="53" spans="1:89">
      <c r="A53" s="21">
        <v>53</v>
      </c>
      <c r="B53" s="142"/>
      <c r="C53" s="142"/>
      <c r="D53" s="142"/>
      <c r="E53" s="143"/>
      <c r="F53" s="143"/>
      <c r="G53" s="143"/>
      <c r="H53" s="131">
        <f t="shared" si="2"/>
        <v>0</v>
      </c>
      <c r="I53" s="130">
        <f t="shared" si="3"/>
        <v>0</v>
      </c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52"/>
      <c r="BG53" s="135"/>
      <c r="BH53" s="135"/>
      <c r="BI53" s="135"/>
      <c r="BJ53" s="135"/>
      <c r="BK53" s="135"/>
      <c r="BL53" s="135"/>
      <c r="BM53" s="135"/>
      <c r="BN53" s="135"/>
      <c r="BO53" s="135"/>
      <c r="BP53" s="152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5"/>
      <c r="CF53" s="5"/>
      <c r="CG53" s="5"/>
      <c r="CH53" s="5"/>
      <c r="CI53" s="5"/>
      <c r="CJ53" s="5"/>
      <c r="CK53" s="5"/>
    </row>
    <row r="54" spans="1:89">
      <c r="A54" s="21">
        <v>54</v>
      </c>
      <c r="B54" s="142"/>
      <c r="C54" s="142"/>
      <c r="D54" s="142"/>
      <c r="E54" s="143"/>
      <c r="F54" s="143"/>
      <c r="G54" s="143"/>
      <c r="H54" s="131">
        <f t="shared" si="2"/>
        <v>0</v>
      </c>
      <c r="I54" s="130">
        <f t="shared" si="3"/>
        <v>0</v>
      </c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52"/>
      <c r="BG54" s="135"/>
      <c r="BH54" s="135"/>
      <c r="BI54" s="135"/>
      <c r="BJ54" s="135"/>
      <c r="BK54" s="135"/>
      <c r="BL54" s="135"/>
      <c r="BM54" s="135"/>
      <c r="BN54" s="135"/>
      <c r="BO54" s="135"/>
      <c r="BP54" s="152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5"/>
      <c r="CF54" s="5"/>
      <c r="CG54" s="5"/>
      <c r="CH54" s="5"/>
      <c r="CI54" s="5"/>
      <c r="CJ54" s="5"/>
      <c r="CK54" s="5"/>
    </row>
    <row r="55" spans="1:89">
      <c r="A55" s="21">
        <v>55</v>
      </c>
      <c r="B55" s="142"/>
      <c r="C55" s="142"/>
      <c r="D55" s="142"/>
      <c r="E55" s="143"/>
      <c r="F55" s="143"/>
      <c r="G55" s="143"/>
      <c r="H55" s="131">
        <f t="shared" si="2"/>
        <v>0</v>
      </c>
      <c r="I55" s="130">
        <f t="shared" si="3"/>
        <v>0</v>
      </c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52"/>
      <c r="BG55" s="135"/>
      <c r="BH55" s="135"/>
      <c r="BI55" s="135"/>
      <c r="BJ55" s="135"/>
      <c r="BK55" s="135"/>
      <c r="BL55" s="135"/>
      <c r="BM55" s="135"/>
      <c r="BN55" s="135"/>
      <c r="BO55" s="135"/>
      <c r="BP55" s="152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5"/>
      <c r="CF55" s="5"/>
      <c r="CG55" s="5"/>
      <c r="CH55" s="5"/>
      <c r="CI55" s="5"/>
      <c r="CJ55" s="5"/>
      <c r="CK55" s="5"/>
    </row>
    <row r="56" spans="1:89">
      <c r="A56" s="21">
        <v>56</v>
      </c>
      <c r="B56" s="142"/>
      <c r="C56" s="142"/>
      <c r="D56" s="142"/>
      <c r="E56" s="143"/>
      <c r="F56" s="143"/>
      <c r="G56" s="143"/>
      <c r="H56" s="131">
        <f t="shared" si="2"/>
        <v>0</v>
      </c>
      <c r="I56" s="130">
        <f t="shared" si="3"/>
        <v>0</v>
      </c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52"/>
      <c r="BG56" s="135"/>
      <c r="BH56" s="135"/>
      <c r="BI56" s="135"/>
      <c r="BJ56" s="135"/>
      <c r="BK56" s="135"/>
      <c r="BL56" s="135"/>
      <c r="BM56" s="135"/>
      <c r="BN56" s="135"/>
      <c r="BO56" s="135"/>
      <c r="BP56" s="152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5"/>
      <c r="CF56" s="5"/>
      <c r="CG56" s="5"/>
      <c r="CH56" s="5"/>
      <c r="CI56" s="5"/>
      <c r="CJ56" s="5"/>
      <c r="CK56" s="5"/>
    </row>
    <row r="57" spans="1:89">
      <c r="A57" s="21">
        <v>57</v>
      </c>
      <c r="B57" s="142"/>
      <c r="C57" s="142"/>
      <c r="D57" s="142"/>
      <c r="E57" s="143"/>
      <c r="F57" s="143"/>
      <c r="G57" s="143"/>
      <c r="H57" s="131">
        <f t="shared" si="2"/>
        <v>0</v>
      </c>
      <c r="I57" s="130">
        <f t="shared" si="3"/>
        <v>0</v>
      </c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52"/>
      <c r="BG57" s="135"/>
      <c r="BH57" s="135"/>
      <c r="BI57" s="135"/>
      <c r="BJ57" s="135"/>
      <c r="BK57" s="135"/>
      <c r="BL57" s="135"/>
      <c r="BM57" s="135"/>
      <c r="BN57" s="135"/>
      <c r="BO57" s="135"/>
      <c r="BP57" s="152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5"/>
      <c r="CF57" s="5"/>
      <c r="CG57" s="5"/>
      <c r="CH57" s="5"/>
      <c r="CI57" s="5"/>
      <c r="CJ57" s="5"/>
      <c r="CK57" s="5"/>
    </row>
    <row r="58" spans="1:89">
      <c r="A58" s="21">
        <v>58</v>
      </c>
      <c r="B58" s="142"/>
      <c r="C58" s="142"/>
      <c r="D58" s="142"/>
      <c r="E58" s="143"/>
      <c r="F58" s="143"/>
      <c r="G58" s="143"/>
      <c r="H58" s="131">
        <f t="shared" si="2"/>
        <v>0</v>
      </c>
      <c r="I58" s="130">
        <f t="shared" si="3"/>
        <v>0</v>
      </c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52"/>
      <c r="BG58" s="135"/>
      <c r="BH58" s="135"/>
      <c r="BI58" s="135"/>
      <c r="BJ58" s="135"/>
      <c r="BK58" s="135"/>
      <c r="BL58" s="135"/>
      <c r="BM58" s="135"/>
      <c r="BN58" s="135"/>
      <c r="BO58" s="135"/>
      <c r="BP58" s="152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5"/>
      <c r="CF58" s="5"/>
      <c r="CG58" s="5"/>
      <c r="CH58" s="5"/>
      <c r="CI58" s="5"/>
      <c r="CJ58" s="5"/>
      <c r="CK58" s="5"/>
    </row>
    <row r="59" spans="1:89">
      <c r="A59" s="21">
        <v>59</v>
      </c>
      <c r="B59" s="142"/>
      <c r="C59" s="142"/>
      <c r="D59" s="142"/>
      <c r="E59" s="143"/>
      <c r="F59" s="143"/>
      <c r="G59" s="143"/>
      <c r="H59" s="131">
        <f t="shared" si="2"/>
        <v>0</v>
      </c>
      <c r="I59" s="130">
        <f t="shared" si="3"/>
        <v>0</v>
      </c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52"/>
      <c r="BG59" s="135"/>
      <c r="BH59" s="135"/>
      <c r="BI59" s="135"/>
      <c r="BJ59" s="135"/>
      <c r="BK59" s="135"/>
      <c r="BL59" s="135"/>
      <c r="BM59" s="135"/>
      <c r="BN59" s="135"/>
      <c r="BO59" s="135"/>
      <c r="BP59" s="152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5"/>
      <c r="CF59" s="5"/>
      <c r="CG59" s="5"/>
      <c r="CH59" s="5"/>
      <c r="CI59" s="5"/>
      <c r="CJ59" s="5"/>
      <c r="CK59" s="5"/>
    </row>
    <row r="60" spans="1:89">
      <c r="A60" s="21">
        <v>60</v>
      </c>
      <c r="B60" s="30"/>
      <c r="C60" s="30"/>
      <c r="D60" s="30"/>
      <c r="E60" s="104"/>
      <c r="F60" s="104"/>
      <c r="G60" s="30"/>
      <c r="H60" s="131">
        <f t="shared" si="2"/>
        <v>0</v>
      </c>
      <c r="I60" s="130">
        <f t="shared" si="3"/>
        <v>0</v>
      </c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52"/>
      <c r="BG60" s="135"/>
      <c r="BH60" s="135"/>
      <c r="BI60" s="135"/>
      <c r="BJ60" s="135"/>
      <c r="BK60" s="135"/>
      <c r="BL60" s="135"/>
      <c r="BM60" s="135"/>
      <c r="BN60" s="135"/>
      <c r="BO60" s="135"/>
      <c r="BP60" s="152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5"/>
      <c r="CF60" s="5"/>
      <c r="CG60" s="5"/>
      <c r="CH60" s="5"/>
      <c r="CI60" s="5"/>
      <c r="CJ60" s="5"/>
      <c r="CK60" s="5"/>
    </row>
    <row r="61" spans="1:89">
      <c r="A61" s="21">
        <v>61</v>
      </c>
      <c r="B61" s="142"/>
      <c r="C61" s="142"/>
      <c r="D61" s="142"/>
      <c r="E61" s="143"/>
      <c r="F61" s="143"/>
      <c r="G61" s="143"/>
      <c r="H61" s="131">
        <f t="shared" si="2"/>
        <v>0</v>
      </c>
      <c r="I61" s="130">
        <f t="shared" si="3"/>
        <v>0</v>
      </c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52"/>
      <c r="BG61" s="135"/>
      <c r="BH61" s="135"/>
      <c r="BI61" s="135"/>
      <c r="BJ61" s="135"/>
      <c r="BK61" s="135"/>
      <c r="BL61" s="135"/>
      <c r="BM61" s="135"/>
      <c r="BN61" s="135"/>
      <c r="BO61" s="135"/>
      <c r="BP61" s="152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5"/>
      <c r="CF61" s="5"/>
      <c r="CG61" s="5"/>
      <c r="CH61" s="5"/>
      <c r="CI61" s="5"/>
      <c r="CJ61" s="5"/>
      <c r="CK61" s="5"/>
    </row>
    <row r="62" spans="1:89">
      <c r="A62" s="21">
        <v>62</v>
      </c>
      <c r="B62" s="30"/>
      <c r="C62" s="30"/>
      <c r="D62" s="30"/>
      <c r="E62" s="104"/>
      <c r="F62" s="104"/>
      <c r="G62" s="143"/>
      <c r="H62" s="131">
        <f t="shared" si="2"/>
        <v>0</v>
      </c>
      <c r="I62" s="130">
        <f t="shared" si="3"/>
        <v>0</v>
      </c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52"/>
      <c r="BG62" s="135"/>
      <c r="BH62" s="135"/>
      <c r="BI62" s="135"/>
      <c r="BJ62" s="135"/>
      <c r="BK62" s="135"/>
      <c r="BL62" s="135"/>
      <c r="BM62" s="135"/>
      <c r="BN62" s="135"/>
      <c r="BO62" s="135"/>
      <c r="BP62" s="152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5"/>
      <c r="CF62" s="5"/>
      <c r="CG62" s="5"/>
      <c r="CH62" s="5"/>
      <c r="CI62" s="5"/>
      <c r="CJ62" s="5"/>
      <c r="CK62" s="5"/>
    </row>
    <row r="63" spans="1:89">
      <c r="A63" s="21">
        <v>63</v>
      </c>
      <c r="B63" s="142"/>
      <c r="C63" s="142"/>
      <c r="D63" s="142"/>
      <c r="E63" s="143"/>
      <c r="F63" s="143"/>
      <c r="G63" s="143"/>
      <c r="H63" s="131">
        <f t="shared" si="2"/>
        <v>0</v>
      </c>
      <c r="I63" s="130">
        <f t="shared" si="3"/>
        <v>0</v>
      </c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52"/>
      <c r="BG63" s="135"/>
      <c r="BH63" s="135"/>
      <c r="BI63" s="135"/>
      <c r="BJ63" s="135"/>
      <c r="BK63" s="135"/>
      <c r="BL63" s="135"/>
      <c r="BM63" s="135"/>
      <c r="BN63" s="135"/>
      <c r="BO63" s="135"/>
      <c r="BP63" s="152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5"/>
      <c r="CF63" s="5"/>
      <c r="CG63" s="5"/>
      <c r="CH63" s="5"/>
      <c r="CI63" s="5"/>
      <c r="CJ63" s="5"/>
      <c r="CK63" s="5"/>
    </row>
    <row r="64" spans="1:89">
      <c r="A64" s="21">
        <v>64</v>
      </c>
      <c r="B64" s="43"/>
      <c r="C64" s="43"/>
      <c r="D64" s="43"/>
      <c r="E64" s="144"/>
      <c r="F64" s="144"/>
      <c r="G64" s="143"/>
      <c r="H64" s="131">
        <f t="shared" si="2"/>
        <v>0</v>
      </c>
      <c r="I64" s="130">
        <f t="shared" si="3"/>
        <v>0</v>
      </c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52"/>
      <c r="BG64" s="135"/>
      <c r="BH64" s="135"/>
      <c r="BI64" s="135"/>
      <c r="BJ64" s="135"/>
      <c r="BK64" s="135"/>
      <c r="BL64" s="135"/>
      <c r="BM64" s="135"/>
      <c r="BN64" s="135"/>
      <c r="BO64" s="135"/>
      <c r="BP64" s="152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5"/>
      <c r="CF64" s="5"/>
      <c r="CG64" s="5"/>
      <c r="CH64" s="5"/>
      <c r="CI64" s="5"/>
      <c r="CJ64" s="5"/>
      <c r="CK64" s="5"/>
    </row>
    <row r="65" spans="1:89">
      <c r="A65" s="21">
        <v>65</v>
      </c>
      <c r="B65" s="30"/>
      <c r="C65" s="30"/>
      <c r="D65" s="30"/>
      <c r="E65" s="104"/>
      <c r="F65" s="104"/>
      <c r="G65" s="143"/>
      <c r="H65" s="131">
        <f t="shared" si="2"/>
        <v>0</v>
      </c>
      <c r="I65" s="130">
        <f t="shared" si="3"/>
        <v>0</v>
      </c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52"/>
      <c r="BG65" s="135"/>
      <c r="BH65" s="135"/>
      <c r="BI65" s="135"/>
      <c r="BJ65" s="135"/>
      <c r="BK65" s="135"/>
      <c r="BL65" s="135"/>
      <c r="BM65" s="135"/>
      <c r="BN65" s="135"/>
      <c r="BO65" s="135"/>
      <c r="BP65" s="152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5"/>
      <c r="CF65" s="5"/>
      <c r="CG65" s="5"/>
      <c r="CH65" s="5"/>
      <c r="CI65" s="5"/>
      <c r="CJ65" s="5"/>
      <c r="CK65" s="5"/>
    </row>
    <row r="66" spans="1:89">
      <c r="A66" s="21">
        <v>66</v>
      </c>
      <c r="B66" s="43"/>
      <c r="C66" s="43"/>
      <c r="D66" s="43"/>
      <c r="E66" s="144"/>
      <c r="F66" s="144"/>
      <c r="G66" s="143"/>
      <c r="H66" s="131">
        <f t="shared" si="2"/>
        <v>0</v>
      </c>
      <c r="I66" s="130">
        <f t="shared" si="3"/>
        <v>0</v>
      </c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52"/>
      <c r="BG66" s="135"/>
      <c r="BH66" s="135"/>
      <c r="BI66" s="135"/>
      <c r="BJ66" s="135"/>
      <c r="BK66" s="135"/>
      <c r="BL66" s="135"/>
      <c r="BM66" s="135"/>
      <c r="BN66" s="135"/>
      <c r="BO66" s="135"/>
      <c r="BP66" s="152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</row>
    <row r="67" spans="1:89">
      <c r="A67" s="21">
        <v>67</v>
      </c>
      <c r="B67" s="43"/>
      <c r="C67" s="43"/>
      <c r="D67" s="43"/>
      <c r="E67" s="144"/>
      <c r="F67" s="144"/>
      <c r="G67" s="143"/>
      <c r="H67" s="131">
        <f t="shared" ref="H67:H100" si="4">SUM(J67:ZG67)</f>
        <v>0</v>
      </c>
      <c r="I67" s="130">
        <f t="shared" si="3"/>
        <v>0</v>
      </c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52"/>
      <c r="BG67" s="135"/>
      <c r="BH67" s="135"/>
      <c r="BI67" s="135"/>
      <c r="BJ67" s="135"/>
      <c r="BK67" s="135"/>
      <c r="BL67" s="135"/>
      <c r="BM67" s="135"/>
      <c r="BN67" s="135"/>
      <c r="BO67" s="135"/>
      <c r="BP67" s="152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</row>
    <row r="68" spans="1:89">
      <c r="A68" s="21">
        <v>68</v>
      </c>
      <c r="B68" s="43"/>
      <c r="C68" s="43"/>
      <c r="D68" s="43"/>
      <c r="E68" s="144"/>
      <c r="F68" s="144"/>
      <c r="G68" s="143"/>
      <c r="H68" s="131">
        <f t="shared" si="4"/>
        <v>0</v>
      </c>
      <c r="I68" s="130">
        <f t="shared" ref="I68:I100" si="5">F68+G68-H68</f>
        <v>0</v>
      </c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52"/>
      <c r="BG68" s="135"/>
      <c r="BH68" s="135"/>
      <c r="BI68" s="135"/>
      <c r="BJ68" s="135"/>
      <c r="BK68" s="135"/>
      <c r="BL68" s="135"/>
      <c r="BM68" s="135"/>
      <c r="BN68" s="135"/>
      <c r="BO68" s="135"/>
      <c r="BP68" s="152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</row>
    <row r="69" spans="1:89">
      <c r="A69" s="21">
        <v>69</v>
      </c>
      <c r="B69" s="30"/>
      <c r="C69" s="30"/>
      <c r="D69" s="30"/>
      <c r="E69" s="104"/>
      <c r="F69" s="104"/>
      <c r="G69" s="30"/>
      <c r="H69" s="131">
        <f t="shared" si="4"/>
        <v>0</v>
      </c>
      <c r="I69" s="130">
        <f t="shared" si="5"/>
        <v>0</v>
      </c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52"/>
      <c r="BG69" s="135"/>
      <c r="BH69" s="135"/>
      <c r="BI69" s="135"/>
      <c r="BJ69" s="135"/>
      <c r="BK69" s="135"/>
      <c r="BL69" s="135"/>
      <c r="BM69" s="135"/>
      <c r="BN69" s="135"/>
      <c r="BO69" s="135"/>
      <c r="BP69" s="152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</row>
    <row r="70" spans="1:89">
      <c r="A70" s="21">
        <v>70</v>
      </c>
      <c r="B70" s="30"/>
      <c r="C70" s="30"/>
      <c r="D70" s="30"/>
      <c r="E70" s="104"/>
      <c r="F70" s="104"/>
      <c r="G70" s="30"/>
      <c r="H70" s="131">
        <f t="shared" si="4"/>
        <v>0</v>
      </c>
      <c r="I70" s="130">
        <f t="shared" si="5"/>
        <v>0</v>
      </c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52"/>
      <c r="BG70" s="135"/>
      <c r="BH70" s="135"/>
      <c r="BI70" s="135"/>
      <c r="BJ70" s="135"/>
      <c r="BK70" s="135"/>
      <c r="BL70" s="135"/>
      <c r="BM70" s="135"/>
      <c r="BN70" s="135"/>
      <c r="BO70" s="135"/>
      <c r="BP70" s="152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</row>
    <row r="71" spans="1:89">
      <c r="A71" s="21">
        <v>71</v>
      </c>
      <c r="B71" s="30"/>
      <c r="C71" s="30"/>
      <c r="D71" s="30"/>
      <c r="E71" s="104"/>
      <c r="F71" s="104"/>
      <c r="G71" s="30"/>
      <c r="H71" s="131">
        <f t="shared" si="4"/>
        <v>0</v>
      </c>
      <c r="I71" s="130">
        <f t="shared" si="5"/>
        <v>0</v>
      </c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52"/>
      <c r="BG71" s="135"/>
      <c r="BH71" s="135"/>
      <c r="BI71" s="135"/>
      <c r="BJ71" s="135"/>
      <c r="BK71" s="135"/>
      <c r="BL71" s="135"/>
      <c r="BM71" s="135"/>
      <c r="BN71" s="135"/>
      <c r="BO71" s="135"/>
      <c r="BP71" s="152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</row>
    <row r="72" spans="1:89">
      <c r="A72" s="21">
        <v>72</v>
      </c>
      <c r="B72" s="30"/>
      <c r="C72" s="30"/>
      <c r="D72" s="30"/>
      <c r="E72" s="104"/>
      <c r="F72" s="104"/>
      <c r="G72" s="30"/>
      <c r="H72" s="131">
        <f t="shared" si="4"/>
        <v>0</v>
      </c>
      <c r="I72" s="130">
        <f t="shared" si="5"/>
        <v>0</v>
      </c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52"/>
      <c r="BG72" s="135"/>
      <c r="BH72" s="135"/>
      <c r="BI72" s="135"/>
      <c r="BJ72" s="135"/>
      <c r="BK72" s="135"/>
      <c r="BL72" s="135"/>
      <c r="BM72" s="135"/>
      <c r="BN72" s="135"/>
      <c r="BO72" s="135"/>
      <c r="BP72" s="152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</row>
    <row r="73" spans="1:89">
      <c r="A73" s="21">
        <v>73</v>
      </c>
      <c r="B73" s="30"/>
      <c r="C73" s="30"/>
      <c r="D73" s="30"/>
      <c r="E73" s="104"/>
      <c r="F73" s="104"/>
      <c r="G73" s="30"/>
      <c r="H73" s="131">
        <f t="shared" si="4"/>
        <v>0</v>
      </c>
      <c r="I73" s="130">
        <f t="shared" si="5"/>
        <v>0</v>
      </c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52"/>
      <c r="BG73" s="135"/>
      <c r="BH73" s="135"/>
      <c r="BI73" s="135"/>
      <c r="BJ73" s="135"/>
      <c r="BK73" s="135"/>
      <c r="BL73" s="135"/>
      <c r="BM73" s="135"/>
      <c r="BN73" s="135"/>
      <c r="BO73" s="135"/>
      <c r="BP73" s="152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</row>
    <row r="74" spans="1:89">
      <c r="A74" s="21">
        <v>74</v>
      </c>
      <c r="B74" s="30"/>
      <c r="C74" s="30"/>
      <c r="D74" s="30"/>
      <c r="E74" s="104"/>
      <c r="F74" s="104"/>
      <c r="G74" s="30"/>
      <c r="H74" s="131">
        <f t="shared" si="4"/>
        <v>0</v>
      </c>
      <c r="I74" s="130">
        <f t="shared" si="5"/>
        <v>0</v>
      </c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52"/>
      <c r="BG74" s="135"/>
      <c r="BH74" s="135"/>
      <c r="BI74" s="135"/>
      <c r="BJ74" s="135"/>
      <c r="BK74" s="135"/>
      <c r="BL74" s="135"/>
      <c r="BM74" s="135"/>
      <c r="BN74" s="135"/>
      <c r="BO74" s="135"/>
      <c r="BP74" s="152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</row>
    <row r="75" spans="1:89">
      <c r="A75" s="21">
        <v>75</v>
      </c>
      <c r="B75" s="30"/>
      <c r="C75" s="30"/>
      <c r="D75" s="30"/>
      <c r="E75" s="104"/>
      <c r="F75" s="104"/>
      <c r="G75" s="30"/>
      <c r="H75" s="131">
        <f t="shared" si="4"/>
        <v>0</v>
      </c>
      <c r="I75" s="130">
        <f t="shared" si="5"/>
        <v>0</v>
      </c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52"/>
      <c r="BG75" s="135"/>
      <c r="BH75" s="135"/>
      <c r="BI75" s="135"/>
      <c r="BJ75" s="135"/>
      <c r="BK75" s="135"/>
      <c r="BL75" s="135"/>
      <c r="BM75" s="135"/>
      <c r="BN75" s="135"/>
      <c r="BO75" s="135"/>
      <c r="BP75" s="152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</row>
    <row r="76" spans="1:89">
      <c r="A76" s="21">
        <v>76</v>
      </c>
      <c r="B76" s="30"/>
      <c r="C76" s="30"/>
      <c r="D76" s="30"/>
      <c r="E76" s="104"/>
      <c r="F76" s="104"/>
      <c r="G76" s="30"/>
      <c r="H76" s="131">
        <f t="shared" si="4"/>
        <v>0</v>
      </c>
      <c r="I76" s="130">
        <f t="shared" si="5"/>
        <v>0</v>
      </c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52"/>
      <c r="BG76" s="135"/>
      <c r="BH76" s="135"/>
      <c r="BI76" s="135"/>
      <c r="BJ76" s="135"/>
      <c r="BK76" s="135"/>
      <c r="BL76" s="135"/>
      <c r="BM76" s="135"/>
      <c r="BN76" s="135"/>
      <c r="BO76" s="135"/>
      <c r="BP76" s="152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</row>
    <row r="77" spans="1:89">
      <c r="A77" s="21">
        <v>77</v>
      </c>
      <c r="B77" s="30"/>
      <c r="C77" s="30"/>
      <c r="D77" s="30"/>
      <c r="E77" s="104"/>
      <c r="F77" s="104"/>
      <c r="G77" s="30"/>
      <c r="H77" s="131">
        <f t="shared" si="4"/>
        <v>0</v>
      </c>
      <c r="I77" s="130">
        <f t="shared" si="5"/>
        <v>0</v>
      </c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52"/>
      <c r="BG77" s="135"/>
      <c r="BH77" s="135"/>
      <c r="BI77" s="135"/>
      <c r="BJ77" s="135"/>
      <c r="BK77" s="135"/>
      <c r="BL77" s="135"/>
      <c r="BM77" s="135"/>
      <c r="BN77" s="135"/>
      <c r="BO77" s="135"/>
      <c r="BP77" s="152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</row>
    <row r="78" spans="1:89">
      <c r="A78" s="21">
        <v>78</v>
      </c>
      <c r="B78" s="30"/>
      <c r="C78" s="30"/>
      <c r="D78" s="30"/>
      <c r="E78" s="104"/>
      <c r="F78" s="104"/>
      <c r="G78" s="30"/>
      <c r="H78" s="131">
        <f t="shared" si="4"/>
        <v>0</v>
      </c>
      <c r="I78" s="130">
        <f t="shared" si="5"/>
        <v>0</v>
      </c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52"/>
      <c r="BG78" s="135"/>
      <c r="BH78" s="135"/>
      <c r="BI78" s="135"/>
      <c r="BJ78" s="135"/>
      <c r="BK78" s="135"/>
      <c r="BL78" s="135"/>
      <c r="BM78" s="135"/>
      <c r="BN78" s="135"/>
      <c r="BO78" s="135"/>
      <c r="BP78" s="152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</row>
    <row r="79" spans="1:89">
      <c r="A79" s="21">
        <v>79</v>
      </c>
      <c r="B79" s="30"/>
      <c r="C79" s="30"/>
      <c r="D79" s="30"/>
      <c r="E79" s="104"/>
      <c r="F79" s="104"/>
      <c r="G79" s="30"/>
      <c r="H79" s="131">
        <f t="shared" si="4"/>
        <v>0</v>
      </c>
      <c r="I79" s="130">
        <f t="shared" si="5"/>
        <v>0</v>
      </c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52"/>
      <c r="BG79" s="135"/>
      <c r="BH79" s="135"/>
      <c r="BI79" s="135"/>
      <c r="BJ79" s="135"/>
      <c r="BK79" s="135"/>
      <c r="BL79" s="135"/>
      <c r="BM79" s="135"/>
      <c r="BN79" s="135"/>
      <c r="BO79" s="135"/>
      <c r="BP79" s="152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</row>
    <row r="80" spans="1:89">
      <c r="A80" s="21">
        <v>80</v>
      </c>
      <c r="B80" s="30"/>
      <c r="C80" s="30"/>
      <c r="D80" s="30"/>
      <c r="E80" s="104"/>
      <c r="F80" s="104"/>
      <c r="G80" s="30"/>
      <c r="H80" s="131">
        <f t="shared" si="4"/>
        <v>0</v>
      </c>
      <c r="I80" s="130">
        <f t="shared" si="5"/>
        <v>0</v>
      </c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52"/>
      <c r="BG80" s="135"/>
      <c r="BH80" s="135"/>
      <c r="BI80" s="135"/>
      <c r="BJ80" s="135"/>
      <c r="BK80" s="135"/>
      <c r="BL80" s="135"/>
      <c r="BM80" s="135"/>
      <c r="BN80" s="135"/>
      <c r="BO80" s="135"/>
      <c r="BP80" s="152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</row>
    <row r="81" spans="1:89">
      <c r="A81" s="21">
        <v>81</v>
      </c>
      <c r="B81" s="30"/>
      <c r="C81" s="30"/>
      <c r="D81" s="30"/>
      <c r="E81" s="104"/>
      <c r="F81" s="104"/>
      <c r="G81" s="30"/>
      <c r="H81" s="131">
        <f t="shared" si="4"/>
        <v>0</v>
      </c>
      <c r="I81" s="130">
        <f t="shared" si="5"/>
        <v>0</v>
      </c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52"/>
      <c r="BG81" s="135"/>
      <c r="BH81" s="135"/>
      <c r="BI81" s="135"/>
      <c r="BJ81" s="135"/>
      <c r="BK81" s="135"/>
      <c r="BL81" s="135"/>
      <c r="BM81" s="135"/>
      <c r="BN81" s="135"/>
      <c r="BO81" s="135"/>
      <c r="BP81" s="152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</row>
    <row r="82" spans="1:89">
      <c r="A82" s="21">
        <v>82</v>
      </c>
      <c r="B82" s="30"/>
      <c r="C82" s="30"/>
      <c r="D82" s="30"/>
      <c r="E82" s="104"/>
      <c r="F82" s="104"/>
      <c r="G82" s="30"/>
      <c r="H82" s="131">
        <f t="shared" si="4"/>
        <v>0</v>
      </c>
      <c r="I82" s="130">
        <f t="shared" si="5"/>
        <v>0</v>
      </c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52"/>
      <c r="BG82" s="135"/>
      <c r="BH82" s="135"/>
      <c r="BI82" s="135"/>
      <c r="BJ82" s="135"/>
      <c r="BK82" s="135"/>
      <c r="BL82" s="135"/>
      <c r="BM82" s="135"/>
      <c r="BN82" s="135"/>
      <c r="BO82" s="135"/>
      <c r="BP82" s="152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</row>
    <row r="83" spans="1:89">
      <c r="A83" s="21">
        <v>83</v>
      </c>
      <c r="B83" s="30"/>
      <c r="C83" s="30"/>
      <c r="D83" s="30"/>
      <c r="E83" s="104"/>
      <c r="F83" s="104"/>
      <c r="G83" s="30"/>
      <c r="H83" s="131">
        <f t="shared" si="4"/>
        <v>0</v>
      </c>
      <c r="I83" s="130">
        <f t="shared" si="5"/>
        <v>0</v>
      </c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52"/>
      <c r="BG83" s="135"/>
      <c r="BH83" s="135"/>
      <c r="BI83" s="135"/>
      <c r="BJ83" s="135"/>
      <c r="BK83" s="135"/>
      <c r="BL83" s="135"/>
      <c r="BM83" s="135"/>
      <c r="BN83" s="135"/>
      <c r="BO83" s="135"/>
      <c r="BP83" s="152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</row>
    <row r="84" spans="1:89">
      <c r="A84" s="21">
        <v>84</v>
      </c>
      <c r="B84" s="30"/>
      <c r="C84" s="30"/>
      <c r="D84" s="30"/>
      <c r="E84" s="104"/>
      <c r="F84" s="104"/>
      <c r="G84" s="30"/>
      <c r="H84" s="131">
        <f t="shared" si="4"/>
        <v>0</v>
      </c>
      <c r="I84" s="130">
        <f t="shared" si="5"/>
        <v>0</v>
      </c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52"/>
      <c r="BG84" s="135"/>
      <c r="BH84" s="135"/>
      <c r="BI84" s="135"/>
      <c r="BJ84" s="135"/>
      <c r="BK84" s="135"/>
      <c r="BL84" s="135"/>
      <c r="BM84" s="135"/>
      <c r="BN84" s="135"/>
      <c r="BO84" s="135"/>
      <c r="BP84" s="152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</row>
    <row r="85" spans="1:89">
      <c r="A85" s="21">
        <v>85</v>
      </c>
      <c r="B85" s="30"/>
      <c r="C85" s="30"/>
      <c r="D85" s="30"/>
      <c r="E85" s="104"/>
      <c r="F85" s="104"/>
      <c r="G85" s="30"/>
      <c r="H85" s="131">
        <f t="shared" si="4"/>
        <v>0</v>
      </c>
      <c r="I85" s="130">
        <f t="shared" si="5"/>
        <v>0</v>
      </c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52"/>
      <c r="BG85" s="135"/>
      <c r="BH85" s="135"/>
      <c r="BI85" s="135"/>
      <c r="BJ85" s="135"/>
      <c r="BK85" s="135"/>
      <c r="BL85" s="135"/>
      <c r="BM85" s="135"/>
      <c r="BN85" s="135"/>
      <c r="BO85" s="135"/>
      <c r="BP85" s="152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</row>
    <row r="86" spans="1:89">
      <c r="A86" s="21">
        <v>86</v>
      </c>
      <c r="B86" s="30"/>
      <c r="C86" s="30"/>
      <c r="D86" s="30"/>
      <c r="E86" s="104"/>
      <c r="F86" s="104"/>
      <c r="G86" s="30"/>
      <c r="H86" s="131">
        <f t="shared" si="4"/>
        <v>0</v>
      </c>
      <c r="I86" s="130">
        <f t="shared" si="5"/>
        <v>0</v>
      </c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52"/>
      <c r="BG86" s="135"/>
      <c r="BH86" s="135"/>
      <c r="BI86" s="135"/>
      <c r="BJ86" s="135"/>
      <c r="BK86" s="135"/>
      <c r="BL86" s="135"/>
      <c r="BM86" s="135"/>
      <c r="BN86" s="135"/>
      <c r="BO86" s="135"/>
      <c r="BP86" s="152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</row>
    <row r="87" spans="1:89">
      <c r="A87" s="21">
        <v>87</v>
      </c>
      <c r="B87" s="30"/>
      <c r="C87" s="30"/>
      <c r="D87" s="30"/>
      <c r="E87" s="104"/>
      <c r="F87" s="104"/>
      <c r="G87" s="30"/>
      <c r="H87" s="131">
        <f t="shared" si="4"/>
        <v>0</v>
      </c>
      <c r="I87" s="130">
        <f t="shared" si="5"/>
        <v>0</v>
      </c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52"/>
      <c r="BG87" s="135"/>
      <c r="BH87" s="135"/>
      <c r="BI87" s="135"/>
      <c r="BJ87" s="135"/>
      <c r="BK87" s="135"/>
      <c r="BL87" s="135"/>
      <c r="BM87" s="135"/>
      <c r="BN87" s="135"/>
      <c r="BO87" s="135"/>
      <c r="BP87" s="152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</row>
    <row r="88" spans="1:89">
      <c r="A88" s="21">
        <v>88</v>
      </c>
      <c r="B88" s="30"/>
      <c r="C88" s="30"/>
      <c r="D88" s="30"/>
      <c r="E88" s="104"/>
      <c r="F88" s="104"/>
      <c r="G88" s="30"/>
      <c r="H88" s="131">
        <f t="shared" si="4"/>
        <v>0</v>
      </c>
      <c r="I88" s="130">
        <f t="shared" si="5"/>
        <v>0</v>
      </c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52"/>
      <c r="BG88" s="135"/>
      <c r="BH88" s="135"/>
      <c r="BI88" s="135"/>
      <c r="BJ88" s="135"/>
      <c r="BK88" s="135"/>
      <c r="BL88" s="135"/>
      <c r="BM88" s="135"/>
      <c r="BN88" s="135"/>
      <c r="BO88" s="135"/>
      <c r="BP88" s="152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</row>
    <row r="89" spans="1:89">
      <c r="A89" s="21">
        <v>89</v>
      </c>
      <c r="B89" s="30"/>
      <c r="C89" s="30"/>
      <c r="D89" s="30"/>
      <c r="E89" s="104"/>
      <c r="F89" s="104"/>
      <c r="G89" s="30"/>
      <c r="H89" s="131">
        <f t="shared" si="4"/>
        <v>0</v>
      </c>
      <c r="I89" s="130">
        <f t="shared" si="5"/>
        <v>0</v>
      </c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52"/>
      <c r="BG89" s="135"/>
      <c r="BH89" s="135"/>
      <c r="BI89" s="135"/>
      <c r="BJ89" s="135"/>
      <c r="BK89" s="135"/>
      <c r="BL89" s="135"/>
      <c r="BM89" s="135"/>
      <c r="BN89" s="135"/>
      <c r="BO89" s="135"/>
      <c r="BP89" s="152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</row>
    <row r="90" spans="1:89">
      <c r="A90" s="21">
        <v>90</v>
      </c>
      <c r="B90" s="30"/>
      <c r="C90" s="30"/>
      <c r="D90" s="30"/>
      <c r="E90" s="104"/>
      <c r="F90" s="104"/>
      <c r="G90" s="30"/>
      <c r="H90" s="131">
        <f t="shared" si="4"/>
        <v>0</v>
      </c>
      <c r="I90" s="130">
        <f t="shared" si="5"/>
        <v>0</v>
      </c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52"/>
      <c r="BG90" s="135"/>
      <c r="BH90" s="135"/>
      <c r="BI90" s="135"/>
      <c r="BJ90" s="135"/>
      <c r="BK90" s="135"/>
      <c r="BL90" s="135"/>
      <c r="BM90" s="135"/>
      <c r="BN90" s="135"/>
      <c r="BO90" s="135"/>
      <c r="BP90" s="152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</row>
    <row r="91" spans="1:89">
      <c r="A91" s="21">
        <v>91</v>
      </c>
      <c r="B91" s="30"/>
      <c r="C91" s="30"/>
      <c r="D91" s="30"/>
      <c r="E91" s="104"/>
      <c r="F91" s="104"/>
      <c r="G91" s="30"/>
      <c r="H91" s="131">
        <f t="shared" si="4"/>
        <v>0</v>
      </c>
      <c r="I91" s="130">
        <f t="shared" si="5"/>
        <v>0</v>
      </c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135"/>
      <c r="BC91" s="135"/>
      <c r="BD91" s="135"/>
      <c r="BE91" s="135"/>
      <c r="BF91" s="152"/>
      <c r="BG91" s="135"/>
      <c r="BH91" s="135"/>
      <c r="BI91" s="135"/>
      <c r="BJ91" s="135"/>
      <c r="BK91" s="135"/>
      <c r="BL91" s="135"/>
      <c r="BM91" s="135"/>
      <c r="BN91" s="135"/>
      <c r="BO91" s="135"/>
      <c r="BP91" s="152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</row>
    <row r="92" spans="1:89">
      <c r="A92" s="21">
        <v>92</v>
      </c>
      <c r="B92" s="30"/>
      <c r="C92" s="30"/>
      <c r="D92" s="30"/>
      <c r="E92" s="104"/>
      <c r="F92" s="104"/>
      <c r="G92" s="30"/>
      <c r="H92" s="131">
        <f t="shared" si="4"/>
        <v>0</v>
      </c>
      <c r="I92" s="130">
        <f t="shared" si="5"/>
        <v>0</v>
      </c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135"/>
      <c r="BC92" s="135"/>
      <c r="BD92" s="135"/>
      <c r="BE92" s="135"/>
      <c r="BF92" s="152"/>
      <c r="BG92" s="135"/>
      <c r="BH92" s="135"/>
      <c r="BI92" s="135"/>
      <c r="BJ92" s="135"/>
      <c r="BK92" s="135"/>
      <c r="BL92" s="135"/>
      <c r="BM92" s="135"/>
      <c r="BN92" s="135"/>
      <c r="BO92" s="135"/>
      <c r="BP92" s="152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</row>
    <row r="93" spans="1:89">
      <c r="A93" s="21">
        <v>93</v>
      </c>
      <c r="B93" s="30"/>
      <c r="C93" s="30"/>
      <c r="D93" s="30"/>
      <c r="E93" s="104"/>
      <c r="F93" s="104"/>
      <c r="G93" s="30"/>
      <c r="H93" s="131">
        <f t="shared" si="4"/>
        <v>0</v>
      </c>
      <c r="I93" s="130">
        <f t="shared" si="5"/>
        <v>0</v>
      </c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135"/>
      <c r="BC93" s="135"/>
      <c r="BD93" s="135"/>
      <c r="BE93" s="135"/>
      <c r="BF93" s="152"/>
      <c r="BG93" s="135"/>
      <c r="BH93" s="135"/>
      <c r="BI93" s="135"/>
      <c r="BJ93" s="135"/>
      <c r="BK93" s="135"/>
      <c r="BL93" s="135"/>
      <c r="BM93" s="135"/>
      <c r="BN93" s="135"/>
      <c r="BO93" s="135"/>
      <c r="BP93" s="152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</row>
    <row r="94" spans="1:89">
      <c r="A94" s="21">
        <v>94</v>
      </c>
      <c r="B94" s="30"/>
      <c r="C94" s="30"/>
      <c r="D94" s="30"/>
      <c r="E94" s="104"/>
      <c r="F94" s="104"/>
      <c r="G94" s="30"/>
      <c r="H94" s="131">
        <f t="shared" si="4"/>
        <v>0</v>
      </c>
      <c r="I94" s="130">
        <f t="shared" si="5"/>
        <v>0</v>
      </c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52"/>
      <c r="BG94" s="135"/>
      <c r="BH94" s="135"/>
      <c r="BI94" s="135"/>
      <c r="BJ94" s="135"/>
      <c r="BK94" s="135"/>
      <c r="BL94" s="135"/>
      <c r="BM94" s="135"/>
      <c r="BN94" s="135"/>
      <c r="BO94" s="135"/>
      <c r="BP94" s="152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</row>
    <row r="95" spans="1:89">
      <c r="A95" s="21">
        <v>95</v>
      </c>
      <c r="B95" s="30"/>
      <c r="C95" s="30"/>
      <c r="D95" s="30"/>
      <c r="E95" s="104"/>
      <c r="F95" s="104"/>
      <c r="G95" s="30"/>
      <c r="H95" s="131">
        <f t="shared" si="4"/>
        <v>0</v>
      </c>
      <c r="I95" s="130">
        <f t="shared" si="5"/>
        <v>0</v>
      </c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5"/>
      <c r="BD95" s="135"/>
      <c r="BE95" s="135"/>
      <c r="BF95" s="152"/>
      <c r="BG95" s="135"/>
      <c r="BH95" s="135"/>
      <c r="BI95" s="135"/>
      <c r="BJ95" s="135"/>
      <c r="BK95" s="135"/>
      <c r="BL95" s="135"/>
      <c r="BM95" s="135"/>
      <c r="BN95" s="135"/>
      <c r="BO95" s="135"/>
      <c r="BP95" s="152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</row>
    <row r="96" spans="1:89">
      <c r="A96" s="21">
        <v>96</v>
      </c>
      <c r="B96" s="30"/>
      <c r="C96" s="30"/>
      <c r="D96" s="30"/>
      <c r="E96" s="104"/>
      <c r="F96" s="104"/>
      <c r="G96" s="30"/>
      <c r="H96" s="131">
        <f t="shared" si="4"/>
        <v>0</v>
      </c>
      <c r="I96" s="130">
        <f t="shared" si="5"/>
        <v>0</v>
      </c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52"/>
      <c r="BG96" s="135"/>
      <c r="BH96" s="135"/>
      <c r="BI96" s="135"/>
      <c r="BJ96" s="135"/>
      <c r="BK96" s="135"/>
      <c r="BL96" s="135"/>
      <c r="BM96" s="135"/>
      <c r="BN96" s="135"/>
      <c r="BO96" s="135"/>
      <c r="BP96" s="152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</row>
    <row r="97" spans="1:89">
      <c r="A97" s="21">
        <v>97</v>
      </c>
      <c r="B97" s="30"/>
      <c r="C97" s="30"/>
      <c r="D97" s="30"/>
      <c r="E97" s="104"/>
      <c r="F97" s="104"/>
      <c r="G97" s="30"/>
      <c r="H97" s="131">
        <f t="shared" si="4"/>
        <v>0</v>
      </c>
      <c r="I97" s="130">
        <f t="shared" si="5"/>
        <v>0</v>
      </c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5"/>
      <c r="BD97" s="135"/>
      <c r="BE97" s="135"/>
      <c r="BF97" s="152"/>
      <c r="BG97" s="135"/>
      <c r="BH97" s="135"/>
      <c r="BI97" s="135"/>
      <c r="BJ97" s="135"/>
      <c r="BK97" s="135"/>
      <c r="BL97" s="135"/>
      <c r="BM97" s="135"/>
      <c r="BN97" s="135"/>
      <c r="BO97" s="135"/>
      <c r="BP97" s="152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</row>
    <row r="98" spans="1:89">
      <c r="A98" s="21">
        <v>98</v>
      </c>
      <c r="B98" s="30"/>
      <c r="C98" s="30"/>
      <c r="D98" s="30"/>
      <c r="E98" s="104"/>
      <c r="F98" s="104"/>
      <c r="G98" s="30"/>
      <c r="H98" s="131">
        <f t="shared" si="4"/>
        <v>0</v>
      </c>
      <c r="I98" s="130">
        <f t="shared" si="5"/>
        <v>0</v>
      </c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  <c r="AO98" s="135"/>
      <c r="AP98" s="135"/>
      <c r="AQ98" s="135"/>
      <c r="AR98" s="135"/>
      <c r="AS98" s="135"/>
      <c r="AT98" s="135"/>
      <c r="AU98" s="135"/>
      <c r="AV98" s="135"/>
      <c r="AW98" s="135"/>
      <c r="AX98" s="135"/>
      <c r="AY98" s="135"/>
      <c r="AZ98" s="135"/>
      <c r="BA98" s="135"/>
      <c r="BB98" s="135"/>
      <c r="BC98" s="135"/>
      <c r="BD98" s="135"/>
      <c r="BE98" s="135"/>
      <c r="BF98" s="152"/>
      <c r="BG98" s="135"/>
      <c r="BH98" s="135"/>
      <c r="BI98" s="135"/>
      <c r="BJ98" s="135"/>
      <c r="BK98" s="135"/>
      <c r="BL98" s="135"/>
      <c r="BM98" s="135"/>
      <c r="BN98" s="135"/>
      <c r="BO98" s="135"/>
      <c r="BP98" s="152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</row>
    <row r="99" spans="1:89">
      <c r="A99" s="14">
        <v>99</v>
      </c>
      <c r="B99" s="5"/>
      <c r="C99" s="5"/>
      <c r="D99" s="5"/>
      <c r="E99" s="38"/>
      <c r="F99" s="38"/>
      <c r="G99" s="5"/>
      <c r="H99" s="129">
        <f t="shared" si="4"/>
        <v>0</v>
      </c>
      <c r="I99" s="130">
        <f t="shared" si="5"/>
        <v>0</v>
      </c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52"/>
      <c r="BG99" s="135"/>
      <c r="BH99" s="135"/>
      <c r="BI99" s="135"/>
      <c r="BJ99" s="135"/>
      <c r="BK99" s="135"/>
      <c r="BL99" s="135"/>
      <c r="BM99" s="135"/>
      <c r="BN99" s="135"/>
      <c r="BO99" s="135"/>
      <c r="BP99" s="152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</row>
    <row r="100" spans="1:89">
      <c r="A100" s="38">
        <v>100</v>
      </c>
      <c r="B100" s="5"/>
      <c r="C100" s="5"/>
      <c r="D100" s="5"/>
      <c r="E100" s="38"/>
      <c r="F100" s="38"/>
      <c r="G100" s="5"/>
      <c r="H100" s="129">
        <f t="shared" si="4"/>
        <v>0</v>
      </c>
      <c r="I100" s="130">
        <f t="shared" si="5"/>
        <v>0</v>
      </c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135"/>
      <c r="AY100" s="135"/>
      <c r="AZ100" s="135"/>
      <c r="BA100" s="135"/>
      <c r="BB100" s="135"/>
      <c r="BC100" s="135"/>
      <c r="BD100" s="135"/>
      <c r="BE100" s="135"/>
      <c r="BF100" s="152"/>
      <c r="BG100" s="135"/>
      <c r="BH100" s="135"/>
      <c r="BI100" s="135"/>
      <c r="BJ100" s="135"/>
      <c r="BK100" s="135"/>
      <c r="BL100" s="135"/>
      <c r="BM100" s="135"/>
      <c r="BN100" s="135"/>
      <c r="BO100" s="135"/>
      <c r="BP100" s="152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</row>
    <row r="101" spans="1:89">
      <c r="A101" s="5"/>
      <c r="B101" s="5"/>
      <c r="C101" s="5"/>
      <c r="D101" s="5"/>
      <c r="E101" s="38"/>
      <c r="F101" s="38"/>
      <c r="G101" s="5"/>
      <c r="H101" s="125"/>
      <c r="I101" s="126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</row>
    <row r="102" spans="1:89">
      <c r="A102" s="5"/>
      <c r="B102" s="5"/>
      <c r="C102" s="5"/>
      <c r="D102" s="5"/>
      <c r="E102" s="38"/>
      <c r="F102" s="38"/>
      <c r="G102" s="5"/>
      <c r="H102" s="125"/>
      <c r="I102" s="126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</row>
    <row r="103" spans="1:89">
      <c r="A103" s="5"/>
      <c r="B103" s="5"/>
      <c r="C103" s="5"/>
      <c r="D103" s="5"/>
      <c r="E103" s="38"/>
      <c r="F103" s="38"/>
      <c r="G103" s="5"/>
      <c r="H103" s="125"/>
      <c r="I103" s="126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</row>
    <row r="104" spans="1:89">
      <c r="A104" s="5"/>
      <c r="B104" s="5"/>
      <c r="C104" s="5"/>
      <c r="D104" s="5"/>
      <c r="E104" s="38"/>
      <c r="F104" s="38"/>
      <c r="G104" s="5"/>
      <c r="H104" s="125"/>
      <c r="I104" s="126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</row>
    <row r="105" spans="1:89">
      <c r="A105" s="5"/>
      <c r="B105" s="5"/>
      <c r="C105" s="5"/>
      <c r="D105" s="5"/>
      <c r="E105" s="38"/>
      <c r="F105" s="38"/>
      <c r="G105" s="5"/>
      <c r="H105" s="125"/>
      <c r="I105" s="126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</row>
    <row r="106" spans="1:89">
      <c r="A106" s="5"/>
      <c r="B106" s="5"/>
      <c r="C106" s="5"/>
      <c r="D106" s="5"/>
      <c r="E106" s="38"/>
      <c r="F106" s="38"/>
      <c r="G106" s="5"/>
      <c r="H106" s="125"/>
      <c r="I106" s="126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</row>
    <row r="107" spans="1:89">
      <c r="A107" s="5"/>
      <c r="B107" s="5"/>
      <c r="C107" s="5"/>
      <c r="D107" s="5"/>
      <c r="E107" s="38"/>
      <c r="F107" s="38"/>
      <c r="G107" s="5"/>
      <c r="H107" s="125"/>
      <c r="I107" s="126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</row>
    <row r="108" spans="1:89">
      <c r="A108" s="5"/>
      <c r="B108" s="5"/>
      <c r="C108" s="5"/>
      <c r="D108" s="5"/>
      <c r="E108" s="38"/>
      <c r="F108" s="38"/>
      <c r="G108" s="5"/>
      <c r="H108" s="125"/>
      <c r="I108" s="126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</row>
    <row r="109" spans="1:89">
      <c r="A109" s="5"/>
      <c r="B109" s="5"/>
      <c r="C109" s="5"/>
      <c r="D109" s="5"/>
      <c r="E109" s="38"/>
      <c r="F109" s="38"/>
      <c r="G109" s="5"/>
      <c r="H109" s="125"/>
      <c r="I109" s="126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</row>
    <row r="110" spans="1:89">
      <c r="A110" s="5"/>
      <c r="B110" s="5"/>
      <c r="C110" s="5"/>
      <c r="D110" s="5"/>
      <c r="E110" s="38"/>
      <c r="F110" s="38"/>
      <c r="G110" s="5"/>
      <c r="H110" s="125"/>
      <c r="I110" s="126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</row>
    <row r="111" spans="1:89">
      <c r="A111" s="5"/>
      <c r="B111" s="5"/>
      <c r="C111" s="5"/>
      <c r="D111" s="5"/>
      <c r="E111" s="38"/>
      <c r="F111" s="38"/>
      <c r="G111" s="5"/>
      <c r="H111" s="125"/>
      <c r="I111" s="126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</row>
    <row r="112" spans="1:89">
      <c r="A112" s="5"/>
      <c r="B112" s="5"/>
      <c r="C112" s="5"/>
      <c r="D112" s="5"/>
      <c r="E112" s="38"/>
      <c r="F112" s="38"/>
      <c r="G112" s="5"/>
      <c r="H112" s="125"/>
      <c r="I112" s="126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</row>
    <row r="113" spans="1:36">
      <c r="A113" s="5"/>
      <c r="B113" s="5"/>
      <c r="C113" s="5"/>
      <c r="D113" s="5"/>
      <c r="E113" s="38"/>
      <c r="F113" s="38"/>
      <c r="G113" s="5"/>
      <c r="H113" s="125"/>
      <c r="I113" s="126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</row>
    <row r="114" spans="1:36">
      <c r="A114" s="5"/>
      <c r="B114" s="5"/>
      <c r="C114" s="5"/>
      <c r="D114" s="5"/>
      <c r="E114" s="38"/>
      <c r="F114" s="38"/>
      <c r="G114" s="5"/>
      <c r="H114" s="125"/>
      <c r="I114" s="126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</row>
  </sheetData>
  <conditionalFormatting sqref="G16:G1048576 C2:E2 C4:F4 C6:E6 C5:D5 C10:F14">
    <cfRule type="duplicateValues" dxfId="17" priority="7"/>
  </conditionalFormatting>
  <conditionalFormatting sqref="C7:D7">
    <cfRule type="duplicateValues" dxfId="16" priority="4"/>
  </conditionalFormatting>
  <conditionalFormatting sqref="C8:D8">
    <cfRule type="duplicateValues" dxfId="15" priority="3"/>
  </conditionalFormatting>
  <conditionalFormatting sqref="C23">
    <cfRule type="duplicateValues" dxfId="14" priority="2"/>
  </conditionalFormatting>
  <conditionalFormatting sqref="C3:F3">
    <cfRule type="duplicateValues" dxfId="13" priority="47"/>
  </conditionalFormatting>
  <conditionalFormatting sqref="C9:F9">
    <cfRule type="duplicateValues" dxfId="12" priority="53"/>
  </conditionalFormatting>
  <pageMargins left="0.7" right="0.7" top="0.75" bottom="0.75" header="0.3" footer="0.3"/>
  <legacyDrawing r:id="rId1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cellIs" priority="1" operator="equal" id="{E53BEB43-0DD2-4468-9E22-4BD8D5FF3892}">
            <xm:f>Kotak!$K$4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J3:BP3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IDFC_2020-2021</vt:lpstr>
      <vt:lpstr>Kotak_2020-2021</vt:lpstr>
      <vt:lpstr>INVOICE_UPDATE</vt:lpstr>
      <vt:lpstr>Account_Oct</vt:lpstr>
      <vt:lpstr>ACCOUNT SATTLEMENT</vt:lpstr>
      <vt:lpstr>Loan Sheet</vt:lpstr>
      <vt:lpstr>New Account Sheet</vt:lpstr>
      <vt:lpstr>Kotak</vt:lpstr>
      <vt:lpstr>IDFC</vt:lpstr>
      <vt:lpstr>Vendor </vt:lpstr>
      <vt:lpstr>Sheet1</vt:lpstr>
      <vt:lpstr>15.12.2020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expert</cp:lastModifiedBy>
  <cp:lastPrinted>2020-11-19T07:18:43Z</cp:lastPrinted>
  <dcterms:created xsi:type="dcterms:W3CDTF">2019-10-02T06:04:34Z</dcterms:created>
  <dcterms:modified xsi:type="dcterms:W3CDTF">2020-12-15T14:44:40Z</dcterms:modified>
</cp:coreProperties>
</file>