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pal\Zillow Offers - Home Purchases\"/>
    </mc:Choice>
  </mc:AlternateContent>
  <bookViews>
    <workbookView xWindow="0" yWindow="0" windowWidth="28800" windowHeight="14865"/>
  </bookViews>
  <sheets>
    <sheet name="Data" sheetId="1" r:id="rId1"/>
    <sheet name="C1" sheetId="18" r:id="rId2"/>
    <sheet name="C2" sheetId="8" r:id="rId3"/>
    <sheet name="C3" sheetId="15" r:id="rId4"/>
    <sheet name="calc" sheetId="21" r:id="rId5"/>
    <sheet name="USA" sheetId="7" r:id="rId6"/>
    <sheet name="PHO" sheetId="6" r:id="rId7"/>
    <sheet name="LV" sheetId="5" r:id="rId8"/>
    <sheet name="ATL" sheetId="16" r:id="rId9"/>
    <sheet name="DEN" sheetId="17" r:id="rId10"/>
    <sheet name="CLT" sheetId="19" r:id="rId11"/>
    <sheet name="RDU" sheetId="20" r:id="rId12"/>
  </sheets>
  <definedNames>
    <definedName name="_xlnm._FilterDatabase" localSheetId="0" hidden="1">Data!$A$2:$BD$2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G23" i="15"/>
  <c r="H23" i="15"/>
  <c r="I23" i="15"/>
  <c r="C24" i="20"/>
  <c r="B24" i="20"/>
  <c r="C23" i="20"/>
  <c r="B23" i="20"/>
  <c r="C22" i="20"/>
  <c r="B22" i="20"/>
  <c r="C21" i="20"/>
  <c r="B21" i="20"/>
  <c r="C20" i="20"/>
  <c r="B20" i="20"/>
  <c r="C19" i="20"/>
  <c r="B19" i="20"/>
  <c r="D16" i="20"/>
  <c r="B11" i="20"/>
  <c r="AA10" i="20"/>
  <c r="Z10" i="20"/>
  <c r="B10" i="20"/>
  <c r="B9" i="20"/>
  <c r="E4" i="20"/>
  <c r="C24" i="19"/>
  <c r="B24" i="19"/>
  <c r="C23" i="19"/>
  <c r="B23" i="19"/>
  <c r="C22" i="19"/>
  <c r="B22" i="19"/>
  <c r="C21" i="19"/>
  <c r="B21" i="19"/>
  <c r="C20" i="19"/>
  <c r="B20" i="19"/>
  <c r="C19" i="19"/>
  <c r="B19" i="19"/>
  <c r="D16" i="19"/>
  <c r="B11" i="19"/>
  <c r="AA10" i="19"/>
  <c r="Z10" i="19"/>
  <c r="B10" i="19"/>
  <c r="B9" i="19"/>
  <c r="E4" i="19"/>
  <c r="D16" i="7"/>
  <c r="D16" i="6"/>
  <c r="D16" i="5"/>
  <c r="D16" i="16"/>
  <c r="D16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B11" i="17"/>
  <c r="AA10" i="17"/>
  <c r="Z10" i="17"/>
  <c r="B10" i="17"/>
  <c r="B9" i="17"/>
  <c r="E4" i="17"/>
  <c r="E4" i="6"/>
  <c r="E4" i="5"/>
  <c r="AI210" i="1"/>
  <c r="AJ210" i="1"/>
  <c r="AU210" i="1"/>
  <c r="AV210" i="1"/>
  <c r="AW210" i="1"/>
  <c r="AX210" i="1"/>
  <c r="AY210" i="1"/>
  <c r="AI208" i="1"/>
  <c r="AJ208" i="1"/>
  <c r="AU208" i="1"/>
  <c r="AV208" i="1"/>
  <c r="AW208" i="1"/>
  <c r="AX208" i="1"/>
  <c r="AY208" i="1"/>
  <c r="AI209" i="1"/>
  <c r="AJ209" i="1" s="1"/>
  <c r="AU209" i="1"/>
  <c r="AV209" i="1"/>
  <c r="AW209" i="1"/>
  <c r="AX209" i="1"/>
  <c r="AY209" i="1"/>
  <c r="AI206" i="1"/>
  <c r="AJ206" i="1" s="1"/>
  <c r="AU206" i="1"/>
  <c r="AV206" i="1"/>
  <c r="AW206" i="1"/>
  <c r="AX206" i="1"/>
  <c r="AY206" i="1"/>
  <c r="AI172" i="1"/>
  <c r="AJ172" i="1"/>
  <c r="AU172" i="1"/>
  <c r="AV172" i="1"/>
  <c r="AW172" i="1"/>
  <c r="AX172" i="1"/>
  <c r="AY172" i="1"/>
  <c r="AI8" i="1"/>
  <c r="AJ8" i="1" s="1"/>
  <c r="AU8" i="1"/>
  <c r="AV8" i="1"/>
  <c r="AW8" i="1"/>
  <c r="AX8" i="1"/>
  <c r="AY8" i="1"/>
  <c r="AI117" i="1"/>
  <c r="AJ117" i="1"/>
  <c r="AU117" i="1"/>
  <c r="AV117" i="1"/>
  <c r="AW117" i="1"/>
  <c r="AX117" i="1"/>
  <c r="AY117" i="1"/>
  <c r="AI56" i="1"/>
  <c r="AJ56" i="1"/>
  <c r="AU4" i="1"/>
  <c r="AV4" i="1"/>
  <c r="AW4" i="1"/>
  <c r="AX4" i="1"/>
  <c r="AY4" i="1"/>
  <c r="AU5" i="1"/>
  <c r="AV5" i="1"/>
  <c r="AW5" i="1"/>
  <c r="AX5" i="1"/>
  <c r="AY5" i="1"/>
  <c r="AU6" i="1"/>
  <c r="AV6" i="1"/>
  <c r="AW6" i="1"/>
  <c r="AX6" i="1"/>
  <c r="AY6" i="1"/>
  <c r="AU7" i="1"/>
  <c r="AV7" i="1"/>
  <c r="AW7" i="1"/>
  <c r="AX7" i="1"/>
  <c r="AY7" i="1"/>
  <c r="AU9" i="1"/>
  <c r="AV9" i="1"/>
  <c r="AW9" i="1"/>
  <c r="AX9" i="1"/>
  <c r="AY9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U160" i="1"/>
  <c r="AV160" i="1"/>
  <c r="AW160" i="1"/>
  <c r="AX160" i="1"/>
  <c r="AY160" i="1"/>
  <c r="AU161" i="1"/>
  <c r="AV161" i="1"/>
  <c r="AW161" i="1"/>
  <c r="AX161" i="1"/>
  <c r="AY161" i="1"/>
  <c r="AU162" i="1"/>
  <c r="AV162" i="1"/>
  <c r="AW162" i="1"/>
  <c r="AX162" i="1"/>
  <c r="AY162" i="1"/>
  <c r="AU163" i="1"/>
  <c r="AV163" i="1"/>
  <c r="AW163" i="1"/>
  <c r="AX163" i="1"/>
  <c r="AY163" i="1"/>
  <c r="AU164" i="1"/>
  <c r="AV164" i="1"/>
  <c r="AW164" i="1"/>
  <c r="AX164" i="1"/>
  <c r="AY164" i="1"/>
  <c r="AU165" i="1"/>
  <c r="AV165" i="1"/>
  <c r="AW165" i="1"/>
  <c r="AX165" i="1"/>
  <c r="AY165" i="1"/>
  <c r="AU166" i="1"/>
  <c r="AV166" i="1"/>
  <c r="AW166" i="1"/>
  <c r="AX166" i="1"/>
  <c r="AY166" i="1"/>
  <c r="AU167" i="1"/>
  <c r="AV167" i="1"/>
  <c r="AW167" i="1"/>
  <c r="AX167" i="1"/>
  <c r="AY167" i="1"/>
  <c r="AU168" i="1"/>
  <c r="AV168" i="1"/>
  <c r="AW168" i="1"/>
  <c r="AX168" i="1"/>
  <c r="AY168" i="1"/>
  <c r="AU169" i="1"/>
  <c r="AV169" i="1"/>
  <c r="AW169" i="1"/>
  <c r="AX169" i="1"/>
  <c r="AY169" i="1"/>
  <c r="AU170" i="1"/>
  <c r="AV170" i="1"/>
  <c r="AW170" i="1"/>
  <c r="AX170" i="1"/>
  <c r="AY170" i="1"/>
  <c r="AU171" i="1"/>
  <c r="AV171" i="1"/>
  <c r="AW171" i="1"/>
  <c r="AX171" i="1"/>
  <c r="AY171" i="1"/>
  <c r="AU173" i="1"/>
  <c r="AV173" i="1"/>
  <c r="AW173" i="1"/>
  <c r="AX173" i="1"/>
  <c r="AY173" i="1"/>
  <c r="AU174" i="1"/>
  <c r="AV174" i="1"/>
  <c r="AW174" i="1"/>
  <c r="AX174" i="1"/>
  <c r="AY174" i="1"/>
  <c r="AU175" i="1"/>
  <c r="AV175" i="1"/>
  <c r="AW175" i="1"/>
  <c r="AX175" i="1"/>
  <c r="AY175" i="1"/>
  <c r="AU176" i="1"/>
  <c r="AV176" i="1"/>
  <c r="AW176" i="1"/>
  <c r="AX176" i="1"/>
  <c r="AY176" i="1"/>
  <c r="AU177" i="1"/>
  <c r="AV177" i="1"/>
  <c r="AW177" i="1"/>
  <c r="AX177" i="1"/>
  <c r="AY177" i="1"/>
  <c r="AU178" i="1"/>
  <c r="AV178" i="1"/>
  <c r="AW178" i="1"/>
  <c r="AX178" i="1"/>
  <c r="AY178" i="1"/>
  <c r="AU179" i="1"/>
  <c r="AV179" i="1"/>
  <c r="AW179" i="1"/>
  <c r="AX179" i="1"/>
  <c r="AY179" i="1"/>
  <c r="AU180" i="1"/>
  <c r="AV180" i="1"/>
  <c r="AW180" i="1"/>
  <c r="AX180" i="1"/>
  <c r="AY180" i="1"/>
  <c r="AU181" i="1"/>
  <c r="AV181" i="1"/>
  <c r="AW181" i="1"/>
  <c r="AX181" i="1"/>
  <c r="AY181" i="1"/>
  <c r="AU182" i="1"/>
  <c r="AV182" i="1"/>
  <c r="AW182" i="1"/>
  <c r="AX182" i="1"/>
  <c r="AY182" i="1"/>
  <c r="AU183" i="1"/>
  <c r="AV183" i="1"/>
  <c r="AW183" i="1"/>
  <c r="AX183" i="1"/>
  <c r="AY183" i="1"/>
  <c r="AU184" i="1"/>
  <c r="AV184" i="1"/>
  <c r="AW184" i="1"/>
  <c r="AX184" i="1"/>
  <c r="AY184" i="1"/>
  <c r="AU185" i="1"/>
  <c r="AV185" i="1"/>
  <c r="AW185" i="1"/>
  <c r="AX185" i="1"/>
  <c r="AY185" i="1"/>
  <c r="AU186" i="1"/>
  <c r="AV186" i="1"/>
  <c r="AW186" i="1"/>
  <c r="AX186" i="1"/>
  <c r="AY186" i="1"/>
  <c r="AU187" i="1"/>
  <c r="AV187" i="1"/>
  <c r="AW187" i="1"/>
  <c r="AX187" i="1"/>
  <c r="AY187" i="1"/>
  <c r="AU188" i="1"/>
  <c r="AV188" i="1"/>
  <c r="AW188" i="1"/>
  <c r="AX188" i="1"/>
  <c r="AY188" i="1"/>
  <c r="AU189" i="1"/>
  <c r="AV189" i="1"/>
  <c r="AW189" i="1"/>
  <c r="AX189" i="1"/>
  <c r="AY189" i="1"/>
  <c r="AU190" i="1"/>
  <c r="AV190" i="1"/>
  <c r="AW190" i="1"/>
  <c r="AX190" i="1"/>
  <c r="AY190" i="1"/>
  <c r="AU191" i="1"/>
  <c r="AV191" i="1"/>
  <c r="AW191" i="1"/>
  <c r="AX191" i="1"/>
  <c r="AY191" i="1"/>
  <c r="AU192" i="1"/>
  <c r="AV192" i="1"/>
  <c r="AW192" i="1"/>
  <c r="AX192" i="1"/>
  <c r="AY192" i="1"/>
  <c r="AU193" i="1"/>
  <c r="AV193" i="1"/>
  <c r="AW193" i="1"/>
  <c r="AX193" i="1"/>
  <c r="AY193" i="1"/>
  <c r="AU194" i="1"/>
  <c r="AV194" i="1"/>
  <c r="AW194" i="1"/>
  <c r="AX194" i="1"/>
  <c r="AY194" i="1"/>
  <c r="AU195" i="1"/>
  <c r="AV195" i="1"/>
  <c r="AW195" i="1"/>
  <c r="AX195" i="1"/>
  <c r="AY195" i="1"/>
  <c r="AU196" i="1"/>
  <c r="AV196" i="1"/>
  <c r="AW196" i="1"/>
  <c r="AX196" i="1"/>
  <c r="AY196" i="1"/>
  <c r="AU197" i="1"/>
  <c r="AV197" i="1"/>
  <c r="AW197" i="1"/>
  <c r="AX197" i="1"/>
  <c r="AY197" i="1"/>
  <c r="AU198" i="1"/>
  <c r="AV198" i="1"/>
  <c r="AW198" i="1"/>
  <c r="AX198" i="1"/>
  <c r="AY198" i="1"/>
  <c r="AU199" i="1"/>
  <c r="AV199" i="1"/>
  <c r="AW199" i="1"/>
  <c r="AX199" i="1"/>
  <c r="AY199" i="1"/>
  <c r="AU200" i="1"/>
  <c r="AV200" i="1"/>
  <c r="AW200" i="1"/>
  <c r="AX200" i="1"/>
  <c r="AY200" i="1"/>
  <c r="AU201" i="1"/>
  <c r="AV201" i="1"/>
  <c r="AW201" i="1"/>
  <c r="AX201" i="1"/>
  <c r="AY201" i="1"/>
  <c r="AU202" i="1"/>
  <c r="AV202" i="1"/>
  <c r="AW202" i="1"/>
  <c r="AX202" i="1"/>
  <c r="AY202" i="1"/>
  <c r="AU203" i="1"/>
  <c r="AV203" i="1"/>
  <c r="AW203" i="1"/>
  <c r="AX203" i="1"/>
  <c r="AY203" i="1"/>
  <c r="AU204" i="1"/>
  <c r="AV204" i="1"/>
  <c r="AW204" i="1"/>
  <c r="AX204" i="1"/>
  <c r="AY204" i="1"/>
  <c r="AU205" i="1"/>
  <c r="AV205" i="1"/>
  <c r="AW205" i="1"/>
  <c r="AX205" i="1"/>
  <c r="AY205" i="1"/>
  <c r="AU207" i="1"/>
  <c r="AV207" i="1"/>
  <c r="AW207" i="1"/>
  <c r="AX207" i="1"/>
  <c r="AY207" i="1"/>
  <c r="AU237" i="1"/>
  <c r="AV237" i="1"/>
  <c r="AW237" i="1"/>
  <c r="AX237" i="1"/>
  <c r="AY237" i="1"/>
  <c r="AU235" i="1"/>
  <c r="AV235" i="1"/>
  <c r="AW235" i="1"/>
  <c r="AX235" i="1"/>
  <c r="AY235" i="1"/>
  <c r="AU218" i="1"/>
  <c r="AV218" i="1"/>
  <c r="AW218" i="1"/>
  <c r="AX218" i="1"/>
  <c r="AY218" i="1"/>
  <c r="AU221" i="1"/>
  <c r="AV221" i="1"/>
  <c r="AW221" i="1"/>
  <c r="AX221" i="1"/>
  <c r="AY221" i="1"/>
  <c r="AU238" i="1"/>
  <c r="AV238" i="1"/>
  <c r="AW238" i="1"/>
  <c r="AX238" i="1"/>
  <c r="AY238" i="1"/>
  <c r="AU220" i="1"/>
  <c r="AV220" i="1"/>
  <c r="AW220" i="1"/>
  <c r="AX220" i="1"/>
  <c r="AY220" i="1"/>
  <c r="AU231" i="1"/>
  <c r="AV231" i="1"/>
  <c r="AW231" i="1"/>
  <c r="AX231" i="1"/>
  <c r="AY231" i="1"/>
  <c r="AU213" i="1"/>
  <c r="AV213" i="1"/>
  <c r="AW213" i="1"/>
  <c r="AX213" i="1"/>
  <c r="AY213" i="1"/>
  <c r="AU212" i="1"/>
  <c r="AV212" i="1"/>
  <c r="AW212" i="1"/>
  <c r="AX212" i="1"/>
  <c r="AY212" i="1"/>
  <c r="AU244" i="1"/>
  <c r="AV244" i="1"/>
  <c r="AW244" i="1"/>
  <c r="AX244" i="1"/>
  <c r="AY244" i="1"/>
  <c r="AU227" i="1"/>
  <c r="AV227" i="1"/>
  <c r="AW227" i="1"/>
  <c r="AX227" i="1"/>
  <c r="AY227" i="1"/>
  <c r="AU240" i="1"/>
  <c r="AV240" i="1"/>
  <c r="AW240" i="1"/>
  <c r="AX240" i="1"/>
  <c r="AY240" i="1"/>
  <c r="AU228" i="1"/>
  <c r="AV228" i="1"/>
  <c r="AW228" i="1"/>
  <c r="AX228" i="1"/>
  <c r="AY228" i="1"/>
  <c r="AU241" i="1"/>
  <c r="AV241" i="1"/>
  <c r="AW241" i="1"/>
  <c r="AX241" i="1"/>
  <c r="AY241" i="1"/>
  <c r="AU217" i="1"/>
  <c r="AV217" i="1"/>
  <c r="AW217" i="1"/>
  <c r="AX217" i="1"/>
  <c r="AY217" i="1"/>
  <c r="AU239" i="1"/>
  <c r="AV239" i="1"/>
  <c r="AW239" i="1"/>
  <c r="AX239" i="1"/>
  <c r="AY239" i="1"/>
  <c r="AU245" i="1"/>
  <c r="AV245" i="1"/>
  <c r="AW245" i="1"/>
  <c r="AX245" i="1"/>
  <c r="AY245" i="1"/>
  <c r="AU248" i="1"/>
  <c r="AV248" i="1"/>
  <c r="AW248" i="1"/>
  <c r="AX248" i="1"/>
  <c r="AY248" i="1"/>
  <c r="AU242" i="1"/>
  <c r="AV242" i="1"/>
  <c r="AW242" i="1"/>
  <c r="AX242" i="1"/>
  <c r="AY242" i="1"/>
  <c r="AU225" i="1"/>
  <c r="AV225" i="1"/>
  <c r="AW225" i="1"/>
  <c r="AX225" i="1"/>
  <c r="AY225" i="1"/>
  <c r="AU226" i="1"/>
  <c r="AV226" i="1"/>
  <c r="AW226" i="1"/>
  <c r="AX226" i="1"/>
  <c r="AY226" i="1"/>
  <c r="AU230" i="1"/>
  <c r="AV230" i="1"/>
  <c r="AW230" i="1"/>
  <c r="AX230" i="1"/>
  <c r="AY230" i="1"/>
  <c r="AU222" i="1"/>
  <c r="AV222" i="1"/>
  <c r="AW222" i="1"/>
  <c r="AX222" i="1"/>
  <c r="AY222" i="1"/>
  <c r="AU224" i="1"/>
  <c r="AV224" i="1"/>
  <c r="AW224" i="1"/>
  <c r="AX224" i="1"/>
  <c r="AY224" i="1"/>
  <c r="AU236" i="1"/>
  <c r="AV236" i="1"/>
  <c r="AW236" i="1"/>
  <c r="AX236" i="1"/>
  <c r="AY236" i="1"/>
  <c r="AU249" i="1"/>
  <c r="AV249" i="1"/>
  <c r="AW249" i="1"/>
  <c r="AX249" i="1"/>
  <c r="AY249" i="1"/>
  <c r="AU216" i="1"/>
  <c r="AV216" i="1"/>
  <c r="AW216" i="1"/>
  <c r="AX216" i="1"/>
  <c r="AY216" i="1"/>
  <c r="AU229" i="1"/>
  <c r="AV229" i="1"/>
  <c r="AW229" i="1"/>
  <c r="AX229" i="1"/>
  <c r="AY229" i="1"/>
  <c r="AU214" i="1"/>
  <c r="AV214" i="1"/>
  <c r="AW214" i="1"/>
  <c r="AX214" i="1"/>
  <c r="AY214" i="1"/>
  <c r="AU211" i="1"/>
  <c r="AV211" i="1"/>
  <c r="AW211" i="1"/>
  <c r="AX211" i="1"/>
  <c r="AY211" i="1"/>
  <c r="AU233" i="1"/>
  <c r="AV233" i="1"/>
  <c r="AW233" i="1"/>
  <c r="AX233" i="1"/>
  <c r="AY233" i="1"/>
  <c r="AU246" i="1"/>
  <c r="AV246" i="1"/>
  <c r="AW246" i="1"/>
  <c r="AX246" i="1"/>
  <c r="AY246" i="1"/>
  <c r="AU243" i="1"/>
  <c r="AV243" i="1"/>
  <c r="AW243" i="1"/>
  <c r="AX243" i="1"/>
  <c r="AY243" i="1"/>
  <c r="AU232" i="1"/>
  <c r="AV232" i="1"/>
  <c r="AW232" i="1"/>
  <c r="AX232" i="1"/>
  <c r="AY232" i="1"/>
  <c r="AU219" i="1"/>
  <c r="AV219" i="1"/>
  <c r="AW219" i="1"/>
  <c r="AX219" i="1"/>
  <c r="AY219" i="1"/>
  <c r="AU223" i="1"/>
  <c r="AV223" i="1"/>
  <c r="AW223" i="1"/>
  <c r="AX223" i="1"/>
  <c r="AY223" i="1"/>
  <c r="AU234" i="1"/>
  <c r="AV234" i="1"/>
  <c r="AW234" i="1"/>
  <c r="AX234" i="1"/>
  <c r="AY234" i="1"/>
  <c r="AU215" i="1"/>
  <c r="AV215" i="1"/>
  <c r="AW215" i="1"/>
  <c r="AX215" i="1"/>
  <c r="AY215" i="1"/>
  <c r="AU247" i="1"/>
  <c r="AV247" i="1"/>
  <c r="AW247" i="1"/>
  <c r="AX247" i="1"/>
  <c r="AY247" i="1"/>
  <c r="AY3" i="1"/>
  <c r="AX3" i="1"/>
  <c r="AW3" i="1"/>
  <c r="AV3" i="1"/>
  <c r="AU3" i="1"/>
  <c r="AI152" i="1" l="1"/>
  <c r="AJ152" i="1" s="1"/>
  <c r="AI144" i="1"/>
  <c r="AJ144" i="1" s="1"/>
  <c r="AI142" i="1"/>
  <c r="AJ142" i="1" s="1"/>
  <c r="AI132" i="1"/>
  <c r="AJ132" i="1" s="1"/>
  <c r="AI119" i="1"/>
  <c r="AJ119" i="1" s="1"/>
  <c r="AI95" i="1"/>
  <c r="AJ95" i="1" s="1"/>
  <c r="AI90" i="1"/>
  <c r="AJ90" i="1" s="1"/>
  <c r="AI49" i="1"/>
  <c r="AJ49" i="1" s="1"/>
  <c r="AI35" i="1"/>
  <c r="AJ35" i="1" s="1"/>
  <c r="AI32" i="1"/>
  <c r="AJ32" i="1" s="1"/>
  <c r="AI26" i="1"/>
  <c r="AJ26" i="1" s="1"/>
  <c r="AI25" i="1"/>
  <c r="AJ25" i="1" s="1"/>
  <c r="AI9" i="1"/>
  <c r="AJ9" i="1" s="1"/>
  <c r="AI182" i="1"/>
  <c r="AJ182" i="1" s="1"/>
  <c r="AI163" i="1"/>
  <c r="AJ163" i="1" s="1"/>
  <c r="AI153" i="1"/>
  <c r="AJ153" i="1" s="1"/>
  <c r="AI118" i="1"/>
  <c r="AJ118" i="1" s="1"/>
  <c r="AI185" i="1"/>
  <c r="AJ185" i="1" s="1"/>
  <c r="AI11" i="1"/>
  <c r="AJ11" i="1" s="1"/>
  <c r="AI74" i="1"/>
  <c r="AJ74" i="1" s="1"/>
  <c r="AI108" i="1"/>
  <c r="AJ108" i="1" s="1"/>
  <c r="E4" i="16" l="1"/>
  <c r="C24" i="16" l="1"/>
  <c r="B24" i="16"/>
  <c r="C23" i="16"/>
  <c r="B23" i="16"/>
  <c r="C22" i="16"/>
  <c r="B22" i="16"/>
  <c r="C21" i="16"/>
  <c r="B21" i="16"/>
  <c r="C20" i="16"/>
  <c r="B20" i="16"/>
  <c r="C19" i="16"/>
  <c r="B19" i="16"/>
  <c r="B11" i="16"/>
  <c r="B10" i="16"/>
  <c r="B9" i="16"/>
  <c r="AI207" i="1"/>
  <c r="AI115" i="1"/>
  <c r="AI27" i="1"/>
  <c r="AI71" i="1"/>
  <c r="AI126" i="1"/>
  <c r="AI176" i="1"/>
  <c r="AI232" i="1"/>
  <c r="AI233" i="1"/>
  <c r="AI228" i="1"/>
  <c r="AI249" i="1"/>
  <c r="AH240" i="1"/>
  <c r="AM235" i="1"/>
  <c r="AH231" i="1"/>
  <c r="AP219" i="1"/>
  <c r="AM212" i="1"/>
  <c r="AH212" i="1"/>
  <c r="AH205" i="1"/>
  <c r="AM195" i="1"/>
  <c r="AH189" i="1"/>
  <c r="AH186" i="1"/>
  <c r="AH184" i="1"/>
  <c r="AM183" i="1"/>
  <c r="AH179" i="1"/>
  <c r="AH173" i="1"/>
  <c r="AH161" i="1"/>
  <c r="AI159" i="1"/>
  <c r="AJ159" i="1" s="1"/>
  <c r="AH159" i="1"/>
  <c r="AM135" i="1"/>
  <c r="AM127" i="1"/>
  <c r="AH121" i="1"/>
  <c r="AH114" i="1"/>
  <c r="AH113" i="1"/>
  <c r="AH103" i="1"/>
  <c r="AH93" i="1"/>
  <c r="AM88" i="1"/>
  <c r="AH88" i="1"/>
  <c r="AH83" i="1"/>
  <c r="AM79" i="1"/>
  <c r="AH78" i="1"/>
  <c r="AR77" i="1"/>
  <c r="AP77" i="1"/>
  <c r="AH63" i="1"/>
  <c r="AH62" i="1"/>
  <c r="AM57" i="1"/>
  <c r="AM50" i="1"/>
  <c r="AM19" i="1"/>
  <c r="AH52" i="1"/>
  <c r="AH48" i="1"/>
  <c r="AH43" i="1"/>
  <c r="AR204" i="1"/>
  <c r="AP204" i="1"/>
  <c r="AR86" i="1"/>
  <c r="AP86" i="1"/>
  <c r="AR54" i="1"/>
  <c r="AP54" i="1"/>
  <c r="AH31" i="1"/>
  <c r="AH22" i="1"/>
  <c r="AH17" i="1"/>
  <c r="AQ225" i="1"/>
  <c r="AO225" i="1"/>
  <c r="AR247" i="1"/>
  <c r="AP247" i="1"/>
  <c r="AM247" i="1"/>
  <c r="AH247" i="1"/>
  <c r="AI247" i="1"/>
  <c r="AR245" i="1"/>
  <c r="AP245" i="1"/>
  <c r="AM245" i="1"/>
  <c r="AI245" i="1"/>
  <c r="AH245" i="1"/>
  <c r="AR242" i="1"/>
  <c r="AP242" i="1"/>
  <c r="AM242" i="1"/>
  <c r="AI242" i="1"/>
  <c r="AH242" i="1"/>
  <c r="AR237" i="1"/>
  <c r="AP237" i="1"/>
  <c r="AM237" i="1"/>
  <c r="AH237" i="1"/>
  <c r="AI237" i="1"/>
  <c r="AR202" i="1"/>
  <c r="AP202" i="1"/>
  <c r="AM202" i="1"/>
  <c r="AH202" i="1"/>
  <c r="AI202" i="1"/>
  <c r="AR200" i="1"/>
  <c r="AP200" i="1"/>
  <c r="AM200" i="1"/>
  <c r="AH200" i="1"/>
  <c r="AI200" i="1"/>
  <c r="AR187" i="1"/>
  <c r="AP187" i="1"/>
  <c r="AM187" i="1"/>
  <c r="AH187" i="1"/>
  <c r="AI187" i="1"/>
  <c r="AR175" i="1"/>
  <c r="AP175" i="1"/>
  <c r="AM175" i="1"/>
  <c r="AH175" i="1"/>
  <c r="AI175" i="1"/>
  <c r="AR162" i="1"/>
  <c r="AP162" i="1"/>
  <c r="AM162" i="1"/>
  <c r="AH162" i="1"/>
  <c r="AI162" i="1"/>
  <c r="AR155" i="1"/>
  <c r="AP155" i="1"/>
  <c r="AM155" i="1"/>
  <c r="AH155" i="1"/>
  <c r="AI155" i="1"/>
  <c r="AR147" i="1"/>
  <c r="AP147" i="1"/>
  <c r="AM147" i="1"/>
  <c r="AI147" i="1"/>
  <c r="AH147" i="1"/>
  <c r="AR146" i="1"/>
  <c r="AP146" i="1"/>
  <c r="AM146" i="1"/>
  <c r="AI146" i="1"/>
  <c r="AH146" i="1"/>
  <c r="AR124" i="1"/>
  <c r="AP124" i="1"/>
  <c r="AM124" i="1"/>
  <c r="AH124" i="1"/>
  <c r="AI124" i="1"/>
  <c r="AR107" i="1"/>
  <c r="AP107" i="1"/>
  <c r="AM107" i="1"/>
  <c r="AH107" i="1"/>
  <c r="AI107" i="1"/>
  <c r="AR96" i="1"/>
  <c r="AP96" i="1"/>
  <c r="AM96" i="1"/>
  <c r="AH96" i="1"/>
  <c r="AI96" i="1"/>
  <c r="AR85" i="1"/>
  <c r="AP85" i="1"/>
  <c r="AM85" i="1"/>
  <c r="AI85" i="1"/>
  <c r="AH85" i="1"/>
  <c r="AR69" i="1"/>
  <c r="AP69" i="1"/>
  <c r="AM69" i="1"/>
  <c r="AI69" i="1"/>
  <c r="AH69" i="1"/>
  <c r="AR20" i="1"/>
  <c r="AP20" i="1"/>
  <c r="AM20" i="1"/>
  <c r="AI20" i="1"/>
  <c r="AH20" i="1"/>
  <c r="AJ207" i="1" l="1"/>
  <c r="AS69" i="1"/>
  <c r="AJ124" i="1"/>
  <c r="AS124" i="1"/>
  <c r="AJ162" i="1"/>
  <c r="AS162" i="1"/>
  <c r="AJ202" i="1"/>
  <c r="AS202" i="1"/>
  <c r="AJ245" i="1"/>
  <c r="AJ247" i="1"/>
  <c r="AS247" i="1"/>
  <c r="AS54" i="1"/>
  <c r="AS204" i="1"/>
  <c r="AJ233" i="1"/>
  <c r="AJ27" i="1"/>
  <c r="AS20" i="1"/>
  <c r="AJ69" i="1"/>
  <c r="AS85" i="1"/>
  <c r="AS146" i="1"/>
  <c r="AJ175" i="1"/>
  <c r="AS175" i="1"/>
  <c r="AJ237" i="1"/>
  <c r="AS237" i="1"/>
  <c r="AR225" i="1"/>
  <c r="AJ228" i="1"/>
  <c r="AJ232" i="1"/>
  <c r="AJ126" i="1"/>
  <c r="AJ71" i="1"/>
  <c r="AJ20" i="1"/>
  <c r="AJ96" i="1"/>
  <c r="AS96" i="1"/>
  <c r="AJ187" i="1"/>
  <c r="AS187" i="1"/>
  <c r="AS86" i="1"/>
  <c r="AJ115" i="1"/>
  <c r="AJ85" i="1"/>
  <c r="AJ146" i="1"/>
  <c r="AS147" i="1"/>
  <c r="AS242" i="1"/>
  <c r="AS77" i="1"/>
  <c r="AJ107" i="1"/>
  <c r="AS107" i="1"/>
  <c r="AJ147" i="1"/>
  <c r="AJ155" i="1"/>
  <c r="AS155" i="1"/>
  <c r="AJ200" i="1"/>
  <c r="AS200" i="1"/>
  <c r="AJ242" i="1"/>
  <c r="AS245" i="1"/>
  <c r="AJ249" i="1"/>
  <c r="AJ176" i="1"/>
  <c r="AA10" i="16"/>
  <c r="AQ147" i="1"/>
  <c r="AQ96" i="1"/>
  <c r="AQ247" i="1"/>
  <c r="AQ85" i="1"/>
  <c r="AQ107" i="1"/>
  <c r="AQ146" i="1"/>
  <c r="AQ155" i="1"/>
  <c r="AQ20" i="1"/>
  <c r="AQ69" i="1"/>
  <c r="AQ175" i="1"/>
  <c r="AQ200" i="1"/>
  <c r="AQ242" i="1"/>
  <c r="AQ245" i="1"/>
  <c r="AQ162" i="1"/>
  <c r="AQ187" i="1"/>
  <c r="AQ237" i="1"/>
  <c r="AQ124" i="1"/>
  <c r="AQ202" i="1"/>
  <c r="AI201" i="1"/>
  <c r="AI199" i="1"/>
  <c r="AI123" i="1"/>
  <c r="AI47" i="1"/>
  <c r="AJ201" i="1" l="1"/>
  <c r="AJ199" i="1"/>
  <c r="AJ47" i="1"/>
  <c r="AJ123" i="1"/>
  <c r="AS225" i="1"/>
  <c r="Z10" i="16"/>
  <c r="C24" i="7" l="1"/>
  <c r="B24" i="7"/>
  <c r="C23" i="7"/>
  <c r="B23" i="7"/>
  <c r="C22" i="7"/>
  <c r="B22" i="7"/>
  <c r="C21" i="7"/>
  <c r="B21" i="7"/>
  <c r="C20" i="7"/>
  <c r="B20" i="7"/>
  <c r="C19" i="7"/>
  <c r="B19" i="7"/>
  <c r="C24" i="5"/>
  <c r="B24" i="5"/>
  <c r="C23" i="5"/>
  <c r="B23" i="5"/>
  <c r="C22" i="5"/>
  <c r="B22" i="5"/>
  <c r="C21" i="5"/>
  <c r="B21" i="5"/>
  <c r="C20" i="5"/>
  <c r="B20" i="5"/>
  <c r="C19" i="5"/>
  <c r="B19" i="5"/>
  <c r="B20" i="6"/>
  <c r="C20" i="6"/>
  <c r="B21" i="6"/>
  <c r="C21" i="6"/>
  <c r="B22" i="6"/>
  <c r="C22" i="6"/>
  <c r="B23" i="6"/>
  <c r="C23" i="6"/>
  <c r="B24" i="6"/>
  <c r="C24" i="6"/>
  <c r="B19" i="6"/>
  <c r="C19" i="6"/>
  <c r="AM204" i="1"/>
  <c r="AH204" i="1"/>
  <c r="AI204" i="1"/>
  <c r="AI205" i="1"/>
  <c r="AI203" i="1"/>
  <c r="AH203" i="1"/>
  <c r="AR198" i="1"/>
  <c r="AP198" i="1"/>
  <c r="AM198" i="1"/>
  <c r="AI198" i="1"/>
  <c r="AH198" i="1"/>
  <c r="AM197" i="1"/>
  <c r="AI197" i="1"/>
  <c r="AH197" i="1"/>
  <c r="AI196" i="1"/>
  <c r="AH196" i="1"/>
  <c r="AH195" i="1"/>
  <c r="AH194" i="1"/>
  <c r="AI195" i="1"/>
  <c r="AI194" i="1"/>
  <c r="AR193" i="1"/>
  <c r="AP193" i="1"/>
  <c r="AM193" i="1"/>
  <c r="AH193" i="1"/>
  <c r="AI193" i="1"/>
  <c r="AR192" i="1"/>
  <c r="AP192" i="1"/>
  <c r="AM192" i="1"/>
  <c r="AI192" i="1"/>
  <c r="AH192" i="1"/>
  <c r="AI190" i="1"/>
  <c r="AI189" i="1"/>
  <c r="AI188" i="1"/>
  <c r="AI186" i="1"/>
  <c r="AI184" i="1"/>
  <c r="AI183" i="1"/>
  <c r="AH183" i="1"/>
  <c r="AI181" i="1"/>
  <c r="AH181" i="1"/>
  <c r="AH180" i="1"/>
  <c r="AI180" i="1"/>
  <c r="AI179" i="1"/>
  <c r="AM178" i="1"/>
  <c r="AH178" i="1"/>
  <c r="AH174" i="1"/>
  <c r="AI178" i="1"/>
  <c r="AI174" i="1"/>
  <c r="AI171" i="1"/>
  <c r="AI173" i="1"/>
  <c r="AR170" i="1"/>
  <c r="AP170" i="1"/>
  <c r="AM170" i="1"/>
  <c r="AI170" i="1"/>
  <c r="AH170" i="1"/>
  <c r="AM169" i="1"/>
  <c r="AH169" i="1"/>
  <c r="AI169" i="1"/>
  <c r="AM168" i="1"/>
  <c r="AH168" i="1"/>
  <c r="AI168" i="1"/>
  <c r="AH166" i="1"/>
  <c r="AI167" i="1"/>
  <c r="AI166" i="1"/>
  <c r="AH165" i="1"/>
  <c r="AI165" i="1"/>
  <c r="AI164" i="1"/>
  <c r="AI161" i="1"/>
  <c r="AM160" i="1"/>
  <c r="AI160" i="1"/>
  <c r="AH160" i="1"/>
  <c r="AM158" i="1"/>
  <c r="AI158" i="1"/>
  <c r="AH158" i="1"/>
  <c r="AR157" i="1"/>
  <c r="AP157" i="1"/>
  <c r="AM157" i="1"/>
  <c r="AI157" i="1"/>
  <c r="AH157" i="1"/>
  <c r="AH156" i="1"/>
  <c r="AI156" i="1"/>
  <c r="AI154" i="1"/>
  <c r="AI151" i="1"/>
  <c r="AH151" i="1"/>
  <c r="AR150" i="1"/>
  <c r="AP150" i="1"/>
  <c r="AM150" i="1"/>
  <c r="AI150" i="1"/>
  <c r="AH150" i="1"/>
  <c r="AH149" i="1"/>
  <c r="AI149" i="1"/>
  <c r="AI148" i="1"/>
  <c r="AI145" i="1"/>
  <c r="AH145" i="1"/>
  <c r="AI143" i="1"/>
  <c r="AH143" i="1"/>
  <c r="AH141" i="1"/>
  <c r="AI141" i="1"/>
  <c r="AI140" i="1"/>
  <c r="AM139" i="1"/>
  <c r="AI139" i="1"/>
  <c r="AH139" i="1"/>
  <c r="AR138" i="1"/>
  <c r="AP138" i="1"/>
  <c r="AM138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M131" i="1"/>
  <c r="AH131" i="1"/>
  <c r="AI131" i="1"/>
  <c r="AI130" i="1"/>
  <c r="AH130" i="1"/>
  <c r="AH129" i="1"/>
  <c r="AI129" i="1"/>
  <c r="AR128" i="1"/>
  <c r="AP128" i="1"/>
  <c r="AM128" i="1"/>
  <c r="AH128" i="1"/>
  <c r="AI128" i="1"/>
  <c r="AI127" i="1"/>
  <c r="AH127" i="1"/>
  <c r="AH122" i="1"/>
  <c r="AH120" i="1"/>
  <c r="AI122" i="1"/>
  <c r="AI121" i="1"/>
  <c r="AI120" i="1"/>
  <c r="AI116" i="1"/>
  <c r="AI114" i="1"/>
  <c r="AI113" i="1"/>
  <c r="AI112" i="1"/>
  <c r="AR111" i="1"/>
  <c r="AP111" i="1"/>
  <c r="AM111" i="1"/>
  <c r="AH111" i="1"/>
  <c r="AI111" i="1"/>
  <c r="AH110" i="1"/>
  <c r="AI110" i="1"/>
  <c r="AH109" i="1"/>
  <c r="AI109" i="1"/>
  <c r="AI106" i="1"/>
  <c r="AI105" i="1"/>
  <c r="AH104" i="1"/>
  <c r="AI104" i="1"/>
  <c r="AI103" i="1"/>
  <c r="AI102" i="1"/>
  <c r="AH102" i="1"/>
  <c r="AM101" i="1"/>
  <c r="AH101" i="1"/>
  <c r="AI101" i="1"/>
  <c r="AR99" i="1"/>
  <c r="AP99" i="1"/>
  <c r="AM99" i="1"/>
  <c r="AH99" i="1"/>
  <c r="AI99" i="1"/>
  <c r="AR98" i="1"/>
  <c r="AP98" i="1"/>
  <c r="AM98" i="1"/>
  <c r="AH98" i="1"/>
  <c r="AI98" i="1"/>
  <c r="AR92" i="1"/>
  <c r="AP92" i="1"/>
  <c r="AM92" i="1"/>
  <c r="AI92" i="1"/>
  <c r="AH92" i="1"/>
  <c r="AR87" i="1"/>
  <c r="AP87" i="1"/>
  <c r="AM87" i="1"/>
  <c r="AI87" i="1"/>
  <c r="AH87" i="1"/>
  <c r="AR81" i="1"/>
  <c r="AP81" i="1"/>
  <c r="AM81" i="1"/>
  <c r="AI81" i="1"/>
  <c r="AH81" i="1"/>
  <c r="AR80" i="1"/>
  <c r="AP80" i="1"/>
  <c r="AM80" i="1"/>
  <c r="AI80" i="1"/>
  <c r="AH80" i="1"/>
  <c r="AR67" i="1"/>
  <c r="AP67" i="1"/>
  <c r="AM67" i="1"/>
  <c r="AH67" i="1"/>
  <c r="AI67" i="1"/>
  <c r="B3" i="1"/>
  <c r="C3" i="1"/>
  <c r="D3" i="1" s="1"/>
  <c r="E3" i="1"/>
  <c r="F3" i="1"/>
  <c r="G3" i="1"/>
  <c r="H3" i="1" s="1"/>
  <c r="I3" i="1"/>
  <c r="J3" i="1"/>
  <c r="M3" i="1"/>
  <c r="N3" i="1"/>
  <c r="Q3" i="1"/>
  <c r="AR45" i="1"/>
  <c r="AP45" i="1"/>
  <c r="AM45" i="1"/>
  <c r="AH45" i="1"/>
  <c r="AI45" i="1"/>
  <c r="AI36" i="1"/>
  <c r="AH36" i="1"/>
  <c r="AZ2" i="1"/>
  <c r="AZ210" i="1" s="1"/>
  <c r="AM55" i="1"/>
  <c r="AP213" i="1"/>
  <c r="AP177" i="1"/>
  <c r="AP89" i="1"/>
  <c r="AP55" i="1"/>
  <c r="AM241" i="1"/>
  <c r="AM236" i="1"/>
  <c r="AM226" i="1"/>
  <c r="AM221" i="1"/>
  <c r="AM219" i="1"/>
  <c r="AM213" i="1"/>
  <c r="AM177" i="1"/>
  <c r="AM89" i="1"/>
  <c r="AM86" i="1"/>
  <c r="AM77" i="1"/>
  <c r="AM61" i="1"/>
  <c r="AM54" i="1"/>
  <c r="AM42" i="1"/>
  <c r="AM41" i="1"/>
  <c r="AM30" i="1"/>
  <c r="AM29" i="1"/>
  <c r="AM24" i="1"/>
  <c r="AM21" i="1"/>
  <c r="AM18" i="1"/>
  <c r="AM15" i="1"/>
  <c r="AP15" i="1"/>
  <c r="AM6" i="1"/>
  <c r="AR15" i="1"/>
  <c r="AI15" i="1"/>
  <c r="AH15" i="1"/>
  <c r="AR89" i="1"/>
  <c r="AH89" i="1"/>
  <c r="AI89" i="1"/>
  <c r="AH100" i="1"/>
  <c r="AH91" i="1"/>
  <c r="AI100" i="1"/>
  <c r="AI97" i="1"/>
  <c r="AI94" i="1"/>
  <c r="AR177" i="1"/>
  <c r="AI177" i="1"/>
  <c r="AH177" i="1"/>
  <c r="AI93" i="1"/>
  <c r="AI91" i="1"/>
  <c r="AI88" i="1"/>
  <c r="AH86" i="1"/>
  <c r="AI86" i="1"/>
  <c r="AH84" i="1"/>
  <c r="AI84" i="1"/>
  <c r="AI83" i="1"/>
  <c r="AI82" i="1"/>
  <c r="AH82" i="1"/>
  <c r="AH79" i="1"/>
  <c r="AI79" i="1"/>
  <c r="AI78" i="1"/>
  <c r="AI77" i="1"/>
  <c r="AH77" i="1"/>
  <c r="AI76" i="1"/>
  <c r="AH76" i="1"/>
  <c r="AH75" i="1"/>
  <c r="AI75" i="1"/>
  <c r="AI73" i="1"/>
  <c r="AI72" i="1"/>
  <c r="AH72" i="1"/>
  <c r="AH70" i="1"/>
  <c r="AH68" i="1"/>
  <c r="AI70" i="1"/>
  <c r="AI68" i="1"/>
  <c r="AH66" i="1"/>
  <c r="AI66" i="1"/>
  <c r="AI65" i="1"/>
  <c r="AH64" i="1"/>
  <c r="AI64" i="1"/>
  <c r="AI63" i="1"/>
  <c r="AI62" i="1"/>
  <c r="AI61" i="1"/>
  <c r="AH61" i="1"/>
  <c r="AI60" i="1"/>
  <c r="AH60" i="1"/>
  <c r="AI59" i="1"/>
  <c r="AH59" i="1"/>
  <c r="AI58" i="1"/>
  <c r="AH58" i="1"/>
  <c r="AH57" i="1"/>
  <c r="AI57" i="1"/>
  <c r="AR55" i="1"/>
  <c r="AI55" i="1"/>
  <c r="AH55" i="1"/>
  <c r="AH54" i="1"/>
  <c r="AI54" i="1"/>
  <c r="AH53" i="1"/>
  <c r="AI53" i="1"/>
  <c r="AI52" i="1"/>
  <c r="AH51" i="1"/>
  <c r="AH50" i="1"/>
  <c r="AH44" i="1"/>
  <c r="AI51" i="1"/>
  <c r="AI50" i="1"/>
  <c r="AI48" i="1"/>
  <c r="AI46" i="1"/>
  <c r="AI44" i="1"/>
  <c r="AI43" i="1"/>
  <c r="AH42" i="1"/>
  <c r="AI42" i="1"/>
  <c r="AI41" i="1"/>
  <c r="AH41" i="1"/>
  <c r="B11" i="7"/>
  <c r="B10" i="7"/>
  <c r="B9" i="7"/>
  <c r="B11" i="6"/>
  <c r="B10" i="6"/>
  <c r="B9" i="6"/>
  <c r="AH39" i="1"/>
  <c r="AI39" i="1"/>
  <c r="AH38" i="1"/>
  <c r="AI38" i="1"/>
  <c r="AI37" i="1"/>
  <c r="AH34" i="1"/>
  <c r="AI34" i="1"/>
  <c r="AH33" i="1"/>
  <c r="AI33" i="1"/>
  <c r="AI31" i="1"/>
  <c r="AH30" i="1"/>
  <c r="AI30" i="1"/>
  <c r="AI29" i="1"/>
  <c r="AH29" i="1"/>
  <c r="AI24" i="1"/>
  <c r="AH24" i="1"/>
  <c r="AH23" i="1"/>
  <c r="AI23" i="1"/>
  <c r="AI22" i="1"/>
  <c r="AH21" i="1"/>
  <c r="AI21" i="1"/>
  <c r="AH19" i="1"/>
  <c r="AI19" i="1"/>
  <c r="AH18" i="1"/>
  <c r="AI18" i="1"/>
  <c r="AI17" i="1"/>
  <c r="AI14" i="1"/>
  <c r="AH14" i="1"/>
  <c r="AI13" i="1"/>
  <c r="AH13" i="1"/>
  <c r="AI12" i="1"/>
  <c r="AH12" i="1"/>
  <c r="AI10" i="1"/>
  <c r="AH10" i="1"/>
  <c r="AH7" i="1"/>
  <c r="AI7" i="1"/>
  <c r="AH6" i="1"/>
  <c r="AI6" i="1"/>
  <c r="AI5" i="1"/>
  <c r="AI4" i="1"/>
  <c r="AH4" i="1"/>
  <c r="AI3" i="1"/>
  <c r="B9" i="5"/>
  <c r="B10" i="5"/>
  <c r="B11" i="5"/>
  <c r="M24" i="17" l="1"/>
  <c r="M24" i="19"/>
  <c r="O24" i="20"/>
  <c r="O11" i="20"/>
  <c r="N24" i="19"/>
  <c r="O24" i="17"/>
  <c r="O24" i="19"/>
  <c r="N24" i="20"/>
  <c r="M24" i="20"/>
  <c r="M11" i="19"/>
  <c r="Z11" i="19" s="1"/>
  <c r="N11" i="17"/>
  <c r="AA11" i="17" s="1"/>
  <c r="O11" i="17"/>
  <c r="N11" i="19"/>
  <c r="AA11" i="19" s="1"/>
  <c r="M11" i="20"/>
  <c r="N11" i="20"/>
  <c r="AA11" i="20" s="1"/>
  <c r="M11" i="17"/>
  <c r="Z11" i="17" s="1"/>
  <c r="N24" i="17"/>
  <c r="O11" i="19"/>
  <c r="C98" i="8"/>
  <c r="C84" i="8"/>
  <c r="C100" i="8"/>
  <c r="C99" i="8"/>
  <c r="C85" i="8"/>
  <c r="C104" i="8"/>
  <c r="C79" i="8"/>
  <c r="C76" i="8"/>
  <c r="C86" i="8"/>
  <c r="C83" i="8"/>
  <c r="C81" i="8"/>
  <c r="C101" i="8"/>
  <c r="C102" i="8"/>
  <c r="C88" i="8"/>
  <c r="C78" i="8"/>
  <c r="C97" i="8"/>
  <c r="C103" i="8"/>
  <c r="C89" i="8"/>
  <c r="C82" i="8"/>
  <c r="C87" i="8"/>
  <c r="C75" i="8"/>
  <c r="C77" i="8"/>
  <c r="C80" i="8"/>
  <c r="C96" i="8"/>
  <c r="F24" i="19"/>
  <c r="E11" i="19"/>
  <c r="G24" i="17"/>
  <c r="E24" i="20"/>
  <c r="F24" i="17"/>
  <c r="W24" i="17" s="1"/>
  <c r="G24" i="19"/>
  <c r="F24" i="20"/>
  <c r="W24" i="20" s="1"/>
  <c r="G11" i="17"/>
  <c r="F11" i="20"/>
  <c r="W11" i="20" s="1"/>
  <c r="F11" i="17"/>
  <c r="W11" i="17" s="1"/>
  <c r="E24" i="17"/>
  <c r="G24" i="20"/>
  <c r="G11" i="20"/>
  <c r="G11" i="19"/>
  <c r="E24" i="19"/>
  <c r="E11" i="17"/>
  <c r="F11" i="19"/>
  <c r="E11" i="20"/>
  <c r="X24" i="19"/>
  <c r="X24" i="20"/>
  <c r="X11" i="19"/>
  <c r="X11" i="20"/>
  <c r="R11" i="17"/>
  <c r="S24" i="20"/>
  <c r="P24" i="19"/>
  <c r="R11" i="20"/>
  <c r="U24" i="20"/>
  <c r="P24" i="17"/>
  <c r="U24" i="19"/>
  <c r="S11" i="19"/>
  <c r="Q24" i="20"/>
  <c r="P11" i="19"/>
  <c r="Q24" i="17"/>
  <c r="R24" i="17"/>
  <c r="U11" i="20"/>
  <c r="R11" i="19"/>
  <c r="T24" i="17"/>
  <c r="T11" i="17"/>
  <c r="P11" i="20"/>
  <c r="Z11" i="20" s="1"/>
  <c r="U11" i="19"/>
  <c r="S11" i="17"/>
  <c r="T11" i="19"/>
  <c r="S24" i="17"/>
  <c r="S24" i="19"/>
  <c r="R24" i="20"/>
  <c r="T24" i="20"/>
  <c r="P24" i="20"/>
  <c r="S11" i="20"/>
  <c r="R24" i="19"/>
  <c r="Q11" i="17"/>
  <c r="U11" i="17"/>
  <c r="Q11" i="20"/>
  <c r="Q24" i="19"/>
  <c r="W24" i="19" s="1"/>
  <c r="Q11" i="19"/>
  <c r="W11" i="19" s="1"/>
  <c r="T11" i="20"/>
  <c r="P11" i="17"/>
  <c r="U24" i="17"/>
  <c r="T24" i="19"/>
  <c r="J11" i="20"/>
  <c r="I11" i="17"/>
  <c r="J24" i="17"/>
  <c r="K11" i="17"/>
  <c r="L24" i="20"/>
  <c r="L11" i="17"/>
  <c r="K11" i="20"/>
  <c r="L11" i="19"/>
  <c r="I24" i="17"/>
  <c r="I11" i="19"/>
  <c r="L24" i="17"/>
  <c r="L24" i="19"/>
  <c r="J11" i="17"/>
  <c r="K11" i="19"/>
  <c r="L11" i="20"/>
  <c r="J24" i="19"/>
  <c r="J11" i="19"/>
  <c r="I24" i="20"/>
  <c r="K24" i="17"/>
  <c r="K24" i="19"/>
  <c r="I24" i="19"/>
  <c r="J24" i="20"/>
  <c r="I11" i="20"/>
  <c r="K24" i="20"/>
  <c r="AZ209" i="1"/>
  <c r="AZ208" i="1"/>
  <c r="AZ172" i="1"/>
  <c r="AZ206" i="1"/>
  <c r="AZ117" i="1"/>
  <c r="AZ8" i="1"/>
  <c r="O3" i="1"/>
  <c r="P3" i="1" s="1"/>
  <c r="K3" i="1"/>
  <c r="L3" i="1" s="1"/>
  <c r="AZ3" i="1"/>
  <c r="AZ4" i="1"/>
  <c r="AZ6" i="1"/>
  <c r="AZ9" i="1"/>
  <c r="AZ11" i="1"/>
  <c r="AZ13" i="1"/>
  <c r="AZ15" i="1"/>
  <c r="AZ17" i="1"/>
  <c r="AZ19" i="1"/>
  <c r="AZ21" i="1"/>
  <c r="AZ23" i="1"/>
  <c r="AZ25" i="1"/>
  <c r="AZ27" i="1"/>
  <c r="AZ29" i="1"/>
  <c r="AZ31" i="1"/>
  <c r="AZ33" i="1"/>
  <c r="AZ35" i="1"/>
  <c r="AZ37" i="1"/>
  <c r="AZ39" i="1"/>
  <c r="AZ41" i="1"/>
  <c r="AZ43" i="1"/>
  <c r="AZ45" i="1"/>
  <c r="AZ47" i="1"/>
  <c r="AZ49" i="1"/>
  <c r="AZ51" i="1"/>
  <c r="AZ53" i="1"/>
  <c r="AZ55" i="1"/>
  <c r="AZ58" i="1"/>
  <c r="AZ60" i="1"/>
  <c r="AZ62" i="1"/>
  <c r="AZ64" i="1"/>
  <c r="AZ66" i="1"/>
  <c r="AZ68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94" i="1"/>
  <c r="AZ96" i="1"/>
  <c r="AZ98" i="1"/>
  <c r="AZ100" i="1"/>
  <c r="AZ102" i="1"/>
  <c r="AZ104" i="1"/>
  <c r="AZ106" i="1"/>
  <c r="AZ108" i="1"/>
  <c r="AZ110" i="1"/>
  <c r="AZ112" i="1"/>
  <c r="AZ114" i="1"/>
  <c r="AZ116" i="1"/>
  <c r="AZ119" i="1"/>
  <c r="AZ121" i="1"/>
  <c r="AZ123" i="1"/>
  <c r="AZ125" i="1"/>
  <c r="AZ127" i="1"/>
  <c r="AZ129" i="1"/>
  <c r="AZ131" i="1"/>
  <c r="AZ133" i="1"/>
  <c r="AZ135" i="1"/>
  <c r="AZ137" i="1"/>
  <c r="AZ139" i="1"/>
  <c r="AZ141" i="1"/>
  <c r="AZ143" i="1"/>
  <c r="AZ145" i="1"/>
  <c r="AZ147" i="1"/>
  <c r="AZ149" i="1"/>
  <c r="AZ151" i="1"/>
  <c r="AZ153" i="1"/>
  <c r="AZ155" i="1"/>
  <c r="AZ157" i="1"/>
  <c r="AZ159" i="1"/>
  <c r="AZ161" i="1"/>
  <c r="AZ163" i="1"/>
  <c r="AZ165" i="1"/>
  <c r="AZ167" i="1"/>
  <c r="AZ169" i="1"/>
  <c r="AZ171" i="1"/>
  <c r="AZ174" i="1"/>
  <c r="AZ176" i="1"/>
  <c r="AZ178" i="1"/>
  <c r="AZ180" i="1"/>
  <c r="AZ5" i="1"/>
  <c r="AZ7" i="1"/>
  <c r="AZ10" i="1"/>
  <c r="AZ12" i="1"/>
  <c r="AZ14" i="1"/>
  <c r="AZ16" i="1"/>
  <c r="AZ18" i="1"/>
  <c r="AZ20" i="1"/>
  <c r="AZ22" i="1"/>
  <c r="AZ24" i="1"/>
  <c r="AZ26" i="1"/>
  <c r="AZ28" i="1"/>
  <c r="AZ30" i="1"/>
  <c r="AZ32" i="1"/>
  <c r="AZ34" i="1"/>
  <c r="AZ36" i="1"/>
  <c r="AZ38" i="1"/>
  <c r="AZ40" i="1"/>
  <c r="AZ42" i="1"/>
  <c r="AZ44" i="1"/>
  <c r="AZ46" i="1"/>
  <c r="AZ48" i="1"/>
  <c r="AZ50" i="1"/>
  <c r="AZ52" i="1"/>
  <c r="AZ54" i="1"/>
  <c r="AZ57" i="1"/>
  <c r="AZ59" i="1"/>
  <c r="AZ61" i="1"/>
  <c r="AZ63" i="1"/>
  <c r="AZ65" i="1"/>
  <c r="AZ67" i="1"/>
  <c r="AZ69" i="1"/>
  <c r="AZ71" i="1"/>
  <c r="AZ73" i="1"/>
  <c r="AZ75" i="1"/>
  <c r="AZ77" i="1"/>
  <c r="AZ79" i="1"/>
  <c r="AZ81" i="1"/>
  <c r="AZ83" i="1"/>
  <c r="AZ85" i="1"/>
  <c r="AZ87" i="1"/>
  <c r="AZ89" i="1"/>
  <c r="AZ91" i="1"/>
  <c r="AZ93" i="1"/>
  <c r="AZ95" i="1"/>
  <c r="AZ97" i="1"/>
  <c r="AZ99" i="1"/>
  <c r="AZ101" i="1"/>
  <c r="AZ103" i="1"/>
  <c r="AZ105" i="1"/>
  <c r="AZ107" i="1"/>
  <c r="AZ109" i="1"/>
  <c r="AZ111" i="1"/>
  <c r="AZ113" i="1"/>
  <c r="AZ115" i="1"/>
  <c r="AZ118" i="1"/>
  <c r="AZ120" i="1"/>
  <c r="AZ122" i="1"/>
  <c r="AZ124" i="1"/>
  <c r="AZ126" i="1"/>
  <c r="AZ128" i="1"/>
  <c r="AZ130" i="1"/>
  <c r="AZ132" i="1"/>
  <c r="AZ134" i="1"/>
  <c r="AZ136" i="1"/>
  <c r="AZ138" i="1"/>
  <c r="AZ140" i="1"/>
  <c r="AZ142" i="1"/>
  <c r="AZ144" i="1"/>
  <c r="AZ146" i="1"/>
  <c r="AZ148" i="1"/>
  <c r="AZ150" i="1"/>
  <c r="AZ152" i="1"/>
  <c r="AZ154" i="1"/>
  <c r="AZ156" i="1"/>
  <c r="AZ158" i="1"/>
  <c r="AZ160" i="1"/>
  <c r="AZ162" i="1"/>
  <c r="AZ164" i="1"/>
  <c r="AZ166" i="1"/>
  <c r="AZ168" i="1"/>
  <c r="AZ170" i="1"/>
  <c r="AZ173" i="1"/>
  <c r="AZ175" i="1"/>
  <c r="AZ177" i="1"/>
  <c r="AZ182" i="1"/>
  <c r="AZ184" i="1"/>
  <c r="AZ186" i="1"/>
  <c r="AZ188" i="1"/>
  <c r="AZ190" i="1"/>
  <c r="AZ192" i="1"/>
  <c r="AZ194" i="1"/>
  <c r="AZ196" i="1"/>
  <c r="AZ198" i="1"/>
  <c r="AZ200" i="1"/>
  <c r="AZ202" i="1"/>
  <c r="AZ204" i="1"/>
  <c r="AZ207" i="1"/>
  <c r="AZ235" i="1"/>
  <c r="AZ221" i="1"/>
  <c r="AZ220" i="1"/>
  <c r="AZ213" i="1"/>
  <c r="AZ244" i="1"/>
  <c r="AZ240" i="1"/>
  <c r="AZ241" i="1"/>
  <c r="AZ239" i="1"/>
  <c r="AZ248" i="1"/>
  <c r="AZ225" i="1"/>
  <c r="AZ230" i="1"/>
  <c r="AZ224" i="1"/>
  <c r="AZ249" i="1"/>
  <c r="AZ229" i="1"/>
  <c r="AZ211" i="1"/>
  <c r="AZ246" i="1"/>
  <c r="AZ232" i="1"/>
  <c r="AZ223" i="1"/>
  <c r="AZ215" i="1"/>
  <c r="AZ238" i="1"/>
  <c r="AZ231" i="1"/>
  <c r="AZ227" i="1"/>
  <c r="AZ228" i="1"/>
  <c r="AZ245" i="1"/>
  <c r="AZ242" i="1"/>
  <c r="AZ226" i="1"/>
  <c r="AZ236" i="1"/>
  <c r="AZ216" i="1"/>
  <c r="AZ233" i="1"/>
  <c r="AZ243" i="1"/>
  <c r="AZ234" i="1"/>
  <c r="AZ247" i="1"/>
  <c r="AZ181" i="1"/>
  <c r="AZ183" i="1"/>
  <c r="AZ185" i="1"/>
  <c r="AZ187" i="1"/>
  <c r="AZ189" i="1"/>
  <c r="AZ191" i="1"/>
  <c r="AZ193" i="1"/>
  <c r="AZ195" i="1"/>
  <c r="AZ197" i="1"/>
  <c r="AZ199" i="1"/>
  <c r="AZ201" i="1"/>
  <c r="AZ203" i="1"/>
  <c r="AZ205" i="1"/>
  <c r="AZ237" i="1"/>
  <c r="AZ218" i="1"/>
  <c r="AZ212" i="1"/>
  <c r="AZ217" i="1"/>
  <c r="AZ222" i="1"/>
  <c r="AZ214" i="1"/>
  <c r="AZ219" i="1"/>
  <c r="AZ179" i="1"/>
  <c r="O11" i="16"/>
  <c r="M11" i="16"/>
  <c r="N11" i="16"/>
  <c r="M24" i="16"/>
  <c r="O24" i="16"/>
  <c r="N24" i="16"/>
  <c r="E11" i="16"/>
  <c r="F25" i="15" s="1"/>
  <c r="F23" i="15" s="1"/>
  <c r="F11" i="16"/>
  <c r="E24" i="16"/>
  <c r="G24" i="16"/>
  <c r="F24" i="16"/>
  <c r="G11" i="16"/>
  <c r="U11" i="16"/>
  <c r="T11" i="16"/>
  <c r="R11" i="16"/>
  <c r="P11" i="16"/>
  <c r="S11" i="16"/>
  <c r="R24" i="16"/>
  <c r="S24" i="16"/>
  <c r="U24" i="16"/>
  <c r="Q11" i="16"/>
  <c r="P24" i="16"/>
  <c r="T24" i="16"/>
  <c r="Q24" i="16"/>
  <c r="I11" i="16"/>
  <c r="K11" i="16"/>
  <c r="L24" i="16"/>
  <c r="I24" i="16"/>
  <c r="J24" i="16"/>
  <c r="L11" i="16"/>
  <c r="J11" i="16"/>
  <c r="K24" i="16"/>
  <c r="AQ86" i="1"/>
  <c r="AQ204" i="1"/>
  <c r="AQ54" i="1"/>
  <c r="AQ77" i="1"/>
  <c r="T24" i="7"/>
  <c r="N22" i="7"/>
  <c r="E22" i="7"/>
  <c r="C28" i="15" s="1"/>
  <c r="AJ17" i="1"/>
  <c r="AJ23" i="1"/>
  <c r="AJ50" i="1"/>
  <c r="AJ60" i="1"/>
  <c r="AJ5" i="1"/>
  <c r="AJ30" i="1"/>
  <c r="AJ38" i="1"/>
  <c r="AJ42" i="1"/>
  <c r="AJ46" i="1"/>
  <c r="AJ53" i="1"/>
  <c r="AJ68" i="1"/>
  <c r="AJ77" i="1"/>
  <c r="AJ91" i="1"/>
  <c r="AS177" i="1"/>
  <c r="AS89" i="1"/>
  <c r="AJ3" i="1"/>
  <c r="AJ12" i="1"/>
  <c r="AJ14" i="1"/>
  <c r="AJ19" i="1"/>
  <c r="AJ22" i="1"/>
  <c r="AJ24" i="1"/>
  <c r="AJ34" i="1"/>
  <c r="AJ48" i="1"/>
  <c r="AJ55" i="1"/>
  <c r="AJ62" i="1"/>
  <c r="AJ65" i="1"/>
  <c r="AJ70" i="1"/>
  <c r="AJ72" i="1"/>
  <c r="AJ78" i="1"/>
  <c r="AJ82" i="1"/>
  <c r="AJ86" i="1"/>
  <c r="AJ93" i="1"/>
  <c r="AJ94" i="1"/>
  <c r="AS15" i="1"/>
  <c r="AJ67" i="1"/>
  <c r="AS67" i="1"/>
  <c r="AJ87" i="1"/>
  <c r="AS92" i="1"/>
  <c r="AJ103" i="1"/>
  <c r="AJ106" i="1"/>
  <c r="AJ114" i="1"/>
  <c r="AJ121" i="1"/>
  <c r="AS138" i="1"/>
  <c r="AJ140" i="1"/>
  <c r="AJ143" i="1"/>
  <c r="AJ149" i="1"/>
  <c r="AJ151" i="1"/>
  <c r="AS157" i="1"/>
  <c r="AJ164" i="1"/>
  <c r="AJ167" i="1"/>
  <c r="AS170" i="1"/>
  <c r="AJ178" i="1"/>
  <c r="AJ179" i="1"/>
  <c r="AJ181" i="1"/>
  <c r="AJ186" i="1"/>
  <c r="AS192" i="1"/>
  <c r="AJ198" i="1"/>
  <c r="E21" i="5"/>
  <c r="E25" i="15" s="1"/>
  <c r="E23" i="15" s="1"/>
  <c r="E23" i="5"/>
  <c r="E27" i="15" s="1"/>
  <c r="M23" i="5"/>
  <c r="J19" i="7"/>
  <c r="E20" i="7"/>
  <c r="C26" i="15" s="1"/>
  <c r="R22" i="7"/>
  <c r="F24" i="7"/>
  <c r="O24" i="7"/>
  <c r="AJ31" i="1"/>
  <c r="AJ39" i="1"/>
  <c r="AJ43" i="1"/>
  <c r="AJ54" i="1"/>
  <c r="AS55" i="1"/>
  <c r="AJ63" i="1"/>
  <c r="AJ66" i="1"/>
  <c r="AJ76" i="1"/>
  <c r="AJ83" i="1"/>
  <c r="AS80" i="1"/>
  <c r="AJ92" i="1"/>
  <c r="AJ98" i="1"/>
  <c r="AS98" i="1"/>
  <c r="AJ104" i="1"/>
  <c r="AJ109" i="1"/>
  <c r="AJ111" i="1"/>
  <c r="AS111" i="1"/>
  <c r="AJ122" i="1"/>
  <c r="AJ127" i="1"/>
  <c r="AJ134" i="1"/>
  <c r="AJ136" i="1"/>
  <c r="AJ138" i="1"/>
  <c r="AJ141" i="1"/>
  <c r="AJ154" i="1"/>
  <c r="AJ157" i="1"/>
  <c r="AJ160" i="1"/>
  <c r="AJ165" i="1"/>
  <c r="AJ169" i="1"/>
  <c r="AJ170" i="1"/>
  <c r="AJ173" i="1"/>
  <c r="AJ180" i="1"/>
  <c r="AJ188" i="1"/>
  <c r="AJ192" i="1"/>
  <c r="AJ193" i="1"/>
  <c r="AS193" i="1"/>
  <c r="AJ197" i="1"/>
  <c r="AJ203" i="1"/>
  <c r="F21" i="5"/>
  <c r="W21" i="5" s="1"/>
  <c r="N23" i="5"/>
  <c r="L20" i="7"/>
  <c r="S22" i="7"/>
  <c r="F20" i="7"/>
  <c r="M22" i="7"/>
  <c r="G24" i="7"/>
  <c r="P24" i="7"/>
  <c r="AJ4" i="1"/>
  <c r="AJ10" i="1"/>
  <c r="AJ13" i="1"/>
  <c r="AJ18" i="1"/>
  <c r="AJ21" i="1"/>
  <c r="AJ29" i="1"/>
  <c r="AJ33" i="1"/>
  <c r="AJ37" i="1"/>
  <c r="AJ41" i="1"/>
  <c r="AJ44" i="1"/>
  <c r="AJ51" i="1"/>
  <c r="AJ52" i="1"/>
  <c r="AJ57" i="1"/>
  <c r="AJ64" i="1"/>
  <c r="AJ75" i="1"/>
  <c r="AJ84" i="1"/>
  <c r="AJ88" i="1"/>
  <c r="AJ177" i="1"/>
  <c r="AJ100" i="1"/>
  <c r="AJ36" i="1"/>
  <c r="AJ80" i="1"/>
  <c r="AS81" i="1"/>
  <c r="AJ99" i="1"/>
  <c r="AS99" i="1"/>
  <c r="AJ112" i="1"/>
  <c r="AJ116" i="1"/>
  <c r="AJ128" i="1"/>
  <c r="AS128" i="1"/>
  <c r="AJ130" i="1"/>
  <c r="AJ139" i="1"/>
  <c r="AJ145" i="1"/>
  <c r="AS150" i="1"/>
  <c r="AJ156" i="1"/>
  <c r="AJ158" i="1"/>
  <c r="AJ168" i="1"/>
  <c r="AJ171" i="1"/>
  <c r="AJ183" i="1"/>
  <c r="AJ189" i="1"/>
  <c r="AJ194" i="1"/>
  <c r="AJ205" i="1"/>
  <c r="I23" i="5"/>
  <c r="J20" i="7"/>
  <c r="AJ6" i="1"/>
  <c r="AJ58" i="1"/>
  <c r="AJ73" i="1"/>
  <c r="AJ79" i="1"/>
  <c r="AJ97" i="1"/>
  <c r="AJ89" i="1"/>
  <c r="AJ7" i="1"/>
  <c r="AJ59" i="1"/>
  <c r="AJ61" i="1"/>
  <c r="AJ15" i="1"/>
  <c r="AJ45" i="1"/>
  <c r="AS45" i="1"/>
  <c r="AJ81" i="1"/>
  <c r="AS87" i="1"/>
  <c r="AJ101" i="1"/>
  <c r="AJ102" i="1"/>
  <c r="AJ105" i="1"/>
  <c r="AJ110" i="1"/>
  <c r="AJ113" i="1"/>
  <c r="AJ120" i="1"/>
  <c r="AJ129" i="1"/>
  <c r="AJ131" i="1"/>
  <c r="AJ133" i="1"/>
  <c r="AJ135" i="1"/>
  <c r="AJ137" i="1"/>
  <c r="AJ148" i="1"/>
  <c r="AJ150" i="1"/>
  <c r="AJ161" i="1"/>
  <c r="AJ166" i="1"/>
  <c r="AJ174" i="1"/>
  <c r="AJ184" i="1"/>
  <c r="AJ190" i="1"/>
  <c r="AJ195" i="1"/>
  <c r="AJ196" i="1"/>
  <c r="AS198" i="1"/>
  <c r="AJ204" i="1"/>
  <c r="L19" i="7"/>
  <c r="T21" i="7"/>
  <c r="R23" i="7"/>
  <c r="K20" i="7"/>
  <c r="I22" i="7"/>
  <c r="Q22" i="7"/>
  <c r="E21" i="7"/>
  <c r="C27" i="15" s="1"/>
  <c r="J21" i="7"/>
  <c r="N21" i="7"/>
  <c r="R21" i="7"/>
  <c r="I19" i="7"/>
  <c r="I20" i="7"/>
  <c r="I21" i="7"/>
  <c r="M21" i="7"/>
  <c r="Q21" i="7"/>
  <c r="P22" i="7"/>
  <c r="T22" i="7"/>
  <c r="O23" i="7"/>
  <c r="S23" i="7"/>
  <c r="E24" i="7"/>
  <c r="C30" i="15" s="1"/>
  <c r="N24" i="7"/>
  <c r="P23" i="7"/>
  <c r="T23" i="7"/>
  <c r="F19" i="7"/>
  <c r="W19" i="7" s="1"/>
  <c r="K19" i="7"/>
  <c r="F21" i="7"/>
  <c r="K21" i="7"/>
  <c r="O21" i="7"/>
  <c r="S21" i="7"/>
  <c r="E19" i="7"/>
  <c r="C25" i="15" s="1"/>
  <c r="I23" i="7"/>
  <c r="M23" i="7"/>
  <c r="Q23" i="7"/>
  <c r="G19" i="7"/>
  <c r="G20" i="7"/>
  <c r="G21" i="7"/>
  <c r="L21" i="7"/>
  <c r="P21" i="7"/>
  <c r="O22" i="7"/>
  <c r="E23" i="7"/>
  <c r="C29" i="15" s="1"/>
  <c r="N23" i="7"/>
  <c r="I24" i="7"/>
  <c r="M24" i="7"/>
  <c r="Q24" i="7"/>
  <c r="G24" i="5"/>
  <c r="P24" i="5"/>
  <c r="T24" i="5"/>
  <c r="G21" i="5"/>
  <c r="E22" i="5"/>
  <c r="E26" i="15" s="1"/>
  <c r="I22" i="5"/>
  <c r="O23" i="5"/>
  <c r="E24" i="5"/>
  <c r="E28" i="15" s="1"/>
  <c r="I24" i="5"/>
  <c r="M24" i="5"/>
  <c r="Q24" i="5"/>
  <c r="O24" i="5"/>
  <c r="F24" i="5"/>
  <c r="N24" i="5"/>
  <c r="L19" i="6"/>
  <c r="F20" i="6"/>
  <c r="J19" i="6"/>
  <c r="G19" i="6"/>
  <c r="G23" i="6"/>
  <c r="F21" i="6"/>
  <c r="I19" i="6"/>
  <c r="G24" i="6"/>
  <c r="F22" i="6"/>
  <c r="G20" i="6"/>
  <c r="K19" i="6"/>
  <c r="K21" i="6"/>
  <c r="L23" i="6"/>
  <c r="M24" i="6"/>
  <c r="N24" i="6"/>
  <c r="O24" i="6"/>
  <c r="P21" i="6"/>
  <c r="Q21" i="6"/>
  <c r="R21" i="6"/>
  <c r="S21" i="6"/>
  <c r="T21" i="6"/>
  <c r="I21" i="6"/>
  <c r="J23" i="6"/>
  <c r="F24" i="6"/>
  <c r="I24" i="6"/>
  <c r="I20" i="6"/>
  <c r="J22" i="6"/>
  <c r="K24" i="6"/>
  <c r="K20" i="6"/>
  <c r="L22" i="6"/>
  <c r="M23" i="6"/>
  <c r="N23" i="6"/>
  <c r="O23" i="6"/>
  <c r="P24" i="6"/>
  <c r="Q24" i="6"/>
  <c r="R24" i="6"/>
  <c r="S24" i="6"/>
  <c r="T24" i="6"/>
  <c r="I23" i="6"/>
  <c r="J21" i="6"/>
  <c r="K23" i="6"/>
  <c r="L21" i="6"/>
  <c r="M22" i="6"/>
  <c r="N22" i="6"/>
  <c r="O22" i="6"/>
  <c r="P23" i="6"/>
  <c r="Q23" i="6"/>
  <c r="R23" i="6"/>
  <c r="S23" i="6"/>
  <c r="T23" i="6"/>
  <c r="G22" i="6"/>
  <c r="I22" i="6"/>
  <c r="J24" i="6"/>
  <c r="J20" i="6"/>
  <c r="K22" i="6"/>
  <c r="L24" i="6"/>
  <c r="L20" i="6"/>
  <c r="M21" i="6"/>
  <c r="N21" i="6"/>
  <c r="O21" i="6"/>
  <c r="P22" i="6"/>
  <c r="Q22" i="6"/>
  <c r="R22" i="6"/>
  <c r="S22" i="6"/>
  <c r="T22" i="6"/>
  <c r="F23" i="6"/>
  <c r="G21" i="6"/>
  <c r="F19" i="6"/>
  <c r="E24" i="6"/>
  <c r="D30" i="15" s="1"/>
  <c r="E20" i="6"/>
  <c r="D26" i="15" s="1"/>
  <c r="E22" i="6"/>
  <c r="D28" i="15" s="1"/>
  <c r="E21" i="6"/>
  <c r="D27" i="15" s="1"/>
  <c r="E23" i="6"/>
  <c r="D29" i="15" s="1"/>
  <c r="E19" i="6"/>
  <c r="D25" i="15" s="1"/>
  <c r="AQ15" i="1"/>
  <c r="AQ87" i="1"/>
  <c r="AQ92" i="1"/>
  <c r="AQ170" i="1"/>
  <c r="AQ80" i="1"/>
  <c r="AQ111" i="1"/>
  <c r="AQ128" i="1"/>
  <c r="AQ192" i="1"/>
  <c r="AQ98" i="1"/>
  <c r="AQ138" i="1"/>
  <c r="AQ55" i="1"/>
  <c r="AQ177" i="1"/>
  <c r="AQ89" i="1"/>
  <c r="AQ45" i="1"/>
  <c r="AQ99" i="1"/>
  <c r="AQ150" i="1"/>
  <c r="AQ67" i="1"/>
  <c r="AQ81" i="1"/>
  <c r="AQ157" i="1"/>
  <c r="AQ198" i="1"/>
  <c r="AQ193" i="1"/>
  <c r="N10" i="5"/>
  <c r="AA10" i="5" s="1"/>
  <c r="O11" i="5"/>
  <c r="O10" i="7"/>
  <c r="O11" i="7"/>
  <c r="O10" i="6"/>
  <c r="O11" i="6"/>
  <c r="O10" i="5"/>
  <c r="M10" i="5"/>
  <c r="Z10" i="5" s="1"/>
  <c r="M10" i="7"/>
  <c r="N10" i="7"/>
  <c r="P10" i="7"/>
  <c r="T10" i="7"/>
  <c r="Q10" i="7"/>
  <c r="C5" i="21" s="1"/>
  <c r="S10" i="7"/>
  <c r="R10" i="7"/>
  <c r="J9" i="7"/>
  <c r="I10" i="7"/>
  <c r="K9" i="7"/>
  <c r="L9" i="7"/>
  <c r="I9" i="7"/>
  <c r="Q11" i="7"/>
  <c r="C7" i="21" s="1"/>
  <c r="P10" i="6"/>
  <c r="T10" i="6"/>
  <c r="R11" i="6"/>
  <c r="S10" i="6"/>
  <c r="S11" i="6"/>
  <c r="R10" i="6"/>
  <c r="P11" i="7"/>
  <c r="Q10" i="6"/>
  <c r="N11" i="7"/>
  <c r="M10" i="6"/>
  <c r="N11" i="6"/>
  <c r="N11" i="5"/>
  <c r="M11" i="7"/>
  <c r="M11" i="6"/>
  <c r="N10" i="6"/>
  <c r="L11" i="6"/>
  <c r="I10" i="6"/>
  <c r="J9" i="6"/>
  <c r="L10" i="6"/>
  <c r="I9" i="6"/>
  <c r="K10" i="6"/>
  <c r="L9" i="6"/>
  <c r="I11" i="7"/>
  <c r="K11" i="6"/>
  <c r="J10" i="6"/>
  <c r="K9" i="6"/>
  <c r="I11" i="6"/>
  <c r="P11" i="6"/>
  <c r="T11" i="6"/>
  <c r="J11" i="6"/>
  <c r="Q11" i="6"/>
  <c r="M11" i="5"/>
  <c r="P11" i="5"/>
  <c r="Q11" i="5"/>
  <c r="I10" i="5"/>
  <c r="I11" i="5"/>
  <c r="D79" i="8" l="1"/>
  <c r="D102" i="8"/>
  <c r="D104" i="8"/>
  <c r="D97" i="8"/>
  <c r="D89" i="8"/>
  <c r="D101" i="8"/>
  <c r="D99" i="8"/>
  <c r="H11" i="20"/>
  <c r="V11" i="20"/>
  <c r="V11" i="17"/>
  <c r="H11" i="17"/>
  <c r="H24" i="19"/>
  <c r="V24" i="19"/>
  <c r="H24" i="17"/>
  <c r="V24" i="17"/>
  <c r="H24" i="20"/>
  <c r="V24" i="20"/>
  <c r="H11" i="19"/>
  <c r="V11" i="19"/>
  <c r="C105" i="8"/>
  <c r="D103" i="8" s="1"/>
  <c r="D96" i="8"/>
  <c r="C90" i="8"/>
  <c r="D83" i="8" s="1"/>
  <c r="D75" i="8"/>
  <c r="D23" i="15"/>
  <c r="C23" i="15"/>
  <c r="F22" i="15" s="1"/>
  <c r="X24" i="17"/>
  <c r="X11" i="17"/>
  <c r="Z11" i="16"/>
  <c r="W11" i="16"/>
  <c r="W24" i="16"/>
  <c r="V11" i="16"/>
  <c r="H11" i="16"/>
  <c r="AA11" i="16"/>
  <c r="H24" i="16"/>
  <c r="V24" i="16"/>
  <c r="W20" i="7"/>
  <c r="W21" i="7" s="1"/>
  <c r="V19" i="6"/>
  <c r="V20" i="6" s="1"/>
  <c r="V21" i="6" s="1"/>
  <c r="V22" i="6" s="1"/>
  <c r="V23" i="6" s="1"/>
  <c r="V24" i="6" s="1"/>
  <c r="H22" i="7"/>
  <c r="U11" i="6"/>
  <c r="H23" i="6"/>
  <c r="U21" i="6"/>
  <c r="U22" i="7"/>
  <c r="U22" i="6"/>
  <c r="U23" i="6"/>
  <c r="U21" i="7"/>
  <c r="U24" i="6"/>
  <c r="H24" i="7"/>
  <c r="U23" i="7"/>
  <c r="H21" i="7"/>
  <c r="W19" i="6"/>
  <c r="W20" i="6" s="1"/>
  <c r="W21" i="6" s="1"/>
  <c r="W22" i="6" s="1"/>
  <c r="W23" i="6" s="1"/>
  <c r="W24" i="6" s="1"/>
  <c r="H22" i="5"/>
  <c r="H19" i="7"/>
  <c r="V19" i="7"/>
  <c r="V20" i="7" s="1"/>
  <c r="V21" i="7" s="1"/>
  <c r="V22" i="7" s="1"/>
  <c r="V23" i="7" s="1"/>
  <c r="V24" i="7" s="1"/>
  <c r="H23" i="7"/>
  <c r="H20" i="7"/>
  <c r="H24" i="5"/>
  <c r="V21" i="5"/>
  <c r="V22" i="5" s="1"/>
  <c r="V23" i="5" s="1"/>
  <c r="V24" i="5" s="1"/>
  <c r="H21" i="5"/>
  <c r="H23" i="5"/>
  <c r="H22" i="6"/>
  <c r="H21" i="6"/>
  <c r="H24" i="6"/>
  <c r="H19" i="6"/>
  <c r="H20" i="6"/>
  <c r="Z10" i="6"/>
  <c r="U10" i="7"/>
  <c r="AA11" i="7"/>
  <c r="C9" i="21" s="1"/>
  <c r="U10" i="6"/>
  <c r="Z11" i="6"/>
  <c r="Z10" i="7"/>
  <c r="Z11" i="7"/>
  <c r="Z11" i="5"/>
  <c r="AA11" i="5"/>
  <c r="AA10" i="6"/>
  <c r="AA11" i="6"/>
  <c r="AA10" i="7"/>
  <c r="C8" i="21" s="1"/>
  <c r="E10" i="7"/>
  <c r="G9" i="7"/>
  <c r="E11" i="7"/>
  <c r="F9" i="7"/>
  <c r="W9" i="7" s="1"/>
  <c r="E9" i="7"/>
  <c r="E9" i="6"/>
  <c r="G11" i="6"/>
  <c r="F9" i="6"/>
  <c r="W9" i="6" s="1"/>
  <c r="G9" i="6"/>
  <c r="F11" i="6"/>
  <c r="E11" i="6"/>
  <c r="G10" i="6"/>
  <c r="E10" i="6"/>
  <c r="F10" i="6"/>
  <c r="E10" i="5"/>
  <c r="E11" i="5"/>
  <c r="AI230" i="1"/>
  <c r="AC230" i="1"/>
  <c r="AD230" i="1" s="1"/>
  <c r="AI246" i="1"/>
  <c r="AC246" i="1"/>
  <c r="AD246" i="1" s="1"/>
  <c r="AI220" i="1"/>
  <c r="AC220" i="1"/>
  <c r="AD220" i="1" s="1"/>
  <c r="AC215" i="1"/>
  <c r="AD215" i="1" s="1"/>
  <c r="AI223" i="1"/>
  <c r="AC223" i="1"/>
  <c r="AD223" i="1" s="1"/>
  <c r="AI211" i="1"/>
  <c r="AC211" i="1"/>
  <c r="AD211" i="1" s="1"/>
  <c r="AI248" i="1"/>
  <c r="AD248" i="1"/>
  <c r="AI218" i="1"/>
  <c r="AC218" i="1"/>
  <c r="AD218" i="1" s="1"/>
  <c r="AI214" i="1"/>
  <c r="AD214" i="1"/>
  <c r="AI222" i="1"/>
  <c r="AH222" i="1"/>
  <c r="AD222" i="1"/>
  <c r="AA240" i="1"/>
  <c r="AA231" i="1"/>
  <c r="AH243" i="1"/>
  <c r="AA243" i="1"/>
  <c r="AH244" i="1"/>
  <c r="AA244" i="1"/>
  <c r="AH217" i="1"/>
  <c r="AA217" i="1"/>
  <c r="AH227" i="1"/>
  <c r="AA227" i="1"/>
  <c r="AH219" i="1"/>
  <c r="AA219" i="1"/>
  <c r="AH216" i="1"/>
  <c r="AA216" i="1"/>
  <c r="AH241" i="1"/>
  <c r="AA241" i="1"/>
  <c r="AI235" i="1"/>
  <c r="AH235" i="1"/>
  <c r="AD235" i="1"/>
  <c r="AH221" i="1"/>
  <c r="AA221" i="1"/>
  <c r="AH224" i="1"/>
  <c r="AA224" i="1"/>
  <c r="AH238" i="1"/>
  <c r="AA238" i="1"/>
  <c r="AH234" i="1"/>
  <c r="AA234" i="1"/>
  <c r="AI229" i="1"/>
  <c r="AH229" i="1"/>
  <c r="AD229" i="1"/>
  <c r="AR213" i="1"/>
  <c r="T11" i="7"/>
  <c r="AI213" i="1"/>
  <c r="AH213" i="1"/>
  <c r="AD213" i="1"/>
  <c r="AI236" i="1"/>
  <c r="AH236" i="1"/>
  <c r="AD236" i="1"/>
  <c r="AI212" i="1"/>
  <c r="AC212" i="1"/>
  <c r="AD212" i="1" s="1"/>
  <c r="AI226" i="1"/>
  <c r="AH226" i="1"/>
  <c r="AD226" i="1"/>
  <c r="D76" i="8" l="1"/>
  <c r="G76" i="8" s="1"/>
  <c r="D80" i="8"/>
  <c r="D82" i="8"/>
  <c r="D87" i="8"/>
  <c r="D81" i="8"/>
  <c r="D85" i="8"/>
  <c r="D77" i="8"/>
  <c r="D88" i="8"/>
  <c r="C48" i="8"/>
  <c r="C42" i="8"/>
  <c r="C49" i="8"/>
  <c r="C61" i="8"/>
  <c r="C66" i="8"/>
  <c r="C58" i="8"/>
  <c r="C64" i="8"/>
  <c r="C63" i="8"/>
  <c r="C60" i="8"/>
  <c r="C59" i="8"/>
  <c r="C65" i="8"/>
  <c r="C62" i="8"/>
  <c r="D84" i="8"/>
  <c r="D78" i="8"/>
  <c r="D86" i="8"/>
  <c r="D98" i="8"/>
  <c r="D74" i="8"/>
  <c r="E74" i="8" s="1"/>
  <c r="E75" i="8" s="1"/>
  <c r="E76" i="8" s="1"/>
  <c r="D90" i="8"/>
  <c r="D100" i="8"/>
  <c r="D105" i="8"/>
  <c r="D95" i="8"/>
  <c r="E95" i="8" s="1"/>
  <c r="E96" i="8" s="1"/>
  <c r="E97" i="8" s="1"/>
  <c r="E98" i="8" s="1"/>
  <c r="E99" i="8" s="1"/>
  <c r="E22" i="15"/>
  <c r="C10" i="21"/>
  <c r="C16" i="21" s="1"/>
  <c r="H22" i="15"/>
  <c r="G22" i="15"/>
  <c r="I22" i="15"/>
  <c r="C22" i="15"/>
  <c r="D22" i="15"/>
  <c r="C14" i="8"/>
  <c r="C9" i="8"/>
  <c r="C10" i="8"/>
  <c r="C11" i="8"/>
  <c r="C5" i="8"/>
  <c r="C12" i="8"/>
  <c r="C6" i="8"/>
  <c r="C8" i="8"/>
  <c r="C7" i="8"/>
  <c r="C4" i="8"/>
  <c r="C3" i="8"/>
  <c r="C13" i="8"/>
  <c r="AQ219" i="1"/>
  <c r="V9" i="7"/>
  <c r="V10" i="7" s="1"/>
  <c r="AI234" i="1"/>
  <c r="AR219" i="1"/>
  <c r="C45" i="8" s="1"/>
  <c r="S24" i="7"/>
  <c r="S24" i="5"/>
  <c r="S11" i="7"/>
  <c r="S11" i="5"/>
  <c r="AJ212" i="1"/>
  <c r="K22" i="7"/>
  <c r="K22" i="5"/>
  <c r="AI224" i="1"/>
  <c r="L24" i="7"/>
  <c r="L24" i="5"/>
  <c r="AJ246" i="1"/>
  <c r="L22" i="5"/>
  <c r="L22" i="7"/>
  <c r="AQ213" i="1"/>
  <c r="L23" i="5"/>
  <c r="L23" i="7"/>
  <c r="F23" i="5"/>
  <c r="F23" i="7"/>
  <c r="G23" i="7"/>
  <c r="G23" i="5"/>
  <c r="K23" i="7"/>
  <c r="K23" i="5"/>
  <c r="AD227" i="1"/>
  <c r="K24" i="5"/>
  <c r="K24" i="7"/>
  <c r="AD244" i="1"/>
  <c r="AD231" i="1"/>
  <c r="AJ222" i="1"/>
  <c r="AJ218" i="1"/>
  <c r="AJ211" i="1"/>
  <c r="AI238" i="1"/>
  <c r="F22" i="5"/>
  <c r="W22" i="5" s="1"/>
  <c r="G22" i="7"/>
  <c r="F22" i="7"/>
  <c r="W22" i="7" s="1"/>
  <c r="G22" i="5"/>
  <c r="AJ235" i="1"/>
  <c r="AD240" i="1"/>
  <c r="AJ220" i="1"/>
  <c r="AJ230" i="1"/>
  <c r="AJ229" i="1"/>
  <c r="AD241" i="1"/>
  <c r="AD219" i="1"/>
  <c r="AJ214" i="1"/>
  <c r="AJ248" i="1"/>
  <c r="AJ223" i="1"/>
  <c r="H11" i="7"/>
  <c r="H9" i="7"/>
  <c r="H10" i="7"/>
  <c r="L10" i="7"/>
  <c r="G10" i="7"/>
  <c r="F10" i="7"/>
  <c r="C12" i="21" s="1"/>
  <c r="C14" i="21" s="1"/>
  <c r="C17" i="21" s="1"/>
  <c r="K10" i="7"/>
  <c r="H10" i="6"/>
  <c r="H11" i="6"/>
  <c r="H11" i="5"/>
  <c r="V10" i="5"/>
  <c r="V11" i="5" s="1"/>
  <c r="H10" i="5"/>
  <c r="H9" i="6"/>
  <c r="V9" i="6"/>
  <c r="V10" i="6" s="1"/>
  <c r="V11" i="6" s="1"/>
  <c r="W10" i="6"/>
  <c r="W11" i="6" s="1"/>
  <c r="L10" i="5"/>
  <c r="L11" i="7"/>
  <c r="AD216" i="1"/>
  <c r="G11" i="7"/>
  <c r="K11" i="7"/>
  <c r="F11" i="7"/>
  <c r="AJ213" i="1"/>
  <c r="AD221" i="1"/>
  <c r="AS213" i="1"/>
  <c r="AJ226" i="1"/>
  <c r="L11" i="5"/>
  <c r="AD234" i="1"/>
  <c r="K10" i="5"/>
  <c r="AD238" i="1"/>
  <c r="K11" i="5"/>
  <c r="AJ236" i="1"/>
  <c r="T11" i="5"/>
  <c r="AD224" i="1"/>
  <c r="AI231" i="1"/>
  <c r="AI240" i="1"/>
  <c r="F10" i="5"/>
  <c r="W10" i="5" s="1"/>
  <c r="F11" i="5"/>
  <c r="G11" i="5"/>
  <c r="G10" i="5"/>
  <c r="AI216" i="1"/>
  <c r="C22" i="8" s="1"/>
  <c r="AI219" i="1"/>
  <c r="AI241" i="1"/>
  <c r="AI227" i="1"/>
  <c r="AI221" i="1"/>
  <c r="AI244" i="1"/>
  <c r="AI217" i="1"/>
  <c r="AD217" i="1"/>
  <c r="AI243" i="1"/>
  <c r="AD243" i="1"/>
  <c r="C125" i="8" l="1"/>
  <c r="C115" i="8"/>
  <c r="C123" i="8"/>
  <c r="C117" i="8"/>
  <c r="C116" i="8"/>
  <c r="C113" i="8"/>
  <c r="C120" i="8"/>
  <c r="C122" i="8"/>
  <c r="C118" i="8"/>
  <c r="C126" i="8"/>
  <c r="C114" i="8"/>
  <c r="C119" i="8"/>
  <c r="C121" i="8"/>
  <c r="C124" i="8"/>
  <c r="C31" i="8"/>
  <c r="C27" i="8"/>
  <c r="D61" i="8"/>
  <c r="C44" i="8"/>
  <c r="C40" i="8"/>
  <c r="C23" i="8"/>
  <c r="C32" i="8" s="1"/>
  <c r="C28" i="8"/>
  <c r="C30" i="8"/>
  <c r="C26" i="8"/>
  <c r="C25" i="8"/>
  <c r="D59" i="8"/>
  <c r="C67" i="8"/>
  <c r="C41" i="8"/>
  <c r="C43" i="8"/>
  <c r="C47" i="8"/>
  <c r="D65" i="8"/>
  <c r="E100" i="8"/>
  <c r="E101" i="8" s="1"/>
  <c r="E102" i="8" s="1"/>
  <c r="E103" i="8" s="1"/>
  <c r="E104" i="8" s="1"/>
  <c r="E77" i="8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C29" i="8"/>
  <c r="C24" i="8"/>
  <c r="D66" i="8"/>
  <c r="C46" i="8"/>
  <c r="C50" i="8"/>
  <c r="W10" i="7"/>
  <c r="C15" i="8"/>
  <c r="D3" i="8" s="1"/>
  <c r="E3" i="8" s="1"/>
  <c r="R24" i="7"/>
  <c r="R24" i="5"/>
  <c r="R11" i="5"/>
  <c r="R11" i="7"/>
  <c r="AJ234" i="1"/>
  <c r="V11" i="7"/>
  <c r="AS219" i="1"/>
  <c r="W23" i="5"/>
  <c r="W24" i="5" s="1"/>
  <c r="W23" i="7"/>
  <c r="W24" i="7" s="1"/>
  <c r="J24" i="5"/>
  <c r="AJ217" i="1"/>
  <c r="AJ241" i="1"/>
  <c r="U24" i="5"/>
  <c r="U24" i="7"/>
  <c r="J23" i="7"/>
  <c r="AJ231" i="1"/>
  <c r="AJ244" i="1"/>
  <c r="AJ219" i="1"/>
  <c r="AJ243" i="1"/>
  <c r="AJ221" i="1"/>
  <c r="AJ224" i="1"/>
  <c r="J23" i="5"/>
  <c r="J22" i="5"/>
  <c r="AJ227" i="1"/>
  <c r="AJ240" i="1"/>
  <c r="AJ238" i="1"/>
  <c r="J22" i="7"/>
  <c r="J24" i="7"/>
  <c r="J11" i="7"/>
  <c r="J10" i="5"/>
  <c r="J10" i="7"/>
  <c r="W11" i="7"/>
  <c r="U11" i="5"/>
  <c r="U11" i="7"/>
  <c r="W11" i="5"/>
  <c r="J11" i="5"/>
  <c r="AJ216" i="1"/>
  <c r="D32" i="8" l="1"/>
  <c r="D21" i="8"/>
  <c r="E21" i="8" s="1"/>
  <c r="D22" i="8"/>
  <c r="D24" i="8"/>
  <c r="D28" i="8"/>
  <c r="D27" i="8"/>
  <c r="D31" i="8"/>
  <c r="D29" i="8"/>
  <c r="D23" i="8"/>
  <c r="D57" i="8"/>
  <c r="E57" i="8" s="1"/>
  <c r="D67" i="8"/>
  <c r="D26" i="8"/>
  <c r="D63" i="8"/>
  <c r="C127" i="8"/>
  <c r="D64" i="8"/>
  <c r="D46" i="8"/>
  <c r="D25" i="8"/>
  <c r="D60" i="8"/>
  <c r="G60" i="8" s="1"/>
  <c r="D58" i="8"/>
  <c r="E58" i="8" s="1"/>
  <c r="E59" i="8" s="1"/>
  <c r="E60" i="8" s="1"/>
  <c r="E61" i="8" s="1"/>
  <c r="E62" i="8" s="1"/>
  <c r="E63" i="8" s="1"/>
  <c r="E64" i="8" s="1"/>
  <c r="E65" i="8" s="1"/>
  <c r="E66" i="8" s="1"/>
  <c r="D30" i="8"/>
  <c r="C51" i="8"/>
  <c r="D41" i="8" s="1"/>
  <c r="D62" i="8"/>
  <c r="D5" i="8"/>
  <c r="D4" i="8"/>
  <c r="D11" i="8"/>
  <c r="D13" i="8"/>
  <c r="D8" i="8"/>
  <c r="D14" i="8"/>
  <c r="D10" i="8"/>
  <c r="D7" i="8"/>
  <c r="D9" i="8"/>
  <c r="E4" i="8"/>
  <c r="D12" i="8"/>
  <c r="D6" i="8"/>
  <c r="D15" i="8"/>
  <c r="D112" i="8" l="1"/>
  <c r="E112" i="8" s="1"/>
  <c r="E113" i="8" s="1"/>
  <c r="D127" i="8"/>
  <c r="D121" i="8"/>
  <c r="D113" i="8"/>
  <c r="D114" i="8"/>
  <c r="D117" i="8"/>
  <c r="D44" i="8"/>
  <c r="G24" i="8"/>
  <c r="D125" i="8"/>
  <c r="D122" i="8"/>
  <c r="D116" i="8"/>
  <c r="D40" i="8"/>
  <c r="G40" i="8" s="1"/>
  <c r="D47" i="8"/>
  <c r="D126" i="8"/>
  <c r="D123" i="8"/>
  <c r="D119" i="8"/>
  <c r="E22" i="8"/>
  <c r="E23" i="8" s="1"/>
  <c r="E24" i="8" s="1"/>
  <c r="E25" i="8" s="1"/>
  <c r="E26" i="8" s="1"/>
  <c r="E27" i="8" s="1"/>
  <c r="E28" i="8" s="1"/>
  <c r="E29" i="8" s="1"/>
  <c r="D118" i="8"/>
  <c r="D39" i="8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D51" i="8"/>
  <c r="D45" i="8"/>
  <c r="D42" i="8"/>
  <c r="D49" i="8"/>
  <c r="D48" i="8"/>
  <c r="G46" i="8" s="1"/>
  <c r="D115" i="8"/>
  <c r="D124" i="8"/>
  <c r="D120" i="8"/>
  <c r="D50" i="8"/>
  <c r="D43" i="8"/>
  <c r="E5" i="8"/>
  <c r="E6" i="8" s="1"/>
  <c r="E7" i="8" s="1"/>
  <c r="E8" i="8" s="1"/>
  <c r="E9" i="8" s="1"/>
  <c r="E10" i="8" s="1"/>
  <c r="E11" i="8" s="1"/>
  <c r="E12" i="8" s="1"/>
  <c r="E13" i="8" s="1"/>
  <c r="E14" i="8" s="1"/>
  <c r="G8" i="8"/>
  <c r="X11" i="16"/>
  <c r="X24" i="16"/>
  <c r="X21" i="7"/>
  <c r="X22" i="7"/>
  <c r="X23" i="6"/>
  <c r="X24" i="7"/>
  <c r="X21" i="5"/>
  <c r="X22" i="5"/>
  <c r="X9" i="7"/>
  <c r="X19" i="7"/>
  <c r="X20" i="7"/>
  <c r="X23" i="7"/>
  <c r="X9" i="6"/>
  <c r="X10" i="6"/>
  <c r="X11" i="6"/>
  <c r="X19" i="6"/>
  <c r="X20" i="6"/>
  <c r="X21" i="6"/>
  <c r="X22" i="6"/>
  <c r="X10" i="5"/>
  <c r="X11" i="5"/>
  <c r="X23" i="5"/>
  <c r="X24" i="5"/>
  <c r="E49" i="8" l="1"/>
  <c r="E50" i="8" s="1"/>
  <c r="E31" i="8"/>
  <c r="E30" i="8"/>
  <c r="E114" i="8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X24" i="6"/>
  <c r="X10" i="7"/>
  <c r="X11" i="7"/>
</calcChain>
</file>

<file path=xl/comments1.xml><?xml version="1.0" encoding="utf-8"?>
<comments xmlns="http://schemas.openxmlformats.org/spreadsheetml/2006/main">
  <authors>
    <author>mbrooks1</author>
  </authors>
  <commentList>
    <comment ref="S28" authorId="0" shapeId="0">
      <text>
        <r>
          <rPr>
            <b/>
            <sz val="9"/>
            <color indexed="81"/>
            <rFont val="Tahoma"/>
            <charset val="1"/>
          </rPr>
          <t>mbrooks1:</t>
        </r>
        <r>
          <rPr>
            <sz val="9"/>
            <color indexed="81"/>
            <rFont val="Tahoma"/>
            <charset val="1"/>
          </rPr>
          <t xml:space="preserve">
No sale data on Zillow or in county records</t>
        </r>
      </text>
    </comment>
    <comment ref="S177" authorId="0" shapeId="0">
      <text>
        <r>
          <rPr>
            <b/>
            <sz val="9"/>
            <color indexed="81"/>
            <rFont val="Tahoma"/>
            <charset val="1"/>
          </rPr>
          <t>mbrooks1:</t>
        </r>
        <r>
          <rPr>
            <sz val="9"/>
            <color indexed="81"/>
            <rFont val="Tahoma"/>
            <charset val="1"/>
          </rPr>
          <t xml:space="preserve">
First home in Phoenix, and first home purchased by Zillow Offers</t>
        </r>
      </text>
    </comment>
  </commentList>
</comments>
</file>

<file path=xl/sharedStrings.xml><?xml version="1.0" encoding="utf-8"?>
<sst xmlns="http://schemas.openxmlformats.org/spreadsheetml/2006/main" count="2497" uniqueCount="599">
  <si>
    <t xml:space="preserve">Address </t>
  </si>
  <si>
    <t>Suburb</t>
  </si>
  <si>
    <t>State</t>
  </si>
  <si>
    <t>County</t>
  </si>
  <si>
    <t>APN</t>
  </si>
  <si>
    <t>LLC</t>
  </si>
  <si>
    <t>Purchase Date</t>
  </si>
  <si>
    <t>Purchase Price</t>
  </si>
  <si>
    <t>Fees</t>
  </si>
  <si>
    <t>RPTT</t>
  </si>
  <si>
    <t>Tax %</t>
  </si>
  <si>
    <t>Title</t>
  </si>
  <si>
    <t>Relist Date</t>
  </si>
  <si>
    <t>Relist Price</t>
  </si>
  <si>
    <t>Days to Relist</t>
  </si>
  <si>
    <t>Mark Up $</t>
  </si>
  <si>
    <t>Mark Up %</t>
  </si>
  <si>
    <t>Sold Price</t>
  </si>
  <si>
    <t>Days to Sell</t>
  </si>
  <si>
    <t>Profit $</t>
  </si>
  <si>
    <t>Profit %</t>
  </si>
  <si>
    <t>Unsold</t>
  </si>
  <si>
    <t>Pending</t>
  </si>
  <si>
    <t>Sold</t>
  </si>
  <si>
    <t>10055 E Gray Rd</t>
  </si>
  <si>
    <t>Scottsdale</t>
  </si>
  <si>
    <t>AZ</t>
  </si>
  <si>
    <t>Maricopa</t>
  </si>
  <si>
    <t>217-16-250</t>
  </si>
  <si>
    <t>SPH PROPERTY ONE LLC</t>
  </si>
  <si>
    <t>10245 W Daley Ln</t>
  </si>
  <si>
    <t>Peoria</t>
  </si>
  <si>
    <t>200-10-615</t>
  </si>
  <si>
    <t>10296 W Sands Dr, LOT 483</t>
  </si>
  <si>
    <t>200-10-116</t>
  </si>
  <si>
    <t>10513 W Louise Dr</t>
  </si>
  <si>
    <t>10614 W Via Del Sol</t>
  </si>
  <si>
    <t>200-10-095</t>
  </si>
  <si>
    <t>Phoenix</t>
  </si>
  <si>
    <t>1069 S Western Skies Dr</t>
  </si>
  <si>
    <t>Gilbert</t>
  </si>
  <si>
    <t>304-25-021</t>
  </si>
  <si>
    <t>Las Vegas</t>
  </si>
  <si>
    <t>10752 W Prickly Pear Trl</t>
  </si>
  <si>
    <t>201-19-295</t>
  </si>
  <si>
    <t>10788 W Prickly Pear Trl</t>
  </si>
  <si>
    <t>201-19-285</t>
  </si>
  <si>
    <t>1091 S Cottonwood Ct</t>
  </si>
  <si>
    <t>304-24-057</t>
  </si>
  <si>
    <t>11032 W Apache St</t>
  </si>
  <si>
    <t>Avondale</t>
  </si>
  <si>
    <t>101-17-197</t>
  </si>
  <si>
    <t>11109 W Minnezona Ave</t>
  </si>
  <si>
    <t>102-90-696</t>
  </si>
  <si>
    <t>11179 W Alvarado Rd</t>
  </si>
  <si>
    <t>102-30-706</t>
  </si>
  <si>
    <t>11316 E Pratt Ave</t>
  </si>
  <si>
    <t>Mesa</t>
  </si>
  <si>
    <t>312-05-044</t>
  </si>
  <si>
    <t>11709 W Rio Vista Ln</t>
  </si>
  <si>
    <t>500-32-429</t>
  </si>
  <si>
    <t>1205 E San Carlos Way</t>
  </si>
  <si>
    <t>Chandler</t>
  </si>
  <si>
    <t>303-45-481</t>
  </si>
  <si>
    <t>12125 N 157th Ave</t>
  </si>
  <si>
    <t>Surprise</t>
  </si>
  <si>
    <t>501-46-424</t>
  </si>
  <si>
    <t>12229 N 49th Dr</t>
  </si>
  <si>
    <t>Glendale</t>
  </si>
  <si>
    <t>207-40-073</t>
  </si>
  <si>
    <t>12521 W Hearn Rd</t>
  </si>
  <si>
    <t>El Mirage</t>
  </si>
  <si>
    <t>509-13-039</t>
  </si>
  <si>
    <t>12701 W Boca Raton Rd</t>
  </si>
  <si>
    <t>501-33-818</t>
  </si>
  <si>
    <t>12718 W Corrine Dr</t>
  </si>
  <si>
    <t>509-07-801</t>
  </si>
  <si>
    <t>12742 W Merrell St</t>
  </si>
  <si>
    <t>501-72-375</t>
  </si>
  <si>
    <t>129 E Loma Vista Dr</t>
  </si>
  <si>
    <t>Tempe</t>
  </si>
  <si>
    <t>133-22-028</t>
  </si>
  <si>
    <t>12920 W Sierra Vista Dr</t>
  </si>
  <si>
    <t>501-56-223</t>
  </si>
  <si>
    <t>13335 N 100th Pl</t>
  </si>
  <si>
    <t>217-23-603</t>
  </si>
  <si>
    <t>13351 W Desert Ln</t>
  </si>
  <si>
    <t>501-16-174</t>
  </si>
  <si>
    <t>13393 N 73rd Ave</t>
  </si>
  <si>
    <t>200-98-806</t>
  </si>
  <si>
    <t>13396 S 176th Ln</t>
  </si>
  <si>
    <t>Goodyear</t>
  </si>
  <si>
    <t>400-81-620</t>
  </si>
  <si>
    <t>13471 W Evans Dr</t>
  </si>
  <si>
    <t>501-94-936</t>
  </si>
  <si>
    <t>1351 N Pleasant Dr, Unit 1084</t>
  </si>
  <si>
    <t>310-12-016</t>
  </si>
  <si>
    <t>13510 W Cheery Lynn Rd</t>
  </si>
  <si>
    <t>508-02-598</t>
  </si>
  <si>
    <t>1383 Orchid Ln</t>
  </si>
  <si>
    <t>302-97-351</t>
  </si>
  <si>
    <t>13923 W Country Gables Dr</t>
  </si>
  <si>
    <t>509-17-258</t>
  </si>
  <si>
    <t>14236 W Indianola Ave</t>
  </si>
  <si>
    <t>508-01-248</t>
  </si>
  <si>
    <t>15173 W Woodlands Ave</t>
  </si>
  <si>
    <t>500-04-300</t>
  </si>
  <si>
    <t>15753 W Tohono Dr</t>
  </si>
  <si>
    <t>500-90-077</t>
  </si>
  <si>
    <t>15784 W Desert Mirage Dr</t>
  </si>
  <si>
    <t>501-40-133</t>
  </si>
  <si>
    <t>15907 N 170th Ln</t>
  </si>
  <si>
    <t>509-04-053</t>
  </si>
  <si>
    <t>1596 E Carob Dr</t>
  </si>
  <si>
    <t>303-42-671</t>
  </si>
  <si>
    <t>1600 E Redfield Rd</t>
  </si>
  <si>
    <t>309-04-291</t>
  </si>
  <si>
    <t>16166 N 181st Ave</t>
  </si>
  <si>
    <t>502-02-347</t>
  </si>
  <si>
    <t>16429 N 172nd Ave</t>
  </si>
  <si>
    <t>502-01-535</t>
  </si>
  <si>
    <t>1644 E Mia Ln</t>
  </si>
  <si>
    <t>304-71-184</t>
  </si>
  <si>
    <t>1645 W Saint John Rd</t>
  </si>
  <si>
    <t>208-08-236</t>
  </si>
  <si>
    <t>16473 W Shangri La Rd</t>
  </si>
  <si>
    <t>501-07-191</t>
  </si>
  <si>
    <t>16620 S 48th St UNIT 59</t>
  </si>
  <si>
    <t>301-85-327</t>
  </si>
  <si>
    <t>16757 W Fillmore St</t>
  </si>
  <si>
    <t>500-89-567</t>
  </si>
  <si>
    <t>16779 W Fillmore St</t>
  </si>
  <si>
    <t>500-89-572</t>
  </si>
  <si>
    <t>1700 E Redwood Pl</t>
  </si>
  <si>
    <t>303-42-588</t>
  </si>
  <si>
    <t>1704 S 39th St, Unit 23</t>
  </si>
  <si>
    <t>140-66-422</t>
  </si>
  <si>
    <t>17235 N 16th Pl</t>
  </si>
  <si>
    <t>214-09-024L</t>
  </si>
  <si>
    <t>17417 E La Pasada Dr</t>
  </si>
  <si>
    <t>Fountain Hills</t>
  </si>
  <si>
    <t>176-03-206</t>
  </si>
  <si>
    <t>1743 W Desperado Way</t>
  </si>
  <si>
    <t>210-02-916</t>
  </si>
  <si>
    <t>17606 N 168th Dr</t>
  </si>
  <si>
    <t>232-39-346</t>
  </si>
  <si>
    <t>17684 W Langer Ln</t>
  </si>
  <si>
    <t>502-89-272</t>
  </si>
  <si>
    <t>17995 W Hubbard Dr</t>
  </si>
  <si>
    <t>400-78-001</t>
  </si>
  <si>
    <t>18057 W Onyx Ave</t>
  </si>
  <si>
    <t>Waddell</t>
  </si>
  <si>
    <t>502-91-670</t>
  </si>
  <si>
    <t>18231 N 46th St</t>
  </si>
  <si>
    <t>215-12-308</t>
  </si>
  <si>
    <t>18250 N 10th Dr</t>
  </si>
  <si>
    <t>208-03-208</t>
  </si>
  <si>
    <t>1830 W Goldfinch Way</t>
  </si>
  <si>
    <t>303-35-026</t>
  </si>
  <si>
    <t>18474 E Oak Hill Ln</t>
  </si>
  <si>
    <t>Queen Creek</t>
  </si>
  <si>
    <t>304-68-852</t>
  </si>
  <si>
    <t>18866 N 77th Ave</t>
  </si>
  <si>
    <t>200-30-553</t>
  </si>
  <si>
    <t>18909 N 44th St</t>
  </si>
  <si>
    <t>215-04-252</t>
  </si>
  <si>
    <t>19056 E Kingbird Ct</t>
  </si>
  <si>
    <t>314-05-768</t>
  </si>
  <si>
    <t>19456 W Woodlands Ave</t>
  </si>
  <si>
    <t>Buckeye</t>
  </si>
  <si>
    <t>502-36-248</t>
  </si>
  <si>
    <t>20230 N 84th Ave</t>
  </si>
  <si>
    <t>200-17-784</t>
  </si>
  <si>
    <t>20816 W Wycliff Ct</t>
  </si>
  <si>
    <t>502-81-341</t>
  </si>
  <si>
    <t>2118 W Yukon Dr</t>
  </si>
  <si>
    <t>209-18-204</t>
  </si>
  <si>
    <t>2142 E Hawken Way</t>
  </si>
  <si>
    <t>303-30-457</t>
  </si>
  <si>
    <t>2316 E Wescott Dr</t>
  </si>
  <si>
    <t>213-20-061</t>
  </si>
  <si>
    <t>2331 W Jasper Butte Dr</t>
  </si>
  <si>
    <t>San Tan Valley</t>
  </si>
  <si>
    <t>23802 S 213th Ct</t>
  </si>
  <si>
    <t>304-93-864</t>
  </si>
  <si>
    <t>2397 S Granite St</t>
  </si>
  <si>
    <t>304-42-343</t>
  </si>
  <si>
    <t>2408 W Spur Dr</t>
  </si>
  <si>
    <t>210-19-609</t>
  </si>
  <si>
    <t>2414 W Sienna Bouquet Pl</t>
  </si>
  <si>
    <t>204-12-262</t>
  </si>
  <si>
    <t>2452 E Creedance Blvd</t>
  </si>
  <si>
    <t>25608 N 50th Gln</t>
  </si>
  <si>
    <t>201-38-331</t>
  </si>
  <si>
    <t>2582 E Palm Beach Dr</t>
  </si>
  <si>
    <t>303-89-221</t>
  </si>
  <si>
    <t>2662 N Ellis St</t>
  </si>
  <si>
    <t>302-94-275</t>
  </si>
  <si>
    <t>26628 N Babbling Brook Dr</t>
  </si>
  <si>
    <t>201-40-875</t>
  </si>
  <si>
    <t>2721 S Palm Ct</t>
  </si>
  <si>
    <t>304-44-765</t>
  </si>
  <si>
    <t>2732 E Rakestraw Ln</t>
  </si>
  <si>
    <t>304-70-376</t>
  </si>
  <si>
    <t>28781 N 68th Dr</t>
  </si>
  <si>
    <t>201-37-425</t>
  </si>
  <si>
    <t>2921 N Riley Rd</t>
  </si>
  <si>
    <t>502-80-462</t>
  </si>
  <si>
    <t>2934 W Laredo Ln</t>
  </si>
  <si>
    <t>204-02-240</t>
  </si>
  <si>
    <t>29728 N 121st Ave</t>
  </si>
  <si>
    <t>510-01-274</t>
  </si>
  <si>
    <t>3034 W Via Perugia</t>
  </si>
  <si>
    <t>203-27-340</t>
  </si>
  <si>
    <t>31121 N 130th Ln</t>
  </si>
  <si>
    <t>510-02-725</t>
  </si>
  <si>
    <t>3122 E Harrison St</t>
  </si>
  <si>
    <t>313-13-852</t>
  </si>
  <si>
    <t>3236 E Chandler Blvd UNIT 1095</t>
  </si>
  <si>
    <t>308-18-210</t>
  </si>
  <si>
    <t>3250 E Blue Ridge Way</t>
  </si>
  <si>
    <t>313-07-413</t>
  </si>
  <si>
    <t>3278 E Kesler Ln</t>
  </si>
  <si>
    <t>304-48-546</t>
  </si>
  <si>
    <t>3330 W Morse Dr</t>
  </si>
  <si>
    <t>Anthem</t>
  </si>
  <si>
    <t>203-10-280</t>
  </si>
  <si>
    <t>34221 N 23rd Dr</t>
  </si>
  <si>
    <t>204-01-071</t>
  </si>
  <si>
    <t>36070 N Matthews Dr</t>
  </si>
  <si>
    <t>3786 E Santa Fe Ln</t>
  </si>
  <si>
    <t>304-52-297</t>
  </si>
  <si>
    <t>3842 E Baranca Rd</t>
  </si>
  <si>
    <t>304-60-511</t>
  </si>
  <si>
    <t>3853 E Claxton Ave</t>
  </si>
  <si>
    <t>304-59-385</t>
  </si>
  <si>
    <t>3935 E Rough Rider Rd UNIT 1016</t>
  </si>
  <si>
    <t>212-40-174</t>
  </si>
  <si>
    <t>4170 E Sidewinder Ct</t>
  </si>
  <si>
    <t>313-02-295</t>
  </si>
  <si>
    <t>4304 E Milky Way</t>
  </si>
  <si>
    <t>304-43-483</t>
  </si>
  <si>
    <t>4375 E Selena Dr</t>
  </si>
  <si>
    <t>215-04-134</t>
  </si>
  <si>
    <t>4425 W Buckskin Trl</t>
  </si>
  <si>
    <t>201-33-218</t>
  </si>
  <si>
    <t>4482 E Marshall Ave</t>
  </si>
  <si>
    <t>313-02-747</t>
  </si>
  <si>
    <t>4576 S Buckskin Way</t>
  </si>
  <si>
    <t>304-74-038</t>
  </si>
  <si>
    <t>4711 E Frye Rd</t>
  </si>
  <si>
    <t>4742 S Adelle Cir</t>
  </si>
  <si>
    <t>312-14-416</t>
  </si>
  <si>
    <t>4924 S Hassett</t>
  </si>
  <si>
    <t>312-05-727</t>
  </si>
  <si>
    <t>4951 E Downing St</t>
  </si>
  <si>
    <t>140-16-073</t>
  </si>
  <si>
    <t>5044 E Oneida St</t>
  </si>
  <si>
    <t>301-59-206</t>
  </si>
  <si>
    <t>5116 W Trotter Trl</t>
  </si>
  <si>
    <t>201-38-627</t>
  </si>
  <si>
    <t>513 E Kristal Wy</t>
  </si>
  <si>
    <t>209-24-448</t>
  </si>
  <si>
    <t>541 W Monte Ave</t>
  </si>
  <si>
    <t>58 N Warren St</t>
  </si>
  <si>
    <t>220-31-053</t>
  </si>
  <si>
    <t>5839 E Norwood St</t>
  </si>
  <si>
    <t>141-82-169</t>
  </si>
  <si>
    <t>5916 W Dublin Ct</t>
  </si>
  <si>
    <t>308-03-182</t>
  </si>
  <si>
    <t>604 W Mariposa St</t>
  </si>
  <si>
    <t>302-28-015</t>
  </si>
  <si>
    <t>605 N Sunflower Cir</t>
  </si>
  <si>
    <t>301-87-693</t>
  </si>
  <si>
    <t>6320 W Beverly Rd</t>
  </si>
  <si>
    <t>Laveen</t>
  </si>
  <si>
    <t>6359 S Legend Ct</t>
  </si>
  <si>
    <t>304-78-208</t>
  </si>
  <si>
    <t>6420 E Jensen St</t>
  </si>
  <si>
    <t>141-65-769</t>
  </si>
  <si>
    <t>6730 S Seton Ave</t>
  </si>
  <si>
    <t>304-79-552</t>
  </si>
  <si>
    <t>6867 W Blackhawk Dr</t>
  </si>
  <si>
    <t>231-23-348</t>
  </si>
  <si>
    <t>6966 S Kimberlee Way</t>
  </si>
  <si>
    <t>303-89-178</t>
  </si>
  <si>
    <t>7209 W Lone Tree Trl</t>
  </si>
  <si>
    <t>201-03-132</t>
  </si>
  <si>
    <t>7409 W Superior Ave</t>
  </si>
  <si>
    <t>104-52-076</t>
  </si>
  <si>
    <t>7474 W Honeysuckle Dr</t>
  </si>
  <si>
    <t>201-34-180</t>
  </si>
  <si>
    <t>7844 E Beatrice St</t>
  </si>
  <si>
    <t>131-51-113</t>
  </si>
  <si>
    <t>805 N 4th Ave, Unit 507</t>
  </si>
  <si>
    <t>111-39-235</t>
  </si>
  <si>
    <t>8125 W Pima St</t>
  </si>
  <si>
    <t>104-32-092</t>
  </si>
  <si>
    <t>8216 S 23rd Ln</t>
  </si>
  <si>
    <t>300-17-376</t>
  </si>
  <si>
    <t>8242 W Alex Ave</t>
  </si>
  <si>
    <t>200-18-629</t>
  </si>
  <si>
    <t>8444 W Paso Tr</t>
  </si>
  <si>
    <t>201-06-498</t>
  </si>
  <si>
    <t>8487 W Quail Track Dr</t>
  </si>
  <si>
    <t>201-37-116</t>
  </si>
  <si>
    <t>8510 E Vernon Ave</t>
  </si>
  <si>
    <t>131-35-136</t>
  </si>
  <si>
    <t>8510 S Stephanie Ln</t>
  </si>
  <si>
    <t>308-13-349</t>
  </si>
  <si>
    <t>8537 N 63rd Dr</t>
  </si>
  <si>
    <t>143-19-512</t>
  </si>
  <si>
    <t>9609 N 181st Ln</t>
  </si>
  <si>
    <t>502-91-222</t>
  </si>
  <si>
    <t>9906 W Crown King Rd</t>
  </si>
  <si>
    <t>Tolleson</t>
  </si>
  <si>
    <t>101-25-155</t>
  </si>
  <si>
    <t>4581 Lime Straight Dr</t>
  </si>
  <si>
    <t>Sunrise Manor</t>
  </si>
  <si>
    <t>NV</t>
  </si>
  <si>
    <t>Clark</t>
  </si>
  <si>
    <t>140-04-212-020</t>
  </si>
  <si>
    <t>Signpost Homes, Inc</t>
  </si>
  <si>
    <t>Fidelity National Title</t>
  </si>
  <si>
    <t>1105 E Hammer Ln</t>
  </si>
  <si>
    <t>North Las Vegas</t>
  </si>
  <si>
    <t>6890 Mesita Ave</t>
  </si>
  <si>
    <t>161-26-410-117</t>
  </si>
  <si>
    <t>S P H Property One L L C</t>
  </si>
  <si>
    <t>1828 Arrow Stone Ct</t>
  </si>
  <si>
    <t>124-33-113-073</t>
  </si>
  <si>
    <t>5946 Loud Colors St</t>
  </si>
  <si>
    <t>163-31-613-047</t>
  </si>
  <si>
    <t>688 Sunrise Cliffs St</t>
  </si>
  <si>
    <t>Henderson</t>
  </si>
  <si>
    <t>178-04-211-122</t>
  </si>
  <si>
    <t>724 Brown Breeches Ave</t>
  </si>
  <si>
    <t>124-26-310-077</t>
  </si>
  <si>
    <t>3773 Monument St</t>
  </si>
  <si>
    <t>161-18-310-157</t>
  </si>
  <si>
    <t>3233 Edinboro Ridge Ave</t>
  </si>
  <si>
    <t>124-25-510-038</t>
  </si>
  <si>
    <t>6883 Barred Dove Ln</t>
  </si>
  <si>
    <t>124-19-614-049</t>
  </si>
  <si>
    <t>7656 Rolling View Dr UNIT 202</t>
  </si>
  <si>
    <t>125-33-513-061</t>
  </si>
  <si>
    <t>2728 Purtell Cir</t>
  </si>
  <si>
    <t>163-07-511-027</t>
  </si>
  <si>
    <t>2859 Skowhegan Dr</t>
  </si>
  <si>
    <t>177-25-116-009</t>
  </si>
  <si>
    <t>5827 Raven Horse Dr</t>
  </si>
  <si>
    <t>125-12-111-070</t>
  </si>
  <si>
    <t>274 Bamboo Forest Pl</t>
  </si>
  <si>
    <t>137-26-814-060</t>
  </si>
  <si>
    <t>8233 Spanish Meadows Ave</t>
  </si>
  <si>
    <t>125-09-313-024</t>
  </si>
  <si>
    <t>7986 Torremolinos Ave</t>
  </si>
  <si>
    <t>176-28-613-044</t>
  </si>
  <si>
    <t>6166 Highland Gardens Dr</t>
  </si>
  <si>
    <t>124-30-613-023</t>
  </si>
  <si>
    <t>7605 Tiffany Lamp Ct</t>
  </si>
  <si>
    <t>125-17-210-144</t>
  </si>
  <si>
    <t>3408 Blue Ash Ln</t>
  </si>
  <si>
    <t>161-16-510-052</t>
  </si>
  <si>
    <t>2347 Aragon Canyon St</t>
  </si>
  <si>
    <t>164-02-812-025</t>
  </si>
  <si>
    <t>2825 Elvington Ave</t>
  </si>
  <si>
    <t>124-25-411-075</t>
  </si>
  <si>
    <t>933 Sulphur Springs Ln, Unit 202</t>
  </si>
  <si>
    <t>138-28-616-144</t>
  </si>
  <si>
    <t>10349 Timber Star Ln</t>
  </si>
  <si>
    <t>164-25-714-171</t>
  </si>
  <si>
    <t>3576 Laguna Veneta Ave</t>
  </si>
  <si>
    <t>177-32-311-001</t>
  </si>
  <si>
    <t>264 Hyssop Ct</t>
  </si>
  <si>
    <t>179-16-217-066</t>
  </si>
  <si>
    <t>301 Mindoro Ave</t>
  </si>
  <si>
    <t>124-27-113-034</t>
  </si>
  <si>
    <t>8688 Tomnitz Ave, Unit 103</t>
  </si>
  <si>
    <t>176-20-713-255</t>
  </si>
  <si>
    <t>6083 El Sol Dr</t>
  </si>
  <si>
    <t>124-35-211-010</t>
  </si>
  <si>
    <t>161-03-420-044</t>
  </si>
  <si>
    <t>Market</t>
  </si>
  <si>
    <t>Homes Purchased</t>
  </si>
  <si>
    <t>Number</t>
  </si>
  <si>
    <t>$m</t>
  </si>
  <si>
    <t>$'000s</t>
  </si>
  <si>
    <t>Mark-up</t>
  </si>
  <si>
    <t>Avg Price</t>
  </si>
  <si>
    <t>Purchased</t>
  </si>
  <si>
    <t>Total Cost</t>
  </si>
  <si>
    <t>Relisted</t>
  </si>
  <si>
    <t>Days</t>
  </si>
  <si>
    <t>Days to</t>
  </si>
  <si>
    <t>Relist</t>
  </si>
  <si>
    <t>Avg %</t>
  </si>
  <si>
    <t>Avg $</t>
  </si>
  <si>
    <t>Homes Sold</t>
  </si>
  <si>
    <t>Profit</t>
  </si>
  <si>
    <t>Sell</t>
  </si>
  <si>
    <t>Purchase</t>
  </si>
  <si>
    <t>Held</t>
  </si>
  <si>
    <t>Inventory</t>
  </si>
  <si>
    <t>Value</t>
  </si>
  <si>
    <t>Pending Sale</t>
  </si>
  <si>
    <t>Pending Sales</t>
  </si>
  <si>
    <t>Pending Price</t>
  </si>
  <si>
    <t>6630 S Nash Way</t>
  </si>
  <si>
    <t>Coming</t>
  </si>
  <si>
    <t>Homes For Sale</t>
  </si>
  <si>
    <t>19774 E Apricot Ct</t>
  </si>
  <si>
    <t>30817 N 125th Dr</t>
  </si>
  <si>
    <t>624 E Bellerive Pl</t>
  </si>
  <si>
    <t>1402 W Hopi Dr</t>
  </si>
  <si>
    <t>110 N 194th Ln</t>
  </si>
  <si>
    <t>18350 W Arcadia Dr</t>
  </si>
  <si>
    <t>2307 W Spur Dr</t>
  </si>
  <si>
    <t>989 E Todd Dr</t>
  </si>
  <si>
    <t>301-91-873</t>
  </si>
  <si>
    <t>304-93-789</t>
  </si>
  <si>
    <t>510-01-799</t>
  </si>
  <si>
    <t>303-58-309</t>
  </si>
  <si>
    <t>303-75-241</t>
  </si>
  <si>
    <t>502-36-256</t>
  </si>
  <si>
    <t>507-08-375</t>
  </si>
  <si>
    <t>210-19-805</t>
  </si>
  <si>
    <t>303-89-115</t>
  </si>
  <si>
    <t>22734 N 123rd Dr</t>
  </si>
  <si>
    <t>Sun City West</t>
  </si>
  <si>
    <t>503-58-770</t>
  </si>
  <si>
    <t>1730 W Mulberry dr</t>
  </si>
  <si>
    <t>303-26-378</t>
  </si>
  <si>
    <t>1843 W Desert Lane</t>
  </si>
  <si>
    <t>302-09-450</t>
  </si>
  <si>
    <t>2634 S Alpine Dr</t>
  </si>
  <si>
    <t>304-46-817</t>
  </si>
  <si>
    <t>2035 E Escruda Rd</t>
  </si>
  <si>
    <t>213-26-314</t>
  </si>
  <si>
    <t>1921 W Blaylock Dr</t>
  </si>
  <si>
    <t>210-20-029</t>
  </si>
  <si>
    <t>825 E Sagittarius Place</t>
  </si>
  <si>
    <t>303-53-721</t>
  </si>
  <si>
    <t>8606 S 48th Lane</t>
  </si>
  <si>
    <t>300-84-735</t>
  </si>
  <si>
    <t>Days to Close</t>
  </si>
  <si>
    <t>Days Owned</t>
  </si>
  <si>
    <t>Close</t>
  </si>
  <si>
    <t>Days in</t>
  </si>
  <si>
    <t>Quarter</t>
  </si>
  <si>
    <t>Prep</t>
  </si>
  <si>
    <t>Soon #</t>
  </si>
  <si>
    <t>$ millions</t>
  </si>
  <si>
    <t>Inventory (inc. Pending)</t>
  </si>
  <si>
    <t>Revenue</t>
  </si>
  <si>
    <t>Close Date</t>
  </si>
  <si>
    <t>Pending (Net of Sold)</t>
  </si>
  <si>
    <t>Net #</t>
  </si>
  <si>
    <t>Pinal</t>
  </si>
  <si>
    <t>509-13-0390</t>
  </si>
  <si>
    <t>National</t>
  </si>
  <si>
    <t>Average Profit ($, left axis)</t>
  </si>
  <si>
    <t>Average Profit (%, right axis)</t>
  </si>
  <si>
    <t>More</t>
  </si>
  <si>
    <t>Cumulative Frequency (right axis)</t>
  </si>
  <si>
    <t>Days to List</t>
  </si>
  <si>
    <t>Days Held for Closed Transactions</t>
  </si>
  <si>
    <t>Number of Listings</t>
  </si>
  <si>
    <t>Number of Closed Transactions</t>
  </si>
  <si>
    <t>Month</t>
  </si>
  <si>
    <t>Zillow</t>
  </si>
  <si>
    <t>102-36-450</t>
  </si>
  <si>
    <t>136-26-413</t>
  </si>
  <si>
    <t>302-91-720</t>
  </si>
  <si>
    <t>502-03-738</t>
  </si>
  <si>
    <t>14846 N 181st Av</t>
  </si>
  <si>
    <t>2940 N Oregon St UNIT 6</t>
  </si>
  <si>
    <t>8725 W Vernon Ave</t>
  </si>
  <si>
    <t>926 E Hackamore St</t>
  </si>
  <si>
    <t>11356 E Solina Cir</t>
  </si>
  <si>
    <t>17426 W Crosus Dr</t>
  </si>
  <si>
    <t>18915 N 43rd Way</t>
  </si>
  <si>
    <t>21320 N 56th St UNIT 2085</t>
  </si>
  <si>
    <t>2453 E Glass Ln</t>
  </si>
  <si>
    <t>29710 N 70th Ave</t>
  </si>
  <si>
    <t>4304 E Page Ave</t>
  </si>
  <si>
    <t>4369 E Selena Dr</t>
  </si>
  <si>
    <t>4722 N 92nd Ln</t>
  </si>
  <si>
    <t>5310 W Surrey Ave</t>
  </si>
  <si>
    <t>6535 E Superstition Springs Blvd UNIT 131</t>
  </si>
  <si>
    <t>7927 E Obispo Ave</t>
  </si>
  <si>
    <t>8308 Cretan Blue Ln</t>
  </si>
  <si>
    <t>8760 W Tuckey Ln</t>
  </si>
  <si>
    <t>9608 W Mariposa St</t>
  </si>
  <si>
    <t>7145 Weavers Pl</t>
  </si>
  <si>
    <t>3837 Dabney Dr</t>
  </si>
  <si>
    <t>7900 Ryandale Cir UNIT 103</t>
  </si>
  <si>
    <t>8777 W Maule Ave UNIT 1112</t>
  </si>
  <si>
    <t>139-08-112-041</t>
  </si>
  <si>
    <t>7328 Camden Pine Ave</t>
  </si>
  <si>
    <t>658 Valemont Ct</t>
  </si>
  <si>
    <t>941 Sedona Rd</t>
  </si>
  <si>
    <t>5921 Silver Heights St</t>
  </si>
  <si>
    <t>6732 Pastel Camellia St</t>
  </si>
  <si>
    <t>6614 S 23rd Av</t>
  </si>
  <si>
    <t>29822 N 48th Way</t>
  </si>
  <si>
    <t>Cave Creek</t>
  </si>
  <si>
    <t>4635 E Via Montoya Dr</t>
  </si>
  <si>
    <t>1750 W Union Hills Dr UNIT 46</t>
  </si>
  <si>
    <t>124 E Eugie Ave</t>
  </si>
  <si>
    <t>27307 N 54th Ave</t>
  </si>
  <si>
    <t>2510 Sugar Cane Pl</t>
  </si>
  <si>
    <t>Duluth</t>
  </si>
  <si>
    <t>GA</t>
  </si>
  <si>
    <t>Atlanta</t>
  </si>
  <si>
    <t>Gwinnett</t>
  </si>
  <si>
    <t>Launch</t>
  </si>
  <si>
    <t>First</t>
  </si>
  <si>
    <t>25449 N 40th Ln</t>
  </si>
  <si>
    <t>17700 W Cooper Ridge Dr</t>
  </si>
  <si>
    <t>1074 S Palomino Creek Dr</t>
  </si>
  <si>
    <t>Glilbert</t>
  </si>
  <si>
    <t>761 W Saragosa St</t>
  </si>
  <si>
    <t>27663 N 108th Way</t>
  </si>
  <si>
    <t>10663 E Autumn Sage Dr</t>
  </si>
  <si>
    <t>217-61-083</t>
  </si>
  <si>
    <t>12333 W Scotts Dr</t>
  </si>
  <si>
    <t>509-07-151</t>
  </si>
  <si>
    <t>12352 W Devonshire Ave</t>
  </si>
  <si>
    <t>501-63-658</t>
  </si>
  <si>
    <t>12801 N 140th Dr</t>
  </si>
  <si>
    <t>501-40-857</t>
  </si>
  <si>
    <t>13261 N 71st Dr</t>
  </si>
  <si>
    <t>200-98-832</t>
  </si>
  <si>
    <t>15340 W Campbell Ave</t>
  </si>
  <si>
    <t>501-61-691</t>
  </si>
  <si>
    <t>1991 E Flintlock Dr</t>
  </si>
  <si>
    <t>304-85-107</t>
  </si>
  <si>
    <t>2121 S Pennington UNIT 37</t>
  </si>
  <si>
    <t>305-07-836</t>
  </si>
  <si>
    <t>2851 E Cherry Hills Dr</t>
  </si>
  <si>
    <t>303-84-322</t>
  </si>
  <si>
    <t>32404 N 129th Dr</t>
  </si>
  <si>
    <t>510-07-886</t>
  </si>
  <si>
    <t>3935 E Rough Rider Rd UNIT 1244</t>
  </si>
  <si>
    <t>212-40-402</t>
  </si>
  <si>
    <t>4286 S Star Canyon Dr</t>
  </si>
  <si>
    <t>313-06-168</t>
  </si>
  <si>
    <t>462 E Merrill Ave</t>
  </si>
  <si>
    <t>304-95-402</t>
  </si>
  <si>
    <t>303-55-375</t>
  </si>
  <si>
    <t>734 W La Pryor Ln</t>
  </si>
  <si>
    <t>302-20-011</t>
  </si>
  <si>
    <t>5369 S Scott Pl</t>
  </si>
  <si>
    <t>124-19-512-006</t>
  </si>
  <si>
    <t>125-27-311-015</t>
  </si>
  <si>
    <t>138-03-315-059</t>
  </si>
  <si>
    <t>138-21-212-024</t>
  </si>
  <si>
    <t>138-33-718-115</t>
  </si>
  <si>
    <t>161-33-714-023</t>
  </si>
  <si>
    <t>176-05-211-038</t>
  </si>
  <si>
    <t>177-10-110-035</t>
  </si>
  <si>
    <t>176-05-710-230</t>
  </si>
  <si>
    <t>200-400k</t>
  </si>
  <si>
    <t>5-20k</t>
  </si>
  <si>
    <t>7-21 days</t>
  </si>
  <si>
    <t>0-14 days</t>
  </si>
  <si>
    <t>16234 S 35th St</t>
  </si>
  <si>
    <t>2739 S Butte Ln</t>
  </si>
  <si>
    <t>10660 N Devlin Cir</t>
  </si>
  <si>
    <t>634 E Bellerive Pl</t>
  </si>
  <si>
    <t>1611 Hillside Bend Xing</t>
  </si>
  <si>
    <t>Lawrenceville</t>
  </si>
  <si>
    <t>4048 Ash Tree St</t>
  </si>
  <si>
    <t>Snellville</t>
  </si>
  <si>
    <t>3515 Hamby Oaks Dr</t>
  </si>
  <si>
    <t>Alpharetta</t>
  </si>
  <si>
    <t>Forsyth</t>
  </si>
  <si>
    <t>5136 amberden Hall Dr</t>
  </si>
  <si>
    <t>Suwanee</t>
  </si>
  <si>
    <t>Count</t>
  </si>
  <si>
    <t>Range</t>
  </si>
  <si>
    <t>Denver</t>
  </si>
  <si>
    <t>Q1</t>
  </si>
  <si>
    <t>Q2</t>
  </si>
  <si>
    <t>Q3</t>
  </si>
  <si>
    <t>Charlotte</t>
  </si>
  <si>
    <t>Raleigh</t>
  </si>
  <si>
    <t>All Months</t>
  </si>
  <si>
    <t>Homesales</t>
  </si>
  <si>
    <t xml:space="preserve">    Homesales closed in current quarter</t>
  </si>
  <si>
    <t xml:space="preserve">    Pending sales from prior quarter, net</t>
  </si>
  <si>
    <t xml:space="preserve">    Pending sales from current quarter, net</t>
  </si>
  <si>
    <t xml:space="preserve">    Running total for current quarter sales</t>
  </si>
  <si>
    <t xml:space="preserve">    Unsold homes from prior two quarters</t>
  </si>
  <si>
    <t xml:space="preserve">    Assumed percent of initial inventory sold</t>
  </si>
  <si>
    <t xml:space="preserve">    Estimates homesales for current quarter</t>
  </si>
  <si>
    <t>Running total for full year sales</t>
  </si>
  <si>
    <t>Estimated total sales for full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</si>
</sst>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0%"/>
    <numFmt numFmtId="166" formatCode="#,##0.0_);\(#,##0.0\)"/>
    <numFmt numFmtId="167" formatCode="#,##0.0%;\(#,##0.0%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7" fontId="0" fillId="0" borderId="0" xfId="0" applyNumberFormat="1" applyAlignment="1">
      <alignment horizontal="right" vertical="center"/>
    </xf>
    <xf numFmtId="37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right" vertical="center"/>
    </xf>
    <xf numFmtId="37" fontId="0" fillId="0" borderId="0" xfId="0" applyNumberFormat="1" applyFill="1" applyAlignment="1">
      <alignment horizontal="right" vertical="center"/>
    </xf>
    <xf numFmtId="37" fontId="0" fillId="4" borderId="0" xfId="0" applyNumberFormat="1" applyFill="1" applyAlignment="1">
      <alignment horizontal="right" vertical="center"/>
    </xf>
    <xf numFmtId="0" fontId="2" fillId="4" borderId="0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right" vertical="center"/>
    </xf>
    <xf numFmtId="166" fontId="0" fillId="4" borderId="0" xfId="0" applyNumberForma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37" fontId="0" fillId="4" borderId="0" xfId="0" applyNumberFormat="1" applyFill="1" applyBorder="1" applyAlignment="1">
      <alignment horizontal="right" vertical="center"/>
    </xf>
    <xf numFmtId="167" fontId="0" fillId="4" borderId="0" xfId="1" applyNumberFormat="1" applyFont="1" applyFill="1" applyBorder="1" applyAlignment="1">
      <alignment horizontal="right" vertical="center"/>
    </xf>
    <xf numFmtId="37" fontId="0" fillId="4" borderId="4" xfId="0" applyNumberFormat="1" applyFill="1" applyBorder="1" applyAlignment="1">
      <alignment horizontal="right" vertical="center"/>
    </xf>
    <xf numFmtId="37" fontId="0" fillId="4" borderId="8" xfId="0" applyNumberFormat="1" applyFill="1" applyBorder="1" applyAlignment="1">
      <alignment horizontal="right" vertical="center"/>
    </xf>
    <xf numFmtId="17" fontId="0" fillId="4" borderId="10" xfId="0" applyNumberFormat="1" applyFill="1" applyBorder="1" applyAlignment="1">
      <alignment horizontal="center" vertical="center"/>
    </xf>
    <xf numFmtId="17" fontId="2" fillId="4" borderId="6" xfId="0" applyNumberFormat="1" applyFont="1" applyFill="1" applyBorder="1" applyAlignment="1">
      <alignment horizontal="center" vertical="center"/>
    </xf>
    <xf numFmtId="17" fontId="2" fillId="4" borderId="1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" fontId="0" fillId="0" borderId="0" xfId="0" applyNumberFormat="1" applyAlignment="1">
      <alignment horizontal="right" vertical="center"/>
    </xf>
    <xf numFmtId="164" fontId="0" fillId="0" borderId="0" xfId="1" applyNumberFormat="1" applyFont="1" applyFill="1" applyAlignment="1">
      <alignment horizontal="right" vertical="center"/>
    </xf>
    <xf numFmtId="17" fontId="0" fillId="5" borderId="0" xfId="0" applyNumberForma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37" fontId="0" fillId="5" borderId="0" xfId="0" applyNumberFormat="1" applyFill="1" applyAlignment="1">
      <alignment horizontal="right" vertical="center"/>
    </xf>
    <xf numFmtId="164" fontId="0" fillId="5" borderId="0" xfId="1" applyNumberFormat="1" applyFon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/>
    <xf numFmtId="37" fontId="0" fillId="0" borderId="0" xfId="0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37" fontId="0" fillId="0" borderId="0" xfId="0" applyNumberFormat="1" applyFont="1" applyBorder="1"/>
    <xf numFmtId="0" fontId="0" fillId="0" borderId="0" xfId="0" quotePrefix="1" applyFont="1" applyFill="1" applyBorder="1" applyAlignment="1">
      <alignment horizontal="right"/>
    </xf>
    <xf numFmtId="164" fontId="0" fillId="0" borderId="0" xfId="0" applyNumberFormat="1" applyFont="1" applyFill="1" applyBorder="1"/>
    <xf numFmtId="37" fontId="0" fillId="0" borderId="0" xfId="0" applyNumberFormat="1" applyFont="1" applyFill="1" applyBorder="1" applyAlignment="1">
      <alignment horizontal="left" vertical="center"/>
    </xf>
    <xf numFmtId="37" fontId="0" fillId="0" borderId="0" xfId="0" applyNumberFormat="1" applyFont="1" applyFill="1" applyBorder="1" applyAlignment="1">
      <alignment horizontal="right" vertical="center"/>
    </xf>
    <xf numFmtId="14" fontId="0" fillId="5" borderId="0" xfId="0" applyNumberFormat="1" applyFill="1" applyAlignment="1">
      <alignment horizontal="right" vertical="center"/>
    </xf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6" borderId="0" xfId="0" applyFill="1" applyAlignment="1">
      <alignment vertical="center"/>
    </xf>
    <xf numFmtId="15" fontId="0" fillId="6" borderId="0" xfId="0" applyNumberFormat="1" applyFill="1" applyAlignment="1">
      <alignment horizontal="center" vertical="center"/>
    </xf>
    <xf numFmtId="37" fontId="0" fillId="6" borderId="0" xfId="0" applyNumberFormat="1" applyFill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6699"/>
      <color rgb="FF737476"/>
      <color rgb="FFADEBFF"/>
      <color rgb="FFFFB9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</a:t>
            </a:r>
            <a:r>
              <a:rPr lang="en-US" sz="1200" b="1" baseline="0">
                <a:solidFill>
                  <a:schemeClr val="tx1"/>
                </a:solidFill>
              </a:rPr>
              <a:t>- National Homes Transactions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USA!$E$6</c:f>
              <c:strCache>
                <c:ptCount val="1"/>
                <c:pt idx="0">
                  <c:v>Homes Purchased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3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USA!$D$19:$D$24</c:f>
              <c:numCache>
                <c:formatCode>mmm\-yy</c:formatCode>
                <c:ptCount val="6"/>
                <c:pt idx="0">
                  <c:v>43251</c:v>
                </c:pt>
                <c:pt idx="1">
                  <c:v>43281</c:v>
                </c:pt>
                <c:pt idx="2">
                  <c:v>43312</c:v>
                </c:pt>
                <c:pt idx="3">
                  <c:v>43343</c:v>
                </c:pt>
                <c:pt idx="4">
                  <c:v>43373</c:v>
                </c:pt>
                <c:pt idx="5">
                  <c:v>43404</c:v>
                </c:pt>
              </c:numCache>
            </c:numRef>
          </c:cat>
          <c:val>
            <c:numRef>
              <c:f>USA!$E$19:$E$24</c:f>
              <c:numCache>
                <c:formatCode>#,##0_);\(#,##0\)</c:formatCode>
                <c:ptCount val="6"/>
                <c:pt idx="0">
                  <c:v>3</c:v>
                </c:pt>
                <c:pt idx="1">
                  <c:v>16</c:v>
                </c:pt>
                <c:pt idx="2">
                  <c:v>36</c:v>
                </c:pt>
                <c:pt idx="3">
                  <c:v>55</c:v>
                </c:pt>
                <c:pt idx="4">
                  <c:v>76</c:v>
                </c:pt>
                <c:pt idx="5">
                  <c:v>60</c:v>
                </c:pt>
              </c:numCache>
            </c:numRef>
          </c:val>
        </c:ser>
        <c:ser>
          <c:idx val="1"/>
          <c:order val="1"/>
          <c:tx>
            <c:strRef>
              <c:f>USA!$P$6</c:f>
              <c:strCache>
                <c:ptCount val="1"/>
                <c:pt idx="0">
                  <c:v>Homes Sold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B94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USA!$D$19:$D$24</c:f>
              <c:numCache>
                <c:formatCode>mmm\-yy</c:formatCode>
                <c:ptCount val="6"/>
                <c:pt idx="0">
                  <c:v>43251</c:v>
                </c:pt>
                <c:pt idx="1">
                  <c:v>43281</c:v>
                </c:pt>
                <c:pt idx="2">
                  <c:v>43312</c:v>
                </c:pt>
                <c:pt idx="3">
                  <c:v>43343</c:v>
                </c:pt>
                <c:pt idx="4">
                  <c:v>43373</c:v>
                </c:pt>
                <c:pt idx="5">
                  <c:v>43404</c:v>
                </c:pt>
              </c:numCache>
            </c:numRef>
          </c:cat>
          <c:val>
            <c:numRef>
              <c:f>USA!$P$19:$P$24</c:f>
              <c:numCache>
                <c:formatCode>#,##0_);\(#,##0\)</c:formatCode>
                <c:ptCount val="6"/>
                <c:pt idx="2">
                  <c:v>6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915409024"/>
        <c:axId val="915409808"/>
      </c:barChart>
      <c:dateAx>
        <c:axId val="915409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09808"/>
        <c:crosses val="autoZero"/>
        <c:auto val="1"/>
        <c:lblOffset val="100"/>
        <c:baseTimeUnit val="months"/>
      </c:dateAx>
      <c:valAx>
        <c:axId val="915409808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- Distribution of Days to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'C2'!$D$56</c:f>
              <c:strCache>
                <c:ptCount val="1"/>
                <c:pt idx="0">
                  <c:v>Days to List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'C2'!$B$57:$B$66</c:f>
              <c:strCache>
                <c:ptCount val="10"/>
                <c:pt idx="0">
                  <c:v>0 </c:v>
                </c:pt>
                <c:pt idx="1">
                  <c:v>7 </c:v>
                </c:pt>
                <c:pt idx="2">
                  <c:v>14 </c:v>
                </c:pt>
                <c:pt idx="3">
                  <c:v>21 </c:v>
                </c:pt>
                <c:pt idx="4">
                  <c:v>28 </c:v>
                </c:pt>
                <c:pt idx="5">
                  <c:v>35 </c:v>
                </c:pt>
                <c:pt idx="6">
                  <c:v>42 </c:v>
                </c:pt>
                <c:pt idx="7">
                  <c:v>49 </c:v>
                </c:pt>
                <c:pt idx="8">
                  <c:v>56 </c:v>
                </c:pt>
                <c:pt idx="9">
                  <c:v>More</c:v>
                </c:pt>
              </c:strCache>
            </c:strRef>
          </c:cat>
          <c:val>
            <c:numRef>
              <c:f>'C2'!$C$57:$C$66</c:f>
              <c:numCache>
                <c:formatCode>General</c:formatCode>
                <c:ptCount val="10"/>
                <c:pt idx="1">
                  <c:v>3</c:v>
                </c:pt>
                <c:pt idx="2">
                  <c:v>66</c:v>
                </c:pt>
                <c:pt idx="3">
                  <c:v>62</c:v>
                </c:pt>
                <c:pt idx="4">
                  <c:v>28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69842488"/>
        <c:axId val="669842880"/>
      </c:barChart>
      <c:lineChart>
        <c:grouping val="standard"/>
        <c:varyColors val="0"/>
        <c:ser>
          <c:idx val="1"/>
          <c:order val="1"/>
          <c:tx>
            <c:strRef>
              <c:f>'C2'!$E$56</c:f>
              <c:strCache>
                <c:ptCount val="1"/>
                <c:pt idx="0">
                  <c:v>Cumulative Frequency (right axis)</c:v>
                </c:pt>
              </c:strCache>
            </c:strRef>
          </c:tx>
          <c:spPr>
            <a:ln w="28575" cap="rnd">
              <a:solidFill>
                <a:srgbClr val="336699"/>
              </a:solidFill>
              <a:round/>
            </a:ln>
            <a:effectLst/>
          </c:spPr>
          <c:marker>
            <c:symbol val="none"/>
          </c:marker>
          <c:cat>
            <c:strRef>
              <c:f>'C2'!$B$57:$B$66</c:f>
              <c:strCache>
                <c:ptCount val="10"/>
                <c:pt idx="0">
                  <c:v>0 </c:v>
                </c:pt>
                <c:pt idx="1">
                  <c:v>7 </c:v>
                </c:pt>
                <c:pt idx="2">
                  <c:v>14 </c:v>
                </c:pt>
                <c:pt idx="3">
                  <c:v>21 </c:v>
                </c:pt>
                <c:pt idx="4">
                  <c:v>28 </c:v>
                </c:pt>
                <c:pt idx="5">
                  <c:v>35 </c:v>
                </c:pt>
                <c:pt idx="6">
                  <c:v>42 </c:v>
                </c:pt>
                <c:pt idx="7">
                  <c:v>49 </c:v>
                </c:pt>
                <c:pt idx="8">
                  <c:v>56 </c:v>
                </c:pt>
                <c:pt idx="9">
                  <c:v>More</c:v>
                </c:pt>
              </c:strCache>
            </c:strRef>
          </c:cat>
          <c:val>
            <c:numRef>
              <c:f>'C2'!$E$57:$E$66</c:f>
              <c:numCache>
                <c:formatCode>0.0%</c:formatCode>
                <c:ptCount val="10"/>
                <c:pt idx="0">
                  <c:v>0</c:v>
                </c:pt>
                <c:pt idx="1">
                  <c:v>1.7857142857142856E-2</c:v>
                </c:pt>
                <c:pt idx="2">
                  <c:v>0.4107142857142857</c:v>
                </c:pt>
                <c:pt idx="3">
                  <c:v>0.77976190476190477</c:v>
                </c:pt>
                <c:pt idx="4">
                  <c:v>0.9464285714285714</c:v>
                </c:pt>
                <c:pt idx="5">
                  <c:v>0.98809523809523803</c:v>
                </c:pt>
                <c:pt idx="6">
                  <c:v>0.99404761904761896</c:v>
                </c:pt>
                <c:pt idx="7">
                  <c:v>0.99999999999999989</c:v>
                </c:pt>
                <c:pt idx="8">
                  <c:v>0.99999999999999989</c:v>
                </c:pt>
                <c:pt idx="9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43664"/>
        <c:axId val="669843272"/>
      </c:lineChart>
      <c:catAx>
        <c:axId val="66984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42880"/>
        <c:crosses val="autoZero"/>
        <c:auto val="1"/>
        <c:lblAlgn val="ctr"/>
        <c:lblOffset val="100"/>
        <c:noMultiLvlLbl val="0"/>
      </c:catAx>
      <c:valAx>
        <c:axId val="669842880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42488"/>
        <c:crosses val="autoZero"/>
        <c:crossBetween val="between"/>
      </c:valAx>
      <c:valAx>
        <c:axId val="669843272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43664"/>
        <c:crosses val="max"/>
        <c:crossBetween val="between"/>
      </c:valAx>
      <c:catAx>
        <c:axId val="66984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843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- Distribution of Days to Sell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'C2'!$D$73</c:f>
              <c:strCache>
                <c:ptCount val="1"/>
                <c:pt idx="0">
                  <c:v>Days to Sell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'C2'!$B$74:$B$89</c:f>
              <c:strCache>
                <c:ptCount val="16"/>
                <c:pt idx="0">
                  <c:v>0 </c:v>
                </c:pt>
                <c:pt idx="1">
                  <c:v>7 </c:v>
                </c:pt>
                <c:pt idx="2">
                  <c:v>14 </c:v>
                </c:pt>
                <c:pt idx="3">
                  <c:v>21 </c:v>
                </c:pt>
                <c:pt idx="4">
                  <c:v>28 </c:v>
                </c:pt>
                <c:pt idx="5">
                  <c:v>35 </c:v>
                </c:pt>
                <c:pt idx="6">
                  <c:v>42 </c:v>
                </c:pt>
                <c:pt idx="7">
                  <c:v>49 </c:v>
                </c:pt>
                <c:pt idx="8">
                  <c:v>56 </c:v>
                </c:pt>
                <c:pt idx="9">
                  <c:v>63 </c:v>
                </c:pt>
                <c:pt idx="10">
                  <c:v>70 </c:v>
                </c:pt>
                <c:pt idx="11">
                  <c:v>77 </c:v>
                </c:pt>
                <c:pt idx="12">
                  <c:v>84 </c:v>
                </c:pt>
                <c:pt idx="13">
                  <c:v>91 </c:v>
                </c:pt>
                <c:pt idx="14">
                  <c:v>98 </c:v>
                </c:pt>
                <c:pt idx="15">
                  <c:v>More</c:v>
                </c:pt>
              </c:strCache>
            </c:strRef>
          </c:cat>
          <c:val>
            <c:numRef>
              <c:f>'C2'!$C$74:$C$89</c:f>
              <c:numCache>
                <c:formatCode>General</c:formatCode>
                <c:ptCount val="16"/>
                <c:pt idx="1">
                  <c:v>20</c:v>
                </c:pt>
                <c:pt idx="2">
                  <c:v>26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65983824"/>
        <c:axId val="1165984216"/>
      </c:barChart>
      <c:lineChart>
        <c:grouping val="standard"/>
        <c:varyColors val="0"/>
        <c:ser>
          <c:idx val="1"/>
          <c:order val="1"/>
          <c:tx>
            <c:strRef>
              <c:f>'C2'!$E$73</c:f>
              <c:strCache>
                <c:ptCount val="1"/>
                <c:pt idx="0">
                  <c:v>Cumulative Frequency (right axis)</c:v>
                </c:pt>
              </c:strCache>
            </c:strRef>
          </c:tx>
          <c:spPr>
            <a:ln w="28575" cap="rnd">
              <a:solidFill>
                <a:srgbClr val="336699"/>
              </a:solidFill>
              <a:round/>
            </a:ln>
            <a:effectLst/>
          </c:spPr>
          <c:marker>
            <c:symbol val="none"/>
          </c:marker>
          <c:cat>
            <c:strRef>
              <c:f>'C2'!$B$74:$B$89</c:f>
              <c:strCache>
                <c:ptCount val="16"/>
                <c:pt idx="0">
                  <c:v>0 </c:v>
                </c:pt>
                <c:pt idx="1">
                  <c:v>7 </c:v>
                </c:pt>
                <c:pt idx="2">
                  <c:v>14 </c:v>
                </c:pt>
                <c:pt idx="3">
                  <c:v>21 </c:v>
                </c:pt>
                <c:pt idx="4">
                  <c:v>28 </c:v>
                </c:pt>
                <c:pt idx="5">
                  <c:v>35 </c:v>
                </c:pt>
                <c:pt idx="6">
                  <c:v>42 </c:v>
                </c:pt>
                <c:pt idx="7">
                  <c:v>49 </c:v>
                </c:pt>
                <c:pt idx="8">
                  <c:v>56 </c:v>
                </c:pt>
                <c:pt idx="9">
                  <c:v>63 </c:v>
                </c:pt>
                <c:pt idx="10">
                  <c:v>70 </c:v>
                </c:pt>
                <c:pt idx="11">
                  <c:v>77 </c:v>
                </c:pt>
                <c:pt idx="12">
                  <c:v>84 </c:v>
                </c:pt>
                <c:pt idx="13">
                  <c:v>91 </c:v>
                </c:pt>
                <c:pt idx="14">
                  <c:v>98 </c:v>
                </c:pt>
                <c:pt idx="15">
                  <c:v>More</c:v>
                </c:pt>
              </c:strCache>
            </c:strRef>
          </c:cat>
          <c:val>
            <c:numRef>
              <c:f>'C2'!$E$74:$E$89</c:f>
              <c:numCache>
                <c:formatCode>0.0%</c:formatCode>
                <c:ptCount val="16"/>
                <c:pt idx="0">
                  <c:v>0</c:v>
                </c:pt>
                <c:pt idx="1">
                  <c:v>0.25974025974025972</c:v>
                </c:pt>
                <c:pt idx="2">
                  <c:v>0.59740259740259738</c:v>
                </c:pt>
                <c:pt idx="3">
                  <c:v>0.72727272727272729</c:v>
                </c:pt>
                <c:pt idx="4">
                  <c:v>0.80519480519480524</c:v>
                </c:pt>
                <c:pt idx="5">
                  <c:v>0.83116883116883122</c:v>
                </c:pt>
                <c:pt idx="6">
                  <c:v>0.85714285714285721</c:v>
                </c:pt>
                <c:pt idx="7">
                  <c:v>0.89610389610389618</c:v>
                </c:pt>
                <c:pt idx="8">
                  <c:v>0.89610389610389618</c:v>
                </c:pt>
                <c:pt idx="9">
                  <c:v>0.92207792207792216</c:v>
                </c:pt>
                <c:pt idx="10">
                  <c:v>0.94805194805194815</c:v>
                </c:pt>
                <c:pt idx="11">
                  <c:v>0.96103896103896114</c:v>
                </c:pt>
                <c:pt idx="12">
                  <c:v>0.98701298701298712</c:v>
                </c:pt>
                <c:pt idx="13">
                  <c:v>0.98701298701298712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59072"/>
        <c:axId val="887358680"/>
      </c:lineChart>
      <c:catAx>
        <c:axId val="11659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84216"/>
        <c:crosses val="autoZero"/>
        <c:auto val="1"/>
        <c:lblAlgn val="ctr"/>
        <c:lblOffset val="100"/>
        <c:noMultiLvlLbl val="0"/>
      </c:catAx>
      <c:valAx>
        <c:axId val="1165984216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83824"/>
        <c:crosses val="autoZero"/>
        <c:crossBetween val="between"/>
      </c:valAx>
      <c:valAx>
        <c:axId val="88735868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59072"/>
        <c:crosses val="max"/>
        <c:crossBetween val="between"/>
      </c:valAx>
      <c:catAx>
        <c:axId val="8873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358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- Distribution of Days to Close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'C2'!$D$94</c:f>
              <c:strCache>
                <c:ptCount val="1"/>
                <c:pt idx="0">
                  <c:v>Days to Close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'C2'!$B$95:$B$104</c:f>
              <c:strCache>
                <c:ptCount val="10"/>
                <c:pt idx="0">
                  <c:v>0 </c:v>
                </c:pt>
                <c:pt idx="1">
                  <c:v>7 </c:v>
                </c:pt>
                <c:pt idx="2">
                  <c:v>14 </c:v>
                </c:pt>
                <c:pt idx="3">
                  <c:v>21 </c:v>
                </c:pt>
                <c:pt idx="4">
                  <c:v>28 </c:v>
                </c:pt>
                <c:pt idx="5">
                  <c:v>35 </c:v>
                </c:pt>
                <c:pt idx="6">
                  <c:v>42 </c:v>
                </c:pt>
                <c:pt idx="7">
                  <c:v>49 </c:v>
                </c:pt>
                <c:pt idx="8">
                  <c:v>56 </c:v>
                </c:pt>
                <c:pt idx="9">
                  <c:v>More</c:v>
                </c:pt>
              </c:strCache>
            </c:strRef>
          </c:cat>
          <c:val>
            <c:numRef>
              <c:f>'C2'!$C$95:$C$104</c:f>
              <c:numCache>
                <c:formatCode>General</c:formatCode>
                <c:ptCount val="10"/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15</c:v>
                </c:pt>
                <c:pt idx="5">
                  <c:v>10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4831976"/>
        <c:axId val="944832368"/>
      </c:barChart>
      <c:lineChart>
        <c:grouping val="standard"/>
        <c:varyColors val="0"/>
        <c:ser>
          <c:idx val="1"/>
          <c:order val="1"/>
          <c:tx>
            <c:strRef>
              <c:f>'C2'!$E$94</c:f>
              <c:strCache>
                <c:ptCount val="1"/>
                <c:pt idx="0">
                  <c:v>Cumulative Frequency (right axis)</c:v>
                </c:pt>
              </c:strCache>
            </c:strRef>
          </c:tx>
          <c:spPr>
            <a:ln w="28575" cap="rnd">
              <a:solidFill>
                <a:srgbClr val="336699"/>
              </a:solidFill>
              <a:round/>
            </a:ln>
            <a:effectLst/>
          </c:spPr>
          <c:marker>
            <c:symbol val="none"/>
          </c:marker>
          <c:cat>
            <c:strRef>
              <c:f>'C2'!$B$95:$B$104</c:f>
              <c:strCache>
                <c:ptCount val="10"/>
                <c:pt idx="0">
                  <c:v>0 </c:v>
                </c:pt>
                <c:pt idx="1">
                  <c:v>7 </c:v>
                </c:pt>
                <c:pt idx="2">
                  <c:v>14 </c:v>
                </c:pt>
                <c:pt idx="3">
                  <c:v>21 </c:v>
                </c:pt>
                <c:pt idx="4">
                  <c:v>28 </c:v>
                </c:pt>
                <c:pt idx="5">
                  <c:v>35 </c:v>
                </c:pt>
                <c:pt idx="6">
                  <c:v>42 </c:v>
                </c:pt>
                <c:pt idx="7">
                  <c:v>49 </c:v>
                </c:pt>
                <c:pt idx="8">
                  <c:v>56 </c:v>
                </c:pt>
                <c:pt idx="9">
                  <c:v>More</c:v>
                </c:pt>
              </c:strCache>
            </c:strRef>
          </c:cat>
          <c:val>
            <c:numRef>
              <c:f>'C2'!$E$95:$E$104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0.36363636363636365</c:v>
                </c:pt>
                <c:pt idx="4">
                  <c:v>0.70454545454545459</c:v>
                </c:pt>
                <c:pt idx="5">
                  <c:v>0.93181818181818188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95560"/>
        <c:axId val="944832760"/>
      </c:lineChart>
      <c:catAx>
        <c:axId val="94483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32368"/>
        <c:crosses val="autoZero"/>
        <c:auto val="1"/>
        <c:lblAlgn val="ctr"/>
        <c:lblOffset val="100"/>
        <c:noMultiLvlLbl val="0"/>
      </c:catAx>
      <c:valAx>
        <c:axId val="94483236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31976"/>
        <c:crosses val="autoZero"/>
        <c:crossBetween val="between"/>
      </c:valAx>
      <c:valAx>
        <c:axId val="94483276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95560"/>
        <c:crosses val="max"/>
        <c:crossBetween val="between"/>
      </c:valAx>
      <c:catAx>
        <c:axId val="67049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832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- Distribution of Days Held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'C2'!$D$111</c:f>
              <c:strCache>
                <c:ptCount val="1"/>
                <c:pt idx="0">
                  <c:v>Days Held for Closed Transactions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'C2'!$B$112:$B$126</c:f>
              <c:strCache>
                <c:ptCount val="15"/>
                <c:pt idx="0">
                  <c:v>0 </c:v>
                </c:pt>
                <c:pt idx="1">
                  <c:v>7 </c:v>
                </c:pt>
                <c:pt idx="2">
                  <c:v>14 </c:v>
                </c:pt>
                <c:pt idx="3">
                  <c:v>21 </c:v>
                </c:pt>
                <c:pt idx="4">
                  <c:v>28 </c:v>
                </c:pt>
                <c:pt idx="5">
                  <c:v>35 </c:v>
                </c:pt>
                <c:pt idx="6">
                  <c:v>42 </c:v>
                </c:pt>
                <c:pt idx="7">
                  <c:v>49 </c:v>
                </c:pt>
                <c:pt idx="8">
                  <c:v>56 </c:v>
                </c:pt>
                <c:pt idx="9">
                  <c:v>63 </c:v>
                </c:pt>
                <c:pt idx="10">
                  <c:v>70 </c:v>
                </c:pt>
                <c:pt idx="11">
                  <c:v>77 </c:v>
                </c:pt>
                <c:pt idx="12">
                  <c:v>84 </c:v>
                </c:pt>
                <c:pt idx="13">
                  <c:v>91 </c:v>
                </c:pt>
                <c:pt idx="14">
                  <c:v>More</c:v>
                </c:pt>
              </c:strCache>
            </c:strRef>
          </c:cat>
          <c:val>
            <c:numRef>
              <c:f>'C2'!$C$112:$C$126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97469816"/>
        <c:axId val="897470208"/>
      </c:barChart>
      <c:lineChart>
        <c:grouping val="standard"/>
        <c:varyColors val="0"/>
        <c:ser>
          <c:idx val="1"/>
          <c:order val="1"/>
          <c:tx>
            <c:strRef>
              <c:f>'C2'!$E$111</c:f>
              <c:strCache>
                <c:ptCount val="1"/>
                <c:pt idx="0">
                  <c:v>Cumulative Frequency (right axis)</c:v>
                </c:pt>
              </c:strCache>
            </c:strRef>
          </c:tx>
          <c:spPr>
            <a:ln w="28575" cap="rnd">
              <a:solidFill>
                <a:srgbClr val="336699"/>
              </a:solidFill>
              <a:round/>
            </a:ln>
            <a:effectLst/>
          </c:spPr>
          <c:marker>
            <c:symbol val="none"/>
          </c:marker>
          <c:cat>
            <c:strRef>
              <c:f>'C2'!$B$112:$B$126</c:f>
              <c:strCache>
                <c:ptCount val="15"/>
                <c:pt idx="0">
                  <c:v>0 </c:v>
                </c:pt>
                <c:pt idx="1">
                  <c:v>7 </c:v>
                </c:pt>
                <c:pt idx="2">
                  <c:v>14 </c:v>
                </c:pt>
                <c:pt idx="3">
                  <c:v>21 </c:v>
                </c:pt>
                <c:pt idx="4">
                  <c:v>28 </c:v>
                </c:pt>
                <c:pt idx="5">
                  <c:v>35 </c:v>
                </c:pt>
                <c:pt idx="6">
                  <c:v>42 </c:v>
                </c:pt>
                <c:pt idx="7">
                  <c:v>49 </c:v>
                </c:pt>
                <c:pt idx="8">
                  <c:v>56 </c:v>
                </c:pt>
                <c:pt idx="9">
                  <c:v>63 </c:v>
                </c:pt>
                <c:pt idx="10">
                  <c:v>70 </c:v>
                </c:pt>
                <c:pt idx="11">
                  <c:v>77 </c:v>
                </c:pt>
                <c:pt idx="12">
                  <c:v>84 </c:v>
                </c:pt>
                <c:pt idx="13">
                  <c:v>91 </c:v>
                </c:pt>
                <c:pt idx="14">
                  <c:v>More</c:v>
                </c:pt>
              </c:strCache>
            </c:strRef>
          </c:cat>
          <c:val>
            <c:numRef>
              <c:f>'C2'!$E$112:$E$126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2.2222222222222223E-2</c:v>
                </c:pt>
                <c:pt idx="5">
                  <c:v>0.11111111111111112</c:v>
                </c:pt>
                <c:pt idx="6">
                  <c:v>0.26666666666666666</c:v>
                </c:pt>
                <c:pt idx="7">
                  <c:v>0.35555555555555557</c:v>
                </c:pt>
                <c:pt idx="8">
                  <c:v>0.62222222222222223</c:v>
                </c:pt>
                <c:pt idx="9">
                  <c:v>0.8</c:v>
                </c:pt>
                <c:pt idx="10">
                  <c:v>0.8666666666666667</c:v>
                </c:pt>
                <c:pt idx="11">
                  <c:v>0.91111111111111109</c:v>
                </c:pt>
                <c:pt idx="12">
                  <c:v>0.93333333333333335</c:v>
                </c:pt>
                <c:pt idx="13">
                  <c:v>0.93333333333333335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70992"/>
        <c:axId val="897470600"/>
      </c:lineChart>
      <c:catAx>
        <c:axId val="89746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0208"/>
        <c:crosses val="autoZero"/>
        <c:auto val="1"/>
        <c:lblAlgn val="ctr"/>
        <c:lblOffset val="100"/>
        <c:noMultiLvlLbl val="0"/>
      </c:catAx>
      <c:valAx>
        <c:axId val="89747020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69816"/>
        <c:crosses val="autoZero"/>
        <c:crossBetween val="between"/>
      </c:valAx>
      <c:valAx>
        <c:axId val="89747060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0992"/>
        <c:crosses val="max"/>
        <c:crossBetween val="between"/>
      </c:valAx>
      <c:catAx>
        <c:axId val="89747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470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- Home Purchases </a:t>
            </a:r>
            <a:r>
              <a:rPr lang="en-US" sz="1200" b="1" baseline="0">
                <a:solidFill>
                  <a:schemeClr val="tx1"/>
                </a:solidFill>
              </a:rPr>
              <a:t>by Months in Market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'C3'!$C$24</c:f>
              <c:strCache>
                <c:ptCount val="1"/>
                <c:pt idx="0">
                  <c:v>Zillow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'C3'!$B$25:$B$29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'C3'!$C$25:$C$29</c:f>
              <c:numCache>
                <c:formatCode>#,##0_);\(#,##0\)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36</c:v>
                </c:pt>
                <c:pt idx="3">
                  <c:v>55</c:v>
                </c:pt>
                <c:pt idx="4">
                  <c:v>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'C3'!$D$24</c:f>
              <c:strCache>
                <c:ptCount val="1"/>
                <c:pt idx="0">
                  <c:v>Phoenix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'C3'!$B$25:$B$29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'C3'!$D$25:$D$29</c:f>
              <c:numCache>
                <c:formatCode>#,##0_);\(#,##0\)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31</c:v>
                </c:pt>
                <c:pt idx="3">
                  <c:v>44</c:v>
                </c:pt>
                <c:pt idx="4">
                  <c:v>63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'C3'!$E$24</c:f>
              <c:strCache>
                <c:ptCount val="1"/>
                <c:pt idx="0">
                  <c:v>Las Vegas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'C3'!$B$25:$B$29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'C3'!$E$25:$E$29</c:f>
              <c:numCache>
                <c:formatCode>#,##0_);\(#,##0\)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678008"/>
        <c:axId val="671678400"/>
      </c:lineChart>
      <c:catAx>
        <c:axId val="6716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78400"/>
        <c:crosses val="autoZero"/>
        <c:auto val="1"/>
        <c:lblAlgn val="ctr"/>
        <c:lblOffset val="100"/>
        <c:noMultiLvlLbl val="0"/>
      </c:catAx>
      <c:valAx>
        <c:axId val="6716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7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</a:t>
            </a:r>
            <a:r>
              <a:rPr lang="en-US" sz="1200" b="1" baseline="0">
                <a:solidFill>
                  <a:schemeClr val="tx1"/>
                </a:solidFill>
              </a:rPr>
              <a:t>- Average Mark-up on Closed Sales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'C1'!$B$18</c:f>
              <c:strCache>
                <c:ptCount val="1"/>
                <c:pt idx="0">
                  <c:v>Average Profit ($, left axis)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USA!$D$19:$D$24</c:f>
              <c:numCache>
                <c:formatCode>mmm\-yy</c:formatCode>
                <c:ptCount val="6"/>
                <c:pt idx="0">
                  <c:v>43251</c:v>
                </c:pt>
                <c:pt idx="1">
                  <c:v>43281</c:v>
                </c:pt>
                <c:pt idx="2">
                  <c:v>43312</c:v>
                </c:pt>
                <c:pt idx="3">
                  <c:v>43343</c:v>
                </c:pt>
                <c:pt idx="4">
                  <c:v>43373</c:v>
                </c:pt>
                <c:pt idx="5">
                  <c:v>43404</c:v>
                </c:pt>
              </c:numCache>
            </c:numRef>
          </c:cat>
          <c:val>
            <c:numRef>
              <c:f>USA!$R$19:$R$24</c:f>
              <c:numCache>
                <c:formatCode>#,##0_);\(#,##0\)</c:formatCode>
                <c:ptCount val="6"/>
                <c:pt idx="2">
                  <c:v>9966.6666666666661</c:v>
                </c:pt>
                <c:pt idx="3">
                  <c:v>9263.75</c:v>
                </c:pt>
                <c:pt idx="4">
                  <c:v>6132.8571428571404</c:v>
                </c:pt>
                <c:pt idx="5">
                  <c:v>10352.4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022349624"/>
        <c:axId val="1022350016"/>
      </c:barChart>
      <c:lineChart>
        <c:grouping val="standard"/>
        <c:varyColors val="0"/>
        <c:ser>
          <c:idx val="1"/>
          <c:order val="1"/>
          <c:tx>
            <c:strRef>
              <c:f>'C1'!$F$18</c:f>
              <c:strCache>
                <c:ptCount val="1"/>
                <c:pt idx="0">
                  <c:v>Average Profit (%, right axis)</c:v>
                </c:pt>
              </c:strCache>
            </c:strRef>
          </c:tx>
          <c:spPr>
            <a:ln w="28575" cap="rnd">
              <a:solidFill>
                <a:srgbClr val="336699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3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USA!$D$19:$D$24</c:f>
              <c:numCache>
                <c:formatCode>mmm\-yy</c:formatCode>
                <c:ptCount val="6"/>
                <c:pt idx="0">
                  <c:v>43251</c:v>
                </c:pt>
                <c:pt idx="1">
                  <c:v>43281</c:v>
                </c:pt>
                <c:pt idx="2">
                  <c:v>43312</c:v>
                </c:pt>
                <c:pt idx="3">
                  <c:v>43343</c:v>
                </c:pt>
                <c:pt idx="4">
                  <c:v>43373</c:v>
                </c:pt>
                <c:pt idx="5">
                  <c:v>43404</c:v>
                </c:pt>
              </c:numCache>
            </c:numRef>
          </c:cat>
          <c:val>
            <c:numRef>
              <c:f>USA!$S$19:$S$24</c:f>
              <c:numCache>
                <c:formatCode>#,##0.0%;\(#,##0.0%\)</c:formatCode>
                <c:ptCount val="6"/>
                <c:pt idx="2">
                  <c:v>3.6463414634146485E-2</c:v>
                </c:pt>
                <c:pt idx="3">
                  <c:v>3.0319022721879918E-2</c:v>
                </c:pt>
                <c:pt idx="4">
                  <c:v>1.9941054743838782E-2</c:v>
                </c:pt>
                <c:pt idx="5">
                  <c:v>3.1482758746528727E-2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352368"/>
        <c:axId val="1022351584"/>
      </c:lineChart>
      <c:dateAx>
        <c:axId val="1022349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50016"/>
        <c:crosses val="autoZero"/>
        <c:auto val="1"/>
        <c:lblOffset val="100"/>
        <c:baseTimeUnit val="months"/>
      </c:dateAx>
      <c:valAx>
        <c:axId val="1022350016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49624"/>
        <c:crosses val="autoZero"/>
        <c:crossBetween val="between"/>
      </c:valAx>
      <c:valAx>
        <c:axId val="1022351584"/>
        <c:scaling>
          <c:orientation val="minMax"/>
        </c:scaling>
        <c:delete val="0"/>
        <c:axPos val="r"/>
        <c:numFmt formatCode="#,##0.0%;\(#,##0.0%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52368"/>
        <c:crosses val="max"/>
        <c:crossBetween val="between"/>
      </c:valAx>
      <c:dateAx>
        <c:axId val="10223523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0223515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</a:t>
            </a:r>
            <a:r>
              <a:rPr lang="en-US" sz="1200" b="1" baseline="0">
                <a:solidFill>
                  <a:schemeClr val="tx1"/>
                </a:solidFill>
              </a:rPr>
              <a:t>- Average Days to List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686998080463826E-2"/>
          <c:y val="0.1762222222222222"/>
          <c:w val="0.90794981783993423"/>
          <c:h val="0.720674365704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'C1'!$B$18</c:f>
              <c:strCache>
                <c:ptCount val="1"/>
                <c:pt idx="0">
                  <c:v>Average Profit ($, left axis)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3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USA!$D$19:$D$24</c:f>
              <c:numCache>
                <c:formatCode>mmm\-yy</c:formatCode>
                <c:ptCount val="6"/>
                <c:pt idx="0">
                  <c:v>43251</c:v>
                </c:pt>
                <c:pt idx="1">
                  <c:v>43281</c:v>
                </c:pt>
                <c:pt idx="2">
                  <c:v>43312</c:v>
                </c:pt>
                <c:pt idx="3">
                  <c:v>43343</c:v>
                </c:pt>
                <c:pt idx="4">
                  <c:v>43373</c:v>
                </c:pt>
                <c:pt idx="5">
                  <c:v>43404</c:v>
                </c:pt>
              </c:numCache>
            </c:numRef>
          </c:cat>
          <c:val>
            <c:numRef>
              <c:f>USA!$L$19:$L$24</c:f>
              <c:numCache>
                <c:formatCode>#,##0_);\(#,##0\)</c:formatCode>
                <c:ptCount val="6"/>
                <c:pt idx="0">
                  <c:v>11</c:v>
                </c:pt>
                <c:pt idx="1">
                  <c:v>11.9</c:v>
                </c:pt>
                <c:pt idx="2">
                  <c:v>15.5</c:v>
                </c:pt>
                <c:pt idx="3">
                  <c:v>15.820512820512821</c:v>
                </c:pt>
                <c:pt idx="4">
                  <c:v>19.39622641509434</c:v>
                </c:pt>
                <c:pt idx="5">
                  <c:v>18.13953488372093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991000"/>
        <c:axId val="917991784"/>
      </c:barChart>
      <c:dateAx>
        <c:axId val="917991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91784"/>
        <c:crosses val="autoZero"/>
        <c:auto val="1"/>
        <c:lblOffset val="100"/>
        <c:baseTimeUnit val="months"/>
      </c:dateAx>
      <c:valAx>
        <c:axId val="917991784"/>
        <c:scaling>
          <c:orientation val="minMax"/>
          <c:max val="2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9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</a:t>
            </a:r>
            <a:r>
              <a:rPr lang="en-US" sz="1200" b="1" baseline="0">
                <a:solidFill>
                  <a:schemeClr val="tx1"/>
                </a:solidFill>
              </a:rPr>
              <a:t>- Average Days to Sell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686998080463826E-2"/>
          <c:y val="0.1762222222222222"/>
          <c:w val="0.90794981783993423"/>
          <c:h val="0.720674365704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'C1'!$B$18</c:f>
              <c:strCache>
                <c:ptCount val="1"/>
                <c:pt idx="0">
                  <c:v>Average Profit ($, left axis)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3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USA!$D$19:$D$24</c:f>
              <c:numCache>
                <c:formatCode>mmm\-yy</c:formatCode>
                <c:ptCount val="6"/>
                <c:pt idx="0">
                  <c:v>43251</c:v>
                </c:pt>
                <c:pt idx="1">
                  <c:v>43281</c:v>
                </c:pt>
                <c:pt idx="2">
                  <c:v>43312</c:v>
                </c:pt>
                <c:pt idx="3">
                  <c:v>43343</c:v>
                </c:pt>
                <c:pt idx="4">
                  <c:v>43373</c:v>
                </c:pt>
                <c:pt idx="5">
                  <c:v>43404</c:v>
                </c:pt>
              </c:numCache>
            </c:numRef>
          </c:cat>
          <c:val>
            <c:numRef>
              <c:f>USA!$O$19:$O$24</c:f>
              <c:numCache>
                <c:formatCode>#,##0_);\(#,##0\)</c:formatCode>
                <c:ptCount val="6"/>
                <c:pt idx="2">
                  <c:v>10.23076923076923</c:v>
                </c:pt>
                <c:pt idx="3">
                  <c:v>20.4375</c:v>
                </c:pt>
                <c:pt idx="4">
                  <c:v>18.411764705882351</c:v>
                </c:pt>
                <c:pt idx="5">
                  <c:v>26.448275862068964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989432"/>
        <c:axId val="917989824"/>
      </c:barChart>
      <c:dateAx>
        <c:axId val="917989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89824"/>
        <c:crosses val="autoZero"/>
        <c:auto val="1"/>
        <c:lblOffset val="100"/>
        <c:baseTimeUnit val="months"/>
      </c:dateAx>
      <c:valAx>
        <c:axId val="917989824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8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</a:t>
            </a:r>
            <a:r>
              <a:rPr lang="en-US" sz="1200" b="1" baseline="0">
                <a:solidFill>
                  <a:schemeClr val="tx1"/>
                </a:solidFill>
              </a:rPr>
              <a:t>- Average Days to Close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686998080463826E-2"/>
          <c:y val="0.1762222222222222"/>
          <c:w val="0.90794981783993423"/>
          <c:h val="0.720674365704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'C1'!$B$18</c:f>
              <c:strCache>
                <c:ptCount val="1"/>
                <c:pt idx="0">
                  <c:v>Average Profit ($, left axis)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3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USA!$D$19:$D$24</c:f>
              <c:numCache>
                <c:formatCode>mmm\-yy</c:formatCode>
                <c:ptCount val="6"/>
                <c:pt idx="0">
                  <c:v>43251</c:v>
                </c:pt>
                <c:pt idx="1">
                  <c:v>43281</c:v>
                </c:pt>
                <c:pt idx="2">
                  <c:v>43312</c:v>
                </c:pt>
                <c:pt idx="3">
                  <c:v>43343</c:v>
                </c:pt>
                <c:pt idx="4">
                  <c:v>43373</c:v>
                </c:pt>
                <c:pt idx="5">
                  <c:v>43404</c:v>
                </c:pt>
              </c:numCache>
            </c:numRef>
          </c:cat>
          <c:val>
            <c:numRef>
              <c:f>USA!$T$19:$T$24</c:f>
              <c:numCache>
                <c:formatCode>#,##0_);\(#,##0\)</c:formatCode>
                <c:ptCount val="6"/>
                <c:pt idx="2">
                  <c:v>19.833333333333332</c:v>
                </c:pt>
                <c:pt idx="3">
                  <c:v>23.25</c:v>
                </c:pt>
                <c:pt idx="4">
                  <c:v>25.307692307692307</c:v>
                </c:pt>
                <c:pt idx="5">
                  <c:v>22.7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87652344"/>
        <c:axId val="1038949760"/>
      </c:barChart>
      <c:dateAx>
        <c:axId val="887652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49760"/>
        <c:crosses val="autoZero"/>
        <c:auto val="1"/>
        <c:lblOffset val="100"/>
        <c:baseTimeUnit val="months"/>
      </c:dateAx>
      <c:valAx>
        <c:axId val="103894976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5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</a:t>
            </a:r>
            <a:r>
              <a:rPr lang="en-US" sz="1200" b="1" baseline="0">
                <a:solidFill>
                  <a:schemeClr val="tx1"/>
                </a:solidFill>
              </a:rPr>
              <a:t>- Average Days Held for Closed Sales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686998080463826E-2"/>
          <c:y val="0.1762222222222222"/>
          <c:w val="0.90794981783993423"/>
          <c:h val="0.720674365704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'C1'!$B$18</c:f>
              <c:strCache>
                <c:ptCount val="1"/>
                <c:pt idx="0">
                  <c:v>Average Profit ($, left axis)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3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USA!$D$19:$D$24</c:f>
              <c:numCache>
                <c:formatCode>mmm\-yy</c:formatCode>
                <c:ptCount val="6"/>
                <c:pt idx="0">
                  <c:v>43251</c:v>
                </c:pt>
                <c:pt idx="1">
                  <c:v>43281</c:v>
                </c:pt>
                <c:pt idx="2">
                  <c:v>43312</c:v>
                </c:pt>
                <c:pt idx="3">
                  <c:v>43343</c:v>
                </c:pt>
                <c:pt idx="4">
                  <c:v>43373</c:v>
                </c:pt>
                <c:pt idx="5">
                  <c:v>43404</c:v>
                </c:pt>
              </c:numCache>
            </c:numRef>
          </c:cat>
          <c:val>
            <c:numRef>
              <c:f>USA!$U$19:$U$24</c:f>
              <c:numCache>
                <c:formatCode>#,##0_);\(#,##0\)</c:formatCode>
                <c:ptCount val="6"/>
                <c:pt idx="2">
                  <c:v>37.833333333333336</c:v>
                </c:pt>
                <c:pt idx="3">
                  <c:v>49.625</c:v>
                </c:pt>
                <c:pt idx="4">
                  <c:v>65.5</c:v>
                </c:pt>
                <c:pt idx="5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64031592"/>
        <c:axId val="664031984"/>
      </c:barChart>
      <c:dateAx>
        <c:axId val="664031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1984"/>
        <c:crosses val="autoZero"/>
        <c:auto val="1"/>
        <c:lblOffset val="100"/>
        <c:baseTimeUnit val="months"/>
      </c:dateAx>
      <c:valAx>
        <c:axId val="664031984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- Distribution of Purchas</a:t>
            </a:r>
            <a:r>
              <a:rPr lang="en-US" sz="1200" b="1" baseline="0">
                <a:solidFill>
                  <a:schemeClr val="tx1"/>
                </a:solidFill>
              </a:rPr>
              <a:t>e Price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'C2'!$D$2</c:f>
              <c:strCache>
                <c:ptCount val="1"/>
                <c:pt idx="0">
                  <c:v>Homes Purchased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'C2'!$B$4:$B$14</c:f>
              <c:strCache>
                <c:ptCount val="11"/>
                <c:pt idx="0">
                  <c:v>50 </c:v>
                </c:pt>
                <c:pt idx="1">
                  <c:v>100 </c:v>
                </c:pt>
                <c:pt idx="2">
                  <c:v>150 </c:v>
                </c:pt>
                <c:pt idx="3">
                  <c:v>200 </c:v>
                </c:pt>
                <c:pt idx="4">
                  <c:v>250 </c:v>
                </c:pt>
                <c:pt idx="5">
                  <c:v>300 </c:v>
                </c:pt>
                <c:pt idx="6">
                  <c:v>350 </c:v>
                </c:pt>
                <c:pt idx="7">
                  <c:v>400 </c:v>
                </c:pt>
                <c:pt idx="8">
                  <c:v>450 </c:v>
                </c:pt>
                <c:pt idx="9">
                  <c:v>500 </c:v>
                </c:pt>
                <c:pt idx="10">
                  <c:v>More</c:v>
                </c:pt>
              </c:strCache>
            </c:strRef>
          </c:cat>
          <c:val>
            <c:numRef>
              <c:f>'C2'!$C$4:$C$14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19</c:v>
                </c:pt>
                <c:pt idx="4">
                  <c:v>51</c:v>
                </c:pt>
                <c:pt idx="5">
                  <c:v>41</c:v>
                </c:pt>
                <c:pt idx="6">
                  <c:v>47</c:v>
                </c:pt>
                <c:pt idx="7">
                  <c:v>42</c:v>
                </c:pt>
                <c:pt idx="8">
                  <c:v>28</c:v>
                </c:pt>
                <c:pt idx="9">
                  <c:v>10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1679184"/>
        <c:axId val="671679576"/>
      </c:barChart>
      <c:lineChart>
        <c:grouping val="standard"/>
        <c:varyColors val="0"/>
        <c:ser>
          <c:idx val="1"/>
          <c:order val="1"/>
          <c:tx>
            <c:strRef>
              <c:f>'C2'!$E$2</c:f>
              <c:strCache>
                <c:ptCount val="1"/>
                <c:pt idx="0">
                  <c:v>Cumulative Frequency (right axis)</c:v>
                </c:pt>
              </c:strCache>
            </c:strRef>
          </c:tx>
          <c:spPr>
            <a:ln w="28575" cap="rnd">
              <a:solidFill>
                <a:srgbClr val="336699"/>
              </a:solidFill>
              <a:round/>
            </a:ln>
            <a:effectLst/>
          </c:spPr>
          <c:marker>
            <c:symbol val="none"/>
          </c:marker>
          <c:cat>
            <c:strRef>
              <c:f>'C2'!$B$4:$B$14</c:f>
              <c:strCache>
                <c:ptCount val="11"/>
                <c:pt idx="0">
                  <c:v>50 </c:v>
                </c:pt>
                <c:pt idx="1">
                  <c:v>100 </c:v>
                </c:pt>
                <c:pt idx="2">
                  <c:v>150 </c:v>
                </c:pt>
                <c:pt idx="3">
                  <c:v>200 </c:v>
                </c:pt>
                <c:pt idx="4">
                  <c:v>250 </c:v>
                </c:pt>
                <c:pt idx="5">
                  <c:v>300 </c:v>
                </c:pt>
                <c:pt idx="6">
                  <c:v>350 </c:v>
                </c:pt>
                <c:pt idx="7">
                  <c:v>400 </c:v>
                </c:pt>
                <c:pt idx="8">
                  <c:v>450 </c:v>
                </c:pt>
                <c:pt idx="9">
                  <c:v>500 </c:v>
                </c:pt>
                <c:pt idx="10">
                  <c:v>More</c:v>
                </c:pt>
              </c:strCache>
            </c:strRef>
          </c:cat>
          <c:val>
            <c:numRef>
              <c:f>'C2'!$E$4:$E$14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2.4390243902439025E-2</c:v>
                </c:pt>
                <c:pt idx="3">
                  <c:v>0.1016260162601626</c:v>
                </c:pt>
                <c:pt idx="4">
                  <c:v>0.30894308943089432</c:v>
                </c:pt>
                <c:pt idx="5">
                  <c:v>0.47560975609756095</c:v>
                </c:pt>
                <c:pt idx="6">
                  <c:v>0.66666666666666663</c:v>
                </c:pt>
                <c:pt idx="7">
                  <c:v>0.83739837398373984</c:v>
                </c:pt>
                <c:pt idx="8">
                  <c:v>0.95121951219512191</c:v>
                </c:pt>
                <c:pt idx="9">
                  <c:v>0.99186991869918695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80360"/>
        <c:axId val="671679968"/>
      </c:lineChart>
      <c:catAx>
        <c:axId val="6716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79576"/>
        <c:crosses val="autoZero"/>
        <c:auto val="1"/>
        <c:lblAlgn val="ctr"/>
        <c:lblOffset val="100"/>
        <c:noMultiLvlLbl val="0"/>
      </c:catAx>
      <c:valAx>
        <c:axId val="671679576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79184"/>
        <c:crosses val="autoZero"/>
        <c:crossBetween val="between"/>
      </c:valAx>
      <c:valAx>
        <c:axId val="67167996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80360"/>
        <c:crosses val="max"/>
        <c:crossBetween val="between"/>
      </c:valAx>
      <c:catAx>
        <c:axId val="671680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67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- Distribution of Mark</a:t>
            </a:r>
            <a:r>
              <a:rPr lang="en-US" sz="1200" b="1" baseline="0">
                <a:solidFill>
                  <a:schemeClr val="tx1"/>
                </a:solidFill>
              </a:rPr>
              <a:t> Up for Listing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'C2'!$D$20</c:f>
              <c:strCache>
                <c:ptCount val="1"/>
                <c:pt idx="0">
                  <c:v>Number of Listings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'C2'!$B$21:$B$31</c:f>
              <c:strCache>
                <c:ptCount val="11"/>
                <c:pt idx="0">
                  <c:v>(5,000)</c:v>
                </c:pt>
                <c:pt idx="1">
                  <c:v>0 </c:v>
                </c:pt>
                <c:pt idx="2">
                  <c:v>5,000 </c:v>
                </c:pt>
                <c:pt idx="3">
                  <c:v>10,000 </c:v>
                </c:pt>
                <c:pt idx="4">
                  <c:v>15,000 </c:v>
                </c:pt>
                <c:pt idx="5">
                  <c:v>20,000 </c:v>
                </c:pt>
                <c:pt idx="6">
                  <c:v>25,000 </c:v>
                </c:pt>
                <c:pt idx="7">
                  <c:v>30,000 </c:v>
                </c:pt>
                <c:pt idx="8">
                  <c:v>35,000 </c:v>
                </c:pt>
                <c:pt idx="9">
                  <c:v>40,000 </c:v>
                </c:pt>
                <c:pt idx="10">
                  <c:v>More</c:v>
                </c:pt>
              </c:strCache>
            </c:strRef>
          </c:cat>
          <c:val>
            <c:numRef>
              <c:f>'C2'!$C$21:$C$31</c:f>
              <c:numCache>
                <c:formatCode>General</c:formatCode>
                <c:ptCount val="11"/>
                <c:pt idx="1">
                  <c:v>3</c:v>
                </c:pt>
                <c:pt idx="2">
                  <c:v>19</c:v>
                </c:pt>
                <c:pt idx="3">
                  <c:v>82</c:v>
                </c:pt>
                <c:pt idx="4">
                  <c:v>79</c:v>
                </c:pt>
                <c:pt idx="5">
                  <c:v>43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243440"/>
        <c:axId val="917243832"/>
      </c:barChart>
      <c:lineChart>
        <c:grouping val="standard"/>
        <c:varyColors val="0"/>
        <c:ser>
          <c:idx val="1"/>
          <c:order val="1"/>
          <c:tx>
            <c:strRef>
              <c:f>'C2'!$E$20</c:f>
              <c:strCache>
                <c:ptCount val="1"/>
                <c:pt idx="0">
                  <c:v>Cumulative Frequency (right axis)</c:v>
                </c:pt>
              </c:strCache>
            </c:strRef>
          </c:tx>
          <c:spPr>
            <a:ln w="28575" cap="rnd">
              <a:solidFill>
                <a:srgbClr val="336699"/>
              </a:solidFill>
              <a:round/>
            </a:ln>
            <a:effectLst/>
          </c:spPr>
          <c:marker>
            <c:symbol val="none"/>
          </c:marker>
          <c:cat>
            <c:strRef>
              <c:f>'C2'!$B$21:$B$31</c:f>
              <c:strCache>
                <c:ptCount val="11"/>
                <c:pt idx="0">
                  <c:v>(5,000)</c:v>
                </c:pt>
                <c:pt idx="1">
                  <c:v>0 </c:v>
                </c:pt>
                <c:pt idx="2">
                  <c:v>5,000 </c:v>
                </c:pt>
                <c:pt idx="3">
                  <c:v>10,000 </c:v>
                </c:pt>
                <c:pt idx="4">
                  <c:v>15,000 </c:v>
                </c:pt>
                <c:pt idx="5">
                  <c:v>20,000 </c:v>
                </c:pt>
                <c:pt idx="6">
                  <c:v>25,000 </c:v>
                </c:pt>
                <c:pt idx="7">
                  <c:v>30,000 </c:v>
                </c:pt>
                <c:pt idx="8">
                  <c:v>35,000 </c:v>
                </c:pt>
                <c:pt idx="9">
                  <c:v>40,000 </c:v>
                </c:pt>
                <c:pt idx="10">
                  <c:v>More</c:v>
                </c:pt>
              </c:strCache>
            </c:strRef>
          </c:cat>
          <c:val>
            <c:numRef>
              <c:f>'C2'!$E$21:$E$31</c:f>
              <c:numCache>
                <c:formatCode>0.0%</c:formatCode>
                <c:ptCount val="11"/>
                <c:pt idx="0">
                  <c:v>0</c:v>
                </c:pt>
                <c:pt idx="1">
                  <c:v>1.2552301255230125E-2</c:v>
                </c:pt>
                <c:pt idx="2">
                  <c:v>9.2050209205020925E-2</c:v>
                </c:pt>
                <c:pt idx="3">
                  <c:v>0.43514644351464438</c:v>
                </c:pt>
                <c:pt idx="4">
                  <c:v>0.76569037656903771</c:v>
                </c:pt>
                <c:pt idx="5">
                  <c:v>0.94560669456066948</c:v>
                </c:pt>
                <c:pt idx="6">
                  <c:v>0.97071129707112969</c:v>
                </c:pt>
                <c:pt idx="7">
                  <c:v>0.99163179916317989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767816"/>
        <c:axId val="945767424"/>
      </c:lineChart>
      <c:catAx>
        <c:axId val="9172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3832"/>
        <c:crosses val="autoZero"/>
        <c:auto val="1"/>
        <c:lblAlgn val="ctr"/>
        <c:lblOffset val="100"/>
        <c:noMultiLvlLbl val="0"/>
      </c:catAx>
      <c:valAx>
        <c:axId val="917243832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3440"/>
        <c:crosses val="autoZero"/>
        <c:crossBetween val="between"/>
      </c:valAx>
      <c:valAx>
        <c:axId val="94576742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67816"/>
        <c:crosses val="max"/>
        <c:crossBetween val="between"/>
      </c:valAx>
      <c:catAx>
        <c:axId val="945767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576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Zillow Offers - Distribution of Realised Mark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'C2'!$D$38</c:f>
              <c:strCache>
                <c:ptCount val="1"/>
                <c:pt idx="0">
                  <c:v>Number of Closed Transactions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'C2'!$B$39:$B$50</c:f>
              <c:strCache>
                <c:ptCount val="12"/>
                <c:pt idx="0">
                  <c:v>(10,000)</c:v>
                </c:pt>
                <c:pt idx="1">
                  <c:v>(5,000)</c:v>
                </c:pt>
                <c:pt idx="2">
                  <c:v>0 </c:v>
                </c:pt>
                <c:pt idx="3">
                  <c:v>5,000 </c:v>
                </c:pt>
                <c:pt idx="4">
                  <c:v>10,000 </c:v>
                </c:pt>
                <c:pt idx="5">
                  <c:v>15,000 </c:v>
                </c:pt>
                <c:pt idx="6">
                  <c:v>20,000 </c:v>
                </c:pt>
                <c:pt idx="7">
                  <c:v>25,000 </c:v>
                </c:pt>
                <c:pt idx="8">
                  <c:v>30,000 </c:v>
                </c:pt>
                <c:pt idx="9">
                  <c:v>35,000 </c:v>
                </c:pt>
                <c:pt idx="10">
                  <c:v>40,000 </c:v>
                </c:pt>
                <c:pt idx="11">
                  <c:v>More</c:v>
                </c:pt>
              </c:strCache>
            </c:strRef>
          </c:cat>
          <c:val>
            <c:numRef>
              <c:f>'C2'!$C$39:$C$50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15</c:v>
                </c:pt>
                <c:pt idx="4">
                  <c:v>10</c:v>
                </c:pt>
                <c:pt idx="5">
                  <c:v>11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4808480"/>
        <c:axId val="887191088"/>
      </c:barChart>
      <c:lineChart>
        <c:grouping val="standard"/>
        <c:varyColors val="0"/>
        <c:ser>
          <c:idx val="1"/>
          <c:order val="1"/>
          <c:tx>
            <c:strRef>
              <c:f>'C2'!$E$38</c:f>
              <c:strCache>
                <c:ptCount val="1"/>
                <c:pt idx="0">
                  <c:v>Cumulative Frequency (right axis)</c:v>
                </c:pt>
              </c:strCache>
            </c:strRef>
          </c:tx>
          <c:spPr>
            <a:ln w="28575" cap="rnd">
              <a:solidFill>
                <a:srgbClr val="336699"/>
              </a:solidFill>
              <a:round/>
            </a:ln>
            <a:effectLst/>
          </c:spPr>
          <c:marker>
            <c:symbol val="none"/>
          </c:marker>
          <c:cat>
            <c:strRef>
              <c:f>'C2'!$B$39:$B$50</c:f>
              <c:strCache>
                <c:ptCount val="12"/>
                <c:pt idx="0">
                  <c:v>(10,000)</c:v>
                </c:pt>
                <c:pt idx="1">
                  <c:v>(5,000)</c:v>
                </c:pt>
                <c:pt idx="2">
                  <c:v>0 </c:v>
                </c:pt>
                <c:pt idx="3">
                  <c:v>5,000 </c:v>
                </c:pt>
                <c:pt idx="4">
                  <c:v>10,000 </c:v>
                </c:pt>
                <c:pt idx="5">
                  <c:v>15,000 </c:v>
                </c:pt>
                <c:pt idx="6">
                  <c:v>20,000 </c:v>
                </c:pt>
                <c:pt idx="7">
                  <c:v>25,000 </c:v>
                </c:pt>
                <c:pt idx="8">
                  <c:v>30,000 </c:v>
                </c:pt>
                <c:pt idx="9">
                  <c:v>35,000 </c:v>
                </c:pt>
                <c:pt idx="10">
                  <c:v>40,000 </c:v>
                </c:pt>
                <c:pt idx="11">
                  <c:v>More</c:v>
                </c:pt>
              </c:strCache>
            </c:strRef>
          </c:cat>
          <c:val>
            <c:numRef>
              <c:f>'C2'!$E$39:$E$50</c:f>
              <c:numCache>
                <c:formatCode>0.0%</c:formatCode>
                <c:ptCount val="12"/>
                <c:pt idx="0">
                  <c:v>0</c:v>
                </c:pt>
                <c:pt idx="1">
                  <c:v>4.3478260869565216E-2</c:v>
                </c:pt>
                <c:pt idx="2">
                  <c:v>6.5217391304347824E-2</c:v>
                </c:pt>
                <c:pt idx="3">
                  <c:v>0.39130434782608697</c:v>
                </c:pt>
                <c:pt idx="4">
                  <c:v>0.60869565217391308</c:v>
                </c:pt>
                <c:pt idx="5">
                  <c:v>0.84782608695652173</c:v>
                </c:pt>
                <c:pt idx="6">
                  <c:v>0.95652173913043481</c:v>
                </c:pt>
                <c:pt idx="7">
                  <c:v>0.97826086956521741</c:v>
                </c:pt>
                <c:pt idx="8">
                  <c:v>0.97826086956521741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91872"/>
        <c:axId val="887191480"/>
      </c:lineChart>
      <c:catAx>
        <c:axId val="9448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91088"/>
        <c:crosses val="autoZero"/>
        <c:auto val="1"/>
        <c:lblAlgn val="ctr"/>
        <c:lblOffset val="100"/>
        <c:noMultiLvlLbl val="0"/>
      </c:catAx>
      <c:valAx>
        <c:axId val="88719108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08480"/>
        <c:crosses val="autoZero"/>
        <c:crossBetween val="between"/>
      </c:valAx>
      <c:valAx>
        <c:axId val="88719148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91872"/>
        <c:crosses val="max"/>
        <c:crossBetween val="between"/>
      </c:valAx>
      <c:catAx>
        <c:axId val="88719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191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0</xdr:colOff>
      <xdr:row>34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0</xdr:colOff>
      <xdr:row>50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0</xdr:colOff>
      <xdr:row>66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0</xdr:colOff>
      <xdr:row>82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8</xdr:col>
      <xdr:colOff>0</xdr:colOff>
      <xdr:row>98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0</xdr:colOff>
      <xdr:row>51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15</xdr:col>
      <xdr:colOff>0</xdr:colOff>
      <xdr:row>87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14</xdr:col>
      <xdr:colOff>685800</xdr:colOff>
      <xdr:row>108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0</xdr:colOff>
      <xdr:row>125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D262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AF27" sqref="AF27"/>
    </sheetView>
  </sheetViews>
  <sheetFormatPr defaultRowHeight="15" outlineLevelCol="1" x14ac:dyDescent="0.25"/>
  <cols>
    <col min="1" max="1" width="2.7109375" style="40" customWidth="1"/>
    <col min="2" max="2" width="2.7109375" style="4" hidden="1" customWidth="1" outlineLevel="1"/>
    <col min="3" max="3" width="4.7109375" style="4" hidden="1" customWidth="1" outlineLevel="1"/>
    <col min="4" max="4" width="3.7109375" style="4" hidden="1" customWidth="1" outlineLevel="1"/>
    <col min="5" max="5" width="5.7109375" style="4" hidden="1" customWidth="1" outlineLevel="1"/>
    <col min="6" max="6" width="2.7109375" style="4" hidden="1" customWidth="1" outlineLevel="1"/>
    <col min="7" max="7" width="4.7109375" style="4" hidden="1" customWidth="1" outlineLevel="1"/>
    <col min="8" max="8" width="3.7109375" style="4" hidden="1" customWidth="1" outlineLevel="1"/>
    <col min="9" max="9" width="5.7109375" style="4" hidden="1" customWidth="1" outlineLevel="1"/>
    <col min="10" max="10" width="2.7109375" style="4" hidden="1" customWidth="1" outlineLevel="1"/>
    <col min="11" max="11" width="4.7109375" style="4" hidden="1" customWidth="1" outlineLevel="1"/>
    <col min="12" max="12" width="3.7109375" style="4" hidden="1" customWidth="1" outlineLevel="1"/>
    <col min="13" max="13" width="5.7109375" style="4" hidden="1" customWidth="1" outlineLevel="1"/>
    <col min="14" max="14" width="2.7109375" style="4" hidden="1" customWidth="1" outlineLevel="1"/>
    <col min="15" max="15" width="4.7109375" style="4" hidden="1" customWidth="1" outlineLevel="1"/>
    <col min="16" max="16" width="3.7109375" style="4" hidden="1" customWidth="1" outlineLevel="1"/>
    <col min="17" max="17" width="5.7109375" style="4" hidden="1" customWidth="1" outlineLevel="1"/>
    <col min="18" max="18" width="2.7109375" style="39" hidden="1" customWidth="1" outlineLevel="1"/>
    <col min="19" max="19" width="38" style="38" bestFit="1" customWidth="1" collapsed="1"/>
    <col min="20" max="20" width="15.140625" style="11" bestFit="1" customWidth="1"/>
    <col min="21" max="21" width="6.7109375" style="11" customWidth="1"/>
    <col min="22" max="23" width="12.7109375" style="39" customWidth="1"/>
    <col min="24" max="24" width="18.28515625" style="4" hidden="1" customWidth="1" outlineLevel="1"/>
    <col min="25" max="25" width="25.140625" style="4" hidden="1" customWidth="1" outlineLevel="1"/>
    <col min="26" max="26" width="13.7109375" style="66" bestFit="1" customWidth="1" collapsed="1"/>
    <col min="27" max="27" width="14" style="67" bestFit="1" customWidth="1"/>
    <col min="28" max="30" width="14" style="6" hidden="1" customWidth="1" outlineLevel="1"/>
    <col min="31" max="31" width="20.42578125" style="7" hidden="1" customWidth="1" outlineLevel="1"/>
    <col min="32" max="32" width="10.5703125" style="66" bestFit="1" customWidth="1" collapsed="1"/>
    <col min="33" max="33" width="10.85546875" style="67" bestFit="1" customWidth="1"/>
    <col min="34" max="34" width="12.85546875" style="6" bestFit="1" customWidth="1"/>
    <col min="35" max="35" width="9.7109375" style="6" bestFit="1" customWidth="1"/>
    <col min="36" max="36" width="10.28515625" style="8" bestFit="1" customWidth="1"/>
    <col min="37" max="37" width="13.7109375" style="66" bestFit="1" customWidth="1" collapsed="1"/>
    <col min="38" max="38" width="13.28515625" style="67" bestFit="1" customWidth="1"/>
    <col min="39" max="39" width="13.28515625" style="6" customWidth="1"/>
    <col min="40" max="41" width="10.28515625" style="67" customWidth="1"/>
    <col min="42" max="44" width="10.28515625" style="6" customWidth="1"/>
    <col min="45" max="45" width="10.28515625" style="8" customWidth="1"/>
    <col min="46" max="46" width="2.7109375" style="5" customWidth="1"/>
    <col min="47" max="51" width="8.7109375" style="9" customWidth="1"/>
    <col min="52" max="56" width="9.140625" style="9"/>
    <col min="57" max="16384" width="9.140625" style="5"/>
  </cols>
  <sheetData>
    <row r="1" spans="2:56" x14ac:dyDescent="0.2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X1" s="13"/>
      <c r="Y1" s="13"/>
    </row>
    <row r="2" spans="2:56" x14ac:dyDescent="0.25">
      <c r="B2" s="5" t="s">
        <v>401</v>
      </c>
      <c r="C2" s="5"/>
      <c r="D2" s="5"/>
      <c r="E2" s="5"/>
      <c r="F2" s="5" t="s">
        <v>395</v>
      </c>
      <c r="G2" s="5"/>
      <c r="H2" s="5"/>
      <c r="I2" s="5"/>
      <c r="J2" s="5" t="s">
        <v>22</v>
      </c>
      <c r="K2" s="5"/>
      <c r="L2" s="5"/>
      <c r="M2" s="5"/>
      <c r="N2" s="5" t="s">
        <v>23</v>
      </c>
      <c r="O2" s="5"/>
      <c r="P2" s="5"/>
      <c r="Q2" s="5"/>
      <c r="S2" s="38" t="s">
        <v>0</v>
      </c>
      <c r="T2" s="11" t="s">
        <v>1</v>
      </c>
      <c r="U2" s="11" t="s">
        <v>2</v>
      </c>
      <c r="V2" s="39" t="s">
        <v>383</v>
      </c>
      <c r="W2" s="39" t="s">
        <v>3</v>
      </c>
      <c r="X2" s="7" t="s">
        <v>4</v>
      </c>
      <c r="Y2" s="4" t="s">
        <v>5</v>
      </c>
      <c r="Z2" s="66" t="s">
        <v>6</v>
      </c>
      <c r="AA2" s="67" t="s">
        <v>7</v>
      </c>
      <c r="AB2" s="6" t="s">
        <v>8</v>
      </c>
      <c r="AC2" s="6" t="s">
        <v>9</v>
      </c>
      <c r="AD2" s="6" t="s">
        <v>10</v>
      </c>
      <c r="AE2" s="7" t="s">
        <v>11</v>
      </c>
      <c r="AF2" s="66" t="s">
        <v>12</v>
      </c>
      <c r="AG2" s="67" t="s">
        <v>13</v>
      </c>
      <c r="AH2" s="6" t="s">
        <v>14</v>
      </c>
      <c r="AI2" s="6" t="s">
        <v>15</v>
      </c>
      <c r="AJ2" s="8" t="s">
        <v>16</v>
      </c>
      <c r="AK2" s="66" t="s">
        <v>405</v>
      </c>
      <c r="AL2" s="67" t="s">
        <v>407</v>
      </c>
      <c r="AM2" s="6" t="s">
        <v>18</v>
      </c>
      <c r="AN2" s="66" t="s">
        <v>455</v>
      </c>
      <c r="AO2" s="67" t="s">
        <v>17</v>
      </c>
      <c r="AP2" s="6" t="s">
        <v>445</v>
      </c>
      <c r="AQ2" s="6" t="s">
        <v>446</v>
      </c>
      <c r="AR2" s="6" t="s">
        <v>19</v>
      </c>
      <c r="AS2" s="8" t="s">
        <v>20</v>
      </c>
      <c r="AU2" s="35">
        <v>43251</v>
      </c>
      <c r="AV2" s="35">
        <v>43281</v>
      </c>
      <c r="AW2" s="35">
        <v>43312</v>
      </c>
      <c r="AX2" s="35">
        <v>43343</v>
      </c>
      <c r="AY2" s="35">
        <v>43373</v>
      </c>
      <c r="AZ2" s="37">
        <f ca="1">NOW()</f>
        <v>43391.382289814814</v>
      </c>
      <c r="BA2" s="35"/>
      <c r="BB2" s="35"/>
      <c r="BC2" s="35"/>
      <c r="BD2" s="35"/>
    </row>
    <row r="3" spans="2:56" x14ac:dyDescent="0.25">
      <c r="B3" s="13">
        <f>IF(Z3&lt;&gt;0,1,)</f>
        <v>1</v>
      </c>
      <c r="C3" s="13">
        <f>MONTH(Z3)</f>
        <v>9</v>
      </c>
      <c r="D3" s="13">
        <f>IF(C3=1,1,IF(C3=2,1,IF(C3=3,1,IF(C3=4,2,IF(C3=5,2,IF(C3=6,2,IF(C3=7,3,IF(C3=8,3,IF(C3=9,3,IF(C3=10,4,IF(C3=11,4,IF(C3=12,4,))))))))))))</f>
        <v>3</v>
      </c>
      <c r="E3" s="13">
        <f>YEAR(Z3)</f>
        <v>2018</v>
      </c>
      <c r="F3" s="13">
        <f>IF(AF3&lt;&gt;0,1,)</f>
        <v>0</v>
      </c>
      <c r="G3" s="13">
        <f>MONTH(AF3)</f>
        <v>1</v>
      </c>
      <c r="H3" s="13">
        <f>IF(G3=1,1,IF(G3=2,1,IF(G3=3,1,IF(G3=4,2,IF(G3=5,2,IF(G3=6,2,IF(G3=7,3,IF(G3=8,3,IF(G3=9,3,IF(G3=10,4,IF(G3=11,4,IF(G3=12,4,))))))))))))</f>
        <v>1</v>
      </c>
      <c r="I3" s="13">
        <f>YEAR(AF3)</f>
        <v>1900</v>
      </c>
      <c r="J3" s="13">
        <f>IF(AK3&lt;&gt;0,1,)</f>
        <v>0</v>
      </c>
      <c r="K3" s="13">
        <f>IF(J3=1,MONTH(AK3),)</f>
        <v>0</v>
      </c>
      <c r="L3" s="13">
        <f>IF(K3=1,1,IF(K3=2,1,IF(K3=3,1,IF(K3=4,2,IF(K3=5,2,IF(K3=6,2,IF(K3=7,3,IF(K3=8,3,IF(K3=9,3,IF(K3=10,4,IF(K3=11,4,IF(K3=12,4,))))))))))))</f>
        <v>0</v>
      </c>
      <c r="M3" s="13">
        <f>YEAR(AK3)</f>
        <v>1900</v>
      </c>
      <c r="N3" s="13">
        <f>IF(AN3&lt;&gt;0,1,)</f>
        <v>0</v>
      </c>
      <c r="O3" s="13">
        <f>IF(N3=1,MONTH(AN3),)</f>
        <v>0</v>
      </c>
      <c r="P3" s="13">
        <f>IF(O3=1,1,IF(O3=2,1,IF(O3=3,1,IF(O3=4,2,IF(O3=5,2,IF(O3=6,2,IF(O3=7,3,IF(O3=8,3,IF(O3=9,3,IF(O3=10,4,IF(O3=11,4,IF(O3=12,4,))))))))))))</f>
        <v>0</v>
      </c>
      <c r="Q3" s="13">
        <f>YEAR(AN3)</f>
        <v>1900</v>
      </c>
      <c r="S3" s="38" t="s">
        <v>24</v>
      </c>
      <c r="T3" s="11" t="s">
        <v>25</v>
      </c>
      <c r="U3" s="11" t="s">
        <v>26</v>
      </c>
      <c r="V3" s="39" t="s">
        <v>38</v>
      </c>
      <c r="W3" s="39" t="s">
        <v>27</v>
      </c>
      <c r="X3" s="13" t="s">
        <v>28</v>
      </c>
      <c r="Y3" s="13" t="s">
        <v>29</v>
      </c>
      <c r="Z3" s="66">
        <v>43371</v>
      </c>
      <c r="AA3" s="67">
        <v>424800</v>
      </c>
      <c r="AD3" s="10"/>
      <c r="AG3" s="67">
        <v>431900</v>
      </c>
      <c r="AH3" s="16"/>
      <c r="AI3" s="16">
        <f>AG3-AA3</f>
        <v>7100</v>
      </c>
      <c r="AJ3" s="36">
        <f>AI3/AA3</f>
        <v>1.6713747645951037E-2</v>
      </c>
      <c r="AN3" s="66"/>
      <c r="AT3" s="9"/>
      <c r="AU3" s="6" t="str">
        <f>IF(AND(AU$2&gt;$Z3,$Z3&gt;0,OR($AN3&gt;AU$2,ISBLANK($AN3))),AU$2-$Z3,"")</f>
        <v/>
      </c>
      <c r="AV3" s="6" t="str">
        <f>IF(AND(AV$2&gt;$Z3,$Z3&gt;0,OR($AN3&gt;AV$2,ISBLANK($AN3))),AV$2-$Z3,"")</f>
        <v/>
      </c>
      <c r="AW3" s="6" t="str">
        <f>IF(AND(AW$2&gt;$Z3,$Z3&gt;0,OR($AN3&gt;AW$2,ISBLANK($AN3))),AW$2-$Z3,"")</f>
        <v/>
      </c>
      <c r="AX3" s="6" t="str">
        <f>IF(AND(AX$2&gt;$Z3,$Z3&gt;0,OR($AN3&gt;AX$2,ISBLANK($AN3))),AX$2-$Z3,"")</f>
        <v/>
      </c>
      <c r="AY3" s="6">
        <f>IF(AND(AY$2&gt;$Z3,$Z3&gt;0,OR($AN3&gt;AY$2,ISBLANK($AN3))),AY$2-$Z3,"")</f>
        <v>2</v>
      </c>
      <c r="AZ3" s="6">
        <f ca="1">IF(AND(AZ$2&gt;$Z3,$Z3&gt;0,OR($AN3&gt;AZ$2,ISBLANK($AN3))),AZ$2-$Z3,"")</f>
        <v>20.382289814813703</v>
      </c>
      <c r="BA3" s="6"/>
      <c r="BB3" s="6"/>
      <c r="BC3" s="6"/>
      <c r="BD3" s="6"/>
    </row>
    <row r="4" spans="2:56" x14ac:dyDescent="0.25">
      <c r="B4" s="13">
        <f t="shared" ref="B4:B67" si="0">IF(Z4&lt;&gt;0,1,)</f>
        <v>1</v>
      </c>
      <c r="C4" s="13">
        <f t="shared" ref="C4:C67" si="1">MONTH(Z4)</f>
        <v>8</v>
      </c>
      <c r="D4" s="13">
        <f t="shared" ref="D4:D67" si="2">IF(C4=1,1,IF(C4=2,1,IF(C4=3,1,IF(C4=4,2,IF(C4=5,2,IF(C4=6,2,IF(C4=7,3,IF(C4=8,3,IF(C4=9,3,IF(C4=10,4,IF(C4=11,4,IF(C4=12,4,))))))))))))</f>
        <v>3</v>
      </c>
      <c r="E4" s="13">
        <f t="shared" ref="E4:E67" si="3">YEAR(Z4)</f>
        <v>2018</v>
      </c>
      <c r="F4" s="13">
        <f t="shared" ref="F4:F67" si="4">IF(AF4&lt;&gt;0,1,)</f>
        <v>1</v>
      </c>
      <c r="G4" s="13">
        <f t="shared" ref="G4:G67" si="5">MONTH(AF4)</f>
        <v>9</v>
      </c>
      <c r="H4" s="13">
        <f t="shared" ref="H4:H67" si="6">IF(G4=1,1,IF(G4=2,1,IF(G4=3,1,IF(G4=4,2,IF(G4=5,2,IF(G4=6,2,IF(G4=7,3,IF(G4=8,3,IF(G4=9,3,IF(G4=10,4,IF(G4=11,4,IF(G4=12,4,))))))))))))</f>
        <v>3</v>
      </c>
      <c r="I4" s="13">
        <f t="shared" ref="I4:I67" si="7">YEAR(AF4)</f>
        <v>2018</v>
      </c>
      <c r="J4" s="13">
        <f t="shared" ref="J4:J67" si="8">IF(AK4&lt;&gt;0,1,)</f>
        <v>0</v>
      </c>
      <c r="K4" s="13">
        <f>IF(J4=1,MONTH(AK4),)</f>
        <v>0</v>
      </c>
      <c r="L4" s="13">
        <f t="shared" ref="L4:L67" si="9">IF(K4=1,1,IF(K4=2,1,IF(K4=3,1,IF(K4=4,2,IF(K4=5,2,IF(K4=6,2,IF(K4=7,3,IF(K4=8,3,IF(K4=9,3,IF(K4=10,4,IF(K4=11,4,IF(K4=12,4,))))))))))))</f>
        <v>0</v>
      </c>
      <c r="M4" s="13">
        <f t="shared" ref="M4:M67" si="10">YEAR(AK4)</f>
        <v>1900</v>
      </c>
      <c r="N4" s="13">
        <f t="shared" ref="N4:N67" si="11">IF(AN4&lt;&gt;0,1,)</f>
        <v>0</v>
      </c>
      <c r="O4" s="13">
        <f>IF(N4=1,MONTH(AN4),)</f>
        <v>0</v>
      </c>
      <c r="P4" s="13">
        <f t="shared" ref="P4:P67" si="12">IF(O4=1,1,IF(O4=2,1,IF(O4=3,1,IF(O4=4,2,IF(O4=5,2,IF(O4=6,2,IF(O4=7,3,IF(O4=8,3,IF(O4=9,3,IF(O4=10,4,IF(O4=11,4,IF(O4=12,4,))))))))))))</f>
        <v>0</v>
      </c>
      <c r="Q4" s="13">
        <f t="shared" ref="Q4:Q67" si="13">YEAR(AN4)</f>
        <v>1900</v>
      </c>
      <c r="S4" s="38" t="s">
        <v>30</v>
      </c>
      <c r="T4" s="11" t="s">
        <v>31</v>
      </c>
      <c r="U4" s="11" t="s">
        <v>26</v>
      </c>
      <c r="V4" s="39" t="s">
        <v>38</v>
      </c>
      <c r="W4" s="39" t="s">
        <v>27</v>
      </c>
      <c r="X4" s="4" t="s">
        <v>32</v>
      </c>
      <c r="Y4" s="4" t="s">
        <v>29</v>
      </c>
      <c r="Z4" s="66">
        <v>43343</v>
      </c>
      <c r="AA4" s="67">
        <v>275000</v>
      </c>
      <c r="AD4" s="10"/>
      <c r="AF4" s="66">
        <v>43359</v>
      </c>
      <c r="AG4" s="67">
        <v>300000</v>
      </c>
      <c r="AH4" s="16">
        <f>AF4-Z4</f>
        <v>16</v>
      </c>
      <c r="AI4" s="16">
        <f>AG4-AA4</f>
        <v>25000</v>
      </c>
      <c r="AJ4" s="36">
        <f>AI4/AA4</f>
        <v>9.0909090909090912E-2</v>
      </c>
      <c r="AN4" s="66"/>
      <c r="AT4" s="9"/>
      <c r="AU4" s="6" t="str">
        <f>IF(AND(AU$2&gt;$Z4,$Z4&gt;0,OR($AN4&gt;AU$2,ISBLANK($AN4))),AU$2-$Z4,"")</f>
        <v/>
      </c>
      <c r="AV4" s="6" t="str">
        <f>IF(AND(AV$2&gt;$Z4,$Z4&gt;0,OR($AN4&gt;AV$2,ISBLANK($AN4))),AV$2-$Z4,"")</f>
        <v/>
      </c>
      <c r="AW4" s="6" t="str">
        <f>IF(AND(AW$2&gt;$Z4,$Z4&gt;0,OR($AN4&gt;AW$2,ISBLANK($AN4))),AW$2-$Z4,"")</f>
        <v/>
      </c>
      <c r="AX4" s="6" t="str">
        <f>IF(AND(AX$2&gt;$Z4,$Z4&gt;0,OR($AN4&gt;AX$2,ISBLANK($AN4))),AX$2-$Z4,"")</f>
        <v/>
      </c>
      <c r="AY4" s="6">
        <f>IF(AND(AY$2&gt;$Z4,$Z4&gt;0,OR($AN4&gt;AY$2,ISBLANK($AN4))),AY$2-$Z4,"")</f>
        <v>30</v>
      </c>
      <c r="AZ4" s="6">
        <f ca="1">IF(AND(AZ$2&gt;$Z4,$Z4&gt;0,OR($AN4&gt;AZ$2,ISBLANK($AN4))),AZ$2-$Z4,"")</f>
        <v>48.382289814813703</v>
      </c>
      <c r="BA4" s="6"/>
      <c r="BB4" s="6"/>
      <c r="BC4" s="6"/>
      <c r="BD4" s="6"/>
    </row>
    <row r="5" spans="2:56" x14ac:dyDescent="0.25">
      <c r="B5" s="13">
        <f t="shared" si="0"/>
        <v>1</v>
      </c>
      <c r="C5" s="13">
        <f t="shared" si="1"/>
        <v>10</v>
      </c>
      <c r="D5" s="13">
        <f t="shared" si="2"/>
        <v>4</v>
      </c>
      <c r="E5" s="13">
        <f t="shared" si="3"/>
        <v>2018</v>
      </c>
      <c r="F5" s="13">
        <f t="shared" si="4"/>
        <v>0</v>
      </c>
      <c r="G5" s="13">
        <f t="shared" si="5"/>
        <v>1</v>
      </c>
      <c r="H5" s="13">
        <f t="shared" si="6"/>
        <v>1</v>
      </c>
      <c r="I5" s="13">
        <f t="shared" si="7"/>
        <v>1900</v>
      </c>
      <c r="J5" s="13">
        <f t="shared" si="8"/>
        <v>0</v>
      </c>
      <c r="K5" s="13">
        <f>IF(J5=1,MONTH(AK5),)</f>
        <v>0</v>
      </c>
      <c r="L5" s="13">
        <f t="shared" si="9"/>
        <v>0</v>
      </c>
      <c r="M5" s="13">
        <f t="shared" si="10"/>
        <v>1900</v>
      </c>
      <c r="N5" s="13">
        <f t="shared" si="11"/>
        <v>0</v>
      </c>
      <c r="O5" s="13">
        <f>IF(N5=1,MONTH(AN5),)</f>
        <v>0</v>
      </c>
      <c r="P5" s="13">
        <f t="shared" si="12"/>
        <v>0</v>
      </c>
      <c r="Q5" s="13">
        <f t="shared" si="13"/>
        <v>1900</v>
      </c>
      <c r="S5" s="38" t="s">
        <v>33</v>
      </c>
      <c r="T5" s="11" t="s">
        <v>31</v>
      </c>
      <c r="U5" s="11" t="s">
        <v>26</v>
      </c>
      <c r="V5" s="39" t="s">
        <v>38</v>
      </c>
      <c r="W5" s="39" t="s">
        <v>27</v>
      </c>
      <c r="X5" s="4" t="s">
        <v>34</v>
      </c>
      <c r="Y5" s="4" t="s">
        <v>29</v>
      </c>
      <c r="Z5" s="66">
        <v>43376</v>
      </c>
      <c r="AA5" s="67">
        <v>225000</v>
      </c>
      <c r="AD5" s="10"/>
      <c r="AG5" s="67">
        <v>237900</v>
      </c>
      <c r="AH5" s="16"/>
      <c r="AI5" s="16">
        <f>AG5-AA5</f>
        <v>12900</v>
      </c>
      <c r="AJ5" s="36">
        <f>AI5/AA5</f>
        <v>5.7333333333333333E-2</v>
      </c>
      <c r="AN5" s="66"/>
      <c r="AT5" s="9"/>
      <c r="AU5" s="6" t="str">
        <f>IF(AND(AU$2&gt;$Z5,$Z5&gt;0,OR($AN5&gt;AU$2,ISBLANK($AN5))),AU$2-$Z5,"")</f>
        <v/>
      </c>
      <c r="AV5" s="6" t="str">
        <f>IF(AND(AV$2&gt;$Z5,$Z5&gt;0,OR($AN5&gt;AV$2,ISBLANK($AN5))),AV$2-$Z5,"")</f>
        <v/>
      </c>
      <c r="AW5" s="6" t="str">
        <f>IF(AND(AW$2&gt;$Z5,$Z5&gt;0,OR($AN5&gt;AW$2,ISBLANK($AN5))),AW$2-$Z5,"")</f>
        <v/>
      </c>
      <c r="AX5" s="6" t="str">
        <f>IF(AND(AX$2&gt;$Z5,$Z5&gt;0,OR($AN5&gt;AX$2,ISBLANK($AN5))),AX$2-$Z5,"")</f>
        <v/>
      </c>
      <c r="AY5" s="6" t="str">
        <f>IF(AND(AY$2&gt;$Z5,$Z5&gt;0,OR($AN5&gt;AY$2,ISBLANK($AN5))),AY$2-$Z5,"")</f>
        <v/>
      </c>
      <c r="AZ5" s="6">
        <f ca="1">IF(AND(AZ$2&gt;$Z5,$Z5&gt;0,OR($AN5&gt;AZ$2,ISBLANK($AN5))),AZ$2-$Z5,"")</f>
        <v>15.382289814813703</v>
      </c>
      <c r="BA5" s="6"/>
      <c r="BB5" s="6"/>
      <c r="BC5" s="6"/>
      <c r="BD5" s="6"/>
    </row>
    <row r="6" spans="2:56" x14ac:dyDescent="0.25">
      <c r="B6" s="13">
        <f t="shared" si="0"/>
        <v>1</v>
      </c>
      <c r="C6" s="13">
        <f t="shared" si="1"/>
        <v>8</v>
      </c>
      <c r="D6" s="13">
        <f t="shared" si="2"/>
        <v>3</v>
      </c>
      <c r="E6" s="13">
        <f t="shared" si="3"/>
        <v>2018</v>
      </c>
      <c r="F6" s="13">
        <f t="shared" si="4"/>
        <v>1</v>
      </c>
      <c r="G6" s="13">
        <f t="shared" si="5"/>
        <v>9</v>
      </c>
      <c r="H6" s="13">
        <f t="shared" si="6"/>
        <v>3</v>
      </c>
      <c r="I6" s="13">
        <f t="shared" si="7"/>
        <v>2018</v>
      </c>
      <c r="J6" s="13">
        <f t="shared" si="8"/>
        <v>1</v>
      </c>
      <c r="K6" s="13">
        <f>IF(J6=1,MONTH(AK6),)</f>
        <v>10</v>
      </c>
      <c r="L6" s="13">
        <f t="shared" si="9"/>
        <v>4</v>
      </c>
      <c r="M6" s="13">
        <f t="shared" si="10"/>
        <v>2018</v>
      </c>
      <c r="N6" s="13">
        <f t="shared" si="11"/>
        <v>0</v>
      </c>
      <c r="O6" s="13">
        <f>IF(N6=1,MONTH(AN6),)</f>
        <v>0</v>
      </c>
      <c r="P6" s="13">
        <f t="shared" si="12"/>
        <v>0</v>
      </c>
      <c r="Q6" s="13">
        <f t="shared" si="13"/>
        <v>1900</v>
      </c>
      <c r="S6" s="38" t="s">
        <v>35</v>
      </c>
      <c r="T6" s="11" t="s">
        <v>31</v>
      </c>
      <c r="U6" s="11" t="s">
        <v>26</v>
      </c>
      <c r="V6" s="39" t="s">
        <v>38</v>
      </c>
      <c r="W6" s="39" t="s">
        <v>27</v>
      </c>
      <c r="X6" s="13" t="s">
        <v>34</v>
      </c>
      <c r="Z6" s="66">
        <v>43335</v>
      </c>
      <c r="AA6" s="67">
        <v>215560</v>
      </c>
      <c r="AD6" s="10"/>
      <c r="AF6" s="66">
        <v>43363</v>
      </c>
      <c r="AG6" s="67">
        <v>229300</v>
      </c>
      <c r="AH6" s="16">
        <f>AF6-Z6</f>
        <v>28</v>
      </c>
      <c r="AI6" s="16">
        <f>AG6-AA6</f>
        <v>13740</v>
      </c>
      <c r="AJ6" s="36">
        <f>AI6/AA6</f>
        <v>6.3740953794767116E-2</v>
      </c>
      <c r="AK6" s="66">
        <v>43376</v>
      </c>
      <c r="AL6" s="67">
        <v>229300</v>
      </c>
      <c r="AM6" s="6">
        <f>AK6-AF6</f>
        <v>13</v>
      </c>
      <c r="AN6" s="66"/>
      <c r="AT6" s="9"/>
      <c r="AU6" s="6" t="str">
        <f>IF(AND(AU$2&gt;$Z6,$Z6&gt;0,OR($AN6&gt;AU$2,ISBLANK($AN6))),AU$2-$Z6,"")</f>
        <v/>
      </c>
      <c r="AV6" s="6" t="str">
        <f>IF(AND(AV$2&gt;$Z6,$Z6&gt;0,OR($AN6&gt;AV$2,ISBLANK($AN6))),AV$2-$Z6,"")</f>
        <v/>
      </c>
      <c r="AW6" s="6" t="str">
        <f>IF(AND(AW$2&gt;$Z6,$Z6&gt;0,OR($AN6&gt;AW$2,ISBLANK($AN6))),AW$2-$Z6,"")</f>
        <v/>
      </c>
      <c r="AX6" s="6">
        <f>IF(AND(AX$2&gt;$Z6,$Z6&gt;0,OR($AN6&gt;AX$2,ISBLANK($AN6))),AX$2-$Z6,"")</f>
        <v>8</v>
      </c>
      <c r="AY6" s="6">
        <f>IF(AND(AY$2&gt;$Z6,$Z6&gt;0,OR($AN6&gt;AY$2,ISBLANK($AN6))),AY$2-$Z6,"")</f>
        <v>38</v>
      </c>
      <c r="AZ6" s="6">
        <f ca="1">IF(AND(AZ$2&gt;$Z6,$Z6&gt;0,OR($AN6&gt;AZ$2,ISBLANK($AN6))),AZ$2-$Z6,"")</f>
        <v>56.382289814813703</v>
      </c>
      <c r="BA6" s="6"/>
      <c r="BB6" s="6"/>
      <c r="BC6" s="6"/>
      <c r="BD6" s="6"/>
    </row>
    <row r="7" spans="2:56" x14ac:dyDescent="0.25">
      <c r="B7" s="13">
        <f t="shared" si="0"/>
        <v>1</v>
      </c>
      <c r="C7" s="13">
        <f t="shared" si="1"/>
        <v>7</v>
      </c>
      <c r="D7" s="13">
        <f t="shared" si="2"/>
        <v>3</v>
      </c>
      <c r="E7" s="13">
        <f t="shared" si="3"/>
        <v>2018</v>
      </c>
      <c r="F7" s="13">
        <f t="shared" si="4"/>
        <v>1</v>
      </c>
      <c r="G7" s="13">
        <f t="shared" si="5"/>
        <v>8</v>
      </c>
      <c r="H7" s="13">
        <f t="shared" si="6"/>
        <v>3</v>
      </c>
      <c r="I7" s="13">
        <f t="shared" si="7"/>
        <v>2018</v>
      </c>
      <c r="J7" s="13">
        <f t="shared" si="8"/>
        <v>0</v>
      </c>
      <c r="K7" s="13">
        <f>IF(J7=1,MONTH(AK7),)</f>
        <v>0</v>
      </c>
      <c r="L7" s="13">
        <f t="shared" si="9"/>
        <v>0</v>
      </c>
      <c r="M7" s="13">
        <f t="shared" si="10"/>
        <v>1900</v>
      </c>
      <c r="N7" s="13">
        <f t="shared" si="11"/>
        <v>0</v>
      </c>
      <c r="O7" s="13">
        <f>IF(N7=1,MONTH(AN7),)</f>
        <v>0</v>
      </c>
      <c r="P7" s="13">
        <f t="shared" si="12"/>
        <v>0</v>
      </c>
      <c r="Q7" s="13">
        <f t="shared" si="13"/>
        <v>1900</v>
      </c>
      <c r="S7" s="38" t="s">
        <v>36</v>
      </c>
      <c r="T7" s="11" t="s">
        <v>31</v>
      </c>
      <c r="U7" s="11" t="s">
        <v>26</v>
      </c>
      <c r="V7" s="39" t="s">
        <v>38</v>
      </c>
      <c r="W7" s="39" t="s">
        <v>27</v>
      </c>
      <c r="X7" s="4" t="s">
        <v>37</v>
      </c>
      <c r="Y7" s="4" t="s">
        <v>29</v>
      </c>
      <c r="Z7" s="66">
        <v>43311</v>
      </c>
      <c r="AA7" s="67">
        <v>260280</v>
      </c>
      <c r="AD7" s="10"/>
      <c r="AF7" s="66">
        <v>43330</v>
      </c>
      <c r="AG7" s="67">
        <v>268800</v>
      </c>
      <c r="AH7" s="16">
        <f>AF7-Z7</f>
        <v>19</v>
      </c>
      <c r="AI7" s="16">
        <f>AG7-AA7</f>
        <v>8520</v>
      </c>
      <c r="AJ7" s="36">
        <f>AI7/AA7</f>
        <v>3.273397879207008E-2</v>
      </c>
      <c r="AN7" s="66"/>
      <c r="AT7" s="9"/>
      <c r="AU7" s="6" t="str">
        <f>IF(AND(AU$2&gt;$Z7,$Z7&gt;0,OR($AN7&gt;AU$2,ISBLANK($AN7))),AU$2-$Z7,"")</f>
        <v/>
      </c>
      <c r="AV7" s="6" t="str">
        <f>IF(AND(AV$2&gt;$Z7,$Z7&gt;0,OR($AN7&gt;AV$2,ISBLANK($AN7))),AV$2-$Z7,"")</f>
        <v/>
      </c>
      <c r="AW7" s="6">
        <f>IF(AND(AW$2&gt;$Z7,$Z7&gt;0,OR($AN7&gt;AW$2,ISBLANK($AN7))),AW$2-$Z7,"")</f>
        <v>1</v>
      </c>
      <c r="AX7" s="6">
        <f>IF(AND(AX$2&gt;$Z7,$Z7&gt;0,OR($AN7&gt;AX$2,ISBLANK($AN7))),AX$2-$Z7,"")</f>
        <v>32</v>
      </c>
      <c r="AY7" s="6">
        <f>IF(AND(AY$2&gt;$Z7,$Z7&gt;0,OR($AN7&gt;AY$2,ISBLANK($AN7))),AY$2-$Z7,"")</f>
        <v>62</v>
      </c>
      <c r="AZ7" s="6">
        <f ca="1">IF(AND(AZ$2&gt;$Z7,$Z7&gt;0,OR($AN7&gt;AZ$2,ISBLANK($AN7))),AZ$2-$Z7,"")</f>
        <v>80.382289814813703</v>
      </c>
      <c r="BA7" s="6"/>
      <c r="BB7" s="6"/>
      <c r="BC7" s="6"/>
      <c r="BD7" s="6"/>
    </row>
    <row r="8" spans="2:56" x14ac:dyDescent="0.25">
      <c r="B8" s="13">
        <f t="shared" si="0"/>
        <v>1</v>
      </c>
      <c r="C8" s="13">
        <f t="shared" si="1"/>
        <v>10</v>
      </c>
      <c r="D8" s="13">
        <f t="shared" si="2"/>
        <v>4</v>
      </c>
      <c r="E8" s="13">
        <f t="shared" si="3"/>
        <v>2018</v>
      </c>
      <c r="F8" s="13">
        <f t="shared" si="4"/>
        <v>0</v>
      </c>
      <c r="G8" s="13">
        <f t="shared" si="5"/>
        <v>1</v>
      </c>
      <c r="H8" s="13">
        <f t="shared" si="6"/>
        <v>1</v>
      </c>
      <c r="I8" s="13">
        <f t="shared" si="7"/>
        <v>1900</v>
      </c>
      <c r="J8" s="13">
        <f t="shared" si="8"/>
        <v>0</v>
      </c>
      <c r="K8" s="13">
        <f>IF(J8=1,MONTH(AK8),)</f>
        <v>0</v>
      </c>
      <c r="L8" s="13">
        <f t="shared" si="9"/>
        <v>0</v>
      </c>
      <c r="M8" s="13">
        <f t="shared" si="10"/>
        <v>1900</v>
      </c>
      <c r="N8" s="13">
        <f t="shared" si="11"/>
        <v>0</v>
      </c>
      <c r="O8" s="13">
        <f>IF(N8=1,MONTH(AN8),)</f>
        <v>0</v>
      </c>
      <c r="P8" s="13">
        <f t="shared" si="12"/>
        <v>0</v>
      </c>
      <c r="Q8" s="13">
        <f t="shared" si="13"/>
        <v>1900</v>
      </c>
      <c r="S8" s="38" t="s">
        <v>569</v>
      </c>
      <c r="T8" s="11" t="s">
        <v>140</v>
      </c>
      <c r="U8" s="11" t="s">
        <v>26</v>
      </c>
      <c r="V8" s="39" t="s">
        <v>38</v>
      </c>
      <c r="W8" s="39" t="s">
        <v>27</v>
      </c>
      <c r="X8" s="13"/>
      <c r="Y8" s="13"/>
      <c r="Z8" s="66">
        <v>43385</v>
      </c>
      <c r="AA8" s="67">
        <v>489300</v>
      </c>
      <c r="AD8" s="10"/>
      <c r="AG8" s="67">
        <v>499900</v>
      </c>
      <c r="AH8" s="16"/>
      <c r="AI8" s="16">
        <f>AG8-AA8</f>
        <v>10600</v>
      </c>
      <c r="AJ8" s="36">
        <f>AI8/AA8</f>
        <v>2.1663601062742694E-2</v>
      </c>
      <c r="AN8" s="66"/>
      <c r="AT8" s="9"/>
      <c r="AU8" s="6" t="str">
        <f>IF(AND(AU$2&gt;$Z8,$Z8&gt;0,OR($AN8&gt;AU$2,ISBLANK($AN8))),AU$2-$Z8,"")</f>
        <v/>
      </c>
      <c r="AV8" s="6" t="str">
        <f>IF(AND(AV$2&gt;$Z8,$Z8&gt;0,OR($AN8&gt;AV$2,ISBLANK($AN8))),AV$2-$Z8,"")</f>
        <v/>
      </c>
      <c r="AW8" s="6" t="str">
        <f>IF(AND(AW$2&gt;$Z8,$Z8&gt;0,OR($AN8&gt;AW$2,ISBLANK($AN8))),AW$2-$Z8,"")</f>
        <v/>
      </c>
      <c r="AX8" s="6" t="str">
        <f>IF(AND(AX$2&gt;$Z8,$Z8&gt;0,OR($AN8&gt;AX$2,ISBLANK($AN8))),AX$2-$Z8,"")</f>
        <v/>
      </c>
      <c r="AY8" s="6" t="str">
        <f>IF(AND(AY$2&gt;$Z8,$Z8&gt;0,OR($AN8&gt;AY$2,ISBLANK($AN8))),AY$2-$Z8,"")</f>
        <v/>
      </c>
      <c r="AZ8" s="6">
        <f ca="1">IF(AND(AZ$2&gt;$Z8,$Z8&gt;0,OR($AN8&gt;AZ$2,ISBLANK($AN8))),AZ$2-$Z8,"")</f>
        <v>6.3822898148137028</v>
      </c>
      <c r="BA8" s="6"/>
      <c r="BB8" s="6"/>
      <c r="BC8" s="6"/>
      <c r="BD8" s="6"/>
    </row>
    <row r="9" spans="2:56" x14ac:dyDescent="0.25">
      <c r="B9" s="13">
        <f t="shared" si="0"/>
        <v>1</v>
      </c>
      <c r="C9" s="13">
        <f t="shared" si="1"/>
        <v>10</v>
      </c>
      <c r="D9" s="13">
        <f t="shared" si="2"/>
        <v>4</v>
      </c>
      <c r="E9" s="13">
        <f t="shared" si="3"/>
        <v>2018</v>
      </c>
      <c r="F9" s="13">
        <f t="shared" si="4"/>
        <v>0</v>
      </c>
      <c r="G9" s="13">
        <f t="shared" si="5"/>
        <v>1</v>
      </c>
      <c r="H9" s="13">
        <f t="shared" si="6"/>
        <v>1</v>
      </c>
      <c r="I9" s="13">
        <f t="shared" si="7"/>
        <v>1900</v>
      </c>
      <c r="J9" s="13">
        <f t="shared" si="8"/>
        <v>0</v>
      </c>
      <c r="K9" s="13">
        <f>IF(J9=1,MONTH(AK9),)</f>
        <v>0</v>
      </c>
      <c r="L9" s="13">
        <f t="shared" si="9"/>
        <v>0</v>
      </c>
      <c r="M9" s="13">
        <f t="shared" si="10"/>
        <v>1900</v>
      </c>
      <c r="N9" s="13">
        <f t="shared" si="11"/>
        <v>0</v>
      </c>
      <c r="O9" s="13">
        <f>IF(N9=1,MONTH(AN9),)</f>
        <v>0</v>
      </c>
      <c r="P9" s="13">
        <f t="shared" si="12"/>
        <v>0</v>
      </c>
      <c r="Q9" s="13">
        <f t="shared" si="13"/>
        <v>1900</v>
      </c>
      <c r="S9" s="38" t="s">
        <v>524</v>
      </c>
      <c r="T9" s="11" t="s">
        <v>25</v>
      </c>
      <c r="U9" s="11" t="s">
        <v>26</v>
      </c>
      <c r="V9" s="39" t="s">
        <v>38</v>
      </c>
      <c r="W9" s="39" t="s">
        <v>27</v>
      </c>
      <c r="X9" s="4" t="s">
        <v>525</v>
      </c>
      <c r="Y9" s="4" t="s">
        <v>29</v>
      </c>
      <c r="Z9" s="66">
        <v>43382</v>
      </c>
      <c r="AA9" s="67">
        <v>451800</v>
      </c>
      <c r="AD9" s="10"/>
      <c r="AG9" s="67">
        <v>459900</v>
      </c>
      <c r="AH9" s="16"/>
      <c r="AI9" s="16">
        <f>AG9-AA9</f>
        <v>8100</v>
      </c>
      <c r="AJ9" s="36">
        <f>AI9/AA9</f>
        <v>1.7928286852589643E-2</v>
      </c>
      <c r="AN9" s="66"/>
      <c r="AT9" s="9"/>
      <c r="AU9" s="6" t="str">
        <f>IF(AND(AU$2&gt;$Z9,$Z9&gt;0,OR($AN9&gt;AU$2,ISBLANK($AN9))),AU$2-$Z9,"")</f>
        <v/>
      </c>
      <c r="AV9" s="6" t="str">
        <f>IF(AND(AV$2&gt;$Z9,$Z9&gt;0,OR($AN9&gt;AV$2,ISBLANK($AN9))),AV$2-$Z9,"")</f>
        <v/>
      </c>
      <c r="AW9" s="6" t="str">
        <f>IF(AND(AW$2&gt;$Z9,$Z9&gt;0,OR($AN9&gt;AW$2,ISBLANK($AN9))),AW$2-$Z9,"")</f>
        <v/>
      </c>
      <c r="AX9" s="6" t="str">
        <f>IF(AND(AX$2&gt;$Z9,$Z9&gt;0,OR($AN9&gt;AX$2,ISBLANK($AN9))),AX$2-$Z9,"")</f>
        <v/>
      </c>
      <c r="AY9" s="6" t="str">
        <f>IF(AND(AY$2&gt;$Z9,$Z9&gt;0,OR($AN9&gt;AY$2,ISBLANK($AN9))),AY$2-$Z9,"")</f>
        <v/>
      </c>
      <c r="AZ9" s="6">
        <f ca="1">IF(AND(AZ$2&gt;$Z9,$Z9&gt;0,OR($AN9&gt;AZ$2,ISBLANK($AN9))),AZ$2-$Z9,"")</f>
        <v>9.3822898148137028</v>
      </c>
      <c r="BA9" s="6"/>
      <c r="BB9" s="6"/>
      <c r="BC9" s="6"/>
      <c r="BD9" s="6"/>
    </row>
    <row r="10" spans="2:56" x14ac:dyDescent="0.25">
      <c r="B10" s="13">
        <f t="shared" si="0"/>
        <v>1</v>
      </c>
      <c r="C10" s="13">
        <f t="shared" si="1"/>
        <v>7</v>
      </c>
      <c r="D10" s="13">
        <f t="shared" si="2"/>
        <v>3</v>
      </c>
      <c r="E10" s="13">
        <f t="shared" si="3"/>
        <v>2018</v>
      </c>
      <c r="F10" s="13">
        <f t="shared" si="4"/>
        <v>1</v>
      </c>
      <c r="G10" s="13">
        <f t="shared" si="5"/>
        <v>8</v>
      </c>
      <c r="H10" s="13">
        <f t="shared" si="6"/>
        <v>3</v>
      </c>
      <c r="I10" s="13">
        <f t="shared" si="7"/>
        <v>2018</v>
      </c>
      <c r="J10" s="13">
        <f t="shared" si="8"/>
        <v>0</v>
      </c>
      <c r="K10" s="13">
        <f>IF(J10=1,MONTH(AK10),)</f>
        <v>0</v>
      </c>
      <c r="L10" s="13">
        <f t="shared" si="9"/>
        <v>0</v>
      </c>
      <c r="M10" s="13">
        <f t="shared" si="10"/>
        <v>1900</v>
      </c>
      <c r="N10" s="13">
        <f t="shared" si="11"/>
        <v>0</v>
      </c>
      <c r="O10" s="13">
        <f>IF(N10=1,MONTH(AN10),)</f>
        <v>0</v>
      </c>
      <c r="P10" s="13">
        <f t="shared" si="12"/>
        <v>0</v>
      </c>
      <c r="Q10" s="13">
        <f t="shared" si="13"/>
        <v>1900</v>
      </c>
      <c r="S10" s="38" t="s">
        <v>39</v>
      </c>
      <c r="T10" s="11" t="s">
        <v>40</v>
      </c>
      <c r="U10" s="11" t="s">
        <v>26</v>
      </c>
      <c r="V10" s="39" t="s">
        <v>38</v>
      </c>
      <c r="W10" s="39" t="s">
        <v>27</v>
      </c>
      <c r="X10" s="13" t="s">
        <v>41</v>
      </c>
      <c r="Y10" s="13" t="s">
        <v>29</v>
      </c>
      <c r="Z10" s="66">
        <v>43305</v>
      </c>
      <c r="AA10" s="67">
        <v>345000</v>
      </c>
      <c r="AD10" s="10"/>
      <c r="AF10" s="66">
        <v>43325</v>
      </c>
      <c r="AG10" s="67">
        <v>342500</v>
      </c>
      <c r="AH10" s="16">
        <f>AF10-Z10</f>
        <v>20</v>
      </c>
      <c r="AI10" s="16">
        <f>AG10-AA10</f>
        <v>-2500</v>
      </c>
      <c r="AJ10" s="36">
        <f>AI10/AA10</f>
        <v>-7.246376811594203E-3</v>
      </c>
      <c r="AN10" s="66"/>
      <c r="AT10" s="9"/>
      <c r="AU10" s="6" t="str">
        <f>IF(AND(AU$2&gt;$Z10,$Z10&gt;0,OR($AN10&gt;AU$2,ISBLANK($AN10))),AU$2-$Z10,"")</f>
        <v/>
      </c>
      <c r="AV10" s="6" t="str">
        <f>IF(AND(AV$2&gt;$Z10,$Z10&gt;0,OR($AN10&gt;AV$2,ISBLANK($AN10))),AV$2-$Z10,"")</f>
        <v/>
      </c>
      <c r="AW10" s="6">
        <f>IF(AND(AW$2&gt;$Z10,$Z10&gt;0,OR($AN10&gt;AW$2,ISBLANK($AN10))),AW$2-$Z10,"")</f>
        <v>7</v>
      </c>
      <c r="AX10" s="6">
        <f>IF(AND(AX$2&gt;$Z10,$Z10&gt;0,OR($AN10&gt;AX$2,ISBLANK($AN10))),AX$2-$Z10,"")</f>
        <v>38</v>
      </c>
      <c r="AY10" s="6">
        <f>IF(AND(AY$2&gt;$Z10,$Z10&gt;0,OR($AN10&gt;AY$2,ISBLANK($AN10))),AY$2-$Z10,"")</f>
        <v>68</v>
      </c>
      <c r="AZ10" s="6">
        <f ca="1">IF(AND(AZ$2&gt;$Z10,$Z10&gt;0,OR($AN10&gt;AZ$2,ISBLANK($AN10))),AZ$2-$Z10,"")</f>
        <v>86.382289814813703</v>
      </c>
      <c r="BA10" s="6"/>
      <c r="BB10" s="6"/>
      <c r="BC10" s="6"/>
      <c r="BD10" s="6"/>
    </row>
    <row r="11" spans="2:56" x14ac:dyDescent="0.25">
      <c r="B11" s="13">
        <f t="shared" si="0"/>
        <v>1</v>
      </c>
      <c r="C11" s="13">
        <f t="shared" si="1"/>
        <v>10</v>
      </c>
      <c r="D11" s="13">
        <f t="shared" si="2"/>
        <v>4</v>
      </c>
      <c r="E11" s="13">
        <f t="shared" si="3"/>
        <v>2018</v>
      </c>
      <c r="F11" s="13">
        <f t="shared" si="4"/>
        <v>0</v>
      </c>
      <c r="G11" s="13">
        <f t="shared" si="5"/>
        <v>1</v>
      </c>
      <c r="H11" s="13">
        <f t="shared" si="6"/>
        <v>1</v>
      </c>
      <c r="I11" s="13">
        <f t="shared" si="7"/>
        <v>1900</v>
      </c>
      <c r="J11" s="13">
        <f t="shared" si="8"/>
        <v>0</v>
      </c>
      <c r="K11" s="13">
        <f>IF(J11=1,MONTH(AK11),)</f>
        <v>0</v>
      </c>
      <c r="L11" s="13">
        <f t="shared" si="9"/>
        <v>0</v>
      </c>
      <c r="M11" s="13">
        <f t="shared" si="10"/>
        <v>1900</v>
      </c>
      <c r="N11" s="13">
        <f t="shared" si="11"/>
        <v>0</v>
      </c>
      <c r="O11" s="13">
        <f>IF(N11=1,MONTH(AN11),)</f>
        <v>0</v>
      </c>
      <c r="P11" s="13">
        <f t="shared" si="12"/>
        <v>0</v>
      </c>
      <c r="Q11" s="13">
        <f t="shared" si="13"/>
        <v>1900</v>
      </c>
      <c r="S11" s="38" t="s">
        <v>520</v>
      </c>
      <c r="T11" s="11" t="s">
        <v>521</v>
      </c>
      <c r="U11" s="11" t="s">
        <v>26</v>
      </c>
      <c r="V11" s="39" t="s">
        <v>38</v>
      </c>
      <c r="W11" s="39" t="s">
        <v>27</v>
      </c>
      <c r="Z11" s="66">
        <v>43388</v>
      </c>
      <c r="AA11" s="67">
        <v>335800</v>
      </c>
      <c r="AD11" s="10"/>
      <c r="AG11" s="67">
        <v>350900</v>
      </c>
      <c r="AH11" s="16"/>
      <c r="AI11" s="16">
        <f>AG11-AA11</f>
        <v>15100</v>
      </c>
      <c r="AJ11" s="36">
        <f>AI11/AA11</f>
        <v>4.4967242406194166E-2</v>
      </c>
      <c r="AN11" s="66"/>
      <c r="AT11" s="9"/>
      <c r="AU11" s="6" t="str">
        <f>IF(AND(AU$2&gt;$Z11,$Z11&gt;0,OR($AN11&gt;AU$2,ISBLANK($AN11))),AU$2-$Z11,"")</f>
        <v/>
      </c>
      <c r="AV11" s="6" t="str">
        <f>IF(AND(AV$2&gt;$Z11,$Z11&gt;0,OR($AN11&gt;AV$2,ISBLANK($AN11))),AV$2-$Z11,"")</f>
        <v/>
      </c>
      <c r="AW11" s="6" t="str">
        <f>IF(AND(AW$2&gt;$Z11,$Z11&gt;0,OR($AN11&gt;AW$2,ISBLANK($AN11))),AW$2-$Z11,"")</f>
        <v/>
      </c>
      <c r="AX11" s="6" t="str">
        <f>IF(AND(AX$2&gt;$Z11,$Z11&gt;0,OR($AN11&gt;AX$2,ISBLANK($AN11))),AX$2-$Z11,"")</f>
        <v/>
      </c>
      <c r="AY11" s="6" t="str">
        <f>IF(AND(AY$2&gt;$Z11,$Z11&gt;0,OR($AN11&gt;AY$2,ISBLANK($AN11))),AY$2-$Z11,"")</f>
        <v/>
      </c>
      <c r="AZ11" s="6">
        <f ca="1">IF(AND(AZ$2&gt;$Z11,$Z11&gt;0,OR($AN11&gt;AZ$2,ISBLANK($AN11))),AZ$2-$Z11,"")</f>
        <v>3.3822898148137028</v>
      </c>
      <c r="BA11" s="6"/>
      <c r="BB11" s="6"/>
      <c r="BC11" s="6"/>
      <c r="BD11" s="6"/>
    </row>
    <row r="12" spans="2:56" x14ac:dyDescent="0.25">
      <c r="B12" s="13">
        <f t="shared" si="0"/>
        <v>1</v>
      </c>
      <c r="C12" s="13">
        <f t="shared" si="1"/>
        <v>8</v>
      </c>
      <c r="D12" s="13">
        <f t="shared" si="2"/>
        <v>3</v>
      </c>
      <c r="E12" s="13">
        <f t="shared" si="3"/>
        <v>2018</v>
      </c>
      <c r="F12" s="13">
        <f t="shared" si="4"/>
        <v>1</v>
      </c>
      <c r="G12" s="13">
        <f t="shared" si="5"/>
        <v>9</v>
      </c>
      <c r="H12" s="13">
        <f t="shared" si="6"/>
        <v>3</v>
      </c>
      <c r="I12" s="13">
        <f t="shared" si="7"/>
        <v>2018</v>
      </c>
      <c r="J12" s="13">
        <f t="shared" si="8"/>
        <v>0</v>
      </c>
      <c r="K12" s="13">
        <f>IF(J12=1,MONTH(AK12),)</f>
        <v>0</v>
      </c>
      <c r="L12" s="13">
        <f t="shared" si="9"/>
        <v>0</v>
      </c>
      <c r="M12" s="13">
        <f t="shared" si="10"/>
        <v>1900</v>
      </c>
      <c r="N12" s="13">
        <f t="shared" si="11"/>
        <v>0</v>
      </c>
      <c r="O12" s="13">
        <f>IF(N12=1,MONTH(AN12),)</f>
        <v>0</v>
      </c>
      <c r="P12" s="13">
        <f t="shared" si="12"/>
        <v>0</v>
      </c>
      <c r="Q12" s="13">
        <f t="shared" si="13"/>
        <v>1900</v>
      </c>
      <c r="S12" s="38" t="s">
        <v>43</v>
      </c>
      <c r="T12" s="11" t="s">
        <v>31</v>
      </c>
      <c r="U12" s="11" t="s">
        <v>26</v>
      </c>
      <c r="V12" s="39" t="s">
        <v>38</v>
      </c>
      <c r="W12" s="39" t="s">
        <v>27</v>
      </c>
      <c r="X12" s="13" t="s">
        <v>44</v>
      </c>
      <c r="Y12" s="13" t="s">
        <v>29</v>
      </c>
      <c r="Z12" s="66">
        <v>43342</v>
      </c>
      <c r="AA12" s="67">
        <v>431000</v>
      </c>
      <c r="AD12" s="10"/>
      <c r="AF12" s="66">
        <v>43358</v>
      </c>
      <c r="AG12" s="67">
        <v>449000</v>
      </c>
      <c r="AH12" s="16">
        <f>AF12-Z12</f>
        <v>16</v>
      </c>
      <c r="AI12" s="16">
        <f>AG12-AA12</f>
        <v>18000</v>
      </c>
      <c r="AJ12" s="36">
        <f>AI12/AA12</f>
        <v>4.1763341067285381E-2</v>
      </c>
      <c r="AN12" s="66"/>
      <c r="AT12" s="9"/>
      <c r="AU12" s="6" t="str">
        <f>IF(AND(AU$2&gt;$Z12,$Z12&gt;0,OR($AN12&gt;AU$2,ISBLANK($AN12))),AU$2-$Z12,"")</f>
        <v/>
      </c>
      <c r="AV12" s="6" t="str">
        <f>IF(AND(AV$2&gt;$Z12,$Z12&gt;0,OR($AN12&gt;AV$2,ISBLANK($AN12))),AV$2-$Z12,"")</f>
        <v/>
      </c>
      <c r="AW12" s="6" t="str">
        <f>IF(AND(AW$2&gt;$Z12,$Z12&gt;0,OR($AN12&gt;AW$2,ISBLANK($AN12))),AW$2-$Z12,"")</f>
        <v/>
      </c>
      <c r="AX12" s="6">
        <f>IF(AND(AX$2&gt;$Z12,$Z12&gt;0,OR($AN12&gt;AX$2,ISBLANK($AN12))),AX$2-$Z12,"")</f>
        <v>1</v>
      </c>
      <c r="AY12" s="6">
        <f>IF(AND(AY$2&gt;$Z12,$Z12&gt;0,OR($AN12&gt;AY$2,ISBLANK($AN12))),AY$2-$Z12,"")</f>
        <v>31</v>
      </c>
      <c r="AZ12" s="6">
        <f ca="1">IF(AND(AZ$2&gt;$Z12,$Z12&gt;0,OR($AN12&gt;AZ$2,ISBLANK($AN12))),AZ$2-$Z12,"")</f>
        <v>49.382289814813703</v>
      </c>
      <c r="BA12" s="6"/>
      <c r="BB12" s="6"/>
      <c r="BC12" s="6"/>
      <c r="BD12" s="6"/>
    </row>
    <row r="13" spans="2:56" x14ac:dyDescent="0.25">
      <c r="B13" s="13">
        <f t="shared" si="0"/>
        <v>1</v>
      </c>
      <c r="C13" s="13">
        <f t="shared" si="1"/>
        <v>7</v>
      </c>
      <c r="D13" s="13">
        <f t="shared" si="2"/>
        <v>3</v>
      </c>
      <c r="E13" s="13">
        <f t="shared" si="3"/>
        <v>2018</v>
      </c>
      <c r="F13" s="13">
        <f t="shared" si="4"/>
        <v>1</v>
      </c>
      <c r="G13" s="13">
        <f t="shared" si="5"/>
        <v>8</v>
      </c>
      <c r="H13" s="13">
        <f t="shared" si="6"/>
        <v>3</v>
      </c>
      <c r="I13" s="13">
        <f t="shared" si="7"/>
        <v>2018</v>
      </c>
      <c r="J13" s="13">
        <f t="shared" si="8"/>
        <v>0</v>
      </c>
      <c r="K13" s="13">
        <f>IF(J13=1,MONTH(AK13),)</f>
        <v>0</v>
      </c>
      <c r="L13" s="13">
        <f t="shared" si="9"/>
        <v>0</v>
      </c>
      <c r="M13" s="13">
        <f t="shared" si="10"/>
        <v>1900</v>
      </c>
      <c r="N13" s="13">
        <f t="shared" si="11"/>
        <v>0</v>
      </c>
      <c r="O13" s="13">
        <f>IF(N13=1,MONTH(AN13),)</f>
        <v>0</v>
      </c>
      <c r="P13" s="13">
        <f t="shared" si="12"/>
        <v>0</v>
      </c>
      <c r="Q13" s="13">
        <f t="shared" si="13"/>
        <v>1900</v>
      </c>
      <c r="S13" s="38" t="s">
        <v>45</v>
      </c>
      <c r="T13" s="11" t="s">
        <v>31</v>
      </c>
      <c r="U13" s="11" t="s">
        <v>26</v>
      </c>
      <c r="V13" s="39" t="s">
        <v>38</v>
      </c>
      <c r="W13" s="39" t="s">
        <v>27</v>
      </c>
      <c r="X13" s="4" t="s">
        <v>46</v>
      </c>
      <c r="Y13" s="4" t="s">
        <v>29</v>
      </c>
      <c r="Z13" s="66">
        <v>43308</v>
      </c>
      <c r="AA13" s="67">
        <v>384000</v>
      </c>
      <c r="AD13" s="10"/>
      <c r="AF13" s="66">
        <v>43320</v>
      </c>
      <c r="AG13" s="67">
        <v>384000</v>
      </c>
      <c r="AH13" s="16">
        <f>AF13-Z13</f>
        <v>12</v>
      </c>
      <c r="AI13" s="16">
        <f>AG13-AA13</f>
        <v>0</v>
      </c>
      <c r="AJ13" s="36">
        <f>AI13/AA13</f>
        <v>0</v>
      </c>
      <c r="AN13" s="66"/>
      <c r="AT13" s="9"/>
      <c r="AU13" s="6" t="str">
        <f>IF(AND(AU$2&gt;$Z13,$Z13&gt;0,OR($AN13&gt;AU$2,ISBLANK($AN13))),AU$2-$Z13,"")</f>
        <v/>
      </c>
      <c r="AV13" s="6" t="str">
        <f>IF(AND(AV$2&gt;$Z13,$Z13&gt;0,OR($AN13&gt;AV$2,ISBLANK($AN13))),AV$2-$Z13,"")</f>
        <v/>
      </c>
      <c r="AW13" s="6">
        <f>IF(AND(AW$2&gt;$Z13,$Z13&gt;0,OR($AN13&gt;AW$2,ISBLANK($AN13))),AW$2-$Z13,"")</f>
        <v>4</v>
      </c>
      <c r="AX13" s="6">
        <f>IF(AND(AX$2&gt;$Z13,$Z13&gt;0,OR($AN13&gt;AX$2,ISBLANK($AN13))),AX$2-$Z13,"")</f>
        <v>35</v>
      </c>
      <c r="AY13" s="6">
        <f>IF(AND(AY$2&gt;$Z13,$Z13&gt;0,OR($AN13&gt;AY$2,ISBLANK($AN13))),AY$2-$Z13,"")</f>
        <v>65</v>
      </c>
      <c r="AZ13" s="6">
        <f ca="1">IF(AND(AZ$2&gt;$Z13,$Z13&gt;0,OR($AN13&gt;AZ$2,ISBLANK($AN13))),AZ$2-$Z13,"")</f>
        <v>83.382289814813703</v>
      </c>
      <c r="BA13" s="6"/>
      <c r="BB13" s="6"/>
      <c r="BC13" s="6"/>
      <c r="BD13" s="6"/>
    </row>
    <row r="14" spans="2:56" x14ac:dyDescent="0.25">
      <c r="B14" s="13">
        <f t="shared" si="0"/>
        <v>1</v>
      </c>
      <c r="C14" s="13">
        <f t="shared" si="1"/>
        <v>9</v>
      </c>
      <c r="D14" s="13">
        <f t="shared" si="2"/>
        <v>3</v>
      </c>
      <c r="E14" s="13">
        <f t="shared" si="3"/>
        <v>2018</v>
      </c>
      <c r="F14" s="13">
        <f t="shared" si="4"/>
        <v>1</v>
      </c>
      <c r="G14" s="13">
        <f t="shared" si="5"/>
        <v>10</v>
      </c>
      <c r="H14" s="13">
        <f t="shared" si="6"/>
        <v>4</v>
      </c>
      <c r="I14" s="13">
        <f t="shared" si="7"/>
        <v>2018</v>
      </c>
      <c r="J14" s="13">
        <f t="shared" si="8"/>
        <v>0</v>
      </c>
      <c r="K14" s="13">
        <f>IF(J14=1,MONTH(AK14),)</f>
        <v>0</v>
      </c>
      <c r="L14" s="13">
        <f t="shared" si="9"/>
        <v>0</v>
      </c>
      <c r="M14" s="13">
        <f t="shared" si="10"/>
        <v>1900</v>
      </c>
      <c r="N14" s="13">
        <f t="shared" si="11"/>
        <v>0</v>
      </c>
      <c r="O14" s="13">
        <f>IF(N14=1,MONTH(AN14),)</f>
        <v>0</v>
      </c>
      <c r="P14" s="13">
        <f t="shared" si="12"/>
        <v>0</v>
      </c>
      <c r="Q14" s="13">
        <f t="shared" si="13"/>
        <v>1900</v>
      </c>
      <c r="S14" s="38" t="s">
        <v>47</v>
      </c>
      <c r="T14" s="11" t="s">
        <v>40</v>
      </c>
      <c r="U14" s="11" t="s">
        <v>26</v>
      </c>
      <c r="V14" s="39" t="s">
        <v>38</v>
      </c>
      <c r="W14" s="39" t="s">
        <v>27</v>
      </c>
      <c r="X14" s="4" t="s">
        <v>48</v>
      </c>
      <c r="Y14" s="4" t="s">
        <v>29</v>
      </c>
      <c r="Z14" s="66">
        <v>43353</v>
      </c>
      <c r="AA14" s="67">
        <v>354300</v>
      </c>
      <c r="AD14" s="10"/>
      <c r="AF14" s="66">
        <v>43374</v>
      </c>
      <c r="AG14" s="67">
        <v>373300</v>
      </c>
      <c r="AH14" s="16">
        <f>AF14-Z14</f>
        <v>21</v>
      </c>
      <c r="AI14" s="16">
        <f>AG14-AA14</f>
        <v>19000</v>
      </c>
      <c r="AJ14" s="36">
        <f>AI14/AA14</f>
        <v>5.3626869884278859E-2</v>
      </c>
      <c r="AN14" s="66"/>
      <c r="AT14" s="9"/>
      <c r="AU14" s="6" t="str">
        <f>IF(AND(AU$2&gt;$Z14,$Z14&gt;0,OR($AN14&gt;AU$2,ISBLANK($AN14))),AU$2-$Z14,"")</f>
        <v/>
      </c>
      <c r="AV14" s="6" t="str">
        <f>IF(AND(AV$2&gt;$Z14,$Z14&gt;0,OR($AN14&gt;AV$2,ISBLANK($AN14))),AV$2-$Z14,"")</f>
        <v/>
      </c>
      <c r="AW14" s="6" t="str">
        <f>IF(AND(AW$2&gt;$Z14,$Z14&gt;0,OR($AN14&gt;AW$2,ISBLANK($AN14))),AW$2-$Z14,"")</f>
        <v/>
      </c>
      <c r="AX14" s="6" t="str">
        <f>IF(AND(AX$2&gt;$Z14,$Z14&gt;0,OR($AN14&gt;AX$2,ISBLANK($AN14))),AX$2-$Z14,"")</f>
        <v/>
      </c>
      <c r="AY14" s="6">
        <f>IF(AND(AY$2&gt;$Z14,$Z14&gt;0,OR($AN14&gt;AY$2,ISBLANK($AN14))),AY$2-$Z14,"")</f>
        <v>20</v>
      </c>
      <c r="AZ14" s="6">
        <f ca="1">IF(AND(AZ$2&gt;$Z14,$Z14&gt;0,OR($AN14&gt;AZ$2,ISBLANK($AN14))),AZ$2-$Z14,"")</f>
        <v>38.382289814813703</v>
      </c>
      <c r="BA14" s="6"/>
      <c r="BB14" s="6"/>
      <c r="BC14" s="6"/>
      <c r="BD14" s="6"/>
    </row>
    <row r="15" spans="2:56" x14ac:dyDescent="0.25">
      <c r="B15" s="13">
        <f t="shared" si="0"/>
        <v>1</v>
      </c>
      <c r="C15" s="13">
        <f t="shared" si="1"/>
        <v>6</v>
      </c>
      <c r="D15" s="13">
        <f t="shared" si="2"/>
        <v>2</v>
      </c>
      <c r="E15" s="13">
        <f t="shared" si="3"/>
        <v>2018</v>
      </c>
      <c r="F15" s="13">
        <f t="shared" si="4"/>
        <v>1</v>
      </c>
      <c r="G15" s="13">
        <f t="shared" si="5"/>
        <v>7</v>
      </c>
      <c r="H15" s="13">
        <f t="shared" si="6"/>
        <v>3</v>
      </c>
      <c r="I15" s="13">
        <f t="shared" si="7"/>
        <v>2018</v>
      </c>
      <c r="J15" s="13">
        <f t="shared" si="8"/>
        <v>1</v>
      </c>
      <c r="K15" s="13">
        <f>IF(J15=1,MONTH(AK15),)</f>
        <v>7</v>
      </c>
      <c r="L15" s="13">
        <f t="shared" si="9"/>
        <v>3</v>
      </c>
      <c r="M15" s="13">
        <f t="shared" si="10"/>
        <v>2018</v>
      </c>
      <c r="N15" s="13">
        <f t="shared" si="11"/>
        <v>1</v>
      </c>
      <c r="O15" s="13">
        <f>IF(N15=1,MONTH(AN15),)</f>
        <v>8</v>
      </c>
      <c r="P15" s="13">
        <f t="shared" si="12"/>
        <v>3</v>
      </c>
      <c r="Q15" s="13">
        <f t="shared" si="13"/>
        <v>2018</v>
      </c>
      <c r="S15" s="38" t="s">
        <v>415</v>
      </c>
      <c r="T15" s="11" t="s">
        <v>169</v>
      </c>
      <c r="U15" s="11" t="s">
        <v>26</v>
      </c>
      <c r="V15" s="39" t="s">
        <v>38</v>
      </c>
      <c r="W15" s="39" t="s">
        <v>27</v>
      </c>
      <c r="X15" s="4" t="s">
        <v>424</v>
      </c>
      <c r="Z15" s="66">
        <v>43269</v>
      </c>
      <c r="AA15" s="67">
        <v>198000</v>
      </c>
      <c r="AD15" s="10"/>
      <c r="AF15" s="66">
        <v>43283</v>
      </c>
      <c r="AG15" s="67">
        <v>207500</v>
      </c>
      <c r="AH15" s="16">
        <f>AF15-Z15</f>
        <v>14</v>
      </c>
      <c r="AI15" s="16">
        <f>AG15-AA15</f>
        <v>9500</v>
      </c>
      <c r="AJ15" s="36">
        <f>AI15/AA15</f>
        <v>4.7979797979797977E-2</v>
      </c>
      <c r="AK15" s="66">
        <v>43290</v>
      </c>
      <c r="AL15" s="67">
        <v>207500</v>
      </c>
      <c r="AM15" s="6">
        <f>AK15-AF15</f>
        <v>7</v>
      </c>
      <c r="AN15" s="66">
        <v>43329</v>
      </c>
      <c r="AO15" s="67">
        <v>211000</v>
      </c>
      <c r="AP15" s="6">
        <f>AN15-AK15</f>
        <v>39</v>
      </c>
      <c r="AQ15" s="6">
        <f>AH15+AM15+AP15</f>
        <v>60</v>
      </c>
      <c r="AR15" s="6">
        <f>AO15-AA15</f>
        <v>13000</v>
      </c>
      <c r="AS15" s="8">
        <f>AR15/AA15</f>
        <v>6.5656565656565663E-2</v>
      </c>
      <c r="AT15" s="9"/>
      <c r="AU15" s="6" t="str">
        <f>IF(AND(AU$2&gt;$Z15,$Z15&gt;0,OR($AN15&gt;AU$2,ISBLANK($AN15))),AU$2-$Z15,"")</f>
        <v/>
      </c>
      <c r="AV15" s="6">
        <f>IF(AND(AV$2&gt;$Z15,$Z15&gt;0,OR($AN15&gt;AV$2,ISBLANK($AN15))),AV$2-$Z15,"")</f>
        <v>12</v>
      </c>
      <c r="AW15" s="6">
        <f>IF(AND(AW$2&gt;$Z15,$Z15&gt;0,OR($AN15&gt;AW$2,ISBLANK($AN15))),AW$2-$Z15,"")</f>
        <v>43</v>
      </c>
      <c r="AX15" s="6" t="str">
        <f>IF(AND(AX$2&gt;$Z15,$Z15&gt;0,OR($AN15&gt;AX$2,ISBLANK($AN15))),AX$2-$Z15,"")</f>
        <v/>
      </c>
      <c r="AY15" s="6" t="str">
        <f>IF(AND(AY$2&gt;$Z15,$Z15&gt;0,OR($AN15&gt;AY$2,ISBLANK($AN15))),AY$2-$Z15,"")</f>
        <v/>
      </c>
      <c r="AZ15" s="6" t="str">
        <f ca="1">IF(AND(AZ$2&gt;$Z15,$Z15&gt;0,OR($AN15&gt;AZ$2,ISBLANK($AN15))),AZ$2-$Z15,"")</f>
        <v/>
      </c>
      <c r="BA15" s="6"/>
      <c r="BB15" s="6"/>
      <c r="BC15" s="6"/>
      <c r="BD15" s="6"/>
    </row>
    <row r="16" spans="2:56" x14ac:dyDescent="0.25">
      <c r="B16" s="13">
        <f t="shared" si="0"/>
        <v>1</v>
      </c>
      <c r="C16" s="13">
        <f t="shared" si="1"/>
        <v>9</v>
      </c>
      <c r="D16" s="13">
        <f t="shared" si="2"/>
        <v>3</v>
      </c>
      <c r="E16" s="13">
        <f t="shared" si="3"/>
        <v>2018</v>
      </c>
      <c r="F16" s="13">
        <f t="shared" si="4"/>
        <v>0</v>
      </c>
      <c r="G16" s="13">
        <f t="shared" si="5"/>
        <v>1</v>
      </c>
      <c r="H16" s="13">
        <f t="shared" si="6"/>
        <v>1</v>
      </c>
      <c r="I16" s="13">
        <f t="shared" si="7"/>
        <v>1900</v>
      </c>
      <c r="J16" s="13">
        <f t="shared" si="8"/>
        <v>0</v>
      </c>
      <c r="K16" s="13">
        <f>IF(J16=1,MONTH(AK16),)</f>
        <v>0</v>
      </c>
      <c r="L16" s="13">
        <f t="shared" si="9"/>
        <v>0</v>
      </c>
      <c r="M16" s="13">
        <f t="shared" si="10"/>
        <v>1900</v>
      </c>
      <c r="N16" s="13">
        <f t="shared" si="11"/>
        <v>0</v>
      </c>
      <c r="O16" s="13">
        <f>IF(N16=1,MONTH(AN16),)</f>
        <v>0</v>
      </c>
      <c r="P16" s="13">
        <f t="shared" si="12"/>
        <v>0</v>
      </c>
      <c r="Q16" s="13">
        <f t="shared" si="13"/>
        <v>1900</v>
      </c>
      <c r="S16" s="38" t="s">
        <v>49</v>
      </c>
      <c r="T16" s="11" t="s">
        <v>50</v>
      </c>
      <c r="U16" s="11" t="s">
        <v>26</v>
      </c>
      <c r="V16" s="39" t="s">
        <v>38</v>
      </c>
      <c r="W16" s="39" t="s">
        <v>27</v>
      </c>
      <c r="X16" s="4" t="s">
        <v>51</v>
      </c>
      <c r="Y16" s="4" t="s">
        <v>29</v>
      </c>
      <c r="Z16" s="66">
        <v>43364</v>
      </c>
      <c r="AA16" s="67">
        <v>207000</v>
      </c>
      <c r="AD16" s="10"/>
      <c r="AH16" s="16"/>
      <c r="AI16" s="16"/>
      <c r="AJ16" s="36"/>
      <c r="AN16" s="66"/>
      <c r="AT16" s="9"/>
      <c r="AU16" s="6" t="str">
        <f>IF(AND(AU$2&gt;$Z16,$Z16&gt;0,OR($AN16&gt;AU$2,ISBLANK($AN16))),AU$2-$Z16,"")</f>
        <v/>
      </c>
      <c r="AV16" s="6" t="str">
        <f>IF(AND(AV$2&gt;$Z16,$Z16&gt;0,OR($AN16&gt;AV$2,ISBLANK($AN16))),AV$2-$Z16,"")</f>
        <v/>
      </c>
      <c r="AW16" s="6" t="str">
        <f>IF(AND(AW$2&gt;$Z16,$Z16&gt;0,OR($AN16&gt;AW$2,ISBLANK($AN16))),AW$2-$Z16,"")</f>
        <v/>
      </c>
      <c r="AX16" s="6" t="str">
        <f>IF(AND(AX$2&gt;$Z16,$Z16&gt;0,OR($AN16&gt;AX$2,ISBLANK($AN16))),AX$2-$Z16,"")</f>
        <v/>
      </c>
      <c r="AY16" s="6">
        <f>IF(AND(AY$2&gt;$Z16,$Z16&gt;0,OR($AN16&gt;AY$2,ISBLANK($AN16))),AY$2-$Z16,"")</f>
        <v>9</v>
      </c>
      <c r="AZ16" s="6">
        <f ca="1">IF(AND(AZ$2&gt;$Z16,$Z16&gt;0,OR($AN16&gt;AZ$2,ISBLANK($AN16))),AZ$2-$Z16,"")</f>
        <v>27.382289814813703</v>
      </c>
      <c r="BA16" s="6"/>
      <c r="BB16" s="6"/>
      <c r="BC16" s="6"/>
      <c r="BD16" s="6"/>
    </row>
    <row r="17" spans="2:56" x14ac:dyDescent="0.25">
      <c r="B17" s="13">
        <f t="shared" si="0"/>
        <v>1</v>
      </c>
      <c r="C17" s="13">
        <f t="shared" si="1"/>
        <v>9</v>
      </c>
      <c r="D17" s="13">
        <f t="shared" si="2"/>
        <v>3</v>
      </c>
      <c r="E17" s="13">
        <f t="shared" si="3"/>
        <v>2018</v>
      </c>
      <c r="F17" s="13">
        <f t="shared" si="4"/>
        <v>1</v>
      </c>
      <c r="G17" s="13">
        <f t="shared" si="5"/>
        <v>10</v>
      </c>
      <c r="H17" s="13">
        <f t="shared" si="6"/>
        <v>4</v>
      </c>
      <c r="I17" s="13">
        <f t="shared" si="7"/>
        <v>2018</v>
      </c>
      <c r="J17" s="13">
        <f t="shared" si="8"/>
        <v>0</v>
      </c>
      <c r="K17" s="13">
        <f>IF(J17=1,MONTH(AK17),)</f>
        <v>0</v>
      </c>
      <c r="L17" s="13">
        <f t="shared" si="9"/>
        <v>0</v>
      </c>
      <c r="M17" s="13">
        <f t="shared" si="10"/>
        <v>1900</v>
      </c>
      <c r="N17" s="13">
        <f t="shared" si="11"/>
        <v>0</v>
      </c>
      <c r="O17" s="13">
        <f>IF(N17=1,MONTH(AN17),)</f>
        <v>0</v>
      </c>
      <c r="P17" s="13">
        <f t="shared" si="12"/>
        <v>0</v>
      </c>
      <c r="Q17" s="13">
        <f t="shared" si="13"/>
        <v>1900</v>
      </c>
      <c r="S17" s="38" t="s">
        <v>52</v>
      </c>
      <c r="T17" s="11" t="s">
        <v>38</v>
      </c>
      <c r="U17" s="11" t="s">
        <v>26</v>
      </c>
      <c r="V17" s="39" t="s">
        <v>38</v>
      </c>
      <c r="W17" s="39" t="s">
        <v>27</v>
      </c>
      <c r="X17" s="4" t="s">
        <v>53</v>
      </c>
      <c r="Y17" s="4" t="s">
        <v>29</v>
      </c>
      <c r="Z17" s="66">
        <v>43369</v>
      </c>
      <c r="AA17" s="67">
        <v>261300</v>
      </c>
      <c r="AD17" s="10"/>
      <c r="AF17" s="66">
        <v>43386</v>
      </c>
      <c r="AG17" s="67">
        <v>271900</v>
      </c>
      <c r="AH17" s="16">
        <f>AF17-Z17</f>
        <v>17</v>
      </c>
      <c r="AI17" s="16">
        <f>AG17-AA17</f>
        <v>10600</v>
      </c>
      <c r="AJ17" s="36">
        <f>AI17/AA17</f>
        <v>4.0566398775354E-2</v>
      </c>
      <c r="AN17" s="66"/>
      <c r="AT17" s="9"/>
      <c r="AU17" s="6" t="str">
        <f>IF(AND(AU$2&gt;$Z17,$Z17&gt;0,OR($AN17&gt;AU$2,ISBLANK($AN17))),AU$2-$Z17,"")</f>
        <v/>
      </c>
      <c r="AV17" s="6" t="str">
        <f>IF(AND(AV$2&gt;$Z17,$Z17&gt;0,OR($AN17&gt;AV$2,ISBLANK($AN17))),AV$2-$Z17,"")</f>
        <v/>
      </c>
      <c r="AW17" s="6" t="str">
        <f>IF(AND(AW$2&gt;$Z17,$Z17&gt;0,OR($AN17&gt;AW$2,ISBLANK($AN17))),AW$2-$Z17,"")</f>
        <v/>
      </c>
      <c r="AX17" s="6" t="str">
        <f>IF(AND(AX$2&gt;$Z17,$Z17&gt;0,OR($AN17&gt;AX$2,ISBLANK($AN17))),AX$2-$Z17,"")</f>
        <v/>
      </c>
      <c r="AY17" s="6">
        <f>IF(AND(AY$2&gt;$Z17,$Z17&gt;0,OR($AN17&gt;AY$2,ISBLANK($AN17))),AY$2-$Z17,"")</f>
        <v>4</v>
      </c>
      <c r="AZ17" s="6">
        <f ca="1">IF(AND(AZ$2&gt;$Z17,$Z17&gt;0,OR($AN17&gt;AZ$2,ISBLANK($AN17))),AZ$2-$Z17,"")</f>
        <v>22.382289814813703</v>
      </c>
      <c r="BA17" s="6"/>
      <c r="BB17" s="6"/>
      <c r="BC17" s="6"/>
      <c r="BD17" s="6"/>
    </row>
    <row r="18" spans="2:56" x14ac:dyDescent="0.25">
      <c r="B18" s="13">
        <f t="shared" si="0"/>
        <v>1</v>
      </c>
      <c r="C18" s="13">
        <f t="shared" si="1"/>
        <v>9</v>
      </c>
      <c r="D18" s="13">
        <f t="shared" si="2"/>
        <v>3</v>
      </c>
      <c r="E18" s="13">
        <f t="shared" si="3"/>
        <v>2018</v>
      </c>
      <c r="F18" s="13">
        <f t="shared" si="4"/>
        <v>1</v>
      </c>
      <c r="G18" s="13">
        <f t="shared" si="5"/>
        <v>10</v>
      </c>
      <c r="H18" s="13">
        <f t="shared" si="6"/>
        <v>4</v>
      </c>
      <c r="I18" s="13">
        <f t="shared" si="7"/>
        <v>2018</v>
      </c>
      <c r="J18" s="13">
        <f t="shared" si="8"/>
        <v>1</v>
      </c>
      <c r="K18" s="13">
        <f>IF(J18=1,MONTH(AK18),)</f>
        <v>10</v>
      </c>
      <c r="L18" s="13">
        <f t="shared" si="9"/>
        <v>4</v>
      </c>
      <c r="M18" s="13">
        <f t="shared" si="10"/>
        <v>2018</v>
      </c>
      <c r="N18" s="13">
        <f t="shared" si="11"/>
        <v>0</v>
      </c>
      <c r="O18" s="13">
        <f>IF(N18=1,MONTH(AN18),)</f>
        <v>0</v>
      </c>
      <c r="P18" s="13">
        <f t="shared" si="12"/>
        <v>0</v>
      </c>
      <c r="Q18" s="13">
        <f t="shared" si="13"/>
        <v>1900</v>
      </c>
      <c r="S18" s="38" t="s">
        <v>54</v>
      </c>
      <c r="T18" s="11" t="s">
        <v>50</v>
      </c>
      <c r="U18" s="11" t="s">
        <v>26</v>
      </c>
      <c r="V18" s="39" t="s">
        <v>38</v>
      </c>
      <c r="W18" s="39" t="s">
        <v>27</v>
      </c>
      <c r="X18" s="13" t="s">
        <v>55</v>
      </c>
      <c r="Y18" s="4" t="s">
        <v>29</v>
      </c>
      <c r="Z18" s="66">
        <v>43360</v>
      </c>
      <c r="AA18" s="67">
        <v>257000</v>
      </c>
      <c r="AD18" s="10"/>
      <c r="AF18" s="66">
        <v>43376</v>
      </c>
      <c r="AG18" s="67">
        <v>264900</v>
      </c>
      <c r="AH18" s="16">
        <f>AF18-Z18</f>
        <v>16</v>
      </c>
      <c r="AI18" s="16">
        <f>AG18-AA18</f>
        <v>7900</v>
      </c>
      <c r="AJ18" s="36">
        <f>AI18/AA18</f>
        <v>3.073929961089494E-2</v>
      </c>
      <c r="AK18" s="66">
        <v>43378</v>
      </c>
      <c r="AL18" s="67">
        <v>264900</v>
      </c>
      <c r="AM18" s="6">
        <f>AK18-AF18</f>
        <v>2</v>
      </c>
      <c r="AN18" s="66"/>
      <c r="AT18" s="9"/>
      <c r="AU18" s="6" t="str">
        <f>IF(AND(AU$2&gt;$Z18,$Z18&gt;0,OR($AN18&gt;AU$2,ISBLANK($AN18))),AU$2-$Z18,"")</f>
        <v/>
      </c>
      <c r="AV18" s="6" t="str">
        <f>IF(AND(AV$2&gt;$Z18,$Z18&gt;0,OR($AN18&gt;AV$2,ISBLANK($AN18))),AV$2-$Z18,"")</f>
        <v/>
      </c>
      <c r="AW18" s="6" t="str">
        <f>IF(AND(AW$2&gt;$Z18,$Z18&gt;0,OR($AN18&gt;AW$2,ISBLANK($AN18))),AW$2-$Z18,"")</f>
        <v/>
      </c>
      <c r="AX18" s="6" t="str">
        <f>IF(AND(AX$2&gt;$Z18,$Z18&gt;0,OR($AN18&gt;AX$2,ISBLANK($AN18))),AX$2-$Z18,"")</f>
        <v/>
      </c>
      <c r="AY18" s="6">
        <f>IF(AND(AY$2&gt;$Z18,$Z18&gt;0,OR($AN18&gt;AY$2,ISBLANK($AN18))),AY$2-$Z18,"")</f>
        <v>13</v>
      </c>
      <c r="AZ18" s="6">
        <f ca="1">IF(AND(AZ$2&gt;$Z18,$Z18&gt;0,OR($AN18&gt;AZ$2,ISBLANK($AN18))),AZ$2-$Z18,"")</f>
        <v>31.382289814813703</v>
      </c>
      <c r="BA18" s="6"/>
      <c r="BB18" s="6"/>
      <c r="BC18" s="6"/>
      <c r="BD18" s="6"/>
    </row>
    <row r="19" spans="2:56" x14ac:dyDescent="0.25">
      <c r="B19" s="13">
        <f t="shared" si="0"/>
        <v>1</v>
      </c>
      <c r="C19" s="13">
        <f t="shared" si="1"/>
        <v>9</v>
      </c>
      <c r="D19" s="13">
        <f t="shared" si="2"/>
        <v>3</v>
      </c>
      <c r="E19" s="13">
        <f t="shared" si="3"/>
        <v>2018</v>
      </c>
      <c r="F19" s="13">
        <f t="shared" si="4"/>
        <v>1</v>
      </c>
      <c r="G19" s="13">
        <f t="shared" si="5"/>
        <v>10</v>
      </c>
      <c r="H19" s="13">
        <f t="shared" si="6"/>
        <v>4</v>
      </c>
      <c r="I19" s="13">
        <f t="shared" si="7"/>
        <v>2018</v>
      </c>
      <c r="J19" s="13">
        <f t="shared" si="8"/>
        <v>1</v>
      </c>
      <c r="K19" s="13">
        <f>IF(J19=1,MONTH(AK19),)</f>
        <v>10</v>
      </c>
      <c r="L19" s="13">
        <f t="shared" si="9"/>
        <v>4</v>
      </c>
      <c r="M19" s="13">
        <f t="shared" si="10"/>
        <v>2018</v>
      </c>
      <c r="N19" s="13">
        <f t="shared" si="11"/>
        <v>0</v>
      </c>
      <c r="O19" s="13">
        <f>IF(N19=1,MONTH(AN19),)</f>
        <v>0</v>
      </c>
      <c r="P19" s="13">
        <f t="shared" si="12"/>
        <v>0</v>
      </c>
      <c r="Q19" s="13">
        <f t="shared" si="13"/>
        <v>1900</v>
      </c>
      <c r="S19" s="38" t="s">
        <v>56</v>
      </c>
      <c r="T19" s="11" t="s">
        <v>57</v>
      </c>
      <c r="U19" s="11" t="s">
        <v>26</v>
      </c>
      <c r="V19" s="39" t="s">
        <v>38</v>
      </c>
      <c r="W19" s="39" t="s">
        <v>27</v>
      </c>
      <c r="X19" s="4" t="s">
        <v>58</v>
      </c>
      <c r="Y19" s="4" t="s">
        <v>29</v>
      </c>
      <c r="Z19" s="66">
        <v>43364</v>
      </c>
      <c r="AA19" s="67">
        <v>322000</v>
      </c>
      <c r="AD19" s="10"/>
      <c r="AF19" s="66">
        <v>43378</v>
      </c>
      <c r="AG19" s="67">
        <v>337200</v>
      </c>
      <c r="AH19" s="16">
        <f>AF19-Z19</f>
        <v>14</v>
      </c>
      <c r="AI19" s="16">
        <f>AG19-AA19</f>
        <v>15200</v>
      </c>
      <c r="AJ19" s="36">
        <f>AI19/AA19</f>
        <v>4.7204968944099382E-2</v>
      </c>
      <c r="AK19" s="66">
        <v>43383</v>
      </c>
      <c r="AL19" s="67">
        <v>337200</v>
      </c>
      <c r="AM19" s="6">
        <f>AK19-AF19</f>
        <v>5</v>
      </c>
      <c r="AN19" s="66"/>
      <c r="AT19" s="9"/>
      <c r="AU19" s="6" t="str">
        <f>IF(AND(AU$2&gt;$Z19,$Z19&gt;0,OR($AN19&gt;AU$2,ISBLANK($AN19))),AU$2-$Z19,"")</f>
        <v/>
      </c>
      <c r="AV19" s="6" t="str">
        <f>IF(AND(AV$2&gt;$Z19,$Z19&gt;0,OR($AN19&gt;AV$2,ISBLANK($AN19))),AV$2-$Z19,"")</f>
        <v/>
      </c>
      <c r="AW19" s="6" t="str">
        <f>IF(AND(AW$2&gt;$Z19,$Z19&gt;0,OR($AN19&gt;AW$2,ISBLANK($AN19))),AW$2-$Z19,"")</f>
        <v/>
      </c>
      <c r="AX19" s="6" t="str">
        <f>IF(AND(AX$2&gt;$Z19,$Z19&gt;0,OR($AN19&gt;AX$2,ISBLANK($AN19))),AX$2-$Z19,"")</f>
        <v/>
      </c>
      <c r="AY19" s="6">
        <f>IF(AND(AY$2&gt;$Z19,$Z19&gt;0,OR($AN19&gt;AY$2,ISBLANK($AN19))),AY$2-$Z19,"")</f>
        <v>9</v>
      </c>
      <c r="AZ19" s="6">
        <f ca="1">IF(AND(AZ$2&gt;$Z19,$Z19&gt;0,OR($AN19&gt;AZ$2,ISBLANK($AN19))),AZ$2-$Z19,"")</f>
        <v>27.382289814813703</v>
      </c>
      <c r="BA19" s="6"/>
      <c r="BB19" s="6"/>
      <c r="BC19" s="6"/>
      <c r="BD19" s="6"/>
    </row>
    <row r="20" spans="2:56" x14ac:dyDescent="0.25">
      <c r="B20" s="13">
        <f t="shared" si="0"/>
        <v>1</v>
      </c>
      <c r="C20" s="13">
        <f t="shared" si="1"/>
        <v>7</v>
      </c>
      <c r="D20" s="13">
        <f t="shared" si="2"/>
        <v>3</v>
      </c>
      <c r="E20" s="13">
        <f t="shared" si="3"/>
        <v>2018</v>
      </c>
      <c r="F20" s="13">
        <f t="shared" si="4"/>
        <v>1</v>
      </c>
      <c r="G20" s="13">
        <f t="shared" si="5"/>
        <v>7</v>
      </c>
      <c r="H20" s="13">
        <f t="shared" si="6"/>
        <v>3</v>
      </c>
      <c r="I20" s="13">
        <f t="shared" si="7"/>
        <v>2018</v>
      </c>
      <c r="J20" s="13">
        <f t="shared" si="8"/>
        <v>1</v>
      </c>
      <c r="K20" s="13">
        <f>IF(J20=1,MONTH(AK20),)</f>
        <v>8</v>
      </c>
      <c r="L20" s="13">
        <f t="shared" si="9"/>
        <v>3</v>
      </c>
      <c r="M20" s="13">
        <f t="shared" si="10"/>
        <v>2018</v>
      </c>
      <c r="N20" s="13">
        <f t="shared" si="11"/>
        <v>1</v>
      </c>
      <c r="O20" s="13">
        <f>IF(N20=1,MONTH(AN20),)</f>
        <v>9</v>
      </c>
      <c r="P20" s="13">
        <f t="shared" si="12"/>
        <v>3</v>
      </c>
      <c r="Q20" s="13">
        <f t="shared" si="13"/>
        <v>2018</v>
      </c>
      <c r="S20" s="38" t="s">
        <v>479</v>
      </c>
      <c r="T20" s="11" t="s">
        <v>57</v>
      </c>
      <c r="U20" s="11" t="s">
        <v>26</v>
      </c>
      <c r="V20" s="39" t="s">
        <v>38</v>
      </c>
      <c r="W20" s="39" t="s">
        <v>27</v>
      </c>
      <c r="Y20" s="4" t="s">
        <v>29</v>
      </c>
      <c r="Z20" s="66">
        <v>43300</v>
      </c>
      <c r="AA20" s="67">
        <v>425182</v>
      </c>
      <c r="AD20" s="10"/>
      <c r="AF20" s="66">
        <v>43310</v>
      </c>
      <c r="AG20" s="67">
        <v>434000</v>
      </c>
      <c r="AH20" s="16">
        <f>AF20-Z20</f>
        <v>10</v>
      </c>
      <c r="AI20" s="16">
        <f>AG20-AA20</f>
        <v>8818</v>
      </c>
      <c r="AJ20" s="36">
        <f>AI20/AA20</f>
        <v>2.0739353970770164E-2</v>
      </c>
      <c r="AK20" s="66">
        <v>43333</v>
      </c>
      <c r="AL20" s="67">
        <v>434000</v>
      </c>
      <c r="AM20" s="6">
        <f>AK20-AF20</f>
        <v>23</v>
      </c>
      <c r="AN20" s="66">
        <v>43361</v>
      </c>
      <c r="AO20" s="67">
        <v>436000</v>
      </c>
      <c r="AP20" s="6">
        <f>AN20-AK20</f>
        <v>28</v>
      </c>
      <c r="AQ20" s="6">
        <f>AH20+AM20+AP20</f>
        <v>61</v>
      </c>
      <c r="AR20" s="6">
        <f>AO20-AA20</f>
        <v>10818</v>
      </c>
      <c r="AS20" s="8">
        <f>AR20/AA20</f>
        <v>2.5443221961418874E-2</v>
      </c>
      <c r="AT20" s="9"/>
      <c r="AU20" s="6" t="str">
        <f>IF(AND(AU$2&gt;$Z20,$Z20&gt;0,OR($AN20&gt;AU$2,ISBLANK($AN20))),AU$2-$Z20,"")</f>
        <v/>
      </c>
      <c r="AV20" s="6" t="str">
        <f>IF(AND(AV$2&gt;$Z20,$Z20&gt;0,OR($AN20&gt;AV$2,ISBLANK($AN20))),AV$2-$Z20,"")</f>
        <v/>
      </c>
      <c r="AW20" s="6">
        <f>IF(AND(AW$2&gt;$Z20,$Z20&gt;0,OR($AN20&gt;AW$2,ISBLANK($AN20))),AW$2-$Z20,"")</f>
        <v>12</v>
      </c>
      <c r="AX20" s="6">
        <f>IF(AND(AX$2&gt;$Z20,$Z20&gt;0,OR($AN20&gt;AX$2,ISBLANK($AN20))),AX$2-$Z20,"")</f>
        <v>43</v>
      </c>
      <c r="AY20" s="6" t="str">
        <f>IF(AND(AY$2&gt;$Z20,$Z20&gt;0,OR($AN20&gt;AY$2,ISBLANK($AN20))),AY$2-$Z20,"")</f>
        <v/>
      </c>
      <c r="AZ20" s="6" t="str">
        <f ca="1">IF(AND(AZ$2&gt;$Z20,$Z20&gt;0,OR($AN20&gt;AZ$2,ISBLANK($AN20))),AZ$2-$Z20,"")</f>
        <v/>
      </c>
      <c r="BA20" s="6"/>
      <c r="BB20" s="6"/>
      <c r="BC20" s="6"/>
      <c r="BD20" s="6"/>
    </row>
    <row r="21" spans="2:56" x14ac:dyDescent="0.25">
      <c r="B21" s="13">
        <f t="shared" si="0"/>
        <v>1</v>
      </c>
      <c r="C21" s="13">
        <f t="shared" si="1"/>
        <v>9</v>
      </c>
      <c r="D21" s="13">
        <f t="shared" si="2"/>
        <v>3</v>
      </c>
      <c r="E21" s="13">
        <f t="shared" si="3"/>
        <v>2018</v>
      </c>
      <c r="F21" s="13">
        <f t="shared" si="4"/>
        <v>1</v>
      </c>
      <c r="G21" s="13">
        <f t="shared" si="5"/>
        <v>9</v>
      </c>
      <c r="H21" s="13">
        <f t="shared" si="6"/>
        <v>3</v>
      </c>
      <c r="I21" s="13">
        <f t="shared" si="7"/>
        <v>2018</v>
      </c>
      <c r="J21" s="13">
        <f t="shared" si="8"/>
        <v>1</v>
      </c>
      <c r="K21" s="13">
        <f>IF(J21=1,MONTH(AK21),)</f>
        <v>10</v>
      </c>
      <c r="L21" s="13">
        <f t="shared" si="9"/>
        <v>4</v>
      </c>
      <c r="M21" s="13">
        <f t="shared" si="10"/>
        <v>2018</v>
      </c>
      <c r="N21" s="13">
        <f t="shared" si="11"/>
        <v>0</v>
      </c>
      <c r="O21" s="13">
        <f>IF(N21=1,MONTH(AN21),)</f>
        <v>0</v>
      </c>
      <c r="P21" s="13">
        <f t="shared" si="12"/>
        <v>0</v>
      </c>
      <c r="Q21" s="13">
        <f t="shared" si="13"/>
        <v>1900</v>
      </c>
      <c r="S21" s="38" t="s">
        <v>59</v>
      </c>
      <c r="T21" s="11" t="s">
        <v>50</v>
      </c>
      <c r="U21" s="11" t="s">
        <v>26</v>
      </c>
      <c r="V21" s="39" t="s">
        <v>38</v>
      </c>
      <c r="W21" s="39" t="s">
        <v>27</v>
      </c>
      <c r="X21" s="4" t="s">
        <v>60</v>
      </c>
      <c r="Y21" s="4" t="s">
        <v>29</v>
      </c>
      <c r="Z21" s="66">
        <v>43347</v>
      </c>
      <c r="AA21" s="67">
        <v>286000</v>
      </c>
      <c r="AD21" s="10"/>
      <c r="AF21" s="66">
        <v>43359</v>
      </c>
      <c r="AG21" s="67">
        <v>305700</v>
      </c>
      <c r="AH21" s="16">
        <f>AF21-Z21</f>
        <v>12</v>
      </c>
      <c r="AI21" s="16">
        <f>AG21-AA21</f>
        <v>19700</v>
      </c>
      <c r="AJ21" s="36">
        <f>AI21/AA21</f>
        <v>6.8881118881118877E-2</v>
      </c>
      <c r="AK21" s="66">
        <v>43376</v>
      </c>
      <c r="AL21" s="67">
        <v>305700</v>
      </c>
      <c r="AM21" s="6">
        <f>AK21-AF21</f>
        <v>17</v>
      </c>
      <c r="AN21" s="66"/>
      <c r="AT21" s="9"/>
      <c r="AU21" s="6" t="str">
        <f>IF(AND(AU$2&gt;$Z21,$Z21&gt;0,OR($AN21&gt;AU$2,ISBLANK($AN21))),AU$2-$Z21,"")</f>
        <v/>
      </c>
      <c r="AV21" s="6" t="str">
        <f>IF(AND(AV$2&gt;$Z21,$Z21&gt;0,OR($AN21&gt;AV$2,ISBLANK($AN21))),AV$2-$Z21,"")</f>
        <v/>
      </c>
      <c r="AW21" s="6" t="str">
        <f>IF(AND(AW$2&gt;$Z21,$Z21&gt;0,OR($AN21&gt;AW$2,ISBLANK($AN21))),AW$2-$Z21,"")</f>
        <v/>
      </c>
      <c r="AX21" s="6" t="str">
        <f>IF(AND(AX$2&gt;$Z21,$Z21&gt;0,OR($AN21&gt;AX$2,ISBLANK($AN21))),AX$2-$Z21,"")</f>
        <v/>
      </c>
      <c r="AY21" s="6">
        <f>IF(AND(AY$2&gt;$Z21,$Z21&gt;0,OR($AN21&gt;AY$2,ISBLANK($AN21))),AY$2-$Z21,"")</f>
        <v>26</v>
      </c>
      <c r="AZ21" s="6">
        <f ca="1">IF(AND(AZ$2&gt;$Z21,$Z21&gt;0,OR($AN21&gt;AZ$2,ISBLANK($AN21))),AZ$2-$Z21,"")</f>
        <v>44.382289814813703</v>
      </c>
      <c r="BA21" s="6"/>
      <c r="BB21" s="6"/>
      <c r="BC21" s="6"/>
      <c r="BD21" s="6"/>
    </row>
    <row r="22" spans="2:56" x14ac:dyDescent="0.25">
      <c r="B22" s="13">
        <f t="shared" si="0"/>
        <v>1</v>
      </c>
      <c r="C22" s="13">
        <f t="shared" si="1"/>
        <v>9</v>
      </c>
      <c r="D22" s="13">
        <f t="shared" si="2"/>
        <v>3</v>
      </c>
      <c r="E22" s="13">
        <f t="shared" si="3"/>
        <v>2018</v>
      </c>
      <c r="F22" s="13">
        <f t="shared" si="4"/>
        <v>1</v>
      </c>
      <c r="G22" s="13">
        <f t="shared" si="5"/>
        <v>10</v>
      </c>
      <c r="H22" s="13">
        <f t="shared" si="6"/>
        <v>4</v>
      </c>
      <c r="I22" s="13">
        <f t="shared" si="7"/>
        <v>2018</v>
      </c>
      <c r="J22" s="13">
        <f t="shared" si="8"/>
        <v>0</v>
      </c>
      <c r="K22" s="13">
        <f>IF(J22=1,MONTH(AK22),)</f>
        <v>0</v>
      </c>
      <c r="L22" s="13">
        <f t="shared" si="9"/>
        <v>0</v>
      </c>
      <c r="M22" s="13">
        <f t="shared" si="10"/>
        <v>1900</v>
      </c>
      <c r="N22" s="13">
        <f t="shared" si="11"/>
        <v>0</v>
      </c>
      <c r="O22" s="13">
        <f>IF(N22=1,MONTH(AN22),)</f>
        <v>0</v>
      </c>
      <c r="P22" s="13">
        <f t="shared" si="12"/>
        <v>0</v>
      </c>
      <c r="Q22" s="13">
        <f t="shared" si="13"/>
        <v>1900</v>
      </c>
      <c r="S22" s="38" t="s">
        <v>61</v>
      </c>
      <c r="T22" s="11" t="s">
        <v>62</v>
      </c>
      <c r="U22" s="11" t="s">
        <v>26</v>
      </c>
      <c r="V22" s="39" t="s">
        <v>38</v>
      </c>
      <c r="W22" s="39" t="s">
        <v>27</v>
      </c>
      <c r="X22" s="4" t="s">
        <v>63</v>
      </c>
      <c r="Y22" s="4" t="s">
        <v>29</v>
      </c>
      <c r="Z22" s="66">
        <v>43370</v>
      </c>
      <c r="AA22" s="67">
        <v>335300</v>
      </c>
      <c r="AD22" s="10"/>
      <c r="AF22" s="66">
        <v>43387</v>
      </c>
      <c r="AG22" s="67">
        <v>349900</v>
      </c>
      <c r="AH22" s="16">
        <f>AF22-Z22</f>
        <v>17</v>
      </c>
      <c r="AI22" s="16">
        <f>AG22-AA22</f>
        <v>14600</v>
      </c>
      <c r="AJ22" s="36">
        <f>AI22/AA22</f>
        <v>4.3543095735162539E-2</v>
      </c>
      <c r="AN22" s="66"/>
      <c r="AT22" s="9"/>
      <c r="AU22" s="6" t="str">
        <f>IF(AND(AU$2&gt;$Z22,$Z22&gt;0,OR($AN22&gt;AU$2,ISBLANK($AN22))),AU$2-$Z22,"")</f>
        <v/>
      </c>
      <c r="AV22" s="6" t="str">
        <f>IF(AND(AV$2&gt;$Z22,$Z22&gt;0,OR($AN22&gt;AV$2,ISBLANK($AN22))),AV$2-$Z22,"")</f>
        <v/>
      </c>
      <c r="AW22" s="6" t="str">
        <f>IF(AND(AW$2&gt;$Z22,$Z22&gt;0,OR($AN22&gt;AW$2,ISBLANK($AN22))),AW$2-$Z22,"")</f>
        <v/>
      </c>
      <c r="AX22" s="6" t="str">
        <f>IF(AND(AX$2&gt;$Z22,$Z22&gt;0,OR($AN22&gt;AX$2,ISBLANK($AN22))),AX$2-$Z22,"")</f>
        <v/>
      </c>
      <c r="AY22" s="6">
        <f>IF(AND(AY$2&gt;$Z22,$Z22&gt;0,OR($AN22&gt;AY$2,ISBLANK($AN22))),AY$2-$Z22,"")</f>
        <v>3</v>
      </c>
      <c r="AZ22" s="6">
        <f ca="1">IF(AND(AZ$2&gt;$Z22,$Z22&gt;0,OR($AN22&gt;AZ$2,ISBLANK($AN22))),AZ$2-$Z22,"")</f>
        <v>21.382289814813703</v>
      </c>
      <c r="BA22" s="6"/>
      <c r="BB22" s="6"/>
      <c r="BC22" s="6"/>
      <c r="BD22" s="6"/>
    </row>
    <row r="23" spans="2:56" x14ac:dyDescent="0.25">
      <c r="B23" s="13">
        <f t="shared" si="0"/>
        <v>1</v>
      </c>
      <c r="C23" s="13">
        <f t="shared" si="1"/>
        <v>9</v>
      </c>
      <c r="D23" s="13">
        <f t="shared" si="2"/>
        <v>3</v>
      </c>
      <c r="E23" s="13">
        <f t="shared" si="3"/>
        <v>2018</v>
      </c>
      <c r="F23" s="13">
        <f t="shared" si="4"/>
        <v>1</v>
      </c>
      <c r="G23" s="13">
        <f t="shared" si="5"/>
        <v>10</v>
      </c>
      <c r="H23" s="13">
        <f t="shared" si="6"/>
        <v>4</v>
      </c>
      <c r="I23" s="13">
        <f t="shared" si="7"/>
        <v>2018</v>
      </c>
      <c r="J23" s="13">
        <f t="shared" si="8"/>
        <v>0</v>
      </c>
      <c r="K23" s="13">
        <f>IF(J23=1,MONTH(AK23),)</f>
        <v>0</v>
      </c>
      <c r="L23" s="13">
        <f t="shared" si="9"/>
        <v>0</v>
      </c>
      <c r="M23" s="13">
        <f t="shared" si="10"/>
        <v>1900</v>
      </c>
      <c r="N23" s="13">
        <f t="shared" si="11"/>
        <v>0</v>
      </c>
      <c r="O23" s="13">
        <f>IF(N23=1,MONTH(AN23),)</f>
        <v>0</v>
      </c>
      <c r="P23" s="13">
        <f t="shared" si="12"/>
        <v>0</v>
      </c>
      <c r="Q23" s="13">
        <f t="shared" si="13"/>
        <v>1900</v>
      </c>
      <c r="S23" s="38" t="s">
        <v>64</v>
      </c>
      <c r="T23" s="11" t="s">
        <v>65</v>
      </c>
      <c r="U23" s="11" t="s">
        <v>26</v>
      </c>
      <c r="V23" s="39" t="s">
        <v>38</v>
      </c>
      <c r="W23" s="39" t="s">
        <v>27</v>
      </c>
      <c r="X23" s="4" t="s">
        <v>66</v>
      </c>
      <c r="Y23" s="4" t="s">
        <v>29</v>
      </c>
      <c r="Z23" s="66">
        <v>43349</v>
      </c>
      <c r="AA23" s="67">
        <v>339000</v>
      </c>
      <c r="AD23" s="10"/>
      <c r="AF23" s="66">
        <v>43377</v>
      </c>
      <c r="AG23" s="67">
        <v>355300</v>
      </c>
      <c r="AH23" s="16">
        <f>AF23-Z23</f>
        <v>28</v>
      </c>
      <c r="AI23" s="16">
        <f>AG23-AA23</f>
        <v>16300</v>
      </c>
      <c r="AJ23" s="36">
        <f>AI23/AA23</f>
        <v>4.8082595870206489E-2</v>
      </c>
      <c r="AN23" s="66"/>
      <c r="AT23" s="9"/>
      <c r="AU23" s="6" t="str">
        <f>IF(AND(AU$2&gt;$Z23,$Z23&gt;0,OR($AN23&gt;AU$2,ISBLANK($AN23))),AU$2-$Z23,"")</f>
        <v/>
      </c>
      <c r="AV23" s="6" t="str">
        <f>IF(AND(AV$2&gt;$Z23,$Z23&gt;0,OR($AN23&gt;AV$2,ISBLANK($AN23))),AV$2-$Z23,"")</f>
        <v/>
      </c>
      <c r="AW23" s="6" t="str">
        <f>IF(AND(AW$2&gt;$Z23,$Z23&gt;0,OR($AN23&gt;AW$2,ISBLANK($AN23))),AW$2-$Z23,"")</f>
        <v/>
      </c>
      <c r="AX23" s="6" t="str">
        <f>IF(AND(AX$2&gt;$Z23,$Z23&gt;0,OR($AN23&gt;AX$2,ISBLANK($AN23))),AX$2-$Z23,"")</f>
        <v/>
      </c>
      <c r="AY23" s="6">
        <f>IF(AND(AY$2&gt;$Z23,$Z23&gt;0,OR($AN23&gt;AY$2,ISBLANK($AN23))),AY$2-$Z23,"")</f>
        <v>24</v>
      </c>
      <c r="AZ23" s="6">
        <f ca="1">IF(AND(AZ$2&gt;$Z23,$Z23&gt;0,OR($AN23&gt;AZ$2,ISBLANK($AN23))),AZ$2-$Z23,"")</f>
        <v>42.382289814813703</v>
      </c>
      <c r="BA23" s="6"/>
      <c r="BB23" s="6"/>
      <c r="BC23" s="6"/>
      <c r="BD23" s="6"/>
    </row>
    <row r="24" spans="2:56" x14ac:dyDescent="0.25">
      <c r="B24" s="13">
        <f t="shared" si="0"/>
        <v>1</v>
      </c>
      <c r="C24" s="13">
        <f t="shared" si="1"/>
        <v>8</v>
      </c>
      <c r="D24" s="13">
        <f t="shared" si="2"/>
        <v>3</v>
      </c>
      <c r="E24" s="13">
        <f t="shared" si="3"/>
        <v>2018</v>
      </c>
      <c r="F24" s="13">
        <f t="shared" si="4"/>
        <v>1</v>
      </c>
      <c r="G24" s="13">
        <f t="shared" si="5"/>
        <v>8</v>
      </c>
      <c r="H24" s="13">
        <f t="shared" si="6"/>
        <v>3</v>
      </c>
      <c r="I24" s="13">
        <f t="shared" si="7"/>
        <v>2018</v>
      </c>
      <c r="J24" s="13">
        <f t="shared" si="8"/>
        <v>1</v>
      </c>
      <c r="K24" s="13">
        <f>IF(J24=1,MONTH(AK24),)</f>
        <v>9</v>
      </c>
      <c r="L24" s="13">
        <f t="shared" si="9"/>
        <v>3</v>
      </c>
      <c r="M24" s="13">
        <f t="shared" si="10"/>
        <v>2018</v>
      </c>
      <c r="N24" s="13">
        <f t="shared" si="11"/>
        <v>0</v>
      </c>
      <c r="O24" s="13">
        <f>IF(N24=1,MONTH(AN24),)</f>
        <v>0</v>
      </c>
      <c r="P24" s="13">
        <f t="shared" si="12"/>
        <v>0</v>
      </c>
      <c r="Q24" s="13">
        <f t="shared" si="13"/>
        <v>1900</v>
      </c>
      <c r="S24" s="38" t="s">
        <v>67</v>
      </c>
      <c r="T24" s="11" t="s">
        <v>68</v>
      </c>
      <c r="U24" s="11" t="s">
        <v>26</v>
      </c>
      <c r="V24" s="39" t="s">
        <v>38</v>
      </c>
      <c r="W24" s="39" t="s">
        <v>27</v>
      </c>
      <c r="X24" s="4" t="s">
        <v>69</v>
      </c>
      <c r="Y24" s="4" t="s">
        <v>29</v>
      </c>
      <c r="Z24" s="66">
        <v>43313</v>
      </c>
      <c r="AA24" s="67">
        <v>220000</v>
      </c>
      <c r="AD24" s="10"/>
      <c r="AF24" s="66">
        <v>43341</v>
      </c>
      <c r="AG24" s="67">
        <v>227500</v>
      </c>
      <c r="AH24" s="16">
        <f>AF24-Z24</f>
        <v>28</v>
      </c>
      <c r="AI24" s="16">
        <f>AG24-AA24</f>
        <v>7500</v>
      </c>
      <c r="AJ24" s="36">
        <f>AI24/AA24</f>
        <v>3.4090909090909088E-2</v>
      </c>
      <c r="AK24" s="66">
        <v>43355</v>
      </c>
      <c r="AL24" s="67">
        <v>227500</v>
      </c>
      <c r="AM24" s="6">
        <f>AK24-AF24</f>
        <v>14</v>
      </c>
      <c r="AN24" s="66"/>
      <c r="AT24" s="9"/>
      <c r="AU24" s="6" t="str">
        <f>IF(AND(AU$2&gt;$Z24,$Z24&gt;0,OR($AN24&gt;AU$2,ISBLANK($AN24))),AU$2-$Z24,"")</f>
        <v/>
      </c>
      <c r="AV24" s="6" t="str">
        <f>IF(AND(AV$2&gt;$Z24,$Z24&gt;0,OR($AN24&gt;AV$2,ISBLANK($AN24))),AV$2-$Z24,"")</f>
        <v/>
      </c>
      <c r="AW24" s="6" t="str">
        <f>IF(AND(AW$2&gt;$Z24,$Z24&gt;0,OR($AN24&gt;AW$2,ISBLANK($AN24))),AW$2-$Z24,"")</f>
        <v/>
      </c>
      <c r="AX24" s="6">
        <f>IF(AND(AX$2&gt;$Z24,$Z24&gt;0,OR($AN24&gt;AX$2,ISBLANK($AN24))),AX$2-$Z24,"")</f>
        <v>30</v>
      </c>
      <c r="AY24" s="6">
        <f>IF(AND(AY$2&gt;$Z24,$Z24&gt;0,OR($AN24&gt;AY$2,ISBLANK($AN24))),AY$2-$Z24,"")</f>
        <v>60</v>
      </c>
      <c r="AZ24" s="6">
        <f ca="1">IF(AND(AZ$2&gt;$Z24,$Z24&gt;0,OR($AN24&gt;AZ$2,ISBLANK($AN24))),AZ$2-$Z24,"")</f>
        <v>78.382289814813703</v>
      </c>
      <c r="BA24" s="6"/>
      <c r="BB24" s="6"/>
      <c r="BC24" s="6"/>
      <c r="BD24" s="6"/>
    </row>
    <row r="25" spans="2:56" x14ac:dyDescent="0.25">
      <c r="B25" s="13">
        <f t="shared" si="0"/>
        <v>1</v>
      </c>
      <c r="C25" s="13">
        <f t="shared" si="1"/>
        <v>10</v>
      </c>
      <c r="D25" s="13">
        <f t="shared" si="2"/>
        <v>4</v>
      </c>
      <c r="E25" s="13">
        <f t="shared" si="3"/>
        <v>2018</v>
      </c>
      <c r="F25" s="13">
        <f t="shared" si="4"/>
        <v>0</v>
      </c>
      <c r="G25" s="13">
        <f t="shared" si="5"/>
        <v>1</v>
      </c>
      <c r="H25" s="13">
        <f t="shared" si="6"/>
        <v>1</v>
      </c>
      <c r="I25" s="13">
        <f t="shared" si="7"/>
        <v>1900</v>
      </c>
      <c r="J25" s="13">
        <f t="shared" si="8"/>
        <v>0</v>
      </c>
      <c r="K25" s="13">
        <f>IF(J25=1,MONTH(AK25),)</f>
        <v>0</v>
      </c>
      <c r="L25" s="13">
        <f t="shared" si="9"/>
        <v>0</v>
      </c>
      <c r="M25" s="13">
        <f t="shared" si="10"/>
        <v>1900</v>
      </c>
      <c r="N25" s="13">
        <f t="shared" si="11"/>
        <v>0</v>
      </c>
      <c r="O25" s="13">
        <f>IF(N25=1,MONTH(AN25),)</f>
        <v>0</v>
      </c>
      <c r="P25" s="13">
        <f t="shared" si="12"/>
        <v>0</v>
      </c>
      <c r="Q25" s="13">
        <f t="shared" si="13"/>
        <v>1900</v>
      </c>
      <c r="S25" s="38" t="s">
        <v>526</v>
      </c>
      <c r="T25" s="11" t="s">
        <v>71</v>
      </c>
      <c r="U25" s="11" t="s">
        <v>26</v>
      </c>
      <c r="V25" s="39" t="s">
        <v>38</v>
      </c>
      <c r="W25" s="39" t="s">
        <v>27</v>
      </c>
      <c r="X25" s="13" t="s">
        <v>527</v>
      </c>
      <c r="Y25" s="13" t="s">
        <v>29</v>
      </c>
      <c r="Z25" s="66">
        <v>43383</v>
      </c>
      <c r="AA25" s="67">
        <v>195300</v>
      </c>
      <c r="AD25" s="10"/>
      <c r="AG25" s="67">
        <v>205000</v>
      </c>
      <c r="AH25" s="16"/>
      <c r="AI25" s="16">
        <f>AG25-AA25</f>
        <v>9700</v>
      </c>
      <c r="AJ25" s="36">
        <f>AI25/AA25</f>
        <v>4.9667178699436765E-2</v>
      </c>
      <c r="AN25" s="66"/>
      <c r="AT25" s="9"/>
      <c r="AU25" s="6" t="str">
        <f>IF(AND(AU$2&gt;$Z25,$Z25&gt;0,OR($AN25&gt;AU$2,ISBLANK($AN25))),AU$2-$Z25,"")</f>
        <v/>
      </c>
      <c r="AV25" s="6" t="str">
        <f>IF(AND(AV$2&gt;$Z25,$Z25&gt;0,OR($AN25&gt;AV$2,ISBLANK($AN25))),AV$2-$Z25,"")</f>
        <v/>
      </c>
      <c r="AW25" s="6" t="str">
        <f>IF(AND(AW$2&gt;$Z25,$Z25&gt;0,OR($AN25&gt;AW$2,ISBLANK($AN25))),AW$2-$Z25,"")</f>
        <v/>
      </c>
      <c r="AX25" s="6" t="str">
        <f>IF(AND(AX$2&gt;$Z25,$Z25&gt;0,OR($AN25&gt;AX$2,ISBLANK($AN25))),AX$2-$Z25,"")</f>
        <v/>
      </c>
      <c r="AY25" s="6" t="str">
        <f>IF(AND(AY$2&gt;$Z25,$Z25&gt;0,OR($AN25&gt;AY$2,ISBLANK($AN25))),AY$2-$Z25,"")</f>
        <v/>
      </c>
      <c r="AZ25" s="6">
        <f ca="1">IF(AND(AZ$2&gt;$Z25,$Z25&gt;0,OR($AN25&gt;AZ$2,ISBLANK($AN25))),AZ$2-$Z25,"")</f>
        <v>8.3822898148137028</v>
      </c>
      <c r="BA25" s="6"/>
      <c r="BB25" s="6"/>
      <c r="BC25" s="6"/>
      <c r="BD25" s="6"/>
    </row>
    <row r="26" spans="2:56" x14ac:dyDescent="0.25">
      <c r="B26" s="13">
        <f t="shared" si="0"/>
        <v>1</v>
      </c>
      <c r="C26" s="13">
        <f t="shared" si="1"/>
        <v>10</v>
      </c>
      <c r="D26" s="13">
        <f t="shared" si="2"/>
        <v>4</v>
      </c>
      <c r="E26" s="13">
        <f t="shared" si="3"/>
        <v>2018</v>
      </c>
      <c r="F26" s="13">
        <f t="shared" si="4"/>
        <v>0</v>
      </c>
      <c r="G26" s="13">
        <f t="shared" si="5"/>
        <v>1</v>
      </c>
      <c r="H26" s="13">
        <f t="shared" si="6"/>
        <v>1</v>
      </c>
      <c r="I26" s="13">
        <f t="shared" si="7"/>
        <v>1900</v>
      </c>
      <c r="J26" s="13">
        <f t="shared" si="8"/>
        <v>0</v>
      </c>
      <c r="K26" s="13">
        <f>IF(J26=1,MONTH(AK26),)</f>
        <v>0</v>
      </c>
      <c r="L26" s="13">
        <f t="shared" si="9"/>
        <v>0</v>
      </c>
      <c r="M26" s="13">
        <f t="shared" si="10"/>
        <v>1900</v>
      </c>
      <c r="N26" s="13">
        <f t="shared" si="11"/>
        <v>0</v>
      </c>
      <c r="O26" s="13">
        <f>IF(N26=1,MONTH(AN26),)</f>
        <v>0</v>
      </c>
      <c r="P26" s="13">
        <f t="shared" si="12"/>
        <v>0</v>
      </c>
      <c r="Q26" s="13">
        <f t="shared" si="13"/>
        <v>1900</v>
      </c>
      <c r="S26" s="38" t="s">
        <v>528</v>
      </c>
      <c r="T26" s="11" t="s">
        <v>50</v>
      </c>
      <c r="U26" s="11" t="s">
        <v>26</v>
      </c>
      <c r="V26" s="39" t="s">
        <v>38</v>
      </c>
      <c r="W26" s="39" t="s">
        <v>27</v>
      </c>
      <c r="X26" s="13" t="s">
        <v>529</v>
      </c>
      <c r="Y26" s="13" t="s">
        <v>29</v>
      </c>
      <c r="Z26" s="66">
        <v>43381</v>
      </c>
      <c r="AA26" s="67">
        <v>244800</v>
      </c>
      <c r="AD26" s="10"/>
      <c r="AG26" s="67">
        <v>253900</v>
      </c>
      <c r="AH26" s="16"/>
      <c r="AI26" s="16">
        <f>AG26-AA26</f>
        <v>9100</v>
      </c>
      <c r="AJ26" s="36">
        <f>AI26/AA26</f>
        <v>3.7173202614379085E-2</v>
      </c>
      <c r="AN26" s="66"/>
      <c r="AT26" s="9"/>
      <c r="AU26" s="6" t="str">
        <f>IF(AND(AU$2&gt;$Z26,$Z26&gt;0,OR($AN26&gt;AU$2,ISBLANK($AN26))),AU$2-$Z26,"")</f>
        <v/>
      </c>
      <c r="AV26" s="6" t="str">
        <f>IF(AND(AV$2&gt;$Z26,$Z26&gt;0,OR($AN26&gt;AV$2,ISBLANK($AN26))),AV$2-$Z26,"")</f>
        <v/>
      </c>
      <c r="AW26" s="6" t="str">
        <f>IF(AND(AW$2&gt;$Z26,$Z26&gt;0,OR($AN26&gt;AW$2,ISBLANK($AN26))),AW$2-$Z26,"")</f>
        <v/>
      </c>
      <c r="AX26" s="6" t="str">
        <f>IF(AND(AX$2&gt;$Z26,$Z26&gt;0,OR($AN26&gt;AX$2,ISBLANK($AN26))),AX$2-$Z26,"")</f>
        <v/>
      </c>
      <c r="AY26" s="6" t="str">
        <f>IF(AND(AY$2&gt;$Z26,$Z26&gt;0,OR($AN26&gt;AY$2,ISBLANK($AN26))),AY$2-$Z26,"")</f>
        <v/>
      </c>
      <c r="AZ26" s="6">
        <f ca="1">IF(AND(AZ$2&gt;$Z26,$Z26&gt;0,OR($AN26&gt;AZ$2,ISBLANK($AN26))),AZ$2-$Z26,"")</f>
        <v>10.382289814813703</v>
      </c>
      <c r="BA26" s="6"/>
      <c r="BB26" s="6"/>
      <c r="BC26" s="6"/>
      <c r="BD26" s="6"/>
    </row>
    <row r="27" spans="2:56" x14ac:dyDescent="0.25">
      <c r="B27" s="13">
        <f t="shared" si="0"/>
        <v>1</v>
      </c>
      <c r="C27" s="13">
        <f t="shared" si="1"/>
        <v>10</v>
      </c>
      <c r="D27" s="13">
        <f t="shared" si="2"/>
        <v>4</v>
      </c>
      <c r="E27" s="13">
        <f t="shared" si="3"/>
        <v>2018</v>
      </c>
      <c r="F27" s="13">
        <f t="shared" si="4"/>
        <v>0</v>
      </c>
      <c r="G27" s="13">
        <f t="shared" si="5"/>
        <v>1</v>
      </c>
      <c r="H27" s="13">
        <f t="shared" si="6"/>
        <v>1</v>
      </c>
      <c r="I27" s="13">
        <f t="shared" si="7"/>
        <v>1900</v>
      </c>
      <c r="J27" s="13">
        <f t="shared" si="8"/>
        <v>0</v>
      </c>
      <c r="K27" s="13">
        <f>IF(J27=1,MONTH(AK27),)</f>
        <v>0</v>
      </c>
      <c r="L27" s="13">
        <f t="shared" si="9"/>
        <v>0</v>
      </c>
      <c r="M27" s="13">
        <f t="shared" si="10"/>
        <v>1900</v>
      </c>
      <c r="N27" s="13">
        <f t="shared" si="11"/>
        <v>0</v>
      </c>
      <c r="O27" s="13">
        <f>IF(N27=1,MONTH(AN27),)</f>
        <v>0</v>
      </c>
      <c r="P27" s="13">
        <f t="shared" si="12"/>
        <v>0</v>
      </c>
      <c r="Q27" s="13">
        <f t="shared" si="13"/>
        <v>1900</v>
      </c>
      <c r="S27" s="38" t="s">
        <v>509</v>
      </c>
      <c r="T27" s="11" t="s">
        <v>38</v>
      </c>
      <c r="U27" s="11" t="s">
        <v>26</v>
      </c>
      <c r="V27" s="39" t="s">
        <v>38</v>
      </c>
      <c r="W27" s="39" t="s">
        <v>27</v>
      </c>
      <c r="X27" s="13"/>
      <c r="Y27" s="13"/>
      <c r="Z27" s="66">
        <v>43384</v>
      </c>
      <c r="AA27" s="67">
        <v>355800</v>
      </c>
      <c r="AD27" s="10"/>
      <c r="AG27" s="67">
        <v>364900</v>
      </c>
      <c r="AH27" s="16"/>
      <c r="AI27" s="16">
        <f>AG27-AA27</f>
        <v>9100</v>
      </c>
      <c r="AJ27" s="36">
        <f>AI27/AA27</f>
        <v>2.5576166385609892E-2</v>
      </c>
      <c r="AN27" s="66"/>
      <c r="AT27" s="9"/>
      <c r="AU27" s="6" t="str">
        <f>IF(AND(AU$2&gt;$Z27,$Z27&gt;0,OR($AN27&gt;AU$2,ISBLANK($AN27))),AU$2-$Z27,"")</f>
        <v/>
      </c>
      <c r="AV27" s="6" t="str">
        <f>IF(AND(AV$2&gt;$Z27,$Z27&gt;0,OR($AN27&gt;AV$2,ISBLANK($AN27))),AV$2-$Z27,"")</f>
        <v/>
      </c>
      <c r="AW27" s="6" t="str">
        <f>IF(AND(AW$2&gt;$Z27,$Z27&gt;0,OR($AN27&gt;AW$2,ISBLANK($AN27))),AW$2-$Z27,"")</f>
        <v/>
      </c>
      <c r="AX27" s="6" t="str">
        <f>IF(AND(AX$2&gt;$Z27,$Z27&gt;0,OR($AN27&gt;AX$2,ISBLANK($AN27))),AX$2-$Z27,"")</f>
        <v/>
      </c>
      <c r="AY27" s="6" t="str">
        <f>IF(AND(AY$2&gt;$Z27,$Z27&gt;0,OR($AN27&gt;AY$2,ISBLANK($AN27))),AY$2-$Z27,"")</f>
        <v/>
      </c>
      <c r="AZ27" s="6">
        <f ca="1">IF(AND(AZ$2&gt;$Z27,$Z27&gt;0,OR($AN27&gt;AZ$2,ISBLANK($AN27))),AZ$2-$Z27,"")</f>
        <v>7.3822898148137028</v>
      </c>
      <c r="BA27" s="6"/>
      <c r="BB27" s="6"/>
      <c r="BC27" s="6"/>
      <c r="BD27" s="6"/>
    </row>
    <row r="28" spans="2:56" x14ac:dyDescent="0.25">
      <c r="B28" s="13">
        <f t="shared" si="0"/>
        <v>0</v>
      </c>
      <c r="C28" s="13">
        <f t="shared" si="1"/>
        <v>1</v>
      </c>
      <c r="D28" s="13">
        <f t="shared" si="2"/>
        <v>1</v>
      </c>
      <c r="E28" s="13">
        <f t="shared" si="3"/>
        <v>1900</v>
      </c>
      <c r="F28" s="13">
        <f t="shared" si="4"/>
        <v>0</v>
      </c>
      <c r="G28" s="13">
        <f t="shared" si="5"/>
        <v>1</v>
      </c>
      <c r="H28" s="13">
        <f t="shared" si="6"/>
        <v>1</v>
      </c>
      <c r="I28" s="13">
        <f t="shared" si="7"/>
        <v>1900</v>
      </c>
      <c r="J28" s="13">
        <f t="shared" si="8"/>
        <v>0</v>
      </c>
      <c r="K28" s="13">
        <f>IF(J28=1,MONTH(AK28),)</f>
        <v>0</v>
      </c>
      <c r="L28" s="13">
        <f t="shared" si="9"/>
        <v>0</v>
      </c>
      <c r="M28" s="13">
        <f t="shared" si="10"/>
        <v>1900</v>
      </c>
      <c r="N28" s="13">
        <f t="shared" si="11"/>
        <v>0</v>
      </c>
      <c r="O28" s="13">
        <f>IF(N28=1,MONTH(AN28),)</f>
        <v>0</v>
      </c>
      <c r="P28" s="13">
        <f t="shared" si="12"/>
        <v>0</v>
      </c>
      <c r="Q28" s="13">
        <f t="shared" si="13"/>
        <v>1900</v>
      </c>
      <c r="S28" s="65" t="s">
        <v>70</v>
      </c>
      <c r="T28" s="11" t="s">
        <v>71</v>
      </c>
      <c r="U28" s="11" t="s">
        <v>26</v>
      </c>
      <c r="V28" s="39" t="s">
        <v>38</v>
      </c>
      <c r="W28" s="39" t="s">
        <v>27</v>
      </c>
      <c r="X28" s="13" t="s">
        <v>72</v>
      </c>
      <c r="Y28" s="13" t="s">
        <v>29</v>
      </c>
      <c r="AD28" s="10"/>
      <c r="AH28" s="16"/>
      <c r="AI28" s="16"/>
      <c r="AJ28" s="36"/>
      <c r="AN28" s="66"/>
      <c r="AT28" s="9"/>
      <c r="AU28" s="6" t="str">
        <f>IF(AND(AU$2&gt;$Z28,$Z28&gt;0,OR($AN28&gt;AU$2,ISBLANK($AN28))),AU$2-$Z28,"")</f>
        <v/>
      </c>
      <c r="AV28" s="6" t="str">
        <f>IF(AND(AV$2&gt;$Z28,$Z28&gt;0,OR($AN28&gt;AV$2,ISBLANK($AN28))),AV$2-$Z28,"")</f>
        <v/>
      </c>
      <c r="AW28" s="6" t="str">
        <f>IF(AND(AW$2&gt;$Z28,$Z28&gt;0,OR($AN28&gt;AW$2,ISBLANK($AN28))),AW$2-$Z28,"")</f>
        <v/>
      </c>
      <c r="AX28" s="6" t="str">
        <f>IF(AND(AX$2&gt;$Z28,$Z28&gt;0,OR($AN28&gt;AX$2,ISBLANK($AN28))),AX$2-$Z28,"")</f>
        <v/>
      </c>
      <c r="AY28" s="6" t="str">
        <f>IF(AND(AY$2&gt;$Z28,$Z28&gt;0,OR($AN28&gt;AY$2,ISBLANK($AN28))),AY$2-$Z28,"")</f>
        <v/>
      </c>
      <c r="AZ28" s="6" t="str">
        <f ca="1">IF(AND(AZ$2&gt;$Z28,$Z28&gt;0,OR($AN28&gt;AZ$2,ISBLANK($AN28))),AZ$2-$Z28,"")</f>
        <v/>
      </c>
      <c r="BA28" s="6"/>
      <c r="BB28" s="6"/>
      <c r="BC28" s="6"/>
      <c r="BD28" s="6"/>
    </row>
    <row r="29" spans="2:56" x14ac:dyDescent="0.25">
      <c r="B29" s="13">
        <f t="shared" si="0"/>
        <v>1</v>
      </c>
      <c r="C29" s="13">
        <f t="shared" si="1"/>
        <v>8</v>
      </c>
      <c r="D29" s="13">
        <f t="shared" si="2"/>
        <v>3</v>
      </c>
      <c r="E29" s="13">
        <f t="shared" si="3"/>
        <v>2018</v>
      </c>
      <c r="F29" s="13">
        <f t="shared" si="4"/>
        <v>1</v>
      </c>
      <c r="G29" s="13">
        <f t="shared" si="5"/>
        <v>9</v>
      </c>
      <c r="H29" s="13">
        <f t="shared" si="6"/>
        <v>3</v>
      </c>
      <c r="I29" s="13">
        <f t="shared" si="7"/>
        <v>2018</v>
      </c>
      <c r="J29" s="13">
        <f t="shared" si="8"/>
        <v>1</v>
      </c>
      <c r="K29" s="13">
        <f>IF(J29=1,MONTH(AK29),)</f>
        <v>10</v>
      </c>
      <c r="L29" s="13">
        <f t="shared" si="9"/>
        <v>4</v>
      </c>
      <c r="M29" s="13">
        <f t="shared" si="10"/>
        <v>2018</v>
      </c>
      <c r="N29" s="13">
        <f t="shared" si="11"/>
        <v>0</v>
      </c>
      <c r="O29" s="13">
        <f>IF(N29=1,MONTH(AN29),)</f>
        <v>0</v>
      </c>
      <c r="P29" s="13">
        <f t="shared" si="12"/>
        <v>0</v>
      </c>
      <c r="Q29" s="13">
        <f t="shared" si="13"/>
        <v>1900</v>
      </c>
      <c r="S29" s="38" t="s">
        <v>73</v>
      </c>
      <c r="T29" s="11" t="s">
        <v>71</v>
      </c>
      <c r="U29" s="11" t="s">
        <v>26</v>
      </c>
      <c r="V29" s="39" t="s">
        <v>38</v>
      </c>
      <c r="W29" s="39" t="s">
        <v>27</v>
      </c>
      <c r="X29" s="4" t="s">
        <v>74</v>
      </c>
      <c r="Y29" s="4" t="s">
        <v>29</v>
      </c>
      <c r="Z29" s="66">
        <v>43342</v>
      </c>
      <c r="AA29" s="67">
        <v>207000</v>
      </c>
      <c r="AD29" s="10"/>
      <c r="AF29" s="66">
        <v>43362</v>
      </c>
      <c r="AG29" s="67">
        <v>216300</v>
      </c>
      <c r="AH29" s="16">
        <f>AF29-Z29</f>
        <v>20</v>
      </c>
      <c r="AI29" s="16">
        <f>AG29-AA29</f>
        <v>9300</v>
      </c>
      <c r="AJ29" s="36">
        <f>AI29/AA29</f>
        <v>4.4927536231884058E-2</v>
      </c>
      <c r="AK29" s="66">
        <v>43376</v>
      </c>
      <c r="AL29" s="67">
        <v>216300</v>
      </c>
      <c r="AM29" s="6">
        <f>AK29-AF29</f>
        <v>14</v>
      </c>
      <c r="AN29" s="66"/>
      <c r="AT29" s="9"/>
      <c r="AU29" s="6" t="str">
        <f>IF(AND(AU$2&gt;$Z29,$Z29&gt;0,OR($AN29&gt;AU$2,ISBLANK($AN29))),AU$2-$Z29,"")</f>
        <v/>
      </c>
      <c r="AV29" s="6" t="str">
        <f>IF(AND(AV$2&gt;$Z29,$Z29&gt;0,OR($AN29&gt;AV$2,ISBLANK($AN29))),AV$2-$Z29,"")</f>
        <v/>
      </c>
      <c r="AW29" s="6" t="str">
        <f>IF(AND(AW$2&gt;$Z29,$Z29&gt;0,OR($AN29&gt;AW$2,ISBLANK($AN29))),AW$2-$Z29,"")</f>
        <v/>
      </c>
      <c r="AX29" s="6">
        <f>IF(AND(AX$2&gt;$Z29,$Z29&gt;0,OR($AN29&gt;AX$2,ISBLANK($AN29))),AX$2-$Z29,"")</f>
        <v>1</v>
      </c>
      <c r="AY29" s="6">
        <f>IF(AND(AY$2&gt;$Z29,$Z29&gt;0,OR($AN29&gt;AY$2,ISBLANK($AN29))),AY$2-$Z29,"")</f>
        <v>31</v>
      </c>
      <c r="AZ29" s="6">
        <f ca="1">IF(AND(AZ$2&gt;$Z29,$Z29&gt;0,OR($AN29&gt;AZ$2,ISBLANK($AN29))),AZ$2-$Z29,"")</f>
        <v>49.382289814813703</v>
      </c>
      <c r="BA29" s="6"/>
      <c r="BB29" s="6"/>
      <c r="BC29" s="6"/>
      <c r="BD29" s="6"/>
    </row>
    <row r="30" spans="2:56" x14ac:dyDescent="0.25">
      <c r="B30" s="13">
        <f t="shared" si="0"/>
        <v>1</v>
      </c>
      <c r="C30" s="13">
        <f t="shared" si="1"/>
        <v>8</v>
      </c>
      <c r="D30" s="13">
        <f t="shared" si="2"/>
        <v>3</v>
      </c>
      <c r="E30" s="13">
        <f t="shared" si="3"/>
        <v>2018</v>
      </c>
      <c r="F30" s="13">
        <f t="shared" si="4"/>
        <v>1</v>
      </c>
      <c r="G30" s="13">
        <f t="shared" si="5"/>
        <v>8</v>
      </c>
      <c r="H30" s="13">
        <f t="shared" si="6"/>
        <v>3</v>
      </c>
      <c r="I30" s="13">
        <f t="shared" si="7"/>
        <v>2018</v>
      </c>
      <c r="J30" s="13">
        <f t="shared" si="8"/>
        <v>1</v>
      </c>
      <c r="K30" s="13">
        <f>IF(J30=1,MONTH(AK30),)</f>
        <v>9</v>
      </c>
      <c r="L30" s="13">
        <f t="shared" si="9"/>
        <v>3</v>
      </c>
      <c r="M30" s="13">
        <f t="shared" si="10"/>
        <v>2018</v>
      </c>
      <c r="N30" s="13">
        <f t="shared" si="11"/>
        <v>0</v>
      </c>
      <c r="O30" s="13">
        <f>IF(N30=1,MONTH(AN30),)</f>
        <v>0</v>
      </c>
      <c r="P30" s="13">
        <f t="shared" si="12"/>
        <v>0</v>
      </c>
      <c r="Q30" s="13">
        <f t="shared" si="13"/>
        <v>1900</v>
      </c>
      <c r="S30" s="38" t="s">
        <v>75</v>
      </c>
      <c r="T30" s="11" t="s">
        <v>71</v>
      </c>
      <c r="U30" s="11" t="s">
        <v>26</v>
      </c>
      <c r="V30" s="39" t="s">
        <v>38</v>
      </c>
      <c r="W30" s="39" t="s">
        <v>27</v>
      </c>
      <c r="X30" s="4" t="s">
        <v>76</v>
      </c>
      <c r="Y30" s="4" t="s">
        <v>29</v>
      </c>
      <c r="Z30" s="66">
        <v>43329</v>
      </c>
      <c r="AA30" s="67">
        <v>182602</v>
      </c>
      <c r="AD30" s="10"/>
      <c r="AF30" s="66">
        <v>43339</v>
      </c>
      <c r="AG30" s="67">
        <v>198000</v>
      </c>
      <c r="AH30" s="16">
        <f>AF30-Z30</f>
        <v>10</v>
      </c>
      <c r="AI30" s="16">
        <f>AG30-AA30</f>
        <v>15398</v>
      </c>
      <c r="AJ30" s="36">
        <f>AI30/AA30</f>
        <v>8.4325472886386782E-2</v>
      </c>
      <c r="AK30" s="66">
        <v>43350</v>
      </c>
      <c r="AL30" s="67">
        <v>198000</v>
      </c>
      <c r="AM30" s="6">
        <f>AK30-AF30</f>
        <v>11</v>
      </c>
      <c r="AN30" s="66"/>
      <c r="AT30" s="9"/>
      <c r="AU30" s="6" t="str">
        <f>IF(AND(AU$2&gt;$Z30,$Z30&gt;0,OR($AN30&gt;AU$2,ISBLANK($AN30))),AU$2-$Z30,"")</f>
        <v/>
      </c>
      <c r="AV30" s="6" t="str">
        <f>IF(AND(AV$2&gt;$Z30,$Z30&gt;0,OR($AN30&gt;AV$2,ISBLANK($AN30))),AV$2-$Z30,"")</f>
        <v/>
      </c>
      <c r="AW30" s="6" t="str">
        <f>IF(AND(AW$2&gt;$Z30,$Z30&gt;0,OR($AN30&gt;AW$2,ISBLANK($AN30))),AW$2-$Z30,"")</f>
        <v/>
      </c>
      <c r="AX30" s="6">
        <f>IF(AND(AX$2&gt;$Z30,$Z30&gt;0,OR($AN30&gt;AX$2,ISBLANK($AN30))),AX$2-$Z30,"")</f>
        <v>14</v>
      </c>
      <c r="AY30" s="6">
        <f>IF(AND(AY$2&gt;$Z30,$Z30&gt;0,OR($AN30&gt;AY$2,ISBLANK($AN30))),AY$2-$Z30,"")</f>
        <v>44</v>
      </c>
      <c r="AZ30" s="6">
        <f ca="1">IF(AND(AZ$2&gt;$Z30,$Z30&gt;0,OR($AN30&gt;AZ$2,ISBLANK($AN30))),AZ$2-$Z30,"")</f>
        <v>62.382289814813703</v>
      </c>
      <c r="BA30" s="6"/>
      <c r="BB30" s="6"/>
      <c r="BC30" s="6"/>
      <c r="BD30" s="6"/>
    </row>
    <row r="31" spans="2:56" x14ac:dyDescent="0.25">
      <c r="B31" s="13">
        <f t="shared" si="0"/>
        <v>1</v>
      </c>
      <c r="C31" s="13">
        <f t="shared" si="1"/>
        <v>9</v>
      </c>
      <c r="D31" s="13">
        <f t="shared" si="2"/>
        <v>3</v>
      </c>
      <c r="E31" s="13">
        <f t="shared" si="3"/>
        <v>2018</v>
      </c>
      <c r="F31" s="13">
        <f t="shared" si="4"/>
        <v>1</v>
      </c>
      <c r="G31" s="13">
        <f t="shared" si="5"/>
        <v>10</v>
      </c>
      <c r="H31" s="13">
        <f t="shared" si="6"/>
        <v>4</v>
      </c>
      <c r="I31" s="13">
        <f t="shared" si="7"/>
        <v>2018</v>
      </c>
      <c r="J31" s="13">
        <f t="shared" si="8"/>
        <v>0</v>
      </c>
      <c r="K31" s="13">
        <f>IF(J31=1,MONTH(AK31),)</f>
        <v>0</v>
      </c>
      <c r="L31" s="13">
        <f t="shared" si="9"/>
        <v>0</v>
      </c>
      <c r="M31" s="13">
        <f t="shared" si="10"/>
        <v>1900</v>
      </c>
      <c r="N31" s="13">
        <f t="shared" si="11"/>
        <v>0</v>
      </c>
      <c r="O31" s="13">
        <f>IF(N31=1,MONTH(AN31),)</f>
        <v>0</v>
      </c>
      <c r="P31" s="13">
        <f t="shared" si="12"/>
        <v>0</v>
      </c>
      <c r="Q31" s="13">
        <f t="shared" si="13"/>
        <v>1900</v>
      </c>
      <c r="S31" s="38" t="s">
        <v>77</v>
      </c>
      <c r="T31" s="11" t="s">
        <v>50</v>
      </c>
      <c r="U31" s="11" t="s">
        <v>26</v>
      </c>
      <c r="V31" s="39" t="s">
        <v>38</v>
      </c>
      <c r="W31" s="39" t="s">
        <v>27</v>
      </c>
      <c r="X31" s="4" t="s">
        <v>78</v>
      </c>
      <c r="Y31" s="4" t="s">
        <v>29</v>
      </c>
      <c r="Z31" s="66">
        <v>43371</v>
      </c>
      <c r="AA31" s="67">
        <v>276300</v>
      </c>
      <c r="AD31" s="10"/>
      <c r="AF31" s="66">
        <v>43383</v>
      </c>
      <c r="AG31" s="67">
        <v>285600</v>
      </c>
      <c r="AH31" s="16">
        <f>AF31-Z31</f>
        <v>12</v>
      </c>
      <c r="AI31" s="16">
        <f>AG31-AA31</f>
        <v>9300</v>
      </c>
      <c r="AJ31" s="36">
        <f>AI31/AA31</f>
        <v>3.3659066232356136E-2</v>
      </c>
      <c r="AN31" s="66"/>
      <c r="AT31" s="9"/>
      <c r="AU31" s="6" t="str">
        <f>IF(AND(AU$2&gt;$Z31,$Z31&gt;0,OR($AN31&gt;AU$2,ISBLANK($AN31))),AU$2-$Z31,"")</f>
        <v/>
      </c>
      <c r="AV31" s="6" t="str">
        <f>IF(AND(AV$2&gt;$Z31,$Z31&gt;0,OR($AN31&gt;AV$2,ISBLANK($AN31))),AV$2-$Z31,"")</f>
        <v/>
      </c>
      <c r="AW31" s="6" t="str">
        <f>IF(AND(AW$2&gt;$Z31,$Z31&gt;0,OR($AN31&gt;AW$2,ISBLANK($AN31))),AW$2-$Z31,"")</f>
        <v/>
      </c>
      <c r="AX31" s="6" t="str">
        <f>IF(AND(AX$2&gt;$Z31,$Z31&gt;0,OR($AN31&gt;AX$2,ISBLANK($AN31))),AX$2-$Z31,"")</f>
        <v/>
      </c>
      <c r="AY31" s="6">
        <f>IF(AND(AY$2&gt;$Z31,$Z31&gt;0,OR($AN31&gt;AY$2,ISBLANK($AN31))),AY$2-$Z31,"")</f>
        <v>2</v>
      </c>
      <c r="AZ31" s="6">
        <f ca="1">IF(AND(AZ$2&gt;$Z31,$Z31&gt;0,OR($AN31&gt;AZ$2,ISBLANK($AN31))),AZ$2-$Z31,"")</f>
        <v>20.382289814813703</v>
      </c>
      <c r="BA31" s="6"/>
      <c r="BB31" s="6"/>
      <c r="BC31" s="6"/>
      <c r="BD31" s="6"/>
    </row>
    <row r="32" spans="2:56" x14ac:dyDescent="0.25">
      <c r="B32" s="13">
        <f t="shared" si="0"/>
        <v>1</v>
      </c>
      <c r="C32" s="13">
        <f t="shared" si="1"/>
        <v>10</v>
      </c>
      <c r="D32" s="13">
        <f t="shared" si="2"/>
        <v>4</v>
      </c>
      <c r="E32" s="13">
        <f t="shared" si="3"/>
        <v>2018</v>
      </c>
      <c r="F32" s="13">
        <f t="shared" si="4"/>
        <v>0</v>
      </c>
      <c r="G32" s="13">
        <f t="shared" si="5"/>
        <v>1</v>
      </c>
      <c r="H32" s="13">
        <f t="shared" si="6"/>
        <v>1</v>
      </c>
      <c r="I32" s="13">
        <f t="shared" si="7"/>
        <v>1900</v>
      </c>
      <c r="J32" s="13">
        <f t="shared" si="8"/>
        <v>0</v>
      </c>
      <c r="K32" s="13">
        <f>IF(J32=1,MONTH(AK32),)</f>
        <v>0</v>
      </c>
      <c r="L32" s="13">
        <f t="shared" si="9"/>
        <v>0</v>
      </c>
      <c r="M32" s="13">
        <f t="shared" si="10"/>
        <v>1900</v>
      </c>
      <c r="N32" s="13">
        <f t="shared" si="11"/>
        <v>0</v>
      </c>
      <c r="O32" s="13">
        <f>IF(N32=1,MONTH(AN32),)</f>
        <v>0</v>
      </c>
      <c r="P32" s="13">
        <f t="shared" si="12"/>
        <v>0</v>
      </c>
      <c r="Q32" s="13">
        <f t="shared" si="13"/>
        <v>1900</v>
      </c>
      <c r="S32" s="38" t="s">
        <v>530</v>
      </c>
      <c r="T32" s="11" t="s">
        <v>65</v>
      </c>
      <c r="U32" s="11" t="s">
        <v>26</v>
      </c>
      <c r="V32" s="39" t="s">
        <v>38</v>
      </c>
      <c r="W32" s="39" t="s">
        <v>27</v>
      </c>
      <c r="X32" s="13" t="s">
        <v>531</v>
      </c>
      <c r="Y32" s="13" t="s">
        <v>29</v>
      </c>
      <c r="Z32" s="66">
        <v>43381</v>
      </c>
      <c r="AA32" s="67">
        <v>263000</v>
      </c>
      <c r="AD32" s="10"/>
      <c r="AG32" s="67">
        <v>279900</v>
      </c>
      <c r="AH32" s="16"/>
      <c r="AI32" s="16">
        <f>AG32-AA32</f>
        <v>16900</v>
      </c>
      <c r="AJ32" s="36">
        <f>AI32/AA32</f>
        <v>6.4258555133079848E-2</v>
      </c>
      <c r="AN32" s="66"/>
      <c r="AT32" s="9"/>
      <c r="AU32" s="6" t="str">
        <f>IF(AND(AU$2&gt;$Z32,$Z32&gt;0,OR($AN32&gt;AU$2,ISBLANK($AN32))),AU$2-$Z32,"")</f>
        <v/>
      </c>
      <c r="AV32" s="6" t="str">
        <f>IF(AND(AV$2&gt;$Z32,$Z32&gt;0,OR($AN32&gt;AV$2,ISBLANK($AN32))),AV$2-$Z32,"")</f>
        <v/>
      </c>
      <c r="AW32" s="6" t="str">
        <f>IF(AND(AW$2&gt;$Z32,$Z32&gt;0,OR($AN32&gt;AW$2,ISBLANK($AN32))),AW$2-$Z32,"")</f>
        <v/>
      </c>
      <c r="AX32" s="6" t="str">
        <f>IF(AND(AX$2&gt;$Z32,$Z32&gt;0,OR($AN32&gt;AX$2,ISBLANK($AN32))),AX$2-$Z32,"")</f>
        <v/>
      </c>
      <c r="AY32" s="6" t="str">
        <f>IF(AND(AY$2&gt;$Z32,$Z32&gt;0,OR($AN32&gt;AY$2,ISBLANK($AN32))),AY$2-$Z32,"")</f>
        <v/>
      </c>
      <c r="AZ32" s="6">
        <f ca="1">IF(AND(AZ$2&gt;$Z32,$Z32&gt;0,OR($AN32&gt;AZ$2,ISBLANK($AN32))),AZ$2-$Z32,"")</f>
        <v>10.382289814813703</v>
      </c>
      <c r="BA32" s="6"/>
      <c r="BB32" s="6"/>
      <c r="BC32" s="6"/>
      <c r="BD32" s="6"/>
    </row>
    <row r="33" spans="2:56" x14ac:dyDescent="0.25">
      <c r="B33" s="13">
        <f t="shared" si="0"/>
        <v>1</v>
      </c>
      <c r="C33" s="13">
        <f t="shared" si="1"/>
        <v>9</v>
      </c>
      <c r="D33" s="13">
        <f t="shared" si="2"/>
        <v>3</v>
      </c>
      <c r="E33" s="13">
        <f t="shared" si="3"/>
        <v>2018</v>
      </c>
      <c r="F33" s="13">
        <f t="shared" si="4"/>
        <v>1</v>
      </c>
      <c r="G33" s="13">
        <f t="shared" si="5"/>
        <v>9</v>
      </c>
      <c r="H33" s="13">
        <f t="shared" si="6"/>
        <v>3</v>
      </c>
      <c r="I33" s="13">
        <f t="shared" si="7"/>
        <v>2018</v>
      </c>
      <c r="J33" s="13">
        <f t="shared" si="8"/>
        <v>0</v>
      </c>
      <c r="K33" s="13">
        <f>IF(J33=1,MONTH(AK33),)</f>
        <v>0</v>
      </c>
      <c r="L33" s="13">
        <f t="shared" si="9"/>
        <v>0</v>
      </c>
      <c r="M33" s="13">
        <f t="shared" si="10"/>
        <v>1900</v>
      </c>
      <c r="N33" s="13">
        <f t="shared" si="11"/>
        <v>0</v>
      </c>
      <c r="O33" s="13">
        <f>IF(N33=1,MONTH(AN33),)</f>
        <v>0</v>
      </c>
      <c r="P33" s="13">
        <f t="shared" si="12"/>
        <v>0</v>
      </c>
      <c r="Q33" s="13">
        <f t="shared" si="13"/>
        <v>1900</v>
      </c>
      <c r="S33" s="38" t="s">
        <v>79</v>
      </c>
      <c r="T33" s="11" t="s">
        <v>80</v>
      </c>
      <c r="U33" s="11" t="s">
        <v>26</v>
      </c>
      <c r="V33" s="39" t="s">
        <v>38</v>
      </c>
      <c r="W33" s="39" t="s">
        <v>27</v>
      </c>
      <c r="X33" s="4" t="s">
        <v>81</v>
      </c>
      <c r="Y33" s="4" t="s">
        <v>29</v>
      </c>
      <c r="Z33" s="66">
        <v>43355</v>
      </c>
      <c r="AA33" s="67">
        <v>494000</v>
      </c>
      <c r="AD33" s="10"/>
      <c r="AF33" s="66">
        <v>43366</v>
      </c>
      <c r="AG33" s="67">
        <v>521300</v>
      </c>
      <c r="AH33" s="16">
        <f>AF33-Z33</f>
        <v>11</v>
      </c>
      <c r="AI33" s="16">
        <f>AG33-AA33</f>
        <v>27300</v>
      </c>
      <c r="AJ33" s="36">
        <f>AI33/AA33</f>
        <v>5.526315789473684E-2</v>
      </c>
      <c r="AN33" s="66"/>
      <c r="AT33" s="9"/>
      <c r="AU33" s="6" t="str">
        <f>IF(AND(AU$2&gt;$Z33,$Z33&gt;0,OR($AN33&gt;AU$2,ISBLANK($AN33))),AU$2-$Z33,"")</f>
        <v/>
      </c>
      <c r="AV33" s="6" t="str">
        <f>IF(AND(AV$2&gt;$Z33,$Z33&gt;0,OR($AN33&gt;AV$2,ISBLANK($AN33))),AV$2-$Z33,"")</f>
        <v/>
      </c>
      <c r="AW33" s="6" t="str">
        <f>IF(AND(AW$2&gt;$Z33,$Z33&gt;0,OR($AN33&gt;AW$2,ISBLANK($AN33))),AW$2-$Z33,"")</f>
        <v/>
      </c>
      <c r="AX33" s="6" t="str">
        <f>IF(AND(AX$2&gt;$Z33,$Z33&gt;0,OR($AN33&gt;AX$2,ISBLANK($AN33))),AX$2-$Z33,"")</f>
        <v/>
      </c>
      <c r="AY33" s="6">
        <f>IF(AND(AY$2&gt;$Z33,$Z33&gt;0,OR($AN33&gt;AY$2,ISBLANK($AN33))),AY$2-$Z33,"")</f>
        <v>18</v>
      </c>
      <c r="AZ33" s="6">
        <f ca="1">IF(AND(AZ$2&gt;$Z33,$Z33&gt;0,OR($AN33&gt;AZ$2,ISBLANK($AN33))),AZ$2-$Z33,"")</f>
        <v>36.382289814813703</v>
      </c>
      <c r="BA33" s="6"/>
      <c r="BB33" s="6"/>
      <c r="BC33" s="6"/>
      <c r="BD33" s="6"/>
    </row>
    <row r="34" spans="2:56" x14ac:dyDescent="0.25">
      <c r="B34" s="13">
        <f t="shared" si="0"/>
        <v>1</v>
      </c>
      <c r="C34" s="13">
        <f t="shared" si="1"/>
        <v>9</v>
      </c>
      <c r="D34" s="13">
        <f t="shared" si="2"/>
        <v>3</v>
      </c>
      <c r="E34" s="13">
        <f t="shared" si="3"/>
        <v>2018</v>
      </c>
      <c r="F34" s="13">
        <f t="shared" si="4"/>
        <v>1</v>
      </c>
      <c r="G34" s="13">
        <f t="shared" si="5"/>
        <v>10</v>
      </c>
      <c r="H34" s="13">
        <f t="shared" si="6"/>
        <v>4</v>
      </c>
      <c r="I34" s="13">
        <f t="shared" si="7"/>
        <v>2018</v>
      </c>
      <c r="J34" s="13">
        <f t="shared" si="8"/>
        <v>0</v>
      </c>
      <c r="K34" s="13">
        <f>IF(J34=1,MONTH(AK34),)</f>
        <v>0</v>
      </c>
      <c r="L34" s="13">
        <f t="shared" si="9"/>
        <v>0</v>
      </c>
      <c r="M34" s="13">
        <f t="shared" si="10"/>
        <v>1900</v>
      </c>
      <c r="N34" s="13">
        <f t="shared" si="11"/>
        <v>0</v>
      </c>
      <c r="O34" s="13">
        <f>IF(N34=1,MONTH(AN34),)</f>
        <v>0</v>
      </c>
      <c r="P34" s="13">
        <f t="shared" si="12"/>
        <v>0</v>
      </c>
      <c r="Q34" s="13">
        <f t="shared" si="13"/>
        <v>1900</v>
      </c>
      <c r="S34" s="38" t="s">
        <v>82</v>
      </c>
      <c r="T34" s="11" t="s">
        <v>68</v>
      </c>
      <c r="U34" s="11" t="s">
        <v>26</v>
      </c>
      <c r="V34" s="39" t="s">
        <v>38</v>
      </c>
      <c r="W34" s="39" t="s">
        <v>27</v>
      </c>
      <c r="X34" s="4" t="s">
        <v>83</v>
      </c>
      <c r="Y34" s="4" t="s">
        <v>29</v>
      </c>
      <c r="Z34" s="66">
        <v>43362</v>
      </c>
      <c r="AA34" s="67">
        <v>357000</v>
      </c>
      <c r="AD34" s="10"/>
      <c r="AF34" s="66">
        <v>43380</v>
      </c>
      <c r="AG34" s="67">
        <v>374900</v>
      </c>
      <c r="AH34" s="16">
        <f>AF34-Z34</f>
        <v>18</v>
      </c>
      <c r="AI34" s="16">
        <f>AG34-AA34</f>
        <v>17900</v>
      </c>
      <c r="AJ34" s="36">
        <f>AI34/AA34</f>
        <v>5.0140056022408966E-2</v>
      </c>
      <c r="AN34" s="66"/>
      <c r="AT34" s="9"/>
      <c r="AU34" s="6" t="str">
        <f>IF(AND(AU$2&gt;$Z34,$Z34&gt;0,OR($AN34&gt;AU$2,ISBLANK($AN34))),AU$2-$Z34,"")</f>
        <v/>
      </c>
      <c r="AV34" s="6" t="str">
        <f>IF(AND(AV$2&gt;$Z34,$Z34&gt;0,OR($AN34&gt;AV$2,ISBLANK($AN34))),AV$2-$Z34,"")</f>
        <v/>
      </c>
      <c r="AW34" s="6" t="str">
        <f>IF(AND(AW$2&gt;$Z34,$Z34&gt;0,OR($AN34&gt;AW$2,ISBLANK($AN34))),AW$2-$Z34,"")</f>
        <v/>
      </c>
      <c r="AX34" s="6" t="str">
        <f>IF(AND(AX$2&gt;$Z34,$Z34&gt;0,OR($AN34&gt;AX$2,ISBLANK($AN34))),AX$2-$Z34,"")</f>
        <v/>
      </c>
      <c r="AY34" s="6">
        <f>IF(AND(AY$2&gt;$Z34,$Z34&gt;0,OR($AN34&gt;AY$2,ISBLANK($AN34))),AY$2-$Z34,"")</f>
        <v>11</v>
      </c>
      <c r="AZ34" s="6">
        <f ca="1">IF(AND(AZ$2&gt;$Z34,$Z34&gt;0,OR($AN34&gt;AZ$2,ISBLANK($AN34))),AZ$2-$Z34,"")</f>
        <v>29.382289814813703</v>
      </c>
      <c r="BA34" s="6"/>
      <c r="BB34" s="6"/>
      <c r="BC34" s="6"/>
      <c r="BD34" s="6"/>
    </row>
    <row r="35" spans="2:56" x14ac:dyDescent="0.25">
      <c r="B35" s="13">
        <f t="shared" si="0"/>
        <v>1</v>
      </c>
      <c r="C35" s="13">
        <f t="shared" si="1"/>
        <v>10</v>
      </c>
      <c r="D35" s="13">
        <f t="shared" si="2"/>
        <v>4</v>
      </c>
      <c r="E35" s="13">
        <f t="shared" si="3"/>
        <v>2018</v>
      </c>
      <c r="F35" s="13">
        <f t="shared" si="4"/>
        <v>0</v>
      </c>
      <c r="G35" s="13">
        <f t="shared" si="5"/>
        <v>1</v>
      </c>
      <c r="H35" s="13">
        <f t="shared" si="6"/>
        <v>1</v>
      </c>
      <c r="I35" s="13">
        <f t="shared" si="7"/>
        <v>1900</v>
      </c>
      <c r="J35" s="13">
        <f t="shared" si="8"/>
        <v>0</v>
      </c>
      <c r="K35" s="13">
        <f>IF(J35=1,MONTH(AK35),)</f>
        <v>0</v>
      </c>
      <c r="L35" s="13">
        <f t="shared" si="9"/>
        <v>0</v>
      </c>
      <c r="M35" s="13">
        <f t="shared" si="10"/>
        <v>1900</v>
      </c>
      <c r="N35" s="13">
        <f t="shared" si="11"/>
        <v>0</v>
      </c>
      <c r="O35" s="13">
        <f>IF(N35=1,MONTH(AN35),)</f>
        <v>0</v>
      </c>
      <c r="P35" s="13">
        <f t="shared" si="12"/>
        <v>0</v>
      </c>
      <c r="Q35" s="13">
        <f t="shared" si="13"/>
        <v>1900</v>
      </c>
      <c r="S35" s="38" t="s">
        <v>532</v>
      </c>
      <c r="T35" s="11" t="s">
        <v>31</v>
      </c>
      <c r="U35" s="11" t="s">
        <v>26</v>
      </c>
      <c r="V35" s="39" t="s">
        <v>38</v>
      </c>
      <c r="W35" s="39" t="s">
        <v>27</v>
      </c>
      <c r="X35" s="13" t="s">
        <v>533</v>
      </c>
      <c r="Y35" s="13" t="s">
        <v>29</v>
      </c>
      <c r="Z35" s="66">
        <v>43383</v>
      </c>
      <c r="AA35" s="67">
        <v>355105</v>
      </c>
      <c r="AD35" s="10"/>
      <c r="AG35" s="67">
        <v>365900</v>
      </c>
      <c r="AH35" s="16"/>
      <c r="AI35" s="16">
        <f>AG35-AA35</f>
        <v>10795</v>
      </c>
      <c r="AJ35" s="36">
        <f>AI35/AA35</f>
        <v>3.0399459314850538E-2</v>
      </c>
      <c r="AN35" s="66"/>
      <c r="AT35" s="9"/>
      <c r="AU35" s="6" t="str">
        <f>IF(AND(AU$2&gt;$Z35,$Z35&gt;0,OR($AN35&gt;AU$2,ISBLANK($AN35))),AU$2-$Z35,"")</f>
        <v/>
      </c>
      <c r="AV35" s="6" t="str">
        <f>IF(AND(AV$2&gt;$Z35,$Z35&gt;0,OR($AN35&gt;AV$2,ISBLANK($AN35))),AV$2-$Z35,"")</f>
        <v/>
      </c>
      <c r="AW35" s="6" t="str">
        <f>IF(AND(AW$2&gt;$Z35,$Z35&gt;0,OR($AN35&gt;AW$2,ISBLANK($AN35))),AW$2-$Z35,"")</f>
        <v/>
      </c>
      <c r="AX35" s="6" t="str">
        <f>IF(AND(AX$2&gt;$Z35,$Z35&gt;0,OR($AN35&gt;AX$2,ISBLANK($AN35))),AX$2-$Z35,"")</f>
        <v/>
      </c>
      <c r="AY35" s="6" t="str">
        <f>IF(AND(AY$2&gt;$Z35,$Z35&gt;0,OR($AN35&gt;AY$2,ISBLANK($AN35))),AY$2-$Z35,"")</f>
        <v/>
      </c>
      <c r="AZ35" s="6">
        <f ca="1">IF(AND(AZ$2&gt;$Z35,$Z35&gt;0,OR($AN35&gt;AZ$2,ISBLANK($AN35))),AZ$2-$Z35,"")</f>
        <v>8.3822898148137028</v>
      </c>
      <c r="BA35" s="6"/>
      <c r="BB35" s="6"/>
      <c r="BC35" s="6"/>
      <c r="BD35" s="6"/>
    </row>
    <row r="36" spans="2:56" x14ac:dyDescent="0.25">
      <c r="B36" s="13">
        <f t="shared" si="0"/>
        <v>1</v>
      </c>
      <c r="C36" s="13">
        <f t="shared" si="1"/>
        <v>8</v>
      </c>
      <c r="D36" s="13">
        <f t="shared" si="2"/>
        <v>3</v>
      </c>
      <c r="E36" s="13">
        <f t="shared" si="3"/>
        <v>2018</v>
      </c>
      <c r="F36" s="13">
        <f t="shared" si="4"/>
        <v>1</v>
      </c>
      <c r="G36" s="13">
        <f t="shared" si="5"/>
        <v>8</v>
      </c>
      <c r="H36" s="13">
        <f t="shared" si="6"/>
        <v>3</v>
      </c>
      <c r="I36" s="13">
        <f t="shared" si="7"/>
        <v>2018</v>
      </c>
      <c r="J36" s="13">
        <f t="shared" si="8"/>
        <v>0</v>
      </c>
      <c r="K36" s="13">
        <f>IF(J36=1,MONTH(AK36),)</f>
        <v>0</v>
      </c>
      <c r="L36" s="13">
        <f t="shared" si="9"/>
        <v>0</v>
      </c>
      <c r="M36" s="13">
        <f t="shared" si="10"/>
        <v>1900</v>
      </c>
      <c r="N36" s="13">
        <f t="shared" si="11"/>
        <v>0</v>
      </c>
      <c r="O36" s="13">
        <f>IF(N36=1,MONTH(AN36),)</f>
        <v>0</v>
      </c>
      <c r="P36" s="13">
        <f t="shared" si="12"/>
        <v>0</v>
      </c>
      <c r="Q36" s="13">
        <f t="shared" si="13"/>
        <v>1900</v>
      </c>
      <c r="S36" s="38" t="s">
        <v>84</v>
      </c>
      <c r="T36" s="11" t="s">
        <v>25</v>
      </c>
      <c r="U36" s="11" t="s">
        <v>26</v>
      </c>
      <c r="V36" s="39" t="s">
        <v>38</v>
      </c>
      <c r="W36" s="39" t="s">
        <v>27</v>
      </c>
      <c r="X36" s="13" t="s">
        <v>85</v>
      </c>
      <c r="Y36" s="13" t="s">
        <v>29</v>
      </c>
      <c r="Z36" s="66">
        <v>43318</v>
      </c>
      <c r="AA36" s="67">
        <v>465698</v>
      </c>
      <c r="AD36" s="10"/>
      <c r="AF36" s="66">
        <v>43337</v>
      </c>
      <c r="AG36" s="67">
        <v>475000</v>
      </c>
      <c r="AH36" s="16">
        <f>AF36-Z36</f>
        <v>19</v>
      </c>
      <c r="AI36" s="16">
        <f>AG36-AA36</f>
        <v>9302</v>
      </c>
      <c r="AJ36" s="36">
        <f>AI36/AA36</f>
        <v>1.9974318120326906E-2</v>
      </c>
      <c r="AN36" s="66"/>
      <c r="AT36" s="9"/>
      <c r="AU36" s="6" t="str">
        <f>IF(AND(AU$2&gt;$Z36,$Z36&gt;0,OR($AN36&gt;AU$2,ISBLANK($AN36))),AU$2-$Z36,"")</f>
        <v/>
      </c>
      <c r="AV36" s="6" t="str">
        <f>IF(AND(AV$2&gt;$Z36,$Z36&gt;0,OR($AN36&gt;AV$2,ISBLANK($AN36))),AV$2-$Z36,"")</f>
        <v/>
      </c>
      <c r="AW36" s="6" t="str">
        <f>IF(AND(AW$2&gt;$Z36,$Z36&gt;0,OR($AN36&gt;AW$2,ISBLANK($AN36))),AW$2-$Z36,"")</f>
        <v/>
      </c>
      <c r="AX36" s="6">
        <f>IF(AND(AX$2&gt;$Z36,$Z36&gt;0,OR($AN36&gt;AX$2,ISBLANK($AN36))),AX$2-$Z36,"")</f>
        <v>25</v>
      </c>
      <c r="AY36" s="6">
        <f>IF(AND(AY$2&gt;$Z36,$Z36&gt;0,OR($AN36&gt;AY$2,ISBLANK($AN36))),AY$2-$Z36,"")</f>
        <v>55</v>
      </c>
      <c r="AZ36" s="6">
        <f ca="1">IF(AND(AZ$2&gt;$Z36,$Z36&gt;0,OR($AN36&gt;AZ$2,ISBLANK($AN36))),AZ$2-$Z36,"")</f>
        <v>73.382289814813703</v>
      </c>
      <c r="BA36" s="6"/>
      <c r="BB36" s="6"/>
      <c r="BC36" s="6"/>
      <c r="BD36" s="6"/>
    </row>
    <row r="37" spans="2:56" x14ac:dyDescent="0.25">
      <c r="B37" s="13">
        <f t="shared" si="0"/>
        <v>1</v>
      </c>
      <c r="C37" s="13">
        <f t="shared" si="1"/>
        <v>9</v>
      </c>
      <c r="D37" s="13">
        <f t="shared" si="2"/>
        <v>3</v>
      </c>
      <c r="E37" s="13">
        <f t="shared" si="3"/>
        <v>2018</v>
      </c>
      <c r="F37" s="13">
        <f t="shared" si="4"/>
        <v>0</v>
      </c>
      <c r="G37" s="13">
        <f t="shared" si="5"/>
        <v>1</v>
      </c>
      <c r="H37" s="13">
        <f t="shared" si="6"/>
        <v>1</v>
      </c>
      <c r="I37" s="13">
        <f t="shared" si="7"/>
        <v>1900</v>
      </c>
      <c r="J37" s="13">
        <f t="shared" si="8"/>
        <v>0</v>
      </c>
      <c r="K37" s="13">
        <f>IF(J37=1,MONTH(AK37),)</f>
        <v>0</v>
      </c>
      <c r="L37" s="13">
        <f t="shared" si="9"/>
        <v>0</v>
      </c>
      <c r="M37" s="13">
        <f t="shared" si="10"/>
        <v>1900</v>
      </c>
      <c r="N37" s="13">
        <f t="shared" si="11"/>
        <v>0</v>
      </c>
      <c r="O37" s="13">
        <f>IF(N37=1,MONTH(AN37),)</f>
        <v>0</v>
      </c>
      <c r="P37" s="13">
        <f t="shared" si="12"/>
        <v>0</v>
      </c>
      <c r="Q37" s="13">
        <f t="shared" si="13"/>
        <v>1900</v>
      </c>
      <c r="S37" s="38" t="s">
        <v>86</v>
      </c>
      <c r="T37" s="11" t="s">
        <v>65</v>
      </c>
      <c r="U37" s="11" t="s">
        <v>26</v>
      </c>
      <c r="V37" s="39" t="s">
        <v>38</v>
      </c>
      <c r="W37" s="39" t="s">
        <v>27</v>
      </c>
      <c r="X37" s="4" t="s">
        <v>87</v>
      </c>
      <c r="Y37" s="4" t="s">
        <v>29</v>
      </c>
      <c r="Z37" s="66">
        <v>43363</v>
      </c>
      <c r="AA37" s="67">
        <v>199344</v>
      </c>
      <c r="AD37" s="10"/>
      <c r="AG37" s="67">
        <v>211100</v>
      </c>
      <c r="AH37" s="16"/>
      <c r="AI37" s="16">
        <f>AG37-AA37</f>
        <v>11756</v>
      </c>
      <c r="AJ37" s="36">
        <f>AI37/AA37</f>
        <v>5.897343285978008E-2</v>
      </c>
      <c r="AN37" s="66"/>
      <c r="AT37" s="9"/>
      <c r="AU37" s="6" t="str">
        <f>IF(AND(AU$2&gt;$Z37,$Z37&gt;0,OR($AN37&gt;AU$2,ISBLANK($AN37))),AU$2-$Z37,"")</f>
        <v/>
      </c>
      <c r="AV37" s="6" t="str">
        <f>IF(AND(AV$2&gt;$Z37,$Z37&gt;0,OR($AN37&gt;AV$2,ISBLANK($AN37))),AV$2-$Z37,"")</f>
        <v/>
      </c>
      <c r="AW37" s="6" t="str">
        <f>IF(AND(AW$2&gt;$Z37,$Z37&gt;0,OR($AN37&gt;AW$2,ISBLANK($AN37))),AW$2-$Z37,"")</f>
        <v/>
      </c>
      <c r="AX37" s="6" t="str">
        <f>IF(AND(AX$2&gt;$Z37,$Z37&gt;0,OR($AN37&gt;AX$2,ISBLANK($AN37))),AX$2-$Z37,"")</f>
        <v/>
      </c>
      <c r="AY37" s="6">
        <f>IF(AND(AY$2&gt;$Z37,$Z37&gt;0,OR($AN37&gt;AY$2,ISBLANK($AN37))),AY$2-$Z37,"")</f>
        <v>10</v>
      </c>
      <c r="AZ37" s="6">
        <f ca="1">IF(AND(AZ$2&gt;$Z37,$Z37&gt;0,OR($AN37&gt;AZ$2,ISBLANK($AN37))),AZ$2-$Z37,"")</f>
        <v>28.382289814813703</v>
      </c>
      <c r="BA37" s="6"/>
      <c r="BB37" s="6"/>
      <c r="BC37" s="6"/>
      <c r="BD37" s="6"/>
    </row>
    <row r="38" spans="2:56" x14ac:dyDescent="0.25">
      <c r="B38" s="13">
        <f t="shared" si="0"/>
        <v>1</v>
      </c>
      <c r="C38" s="13">
        <f t="shared" si="1"/>
        <v>8</v>
      </c>
      <c r="D38" s="13">
        <f t="shared" si="2"/>
        <v>3</v>
      </c>
      <c r="E38" s="13">
        <f t="shared" si="3"/>
        <v>2018</v>
      </c>
      <c r="F38" s="13">
        <f t="shared" si="4"/>
        <v>1</v>
      </c>
      <c r="G38" s="13">
        <f t="shared" si="5"/>
        <v>9</v>
      </c>
      <c r="H38" s="13">
        <f t="shared" si="6"/>
        <v>3</v>
      </c>
      <c r="I38" s="13">
        <f t="shared" si="7"/>
        <v>2018</v>
      </c>
      <c r="J38" s="13">
        <f t="shared" si="8"/>
        <v>0</v>
      </c>
      <c r="K38" s="13">
        <f>IF(J38=1,MONTH(AK38),)</f>
        <v>0</v>
      </c>
      <c r="L38" s="13">
        <f t="shared" si="9"/>
        <v>0</v>
      </c>
      <c r="M38" s="13">
        <f t="shared" si="10"/>
        <v>1900</v>
      </c>
      <c r="N38" s="13">
        <f t="shared" si="11"/>
        <v>0</v>
      </c>
      <c r="O38" s="13">
        <f>IF(N38=1,MONTH(AN38),)</f>
        <v>0</v>
      </c>
      <c r="P38" s="13">
        <f t="shared" si="12"/>
        <v>0</v>
      </c>
      <c r="Q38" s="13">
        <f t="shared" si="13"/>
        <v>1900</v>
      </c>
      <c r="S38" s="38" t="s">
        <v>88</v>
      </c>
      <c r="T38" s="11" t="s">
        <v>31</v>
      </c>
      <c r="U38" s="11" t="s">
        <v>26</v>
      </c>
      <c r="V38" s="39" t="s">
        <v>38</v>
      </c>
      <c r="W38" s="39" t="s">
        <v>27</v>
      </c>
      <c r="X38" s="4" t="s">
        <v>89</v>
      </c>
      <c r="Y38" s="4" t="s">
        <v>29</v>
      </c>
      <c r="Z38" s="66">
        <v>43327</v>
      </c>
      <c r="AA38" s="67">
        <v>310000</v>
      </c>
      <c r="AD38" s="10"/>
      <c r="AF38" s="66">
        <v>43350</v>
      </c>
      <c r="AG38" s="67">
        <v>328800</v>
      </c>
      <c r="AH38" s="16">
        <f>AF38-Z38</f>
        <v>23</v>
      </c>
      <c r="AI38" s="16">
        <f>AG38-AA38</f>
        <v>18800</v>
      </c>
      <c r="AJ38" s="36">
        <f>AI38/AA38</f>
        <v>6.0645161290322581E-2</v>
      </c>
      <c r="AN38" s="66"/>
      <c r="AT38" s="9"/>
      <c r="AU38" s="6" t="str">
        <f>IF(AND(AU$2&gt;$Z38,$Z38&gt;0,OR($AN38&gt;AU$2,ISBLANK($AN38))),AU$2-$Z38,"")</f>
        <v/>
      </c>
      <c r="AV38" s="6" t="str">
        <f>IF(AND(AV$2&gt;$Z38,$Z38&gt;0,OR($AN38&gt;AV$2,ISBLANK($AN38))),AV$2-$Z38,"")</f>
        <v/>
      </c>
      <c r="AW38" s="6" t="str">
        <f>IF(AND(AW$2&gt;$Z38,$Z38&gt;0,OR($AN38&gt;AW$2,ISBLANK($AN38))),AW$2-$Z38,"")</f>
        <v/>
      </c>
      <c r="AX38" s="6">
        <f>IF(AND(AX$2&gt;$Z38,$Z38&gt;0,OR($AN38&gt;AX$2,ISBLANK($AN38))),AX$2-$Z38,"")</f>
        <v>16</v>
      </c>
      <c r="AY38" s="6">
        <f>IF(AND(AY$2&gt;$Z38,$Z38&gt;0,OR($AN38&gt;AY$2,ISBLANK($AN38))),AY$2-$Z38,"")</f>
        <v>46</v>
      </c>
      <c r="AZ38" s="6">
        <f ca="1">IF(AND(AZ$2&gt;$Z38,$Z38&gt;0,OR($AN38&gt;AZ$2,ISBLANK($AN38))),AZ$2-$Z38,"")</f>
        <v>64.382289814813703</v>
      </c>
      <c r="BA38" s="6"/>
      <c r="BB38" s="6"/>
      <c r="BC38" s="6"/>
      <c r="BD38" s="6"/>
    </row>
    <row r="39" spans="2:56" x14ac:dyDescent="0.25">
      <c r="B39" s="13">
        <f t="shared" si="0"/>
        <v>1</v>
      </c>
      <c r="C39" s="13">
        <f t="shared" si="1"/>
        <v>9</v>
      </c>
      <c r="D39" s="13">
        <f t="shared" si="2"/>
        <v>3</v>
      </c>
      <c r="E39" s="13">
        <f t="shared" si="3"/>
        <v>2018</v>
      </c>
      <c r="F39" s="13">
        <f t="shared" si="4"/>
        <v>1</v>
      </c>
      <c r="G39" s="13">
        <f t="shared" si="5"/>
        <v>9</v>
      </c>
      <c r="H39" s="13">
        <f t="shared" si="6"/>
        <v>3</v>
      </c>
      <c r="I39" s="13">
        <f t="shared" si="7"/>
        <v>2018</v>
      </c>
      <c r="J39" s="13">
        <f t="shared" si="8"/>
        <v>0</v>
      </c>
      <c r="K39" s="13">
        <f>IF(J39=1,MONTH(AK39),)</f>
        <v>0</v>
      </c>
      <c r="L39" s="13">
        <f t="shared" si="9"/>
        <v>0</v>
      </c>
      <c r="M39" s="13">
        <f t="shared" si="10"/>
        <v>1900</v>
      </c>
      <c r="N39" s="13">
        <f t="shared" si="11"/>
        <v>0</v>
      </c>
      <c r="O39" s="13">
        <f>IF(N39=1,MONTH(AN39),)</f>
        <v>0</v>
      </c>
      <c r="P39" s="13">
        <f t="shared" si="12"/>
        <v>0</v>
      </c>
      <c r="Q39" s="13">
        <f t="shared" si="13"/>
        <v>1900</v>
      </c>
      <c r="S39" s="38" t="s">
        <v>90</v>
      </c>
      <c r="T39" s="11" t="s">
        <v>91</v>
      </c>
      <c r="U39" s="11" t="s">
        <v>26</v>
      </c>
      <c r="V39" s="39" t="s">
        <v>38</v>
      </c>
      <c r="W39" s="39" t="s">
        <v>27</v>
      </c>
      <c r="X39" s="4" t="s">
        <v>92</v>
      </c>
      <c r="Y39" s="4" t="s">
        <v>29</v>
      </c>
      <c r="Z39" s="66">
        <v>43348</v>
      </c>
      <c r="AA39" s="67">
        <v>227000</v>
      </c>
      <c r="AD39" s="10"/>
      <c r="AF39" s="66">
        <v>43370</v>
      </c>
      <c r="AG39" s="67">
        <v>238600</v>
      </c>
      <c r="AH39" s="16">
        <f>AF39-Z39</f>
        <v>22</v>
      </c>
      <c r="AI39" s="16">
        <f>AG39-AA39</f>
        <v>11600</v>
      </c>
      <c r="AJ39" s="36">
        <f>AI39/AA39</f>
        <v>5.1101321585903081E-2</v>
      </c>
      <c r="AN39" s="66"/>
      <c r="AT39" s="9"/>
      <c r="AU39" s="6" t="str">
        <f>IF(AND(AU$2&gt;$Z39,$Z39&gt;0,OR($AN39&gt;AU$2,ISBLANK($AN39))),AU$2-$Z39,"")</f>
        <v/>
      </c>
      <c r="AV39" s="6" t="str">
        <f>IF(AND(AV$2&gt;$Z39,$Z39&gt;0,OR($AN39&gt;AV$2,ISBLANK($AN39))),AV$2-$Z39,"")</f>
        <v/>
      </c>
      <c r="AW39" s="6" t="str">
        <f>IF(AND(AW$2&gt;$Z39,$Z39&gt;0,OR($AN39&gt;AW$2,ISBLANK($AN39))),AW$2-$Z39,"")</f>
        <v/>
      </c>
      <c r="AX39" s="6" t="str">
        <f>IF(AND(AX$2&gt;$Z39,$Z39&gt;0,OR($AN39&gt;AX$2,ISBLANK($AN39))),AX$2-$Z39,"")</f>
        <v/>
      </c>
      <c r="AY39" s="6">
        <f>IF(AND(AY$2&gt;$Z39,$Z39&gt;0,OR($AN39&gt;AY$2,ISBLANK($AN39))),AY$2-$Z39,"")</f>
        <v>25</v>
      </c>
      <c r="AZ39" s="6">
        <f ca="1">IF(AND(AZ$2&gt;$Z39,$Z39&gt;0,OR($AN39&gt;AZ$2,ISBLANK($AN39))),AZ$2-$Z39,"")</f>
        <v>43.382289814813703</v>
      </c>
      <c r="BA39" s="6"/>
      <c r="BB39" s="6"/>
      <c r="BC39" s="6"/>
      <c r="BD39" s="6"/>
    </row>
    <row r="40" spans="2:56" x14ac:dyDescent="0.25">
      <c r="B40" s="13">
        <f t="shared" si="0"/>
        <v>1</v>
      </c>
      <c r="C40" s="13">
        <f t="shared" si="1"/>
        <v>9</v>
      </c>
      <c r="D40" s="13">
        <f t="shared" si="2"/>
        <v>3</v>
      </c>
      <c r="E40" s="13">
        <f t="shared" si="3"/>
        <v>2018</v>
      </c>
      <c r="F40" s="13">
        <f t="shared" si="4"/>
        <v>0</v>
      </c>
      <c r="G40" s="13">
        <f t="shared" si="5"/>
        <v>1</v>
      </c>
      <c r="H40" s="13">
        <f t="shared" si="6"/>
        <v>1</v>
      </c>
      <c r="I40" s="13">
        <f t="shared" si="7"/>
        <v>1900</v>
      </c>
      <c r="J40" s="13">
        <f t="shared" si="8"/>
        <v>0</v>
      </c>
      <c r="K40" s="13">
        <f>IF(J40=1,MONTH(AK40),)</f>
        <v>0</v>
      </c>
      <c r="L40" s="13">
        <f t="shared" si="9"/>
        <v>0</v>
      </c>
      <c r="M40" s="13">
        <f t="shared" si="10"/>
        <v>1900</v>
      </c>
      <c r="N40" s="13">
        <f t="shared" si="11"/>
        <v>0</v>
      </c>
      <c r="O40" s="13">
        <f>IF(N40=1,MONTH(AN40),)</f>
        <v>0</v>
      </c>
      <c r="P40" s="13">
        <f t="shared" si="12"/>
        <v>0</v>
      </c>
      <c r="Q40" s="13">
        <f t="shared" si="13"/>
        <v>1900</v>
      </c>
      <c r="S40" s="38" t="s">
        <v>93</v>
      </c>
      <c r="T40" s="11" t="s">
        <v>65</v>
      </c>
      <c r="U40" s="11" t="s">
        <v>26</v>
      </c>
      <c r="V40" s="39" t="s">
        <v>38</v>
      </c>
      <c r="W40" s="39" t="s">
        <v>27</v>
      </c>
      <c r="X40" s="4" t="s">
        <v>94</v>
      </c>
      <c r="Y40" s="4" t="s">
        <v>29</v>
      </c>
      <c r="Z40" s="66">
        <v>43369</v>
      </c>
      <c r="AA40" s="67">
        <v>208000</v>
      </c>
      <c r="AD40" s="10"/>
      <c r="AH40" s="16"/>
      <c r="AI40" s="16"/>
      <c r="AJ40" s="36"/>
      <c r="AN40" s="66"/>
      <c r="AT40" s="9"/>
      <c r="AU40" s="6" t="str">
        <f>IF(AND(AU$2&gt;$Z40,$Z40&gt;0,OR($AN40&gt;AU$2,ISBLANK($AN40))),AU$2-$Z40,"")</f>
        <v/>
      </c>
      <c r="AV40" s="6" t="str">
        <f>IF(AND(AV$2&gt;$Z40,$Z40&gt;0,OR($AN40&gt;AV$2,ISBLANK($AN40))),AV$2-$Z40,"")</f>
        <v/>
      </c>
      <c r="AW40" s="6" t="str">
        <f>IF(AND(AW$2&gt;$Z40,$Z40&gt;0,OR($AN40&gt;AW$2,ISBLANK($AN40))),AW$2-$Z40,"")</f>
        <v/>
      </c>
      <c r="AX40" s="6" t="str">
        <f>IF(AND(AX$2&gt;$Z40,$Z40&gt;0,OR($AN40&gt;AX$2,ISBLANK($AN40))),AX$2-$Z40,"")</f>
        <v/>
      </c>
      <c r="AY40" s="6">
        <f>IF(AND(AY$2&gt;$Z40,$Z40&gt;0,OR($AN40&gt;AY$2,ISBLANK($AN40))),AY$2-$Z40,"")</f>
        <v>4</v>
      </c>
      <c r="AZ40" s="6">
        <f ca="1">IF(AND(AZ$2&gt;$Z40,$Z40&gt;0,OR($AN40&gt;AZ$2,ISBLANK($AN40))),AZ$2-$Z40,"")</f>
        <v>22.382289814813703</v>
      </c>
      <c r="BA40" s="6"/>
      <c r="BB40" s="6"/>
      <c r="BC40" s="6"/>
      <c r="BD40" s="6"/>
    </row>
    <row r="41" spans="2:56" x14ac:dyDescent="0.25">
      <c r="B41" s="13">
        <f t="shared" si="0"/>
        <v>1</v>
      </c>
      <c r="C41" s="13">
        <f t="shared" si="1"/>
        <v>9</v>
      </c>
      <c r="D41" s="13">
        <f t="shared" si="2"/>
        <v>3</v>
      </c>
      <c r="E41" s="13">
        <f t="shared" si="3"/>
        <v>2018</v>
      </c>
      <c r="F41" s="13">
        <f t="shared" si="4"/>
        <v>1</v>
      </c>
      <c r="G41" s="13">
        <f t="shared" si="5"/>
        <v>9</v>
      </c>
      <c r="H41" s="13">
        <f t="shared" si="6"/>
        <v>3</v>
      </c>
      <c r="I41" s="13">
        <f t="shared" si="7"/>
        <v>2018</v>
      </c>
      <c r="J41" s="13">
        <f t="shared" si="8"/>
        <v>1</v>
      </c>
      <c r="K41" s="13">
        <f>IF(J41=1,MONTH(AK41),)</f>
        <v>10</v>
      </c>
      <c r="L41" s="13">
        <f t="shared" si="9"/>
        <v>4</v>
      </c>
      <c r="M41" s="13">
        <f t="shared" si="10"/>
        <v>2018</v>
      </c>
      <c r="N41" s="13">
        <f t="shared" si="11"/>
        <v>0</v>
      </c>
      <c r="O41" s="13">
        <f>IF(N41=1,MONTH(AN41),)</f>
        <v>0</v>
      </c>
      <c r="P41" s="13">
        <f t="shared" si="12"/>
        <v>0</v>
      </c>
      <c r="Q41" s="13">
        <f t="shared" si="13"/>
        <v>1900</v>
      </c>
      <c r="S41" s="38" t="s">
        <v>95</v>
      </c>
      <c r="T41" s="11" t="s">
        <v>62</v>
      </c>
      <c r="U41" s="11" t="s">
        <v>26</v>
      </c>
      <c r="V41" s="39" t="s">
        <v>38</v>
      </c>
      <c r="W41" s="39" t="s">
        <v>27</v>
      </c>
      <c r="X41" s="4" t="s">
        <v>96</v>
      </c>
      <c r="Y41" s="4" t="s">
        <v>29</v>
      </c>
      <c r="Z41" s="66">
        <v>43364</v>
      </c>
      <c r="AA41" s="67">
        <v>188580</v>
      </c>
      <c r="AD41" s="10"/>
      <c r="AF41" s="66">
        <v>43372</v>
      </c>
      <c r="AG41" s="67">
        <v>197900</v>
      </c>
      <c r="AH41" s="16">
        <f>AF41-Z41</f>
        <v>8</v>
      </c>
      <c r="AI41" s="16">
        <f>AG41-AA41</f>
        <v>9320</v>
      </c>
      <c r="AJ41" s="36">
        <f>AI41/AA41</f>
        <v>4.9421995969880159E-2</v>
      </c>
      <c r="AK41" s="66">
        <v>43382</v>
      </c>
      <c r="AL41" s="67">
        <v>197900</v>
      </c>
      <c r="AM41" s="6">
        <f>AK41-AF41</f>
        <v>10</v>
      </c>
      <c r="AN41" s="66"/>
      <c r="AT41" s="9"/>
      <c r="AU41" s="6" t="str">
        <f>IF(AND(AU$2&gt;$Z41,$Z41&gt;0,OR($AN41&gt;AU$2,ISBLANK($AN41))),AU$2-$Z41,"")</f>
        <v/>
      </c>
      <c r="AV41" s="6" t="str">
        <f>IF(AND(AV$2&gt;$Z41,$Z41&gt;0,OR($AN41&gt;AV$2,ISBLANK($AN41))),AV$2-$Z41,"")</f>
        <v/>
      </c>
      <c r="AW41" s="6" t="str">
        <f>IF(AND(AW$2&gt;$Z41,$Z41&gt;0,OR($AN41&gt;AW$2,ISBLANK($AN41))),AW$2-$Z41,"")</f>
        <v/>
      </c>
      <c r="AX41" s="6" t="str">
        <f>IF(AND(AX$2&gt;$Z41,$Z41&gt;0,OR($AN41&gt;AX$2,ISBLANK($AN41))),AX$2-$Z41,"")</f>
        <v/>
      </c>
      <c r="AY41" s="6">
        <f>IF(AND(AY$2&gt;$Z41,$Z41&gt;0,OR($AN41&gt;AY$2,ISBLANK($AN41))),AY$2-$Z41,"")</f>
        <v>9</v>
      </c>
      <c r="AZ41" s="6">
        <f ca="1">IF(AND(AZ$2&gt;$Z41,$Z41&gt;0,OR($AN41&gt;AZ$2,ISBLANK($AN41))),AZ$2-$Z41,"")</f>
        <v>27.382289814813703</v>
      </c>
      <c r="BA41" s="6"/>
      <c r="BB41" s="6"/>
      <c r="BC41" s="6"/>
      <c r="BD41" s="6"/>
    </row>
    <row r="42" spans="2:56" x14ac:dyDescent="0.25">
      <c r="B42" s="13">
        <f t="shared" si="0"/>
        <v>1</v>
      </c>
      <c r="C42" s="13">
        <f t="shared" si="1"/>
        <v>8</v>
      </c>
      <c r="D42" s="13">
        <f t="shared" si="2"/>
        <v>3</v>
      </c>
      <c r="E42" s="13">
        <f t="shared" si="3"/>
        <v>2018</v>
      </c>
      <c r="F42" s="13">
        <f t="shared" si="4"/>
        <v>1</v>
      </c>
      <c r="G42" s="13">
        <f t="shared" si="5"/>
        <v>9</v>
      </c>
      <c r="H42" s="13">
        <f t="shared" si="6"/>
        <v>3</v>
      </c>
      <c r="I42" s="13">
        <f t="shared" si="7"/>
        <v>2018</v>
      </c>
      <c r="J42" s="13">
        <f t="shared" si="8"/>
        <v>1</v>
      </c>
      <c r="K42" s="13">
        <f>IF(J42=1,MONTH(AK42),)</f>
        <v>10</v>
      </c>
      <c r="L42" s="13">
        <f t="shared" si="9"/>
        <v>4</v>
      </c>
      <c r="M42" s="13">
        <f t="shared" si="10"/>
        <v>2018</v>
      </c>
      <c r="N42" s="13">
        <f t="shared" si="11"/>
        <v>0</v>
      </c>
      <c r="O42" s="13">
        <f>IF(N42=1,MONTH(AN42),)</f>
        <v>0</v>
      </c>
      <c r="P42" s="13">
        <f t="shared" si="12"/>
        <v>0</v>
      </c>
      <c r="Q42" s="13">
        <f t="shared" si="13"/>
        <v>1900</v>
      </c>
      <c r="S42" s="38" t="s">
        <v>97</v>
      </c>
      <c r="T42" s="11" t="s">
        <v>50</v>
      </c>
      <c r="U42" s="11" t="s">
        <v>26</v>
      </c>
      <c r="V42" s="39" t="s">
        <v>38</v>
      </c>
      <c r="W42" s="39" t="s">
        <v>27</v>
      </c>
      <c r="X42" s="4" t="s">
        <v>98</v>
      </c>
      <c r="Y42" s="4" t="s">
        <v>29</v>
      </c>
      <c r="Z42" s="66">
        <v>43333</v>
      </c>
      <c r="AA42" s="67">
        <v>358146</v>
      </c>
      <c r="AD42" s="10"/>
      <c r="AF42" s="66">
        <v>43345</v>
      </c>
      <c r="AG42" s="67">
        <v>375000</v>
      </c>
      <c r="AH42" s="16">
        <f>AF42-Z42</f>
        <v>12</v>
      </c>
      <c r="AI42" s="16">
        <f>AG42-AA42</f>
        <v>16854</v>
      </c>
      <c r="AJ42" s="36">
        <f>AI42/AA42</f>
        <v>4.7059020622874467E-2</v>
      </c>
      <c r="AK42" s="66">
        <v>43376</v>
      </c>
      <c r="AL42" s="67">
        <v>375000</v>
      </c>
      <c r="AM42" s="6">
        <f>AK42-AF42</f>
        <v>31</v>
      </c>
      <c r="AN42" s="66"/>
      <c r="AT42" s="9"/>
      <c r="AU42" s="6" t="str">
        <f>IF(AND(AU$2&gt;$Z42,$Z42&gt;0,OR($AN42&gt;AU$2,ISBLANK($AN42))),AU$2-$Z42,"")</f>
        <v/>
      </c>
      <c r="AV42" s="6" t="str">
        <f>IF(AND(AV$2&gt;$Z42,$Z42&gt;0,OR($AN42&gt;AV$2,ISBLANK($AN42))),AV$2-$Z42,"")</f>
        <v/>
      </c>
      <c r="AW42" s="6" t="str">
        <f>IF(AND(AW$2&gt;$Z42,$Z42&gt;0,OR($AN42&gt;AW$2,ISBLANK($AN42))),AW$2-$Z42,"")</f>
        <v/>
      </c>
      <c r="AX42" s="6">
        <f>IF(AND(AX$2&gt;$Z42,$Z42&gt;0,OR($AN42&gt;AX$2,ISBLANK($AN42))),AX$2-$Z42,"")</f>
        <v>10</v>
      </c>
      <c r="AY42" s="6">
        <f>IF(AND(AY$2&gt;$Z42,$Z42&gt;0,OR($AN42&gt;AY$2,ISBLANK($AN42))),AY$2-$Z42,"")</f>
        <v>40</v>
      </c>
      <c r="AZ42" s="6">
        <f ca="1">IF(AND(AZ$2&gt;$Z42,$Z42&gt;0,OR($AN42&gt;AZ$2,ISBLANK($AN42))),AZ$2-$Z42,"")</f>
        <v>58.382289814813703</v>
      </c>
      <c r="BA42" s="6"/>
      <c r="BB42" s="6"/>
      <c r="BC42" s="6"/>
      <c r="BD42" s="6"/>
    </row>
    <row r="43" spans="2:56" x14ac:dyDescent="0.25">
      <c r="B43" s="13">
        <f t="shared" si="0"/>
        <v>1</v>
      </c>
      <c r="C43" s="13">
        <f t="shared" si="1"/>
        <v>9</v>
      </c>
      <c r="D43" s="13">
        <f t="shared" si="2"/>
        <v>3</v>
      </c>
      <c r="E43" s="13">
        <f t="shared" si="3"/>
        <v>2018</v>
      </c>
      <c r="F43" s="13">
        <f t="shared" si="4"/>
        <v>1</v>
      </c>
      <c r="G43" s="13">
        <f t="shared" si="5"/>
        <v>10</v>
      </c>
      <c r="H43" s="13">
        <f t="shared" si="6"/>
        <v>4</v>
      </c>
      <c r="I43" s="13">
        <f t="shared" si="7"/>
        <v>2018</v>
      </c>
      <c r="J43" s="13">
        <f t="shared" si="8"/>
        <v>0</v>
      </c>
      <c r="K43" s="13">
        <f>IF(J43=1,MONTH(AK43),)</f>
        <v>0</v>
      </c>
      <c r="L43" s="13">
        <f t="shared" si="9"/>
        <v>0</v>
      </c>
      <c r="M43" s="13">
        <f t="shared" si="10"/>
        <v>1900</v>
      </c>
      <c r="N43" s="13">
        <f t="shared" si="11"/>
        <v>0</v>
      </c>
      <c r="O43" s="13">
        <f>IF(N43=1,MONTH(AN43),)</f>
        <v>0</v>
      </c>
      <c r="P43" s="13">
        <f t="shared" si="12"/>
        <v>0</v>
      </c>
      <c r="Q43" s="13">
        <f t="shared" si="13"/>
        <v>1900</v>
      </c>
      <c r="S43" s="38" t="s">
        <v>99</v>
      </c>
      <c r="T43" s="11" t="s">
        <v>62</v>
      </c>
      <c r="U43" s="11" t="s">
        <v>26</v>
      </c>
      <c r="V43" s="39" t="s">
        <v>38</v>
      </c>
      <c r="W43" s="39" t="s">
        <v>27</v>
      </c>
      <c r="X43" s="4" t="s">
        <v>100</v>
      </c>
      <c r="Y43" s="4" t="s">
        <v>29</v>
      </c>
      <c r="Z43" s="66">
        <v>43371</v>
      </c>
      <c r="AA43" s="67">
        <v>246300</v>
      </c>
      <c r="AD43" s="10"/>
      <c r="AF43" s="66">
        <v>43387</v>
      </c>
      <c r="AG43" s="67">
        <v>256900</v>
      </c>
      <c r="AH43" s="16">
        <f>AF43-Z43</f>
        <v>16</v>
      </c>
      <c r="AI43" s="16">
        <f>AG43-AA43</f>
        <v>10600</v>
      </c>
      <c r="AJ43" s="36">
        <f>AI43/AA43</f>
        <v>4.3036946812829879E-2</v>
      </c>
      <c r="AN43" s="66"/>
      <c r="AT43" s="9"/>
      <c r="AU43" s="6" t="str">
        <f>IF(AND(AU$2&gt;$Z43,$Z43&gt;0,OR($AN43&gt;AU$2,ISBLANK($AN43))),AU$2-$Z43,"")</f>
        <v/>
      </c>
      <c r="AV43" s="6" t="str">
        <f>IF(AND(AV$2&gt;$Z43,$Z43&gt;0,OR($AN43&gt;AV$2,ISBLANK($AN43))),AV$2-$Z43,"")</f>
        <v/>
      </c>
      <c r="AW43" s="6" t="str">
        <f>IF(AND(AW$2&gt;$Z43,$Z43&gt;0,OR($AN43&gt;AW$2,ISBLANK($AN43))),AW$2-$Z43,"")</f>
        <v/>
      </c>
      <c r="AX43" s="6" t="str">
        <f>IF(AND(AX$2&gt;$Z43,$Z43&gt;0,OR($AN43&gt;AX$2,ISBLANK($AN43))),AX$2-$Z43,"")</f>
        <v/>
      </c>
      <c r="AY43" s="6">
        <f>IF(AND(AY$2&gt;$Z43,$Z43&gt;0,OR($AN43&gt;AY$2,ISBLANK($AN43))),AY$2-$Z43,"")</f>
        <v>2</v>
      </c>
      <c r="AZ43" s="6">
        <f ca="1">IF(AND(AZ$2&gt;$Z43,$Z43&gt;0,OR($AN43&gt;AZ$2,ISBLANK($AN43))),AZ$2-$Z43,"")</f>
        <v>20.382289814813703</v>
      </c>
      <c r="BA43" s="6"/>
      <c r="BB43" s="6"/>
      <c r="BC43" s="6"/>
      <c r="BD43" s="6"/>
    </row>
    <row r="44" spans="2:56" x14ac:dyDescent="0.25">
      <c r="B44" s="13">
        <f t="shared" si="0"/>
        <v>1</v>
      </c>
      <c r="C44" s="13">
        <f t="shared" si="1"/>
        <v>9</v>
      </c>
      <c r="D44" s="13">
        <f t="shared" si="2"/>
        <v>3</v>
      </c>
      <c r="E44" s="13">
        <f t="shared" si="3"/>
        <v>2018</v>
      </c>
      <c r="F44" s="13">
        <f t="shared" si="4"/>
        <v>1</v>
      </c>
      <c r="G44" s="13">
        <f t="shared" si="5"/>
        <v>10</v>
      </c>
      <c r="H44" s="13">
        <f t="shared" si="6"/>
        <v>4</v>
      </c>
      <c r="I44" s="13">
        <f t="shared" si="7"/>
        <v>2018</v>
      </c>
      <c r="J44" s="13">
        <f t="shared" si="8"/>
        <v>0</v>
      </c>
      <c r="K44" s="13">
        <f>IF(J44=1,MONTH(AK44),)</f>
        <v>0</v>
      </c>
      <c r="L44" s="13">
        <f t="shared" si="9"/>
        <v>0</v>
      </c>
      <c r="M44" s="13">
        <f t="shared" si="10"/>
        <v>1900</v>
      </c>
      <c r="N44" s="13">
        <f t="shared" si="11"/>
        <v>0</v>
      </c>
      <c r="O44" s="13">
        <f>IF(N44=1,MONTH(AN44),)</f>
        <v>0</v>
      </c>
      <c r="P44" s="13">
        <f t="shared" si="12"/>
        <v>0</v>
      </c>
      <c r="Q44" s="13">
        <f t="shared" si="13"/>
        <v>1900</v>
      </c>
      <c r="S44" s="38" t="s">
        <v>101</v>
      </c>
      <c r="T44" s="11" t="s">
        <v>65</v>
      </c>
      <c r="U44" s="11" t="s">
        <v>26</v>
      </c>
      <c r="V44" s="39" t="s">
        <v>38</v>
      </c>
      <c r="W44" s="39" t="s">
        <v>27</v>
      </c>
      <c r="X44" s="4" t="s">
        <v>102</v>
      </c>
      <c r="Y44" s="4" t="s">
        <v>29</v>
      </c>
      <c r="Z44" s="66">
        <v>43363</v>
      </c>
      <c r="AA44" s="67">
        <v>221800</v>
      </c>
      <c r="AD44" s="10"/>
      <c r="AF44" s="66">
        <v>43377</v>
      </c>
      <c r="AG44" s="67">
        <v>231900</v>
      </c>
      <c r="AH44" s="16">
        <f>AF44-Z44</f>
        <v>14</v>
      </c>
      <c r="AI44" s="16">
        <f>AG44-AA44</f>
        <v>10100</v>
      </c>
      <c r="AJ44" s="36">
        <f>AI44/AA44</f>
        <v>4.5536519386834985E-2</v>
      </c>
      <c r="AN44" s="66"/>
      <c r="AT44" s="9"/>
      <c r="AU44" s="6" t="str">
        <f>IF(AND(AU$2&gt;$Z44,$Z44&gt;0,OR($AN44&gt;AU$2,ISBLANK($AN44))),AU$2-$Z44,"")</f>
        <v/>
      </c>
      <c r="AV44" s="6" t="str">
        <f>IF(AND(AV$2&gt;$Z44,$Z44&gt;0,OR($AN44&gt;AV$2,ISBLANK($AN44))),AV$2-$Z44,"")</f>
        <v/>
      </c>
      <c r="AW44" s="6" t="str">
        <f>IF(AND(AW$2&gt;$Z44,$Z44&gt;0,OR($AN44&gt;AW$2,ISBLANK($AN44))),AW$2-$Z44,"")</f>
        <v/>
      </c>
      <c r="AX44" s="6" t="str">
        <f>IF(AND(AX$2&gt;$Z44,$Z44&gt;0,OR($AN44&gt;AX$2,ISBLANK($AN44))),AX$2-$Z44,"")</f>
        <v/>
      </c>
      <c r="AY44" s="6">
        <f>IF(AND(AY$2&gt;$Z44,$Z44&gt;0,OR($AN44&gt;AY$2,ISBLANK($AN44))),AY$2-$Z44,"")</f>
        <v>10</v>
      </c>
      <c r="AZ44" s="6">
        <f ca="1">IF(AND(AZ$2&gt;$Z44,$Z44&gt;0,OR($AN44&gt;AZ$2,ISBLANK($AN44))),AZ$2-$Z44,"")</f>
        <v>28.382289814813703</v>
      </c>
      <c r="BA44" s="6"/>
      <c r="BB44" s="6"/>
      <c r="BC44" s="6"/>
      <c r="BD44" s="6"/>
    </row>
    <row r="45" spans="2:56" x14ac:dyDescent="0.25">
      <c r="B45" s="13">
        <f t="shared" si="0"/>
        <v>1</v>
      </c>
      <c r="C45" s="13">
        <f t="shared" si="1"/>
        <v>6</v>
      </c>
      <c r="D45" s="13">
        <f t="shared" si="2"/>
        <v>2</v>
      </c>
      <c r="E45" s="13">
        <f t="shared" si="3"/>
        <v>2018</v>
      </c>
      <c r="F45" s="13">
        <f t="shared" si="4"/>
        <v>1</v>
      </c>
      <c r="G45" s="13">
        <f t="shared" si="5"/>
        <v>6</v>
      </c>
      <c r="H45" s="13">
        <f t="shared" si="6"/>
        <v>2</v>
      </c>
      <c r="I45" s="13">
        <f t="shared" si="7"/>
        <v>2018</v>
      </c>
      <c r="J45" s="13">
        <f t="shared" si="8"/>
        <v>1</v>
      </c>
      <c r="K45" s="13">
        <f>IF(J45=1,MONTH(AK45),)</f>
        <v>7</v>
      </c>
      <c r="L45" s="13">
        <f t="shared" si="9"/>
        <v>3</v>
      </c>
      <c r="M45" s="13">
        <f t="shared" si="10"/>
        <v>2018</v>
      </c>
      <c r="N45" s="13">
        <f t="shared" si="11"/>
        <v>1</v>
      </c>
      <c r="O45" s="13">
        <f>IF(N45=1,MONTH(AN45),)</f>
        <v>8</v>
      </c>
      <c r="P45" s="13">
        <f t="shared" si="12"/>
        <v>3</v>
      </c>
      <c r="Q45" s="13">
        <f t="shared" si="13"/>
        <v>2018</v>
      </c>
      <c r="S45" s="38" t="s">
        <v>414</v>
      </c>
      <c r="T45" s="11" t="s">
        <v>62</v>
      </c>
      <c r="U45" s="11" t="s">
        <v>26</v>
      </c>
      <c r="V45" s="39" t="s">
        <v>38</v>
      </c>
      <c r="W45" s="39" t="s">
        <v>27</v>
      </c>
      <c r="X45" s="4" t="s">
        <v>423</v>
      </c>
      <c r="Z45" s="66">
        <v>43266</v>
      </c>
      <c r="AA45" s="67">
        <v>365000</v>
      </c>
      <c r="AD45" s="10"/>
      <c r="AF45" s="66">
        <v>43279</v>
      </c>
      <c r="AG45" s="67">
        <v>369000</v>
      </c>
      <c r="AH45" s="16">
        <f>AF45-Z45</f>
        <v>13</v>
      </c>
      <c r="AI45" s="16">
        <f>AG45-AA45</f>
        <v>4000</v>
      </c>
      <c r="AJ45" s="36">
        <f>AI45/AA45</f>
        <v>1.0958904109589041E-2</v>
      </c>
      <c r="AK45" s="66">
        <v>43288</v>
      </c>
      <c r="AL45" s="67">
        <v>369000</v>
      </c>
      <c r="AM45" s="6">
        <f>AK45-AF45</f>
        <v>9</v>
      </c>
      <c r="AN45" s="66">
        <v>43322</v>
      </c>
      <c r="AO45" s="67">
        <v>369000</v>
      </c>
      <c r="AP45" s="6">
        <f>AN45-AK45</f>
        <v>34</v>
      </c>
      <c r="AQ45" s="6">
        <f>AH45+AM45+AP45</f>
        <v>56</v>
      </c>
      <c r="AR45" s="6">
        <f>AO45-AA45</f>
        <v>4000</v>
      </c>
      <c r="AS45" s="8">
        <f>AR45/AA45</f>
        <v>1.0958904109589041E-2</v>
      </c>
      <c r="AT45" s="9"/>
      <c r="AU45" s="6" t="str">
        <f>IF(AND(AU$2&gt;$Z45,$Z45&gt;0,OR($AN45&gt;AU$2,ISBLANK($AN45))),AU$2-$Z45,"")</f>
        <v/>
      </c>
      <c r="AV45" s="6">
        <f>IF(AND(AV$2&gt;$Z45,$Z45&gt;0,OR($AN45&gt;AV$2,ISBLANK($AN45))),AV$2-$Z45,"")</f>
        <v>15</v>
      </c>
      <c r="AW45" s="6">
        <f>IF(AND(AW$2&gt;$Z45,$Z45&gt;0,OR($AN45&gt;AW$2,ISBLANK($AN45))),AW$2-$Z45,"")</f>
        <v>46</v>
      </c>
      <c r="AX45" s="6" t="str">
        <f>IF(AND(AX$2&gt;$Z45,$Z45&gt;0,OR($AN45&gt;AX$2,ISBLANK($AN45))),AX$2-$Z45,"")</f>
        <v/>
      </c>
      <c r="AY45" s="6" t="str">
        <f>IF(AND(AY$2&gt;$Z45,$Z45&gt;0,OR($AN45&gt;AY$2,ISBLANK($AN45))),AY$2-$Z45,"")</f>
        <v/>
      </c>
      <c r="AZ45" s="6" t="str">
        <f ca="1">IF(AND(AZ$2&gt;$Z45,$Z45&gt;0,OR($AN45&gt;AZ$2,ISBLANK($AN45))),AZ$2-$Z45,"")</f>
        <v/>
      </c>
      <c r="BA45" s="6"/>
      <c r="BB45" s="6"/>
      <c r="BC45" s="6"/>
      <c r="BD45" s="6"/>
    </row>
    <row r="46" spans="2:56" x14ac:dyDescent="0.25">
      <c r="B46" s="13">
        <f t="shared" si="0"/>
        <v>1</v>
      </c>
      <c r="C46" s="13">
        <f t="shared" si="1"/>
        <v>10</v>
      </c>
      <c r="D46" s="13">
        <f t="shared" si="2"/>
        <v>4</v>
      </c>
      <c r="E46" s="13">
        <f t="shared" si="3"/>
        <v>2018</v>
      </c>
      <c r="F46" s="13">
        <f t="shared" si="4"/>
        <v>0</v>
      </c>
      <c r="G46" s="13">
        <f t="shared" si="5"/>
        <v>1</v>
      </c>
      <c r="H46" s="13">
        <f t="shared" si="6"/>
        <v>1</v>
      </c>
      <c r="I46" s="13">
        <f t="shared" si="7"/>
        <v>1900</v>
      </c>
      <c r="J46" s="13">
        <f t="shared" si="8"/>
        <v>0</v>
      </c>
      <c r="K46" s="13">
        <f>IF(J46=1,MONTH(AK46),)</f>
        <v>0</v>
      </c>
      <c r="L46" s="13">
        <f t="shared" si="9"/>
        <v>0</v>
      </c>
      <c r="M46" s="13">
        <f t="shared" si="10"/>
        <v>1900</v>
      </c>
      <c r="N46" s="13">
        <f t="shared" si="11"/>
        <v>0</v>
      </c>
      <c r="O46" s="13">
        <f>IF(N46=1,MONTH(AN46),)</f>
        <v>0</v>
      </c>
      <c r="P46" s="13">
        <f t="shared" si="12"/>
        <v>0</v>
      </c>
      <c r="Q46" s="13">
        <f t="shared" si="13"/>
        <v>1900</v>
      </c>
      <c r="S46" s="38" t="s">
        <v>103</v>
      </c>
      <c r="T46" s="11" t="s">
        <v>91</v>
      </c>
      <c r="U46" s="11" t="s">
        <v>26</v>
      </c>
      <c r="V46" s="39" t="s">
        <v>38</v>
      </c>
      <c r="W46" s="39" t="s">
        <v>27</v>
      </c>
      <c r="X46" s="4" t="s">
        <v>104</v>
      </c>
      <c r="Y46" s="4" t="s">
        <v>29</v>
      </c>
      <c r="Z46" s="66">
        <v>43375</v>
      </c>
      <c r="AA46" s="67">
        <v>301000</v>
      </c>
      <c r="AD46" s="10"/>
      <c r="AG46" s="67">
        <v>312900</v>
      </c>
      <c r="AH46" s="16"/>
      <c r="AI46" s="16">
        <f>AG46-AA46</f>
        <v>11900</v>
      </c>
      <c r="AJ46" s="36">
        <f>AI46/AA46</f>
        <v>3.9534883720930232E-2</v>
      </c>
      <c r="AN46" s="66"/>
      <c r="AT46" s="9"/>
      <c r="AU46" s="6" t="str">
        <f>IF(AND(AU$2&gt;$Z46,$Z46&gt;0,OR($AN46&gt;AU$2,ISBLANK($AN46))),AU$2-$Z46,"")</f>
        <v/>
      </c>
      <c r="AV46" s="6" t="str">
        <f>IF(AND(AV$2&gt;$Z46,$Z46&gt;0,OR($AN46&gt;AV$2,ISBLANK($AN46))),AV$2-$Z46,"")</f>
        <v/>
      </c>
      <c r="AW46" s="6" t="str">
        <f>IF(AND(AW$2&gt;$Z46,$Z46&gt;0,OR($AN46&gt;AW$2,ISBLANK($AN46))),AW$2-$Z46,"")</f>
        <v/>
      </c>
      <c r="AX46" s="6" t="str">
        <f>IF(AND(AX$2&gt;$Z46,$Z46&gt;0,OR($AN46&gt;AX$2,ISBLANK($AN46))),AX$2-$Z46,"")</f>
        <v/>
      </c>
      <c r="AY46" s="6" t="str">
        <f>IF(AND(AY$2&gt;$Z46,$Z46&gt;0,OR($AN46&gt;AY$2,ISBLANK($AN46))),AY$2-$Z46,"")</f>
        <v/>
      </c>
      <c r="AZ46" s="6">
        <f ca="1">IF(AND(AZ$2&gt;$Z46,$Z46&gt;0,OR($AN46&gt;AZ$2,ISBLANK($AN46))),AZ$2-$Z46,"")</f>
        <v>16.382289814813703</v>
      </c>
      <c r="BA46" s="6"/>
      <c r="BB46" s="6"/>
      <c r="BC46" s="6"/>
      <c r="BD46" s="6"/>
    </row>
    <row r="47" spans="2:56" x14ac:dyDescent="0.25">
      <c r="B47" s="13">
        <f t="shared" si="0"/>
        <v>1</v>
      </c>
      <c r="C47" s="13">
        <f t="shared" si="1"/>
        <v>10</v>
      </c>
      <c r="D47" s="13">
        <f t="shared" si="2"/>
        <v>4</v>
      </c>
      <c r="E47" s="13">
        <f t="shared" si="3"/>
        <v>2018</v>
      </c>
      <c r="F47" s="13">
        <f t="shared" si="4"/>
        <v>0</v>
      </c>
      <c r="G47" s="13">
        <f t="shared" si="5"/>
        <v>1</v>
      </c>
      <c r="H47" s="13">
        <f t="shared" si="6"/>
        <v>1</v>
      </c>
      <c r="I47" s="13">
        <f t="shared" si="7"/>
        <v>1900</v>
      </c>
      <c r="J47" s="13">
        <f t="shared" si="8"/>
        <v>0</v>
      </c>
      <c r="K47" s="13">
        <f>IF(J47=1,MONTH(AK47),)</f>
        <v>0</v>
      </c>
      <c r="L47" s="13">
        <f t="shared" si="9"/>
        <v>0</v>
      </c>
      <c r="M47" s="13">
        <f t="shared" si="10"/>
        <v>1900</v>
      </c>
      <c r="N47" s="13">
        <f t="shared" si="11"/>
        <v>0</v>
      </c>
      <c r="O47" s="13">
        <f>IF(N47=1,MONTH(AN47),)</f>
        <v>0</v>
      </c>
      <c r="P47" s="13">
        <f t="shared" si="12"/>
        <v>0</v>
      </c>
      <c r="Q47" s="13">
        <f t="shared" si="13"/>
        <v>1900</v>
      </c>
      <c r="S47" s="38" t="s">
        <v>475</v>
      </c>
      <c r="T47" s="11" t="s">
        <v>65</v>
      </c>
      <c r="U47" s="11" t="s">
        <v>26</v>
      </c>
      <c r="V47" s="39" t="s">
        <v>38</v>
      </c>
      <c r="W47" s="39" t="s">
        <v>27</v>
      </c>
      <c r="X47" s="4" t="s">
        <v>474</v>
      </c>
      <c r="Y47" s="4" t="s">
        <v>29</v>
      </c>
      <c r="Z47" s="66">
        <v>43377</v>
      </c>
      <c r="AA47" s="67">
        <v>410000</v>
      </c>
      <c r="AD47" s="10"/>
      <c r="AG47" s="67">
        <v>420900</v>
      </c>
      <c r="AH47" s="16"/>
      <c r="AI47" s="16">
        <f>AG47-AA47</f>
        <v>10900</v>
      </c>
      <c r="AJ47" s="36">
        <f>AI47/AA47</f>
        <v>2.6585365853658536E-2</v>
      </c>
      <c r="AN47" s="66"/>
      <c r="AT47" s="9"/>
      <c r="AU47" s="6" t="str">
        <f>IF(AND(AU$2&gt;$Z47,$Z47&gt;0,OR($AN47&gt;AU$2,ISBLANK($AN47))),AU$2-$Z47,"")</f>
        <v/>
      </c>
      <c r="AV47" s="6" t="str">
        <f>IF(AND(AV$2&gt;$Z47,$Z47&gt;0,OR($AN47&gt;AV$2,ISBLANK($AN47))),AV$2-$Z47,"")</f>
        <v/>
      </c>
      <c r="AW47" s="6" t="str">
        <f>IF(AND(AW$2&gt;$Z47,$Z47&gt;0,OR($AN47&gt;AW$2,ISBLANK($AN47))),AW$2-$Z47,"")</f>
        <v/>
      </c>
      <c r="AX47" s="6" t="str">
        <f>IF(AND(AX$2&gt;$Z47,$Z47&gt;0,OR($AN47&gt;AX$2,ISBLANK($AN47))),AX$2-$Z47,"")</f>
        <v/>
      </c>
      <c r="AY47" s="6" t="str">
        <f>IF(AND(AY$2&gt;$Z47,$Z47&gt;0,OR($AN47&gt;AY$2,ISBLANK($AN47))),AY$2-$Z47,"")</f>
        <v/>
      </c>
      <c r="AZ47" s="6">
        <f ca="1">IF(AND(AZ$2&gt;$Z47,$Z47&gt;0,OR($AN47&gt;AZ$2,ISBLANK($AN47))),AZ$2-$Z47,"")</f>
        <v>14.382289814813703</v>
      </c>
      <c r="BA47" s="6"/>
      <c r="BB47" s="6"/>
      <c r="BC47" s="6"/>
      <c r="BD47" s="6"/>
    </row>
    <row r="48" spans="2:56" x14ac:dyDescent="0.25">
      <c r="B48" s="13">
        <f t="shared" si="0"/>
        <v>1</v>
      </c>
      <c r="C48" s="13">
        <f t="shared" si="1"/>
        <v>9</v>
      </c>
      <c r="D48" s="13">
        <f t="shared" si="2"/>
        <v>3</v>
      </c>
      <c r="E48" s="13">
        <f t="shared" si="3"/>
        <v>2018</v>
      </c>
      <c r="F48" s="13">
        <f t="shared" si="4"/>
        <v>1</v>
      </c>
      <c r="G48" s="13">
        <f t="shared" si="5"/>
        <v>10</v>
      </c>
      <c r="H48" s="13">
        <f t="shared" si="6"/>
        <v>4</v>
      </c>
      <c r="I48" s="13">
        <f t="shared" si="7"/>
        <v>2018</v>
      </c>
      <c r="J48" s="13">
        <f t="shared" si="8"/>
        <v>0</v>
      </c>
      <c r="K48" s="13">
        <f>IF(J48=1,MONTH(AK48),)</f>
        <v>0</v>
      </c>
      <c r="L48" s="13">
        <f t="shared" si="9"/>
        <v>0</v>
      </c>
      <c r="M48" s="13">
        <f t="shared" si="10"/>
        <v>1900</v>
      </c>
      <c r="N48" s="13">
        <f t="shared" si="11"/>
        <v>0</v>
      </c>
      <c r="O48" s="13">
        <f>IF(N48=1,MONTH(AN48),)</f>
        <v>0</v>
      </c>
      <c r="P48" s="13">
        <f t="shared" si="12"/>
        <v>0</v>
      </c>
      <c r="Q48" s="13">
        <f t="shared" si="13"/>
        <v>1900</v>
      </c>
      <c r="S48" s="38" t="s">
        <v>105</v>
      </c>
      <c r="T48" s="11" t="s">
        <v>91</v>
      </c>
      <c r="U48" s="11" t="s">
        <v>26</v>
      </c>
      <c r="V48" s="39" t="s">
        <v>38</v>
      </c>
      <c r="W48" s="39" t="s">
        <v>27</v>
      </c>
      <c r="X48" s="4" t="s">
        <v>106</v>
      </c>
      <c r="Y48" s="4" t="s">
        <v>29</v>
      </c>
      <c r="Z48" s="66">
        <v>43357</v>
      </c>
      <c r="AA48" s="67">
        <v>267800</v>
      </c>
      <c r="AD48" s="10"/>
      <c r="AF48" s="66">
        <v>43384</v>
      </c>
      <c r="AG48" s="67">
        <v>283900</v>
      </c>
      <c r="AH48" s="16">
        <f>AF48-Z48</f>
        <v>27</v>
      </c>
      <c r="AI48" s="16">
        <f>AG48-AA48</f>
        <v>16100</v>
      </c>
      <c r="AJ48" s="36">
        <f>AI48/AA48</f>
        <v>6.0119492158327112E-2</v>
      </c>
      <c r="AN48" s="66"/>
      <c r="AT48" s="9"/>
      <c r="AU48" s="6" t="str">
        <f>IF(AND(AU$2&gt;$Z48,$Z48&gt;0,OR($AN48&gt;AU$2,ISBLANK($AN48))),AU$2-$Z48,"")</f>
        <v/>
      </c>
      <c r="AV48" s="6" t="str">
        <f>IF(AND(AV$2&gt;$Z48,$Z48&gt;0,OR($AN48&gt;AV$2,ISBLANK($AN48))),AV$2-$Z48,"")</f>
        <v/>
      </c>
      <c r="AW48" s="6" t="str">
        <f>IF(AND(AW$2&gt;$Z48,$Z48&gt;0,OR($AN48&gt;AW$2,ISBLANK($AN48))),AW$2-$Z48,"")</f>
        <v/>
      </c>
      <c r="AX48" s="6" t="str">
        <f>IF(AND(AX$2&gt;$Z48,$Z48&gt;0,OR($AN48&gt;AX$2,ISBLANK($AN48))),AX$2-$Z48,"")</f>
        <v/>
      </c>
      <c r="AY48" s="6">
        <f>IF(AND(AY$2&gt;$Z48,$Z48&gt;0,OR($AN48&gt;AY$2,ISBLANK($AN48))),AY$2-$Z48,"")</f>
        <v>16</v>
      </c>
      <c r="AZ48" s="6">
        <f ca="1">IF(AND(AZ$2&gt;$Z48,$Z48&gt;0,OR($AN48&gt;AZ$2,ISBLANK($AN48))),AZ$2-$Z48,"")</f>
        <v>34.382289814813703</v>
      </c>
      <c r="BA48" s="6"/>
      <c r="BB48" s="6"/>
      <c r="BC48" s="6"/>
      <c r="BD48" s="6"/>
    </row>
    <row r="49" spans="2:56" x14ac:dyDescent="0.25">
      <c r="B49" s="13">
        <f t="shared" si="0"/>
        <v>1</v>
      </c>
      <c r="C49" s="13">
        <f t="shared" si="1"/>
        <v>10</v>
      </c>
      <c r="D49" s="13">
        <f t="shared" si="2"/>
        <v>4</v>
      </c>
      <c r="E49" s="13">
        <f t="shared" si="3"/>
        <v>2018</v>
      </c>
      <c r="F49" s="13">
        <f t="shared" si="4"/>
        <v>0</v>
      </c>
      <c r="G49" s="13">
        <f t="shared" si="5"/>
        <v>1</v>
      </c>
      <c r="H49" s="13">
        <f t="shared" si="6"/>
        <v>1</v>
      </c>
      <c r="I49" s="13">
        <f t="shared" si="7"/>
        <v>1900</v>
      </c>
      <c r="J49" s="13">
        <f t="shared" si="8"/>
        <v>0</v>
      </c>
      <c r="K49" s="13">
        <f>IF(J49=1,MONTH(AK49),)</f>
        <v>0</v>
      </c>
      <c r="L49" s="13">
        <f t="shared" si="9"/>
        <v>0</v>
      </c>
      <c r="M49" s="13">
        <f t="shared" si="10"/>
        <v>1900</v>
      </c>
      <c r="N49" s="13">
        <f t="shared" si="11"/>
        <v>0</v>
      </c>
      <c r="O49" s="13">
        <f>IF(N49=1,MONTH(AN49),)</f>
        <v>0</v>
      </c>
      <c r="P49" s="13">
        <f t="shared" si="12"/>
        <v>0</v>
      </c>
      <c r="Q49" s="13">
        <f t="shared" si="13"/>
        <v>1900</v>
      </c>
      <c r="S49" s="38" t="s">
        <v>534</v>
      </c>
      <c r="T49" s="11" t="s">
        <v>91</v>
      </c>
      <c r="U49" s="11" t="s">
        <v>26</v>
      </c>
      <c r="V49" s="39" t="s">
        <v>38</v>
      </c>
      <c r="W49" s="39" t="s">
        <v>27</v>
      </c>
      <c r="X49" s="4" t="s">
        <v>535</v>
      </c>
      <c r="Y49" s="4" t="s">
        <v>29</v>
      </c>
      <c r="Z49" s="66">
        <v>43383</v>
      </c>
      <c r="AA49" s="67">
        <v>406300</v>
      </c>
      <c r="AD49" s="10"/>
      <c r="AG49" s="67">
        <v>412900</v>
      </c>
      <c r="AH49" s="16"/>
      <c r="AI49" s="16">
        <f>AG49-AA49</f>
        <v>6600</v>
      </c>
      <c r="AJ49" s="36">
        <f>AI49/AA49</f>
        <v>1.6244154565591928E-2</v>
      </c>
      <c r="AN49" s="66"/>
      <c r="AT49" s="9"/>
      <c r="AU49" s="6" t="str">
        <f>IF(AND(AU$2&gt;$Z49,$Z49&gt;0,OR($AN49&gt;AU$2,ISBLANK($AN49))),AU$2-$Z49,"")</f>
        <v/>
      </c>
      <c r="AV49" s="6" t="str">
        <f>IF(AND(AV$2&gt;$Z49,$Z49&gt;0,OR($AN49&gt;AV$2,ISBLANK($AN49))),AV$2-$Z49,"")</f>
        <v/>
      </c>
      <c r="AW49" s="6" t="str">
        <f>IF(AND(AW$2&gt;$Z49,$Z49&gt;0,OR($AN49&gt;AW$2,ISBLANK($AN49))),AW$2-$Z49,"")</f>
        <v/>
      </c>
      <c r="AX49" s="6" t="str">
        <f>IF(AND(AX$2&gt;$Z49,$Z49&gt;0,OR($AN49&gt;AX$2,ISBLANK($AN49))),AX$2-$Z49,"")</f>
        <v/>
      </c>
      <c r="AY49" s="6" t="str">
        <f>IF(AND(AY$2&gt;$Z49,$Z49&gt;0,OR($AN49&gt;AY$2,ISBLANK($AN49))),AY$2-$Z49,"")</f>
        <v/>
      </c>
      <c r="AZ49" s="6">
        <f ca="1">IF(AND(AZ$2&gt;$Z49,$Z49&gt;0,OR($AN49&gt;AZ$2,ISBLANK($AN49))),AZ$2-$Z49,"")</f>
        <v>8.3822898148137028</v>
      </c>
      <c r="BA49" s="6"/>
      <c r="BB49" s="6"/>
      <c r="BC49" s="6"/>
      <c r="BD49" s="6"/>
    </row>
    <row r="50" spans="2:56" x14ac:dyDescent="0.25">
      <c r="B50" s="13">
        <f t="shared" si="0"/>
        <v>1</v>
      </c>
      <c r="C50" s="13">
        <f t="shared" si="1"/>
        <v>7</v>
      </c>
      <c r="D50" s="13">
        <f t="shared" si="2"/>
        <v>3</v>
      </c>
      <c r="E50" s="13">
        <f t="shared" si="3"/>
        <v>2018</v>
      </c>
      <c r="F50" s="13">
        <f t="shared" si="4"/>
        <v>1</v>
      </c>
      <c r="G50" s="13">
        <f t="shared" si="5"/>
        <v>8</v>
      </c>
      <c r="H50" s="13">
        <f t="shared" si="6"/>
        <v>3</v>
      </c>
      <c r="I50" s="13">
        <f t="shared" si="7"/>
        <v>2018</v>
      </c>
      <c r="J50" s="13">
        <f t="shared" si="8"/>
        <v>1</v>
      </c>
      <c r="K50" s="13">
        <f>IF(J50=1,MONTH(AK50),)</f>
        <v>10</v>
      </c>
      <c r="L50" s="13">
        <f t="shared" si="9"/>
        <v>4</v>
      </c>
      <c r="M50" s="13">
        <f t="shared" si="10"/>
        <v>2018</v>
      </c>
      <c r="N50" s="13">
        <f t="shared" si="11"/>
        <v>0</v>
      </c>
      <c r="O50" s="13">
        <f>IF(N50=1,MONTH(AN50),)</f>
        <v>0</v>
      </c>
      <c r="P50" s="13">
        <f t="shared" si="12"/>
        <v>0</v>
      </c>
      <c r="Q50" s="13">
        <f t="shared" si="13"/>
        <v>1900</v>
      </c>
      <c r="S50" s="38" t="s">
        <v>107</v>
      </c>
      <c r="T50" s="11" t="s">
        <v>91</v>
      </c>
      <c r="U50" s="11" t="s">
        <v>26</v>
      </c>
      <c r="V50" s="39" t="s">
        <v>38</v>
      </c>
      <c r="W50" s="39" t="s">
        <v>27</v>
      </c>
      <c r="X50" s="13" t="s">
        <v>108</v>
      </c>
      <c r="Y50" s="13" t="s">
        <v>29</v>
      </c>
      <c r="Z50" s="66">
        <v>43299</v>
      </c>
      <c r="AA50" s="67">
        <v>237000</v>
      </c>
      <c r="AD50" s="10"/>
      <c r="AF50" s="66">
        <v>43316</v>
      </c>
      <c r="AG50" s="67">
        <v>244900</v>
      </c>
      <c r="AH50" s="16">
        <f>AF50-Z50</f>
        <v>17</v>
      </c>
      <c r="AI50" s="16">
        <f>AG50-AA50</f>
        <v>7900</v>
      </c>
      <c r="AJ50" s="36">
        <f>AI50/AA50</f>
        <v>3.3333333333333333E-2</v>
      </c>
      <c r="AK50" s="66">
        <v>43383</v>
      </c>
      <c r="AL50" s="67">
        <v>241900</v>
      </c>
      <c r="AM50" s="6">
        <f>AK50-AF50</f>
        <v>67</v>
      </c>
      <c r="AN50" s="66"/>
      <c r="AT50" s="9"/>
      <c r="AU50" s="6" t="str">
        <f>IF(AND(AU$2&gt;$Z50,$Z50&gt;0,OR($AN50&gt;AU$2,ISBLANK($AN50))),AU$2-$Z50,"")</f>
        <v/>
      </c>
      <c r="AV50" s="6" t="str">
        <f>IF(AND(AV$2&gt;$Z50,$Z50&gt;0,OR($AN50&gt;AV$2,ISBLANK($AN50))),AV$2-$Z50,"")</f>
        <v/>
      </c>
      <c r="AW50" s="6">
        <f>IF(AND(AW$2&gt;$Z50,$Z50&gt;0,OR($AN50&gt;AW$2,ISBLANK($AN50))),AW$2-$Z50,"")</f>
        <v>13</v>
      </c>
      <c r="AX50" s="6">
        <f>IF(AND(AX$2&gt;$Z50,$Z50&gt;0,OR($AN50&gt;AX$2,ISBLANK($AN50))),AX$2-$Z50,"")</f>
        <v>44</v>
      </c>
      <c r="AY50" s="6">
        <f>IF(AND(AY$2&gt;$Z50,$Z50&gt;0,OR($AN50&gt;AY$2,ISBLANK($AN50))),AY$2-$Z50,"")</f>
        <v>74</v>
      </c>
      <c r="AZ50" s="6">
        <f ca="1">IF(AND(AZ$2&gt;$Z50,$Z50&gt;0,OR($AN50&gt;AZ$2,ISBLANK($AN50))),AZ$2-$Z50,"")</f>
        <v>92.382289814813703</v>
      </c>
      <c r="BA50" s="6"/>
      <c r="BB50" s="6"/>
      <c r="BC50" s="6"/>
      <c r="BD50" s="6"/>
    </row>
    <row r="51" spans="2:56" x14ac:dyDescent="0.25">
      <c r="B51" s="13">
        <f t="shared" si="0"/>
        <v>1</v>
      </c>
      <c r="C51" s="13">
        <f t="shared" si="1"/>
        <v>9</v>
      </c>
      <c r="D51" s="13">
        <f t="shared" si="2"/>
        <v>3</v>
      </c>
      <c r="E51" s="13">
        <f t="shared" si="3"/>
        <v>2018</v>
      </c>
      <c r="F51" s="13">
        <f t="shared" si="4"/>
        <v>1</v>
      </c>
      <c r="G51" s="13">
        <f t="shared" si="5"/>
        <v>10</v>
      </c>
      <c r="H51" s="13">
        <f t="shared" si="6"/>
        <v>4</v>
      </c>
      <c r="I51" s="13">
        <f t="shared" si="7"/>
        <v>2018</v>
      </c>
      <c r="J51" s="13">
        <f t="shared" si="8"/>
        <v>0</v>
      </c>
      <c r="K51" s="13">
        <f>IF(J51=1,MONTH(AK51),)</f>
        <v>0</v>
      </c>
      <c r="L51" s="13">
        <f t="shared" si="9"/>
        <v>0</v>
      </c>
      <c r="M51" s="13">
        <f t="shared" si="10"/>
        <v>1900</v>
      </c>
      <c r="N51" s="13">
        <f t="shared" si="11"/>
        <v>0</v>
      </c>
      <c r="O51" s="13">
        <f>IF(N51=1,MONTH(AN51),)</f>
        <v>0</v>
      </c>
      <c r="P51" s="13">
        <f t="shared" si="12"/>
        <v>0</v>
      </c>
      <c r="Q51" s="13">
        <f t="shared" si="13"/>
        <v>1900</v>
      </c>
      <c r="S51" s="38" t="s">
        <v>109</v>
      </c>
      <c r="T51" s="11" t="s">
        <v>65</v>
      </c>
      <c r="U51" s="11" t="s">
        <v>26</v>
      </c>
      <c r="V51" s="39" t="s">
        <v>38</v>
      </c>
      <c r="W51" s="39" t="s">
        <v>27</v>
      </c>
      <c r="X51" s="4" t="s">
        <v>110</v>
      </c>
      <c r="Y51" s="4" t="s">
        <v>29</v>
      </c>
      <c r="Z51" s="66">
        <v>43369</v>
      </c>
      <c r="AA51" s="67">
        <v>372055</v>
      </c>
      <c r="AD51" s="10"/>
      <c r="AF51" s="66">
        <v>43379</v>
      </c>
      <c r="AG51" s="67">
        <v>385800</v>
      </c>
      <c r="AH51" s="16">
        <f>AF51-Z51</f>
        <v>10</v>
      </c>
      <c r="AI51" s="16">
        <f>AG51-AA51</f>
        <v>13745</v>
      </c>
      <c r="AJ51" s="36">
        <f>AI51/AA51</f>
        <v>3.6943462660090576E-2</v>
      </c>
      <c r="AN51" s="66"/>
      <c r="AT51" s="9"/>
      <c r="AU51" s="6" t="str">
        <f>IF(AND(AU$2&gt;$Z51,$Z51&gt;0,OR($AN51&gt;AU$2,ISBLANK($AN51))),AU$2-$Z51,"")</f>
        <v/>
      </c>
      <c r="AV51" s="6" t="str">
        <f>IF(AND(AV$2&gt;$Z51,$Z51&gt;0,OR($AN51&gt;AV$2,ISBLANK($AN51))),AV$2-$Z51,"")</f>
        <v/>
      </c>
      <c r="AW51" s="6" t="str">
        <f>IF(AND(AW$2&gt;$Z51,$Z51&gt;0,OR($AN51&gt;AW$2,ISBLANK($AN51))),AW$2-$Z51,"")</f>
        <v/>
      </c>
      <c r="AX51" s="6" t="str">
        <f>IF(AND(AX$2&gt;$Z51,$Z51&gt;0,OR($AN51&gt;AX$2,ISBLANK($AN51))),AX$2-$Z51,"")</f>
        <v/>
      </c>
      <c r="AY51" s="6">
        <f>IF(AND(AY$2&gt;$Z51,$Z51&gt;0,OR($AN51&gt;AY$2,ISBLANK($AN51))),AY$2-$Z51,"")</f>
        <v>4</v>
      </c>
      <c r="AZ51" s="6">
        <f ca="1">IF(AND(AZ$2&gt;$Z51,$Z51&gt;0,OR($AN51&gt;AZ$2,ISBLANK($AN51))),AZ$2-$Z51,"")</f>
        <v>22.382289814813703</v>
      </c>
      <c r="BA51" s="6"/>
      <c r="BB51" s="6"/>
      <c r="BC51" s="6"/>
      <c r="BD51" s="6"/>
    </row>
    <row r="52" spans="2:56" x14ac:dyDescent="0.25">
      <c r="B52" s="13">
        <f t="shared" si="0"/>
        <v>1</v>
      </c>
      <c r="C52" s="13">
        <f t="shared" si="1"/>
        <v>9</v>
      </c>
      <c r="D52" s="13">
        <f t="shared" si="2"/>
        <v>3</v>
      </c>
      <c r="E52" s="13">
        <f t="shared" si="3"/>
        <v>2018</v>
      </c>
      <c r="F52" s="13">
        <f t="shared" si="4"/>
        <v>1</v>
      </c>
      <c r="G52" s="13">
        <f t="shared" si="5"/>
        <v>10</v>
      </c>
      <c r="H52" s="13">
        <f t="shared" si="6"/>
        <v>4</v>
      </c>
      <c r="I52" s="13">
        <f t="shared" si="7"/>
        <v>2018</v>
      </c>
      <c r="J52" s="13">
        <f t="shared" si="8"/>
        <v>0</v>
      </c>
      <c r="K52" s="13">
        <f>IF(J52=1,MONTH(AK52),)</f>
        <v>0</v>
      </c>
      <c r="L52" s="13">
        <f t="shared" si="9"/>
        <v>0</v>
      </c>
      <c r="M52" s="13">
        <f t="shared" si="10"/>
        <v>1900</v>
      </c>
      <c r="N52" s="13">
        <f t="shared" si="11"/>
        <v>0</v>
      </c>
      <c r="O52" s="13">
        <f>IF(N52=1,MONTH(AN52),)</f>
        <v>0</v>
      </c>
      <c r="P52" s="13">
        <f t="shared" si="12"/>
        <v>0</v>
      </c>
      <c r="Q52" s="13">
        <f t="shared" si="13"/>
        <v>1900</v>
      </c>
      <c r="S52" s="38" t="s">
        <v>111</v>
      </c>
      <c r="T52" s="11" t="s">
        <v>65</v>
      </c>
      <c r="U52" s="11" t="s">
        <v>26</v>
      </c>
      <c r="V52" s="39" t="s">
        <v>38</v>
      </c>
      <c r="W52" s="39" t="s">
        <v>27</v>
      </c>
      <c r="X52" s="4" t="s">
        <v>112</v>
      </c>
      <c r="Y52" s="4" t="s">
        <v>29</v>
      </c>
      <c r="Z52" s="66">
        <v>43371</v>
      </c>
      <c r="AA52" s="67">
        <v>207000</v>
      </c>
      <c r="AD52" s="10"/>
      <c r="AF52" s="66">
        <v>43387</v>
      </c>
      <c r="AG52" s="67">
        <v>216900</v>
      </c>
      <c r="AH52" s="16">
        <f>AF52-Z52</f>
        <v>16</v>
      </c>
      <c r="AI52" s="16">
        <f>AG52-AA52</f>
        <v>9900</v>
      </c>
      <c r="AJ52" s="36">
        <f>AI52/AA52</f>
        <v>4.7826086956521741E-2</v>
      </c>
      <c r="AN52" s="66"/>
      <c r="AT52" s="9"/>
      <c r="AU52" s="6" t="str">
        <f>IF(AND(AU$2&gt;$Z52,$Z52&gt;0,OR($AN52&gt;AU$2,ISBLANK($AN52))),AU$2-$Z52,"")</f>
        <v/>
      </c>
      <c r="AV52" s="6" t="str">
        <f>IF(AND(AV$2&gt;$Z52,$Z52&gt;0,OR($AN52&gt;AV$2,ISBLANK($AN52))),AV$2-$Z52,"")</f>
        <v/>
      </c>
      <c r="AW52" s="6" t="str">
        <f>IF(AND(AW$2&gt;$Z52,$Z52&gt;0,OR($AN52&gt;AW$2,ISBLANK($AN52))),AW$2-$Z52,"")</f>
        <v/>
      </c>
      <c r="AX52" s="6" t="str">
        <f>IF(AND(AX$2&gt;$Z52,$Z52&gt;0,OR($AN52&gt;AX$2,ISBLANK($AN52))),AX$2-$Z52,"")</f>
        <v/>
      </c>
      <c r="AY52" s="6">
        <f>IF(AND(AY$2&gt;$Z52,$Z52&gt;0,OR($AN52&gt;AY$2,ISBLANK($AN52))),AY$2-$Z52,"")</f>
        <v>2</v>
      </c>
      <c r="AZ52" s="6">
        <f ca="1">IF(AND(AZ$2&gt;$Z52,$Z52&gt;0,OR($AN52&gt;AZ$2,ISBLANK($AN52))),AZ$2-$Z52,"")</f>
        <v>20.382289814813703</v>
      </c>
      <c r="BA52" s="6"/>
      <c r="BB52" s="6"/>
      <c r="BC52" s="6"/>
      <c r="BD52" s="6"/>
    </row>
    <row r="53" spans="2:56" x14ac:dyDescent="0.25">
      <c r="B53" s="13">
        <f t="shared" si="0"/>
        <v>1</v>
      </c>
      <c r="C53" s="13">
        <f t="shared" si="1"/>
        <v>8</v>
      </c>
      <c r="D53" s="13">
        <f t="shared" si="2"/>
        <v>3</v>
      </c>
      <c r="E53" s="13">
        <f t="shared" si="3"/>
        <v>2018</v>
      </c>
      <c r="F53" s="13">
        <f t="shared" si="4"/>
        <v>1</v>
      </c>
      <c r="G53" s="13">
        <f t="shared" si="5"/>
        <v>9</v>
      </c>
      <c r="H53" s="13">
        <f t="shared" si="6"/>
        <v>3</v>
      </c>
      <c r="I53" s="13">
        <f t="shared" si="7"/>
        <v>2018</v>
      </c>
      <c r="J53" s="13">
        <f t="shared" si="8"/>
        <v>0</v>
      </c>
      <c r="K53" s="13">
        <f>IF(J53=1,MONTH(AK53),)</f>
        <v>0</v>
      </c>
      <c r="L53" s="13">
        <f t="shared" si="9"/>
        <v>0</v>
      </c>
      <c r="M53" s="13">
        <f t="shared" si="10"/>
        <v>1900</v>
      </c>
      <c r="N53" s="13">
        <f t="shared" si="11"/>
        <v>0</v>
      </c>
      <c r="O53" s="13">
        <f>IF(N53=1,MONTH(AN53),)</f>
        <v>0</v>
      </c>
      <c r="P53" s="13">
        <f t="shared" si="12"/>
        <v>0</v>
      </c>
      <c r="Q53" s="13">
        <f t="shared" si="13"/>
        <v>1900</v>
      </c>
      <c r="S53" s="38" t="s">
        <v>113</v>
      </c>
      <c r="T53" s="11" t="s">
        <v>62</v>
      </c>
      <c r="U53" s="11" t="s">
        <v>26</v>
      </c>
      <c r="V53" s="39" t="s">
        <v>38</v>
      </c>
      <c r="W53" s="39" t="s">
        <v>27</v>
      </c>
      <c r="X53" s="4" t="s">
        <v>114</v>
      </c>
      <c r="Y53" s="4" t="s">
        <v>29</v>
      </c>
      <c r="Z53" s="66">
        <v>43342</v>
      </c>
      <c r="AA53" s="67">
        <v>430000</v>
      </c>
      <c r="AD53" s="10"/>
      <c r="AF53" s="66">
        <v>43351</v>
      </c>
      <c r="AG53" s="67">
        <v>445000</v>
      </c>
      <c r="AH53" s="16">
        <f>AF53-Z53</f>
        <v>9</v>
      </c>
      <c r="AI53" s="16">
        <f>AG53-AA53</f>
        <v>15000</v>
      </c>
      <c r="AJ53" s="36">
        <f>AI53/AA53</f>
        <v>3.4883720930232558E-2</v>
      </c>
      <c r="AN53" s="66"/>
      <c r="AT53" s="9"/>
      <c r="AU53" s="6" t="str">
        <f>IF(AND(AU$2&gt;$Z53,$Z53&gt;0,OR($AN53&gt;AU$2,ISBLANK($AN53))),AU$2-$Z53,"")</f>
        <v/>
      </c>
      <c r="AV53" s="6" t="str">
        <f>IF(AND(AV$2&gt;$Z53,$Z53&gt;0,OR($AN53&gt;AV$2,ISBLANK($AN53))),AV$2-$Z53,"")</f>
        <v/>
      </c>
      <c r="AW53" s="6" t="str">
        <f>IF(AND(AW$2&gt;$Z53,$Z53&gt;0,OR($AN53&gt;AW$2,ISBLANK($AN53))),AW$2-$Z53,"")</f>
        <v/>
      </c>
      <c r="AX53" s="6">
        <f>IF(AND(AX$2&gt;$Z53,$Z53&gt;0,OR($AN53&gt;AX$2,ISBLANK($AN53))),AX$2-$Z53,"")</f>
        <v>1</v>
      </c>
      <c r="AY53" s="6">
        <f>IF(AND(AY$2&gt;$Z53,$Z53&gt;0,OR($AN53&gt;AY$2,ISBLANK($AN53))),AY$2-$Z53,"")</f>
        <v>31</v>
      </c>
      <c r="AZ53" s="6">
        <f ca="1">IF(AND(AZ$2&gt;$Z53,$Z53&gt;0,OR($AN53&gt;AZ$2,ISBLANK($AN53))),AZ$2-$Z53,"")</f>
        <v>49.382289814813703</v>
      </c>
      <c r="BA53" s="6"/>
      <c r="BB53" s="6"/>
      <c r="BC53" s="6"/>
      <c r="BD53" s="6"/>
    </row>
    <row r="54" spans="2:56" x14ac:dyDescent="0.25">
      <c r="B54" s="13">
        <f t="shared" si="0"/>
        <v>1</v>
      </c>
      <c r="C54" s="13">
        <f t="shared" si="1"/>
        <v>8</v>
      </c>
      <c r="D54" s="13">
        <f t="shared" si="2"/>
        <v>3</v>
      </c>
      <c r="E54" s="13">
        <f t="shared" si="3"/>
        <v>2018</v>
      </c>
      <c r="F54" s="13">
        <f t="shared" si="4"/>
        <v>1</v>
      </c>
      <c r="G54" s="13">
        <f t="shared" si="5"/>
        <v>9</v>
      </c>
      <c r="H54" s="13">
        <f t="shared" si="6"/>
        <v>3</v>
      </c>
      <c r="I54" s="13">
        <f t="shared" si="7"/>
        <v>2018</v>
      </c>
      <c r="J54" s="13">
        <f t="shared" si="8"/>
        <v>1</v>
      </c>
      <c r="K54" s="13">
        <f>IF(J54=1,MONTH(AK54),)</f>
        <v>9</v>
      </c>
      <c r="L54" s="13">
        <f t="shared" si="9"/>
        <v>3</v>
      </c>
      <c r="M54" s="13">
        <f t="shared" si="10"/>
        <v>2018</v>
      </c>
      <c r="N54" s="13">
        <f t="shared" si="11"/>
        <v>1</v>
      </c>
      <c r="O54" s="13">
        <f>IF(N54=1,MONTH(AN54),)</f>
        <v>10</v>
      </c>
      <c r="P54" s="13">
        <f t="shared" si="12"/>
        <v>4</v>
      </c>
      <c r="Q54" s="13">
        <f t="shared" si="13"/>
        <v>2018</v>
      </c>
      <c r="S54" s="38" t="s">
        <v>115</v>
      </c>
      <c r="T54" s="11" t="s">
        <v>40</v>
      </c>
      <c r="U54" s="11" t="s">
        <v>26</v>
      </c>
      <c r="V54" s="39" t="s">
        <v>38</v>
      </c>
      <c r="W54" s="39" t="s">
        <v>27</v>
      </c>
      <c r="X54" s="4" t="s">
        <v>116</v>
      </c>
      <c r="Y54" s="4" t="s">
        <v>29</v>
      </c>
      <c r="Z54" s="66">
        <v>43326</v>
      </c>
      <c r="AA54" s="67">
        <v>316000</v>
      </c>
      <c r="AD54" s="10"/>
      <c r="AF54" s="66">
        <v>43349</v>
      </c>
      <c r="AG54" s="67">
        <v>327800</v>
      </c>
      <c r="AH54" s="16">
        <f>AF54-Z54</f>
        <v>23</v>
      </c>
      <c r="AI54" s="16">
        <f>AG54-AA54</f>
        <v>11800</v>
      </c>
      <c r="AJ54" s="36">
        <f>AI54/AA54</f>
        <v>3.7341772151898732E-2</v>
      </c>
      <c r="AK54" s="66">
        <v>43360</v>
      </c>
      <c r="AL54" s="67">
        <v>327800</v>
      </c>
      <c r="AM54" s="6">
        <f>AK54-AF54</f>
        <v>11</v>
      </c>
      <c r="AN54" s="66">
        <v>43384</v>
      </c>
      <c r="AO54" s="67">
        <v>327800</v>
      </c>
      <c r="AP54" s="6">
        <f>AN54-AK54</f>
        <v>24</v>
      </c>
      <c r="AQ54" s="6">
        <f>AH54+AM54+AP54</f>
        <v>58</v>
      </c>
      <c r="AR54" s="6">
        <f>AO54-AA54</f>
        <v>11800</v>
      </c>
      <c r="AS54" s="8">
        <f>AR54/AA54</f>
        <v>3.7341772151898732E-2</v>
      </c>
      <c r="AT54" s="9"/>
      <c r="AU54" s="6" t="str">
        <f>IF(AND(AU$2&gt;$Z54,$Z54&gt;0,OR($AN54&gt;AU$2,ISBLANK($AN54))),AU$2-$Z54,"")</f>
        <v/>
      </c>
      <c r="AV54" s="6" t="str">
        <f>IF(AND(AV$2&gt;$Z54,$Z54&gt;0,OR($AN54&gt;AV$2,ISBLANK($AN54))),AV$2-$Z54,"")</f>
        <v/>
      </c>
      <c r="AW54" s="6" t="str">
        <f>IF(AND(AW$2&gt;$Z54,$Z54&gt;0,OR($AN54&gt;AW$2,ISBLANK($AN54))),AW$2-$Z54,"")</f>
        <v/>
      </c>
      <c r="AX54" s="6">
        <f>IF(AND(AX$2&gt;$Z54,$Z54&gt;0,OR($AN54&gt;AX$2,ISBLANK($AN54))),AX$2-$Z54,"")</f>
        <v>17</v>
      </c>
      <c r="AY54" s="6">
        <f>IF(AND(AY$2&gt;$Z54,$Z54&gt;0,OR($AN54&gt;AY$2,ISBLANK($AN54))),AY$2-$Z54,"")</f>
        <v>47</v>
      </c>
      <c r="AZ54" s="6" t="str">
        <f ca="1">IF(AND(AZ$2&gt;$Z54,$Z54&gt;0,OR($AN54&gt;AZ$2,ISBLANK($AN54))),AZ$2-$Z54,"")</f>
        <v/>
      </c>
      <c r="BA54" s="6"/>
      <c r="BB54" s="6"/>
      <c r="BC54" s="6"/>
      <c r="BD54" s="6"/>
    </row>
    <row r="55" spans="2:56" x14ac:dyDescent="0.25">
      <c r="B55" s="13">
        <f t="shared" si="0"/>
        <v>1</v>
      </c>
      <c r="C55" s="13">
        <f t="shared" si="1"/>
        <v>8</v>
      </c>
      <c r="D55" s="13">
        <f t="shared" si="2"/>
        <v>3</v>
      </c>
      <c r="E55" s="13">
        <f t="shared" si="3"/>
        <v>2018</v>
      </c>
      <c r="F55" s="13">
        <f t="shared" si="4"/>
        <v>1</v>
      </c>
      <c r="G55" s="13">
        <f t="shared" si="5"/>
        <v>8</v>
      </c>
      <c r="H55" s="13">
        <f t="shared" si="6"/>
        <v>3</v>
      </c>
      <c r="I55" s="13">
        <f t="shared" si="7"/>
        <v>2018</v>
      </c>
      <c r="J55" s="13">
        <f t="shared" si="8"/>
        <v>1</v>
      </c>
      <c r="K55" s="13">
        <f>IF(J55=1,MONTH(AK55),)</f>
        <v>9</v>
      </c>
      <c r="L55" s="13">
        <f t="shared" si="9"/>
        <v>3</v>
      </c>
      <c r="M55" s="13">
        <f t="shared" si="10"/>
        <v>2018</v>
      </c>
      <c r="N55" s="13">
        <f t="shared" si="11"/>
        <v>1</v>
      </c>
      <c r="O55" s="13">
        <f>IF(N55=1,MONTH(AN55),)</f>
        <v>10</v>
      </c>
      <c r="P55" s="13">
        <f t="shared" si="12"/>
        <v>4</v>
      </c>
      <c r="Q55" s="13">
        <f t="shared" si="13"/>
        <v>2018</v>
      </c>
      <c r="S55" s="38" t="s">
        <v>117</v>
      </c>
      <c r="T55" s="11" t="s">
        <v>65</v>
      </c>
      <c r="U55" s="11" t="s">
        <v>26</v>
      </c>
      <c r="V55" s="39" t="s">
        <v>38</v>
      </c>
      <c r="W55" s="39" t="s">
        <v>27</v>
      </c>
      <c r="X55" s="4" t="s">
        <v>118</v>
      </c>
      <c r="Y55" s="4" t="s">
        <v>29</v>
      </c>
      <c r="Z55" s="66">
        <v>43313</v>
      </c>
      <c r="AA55" s="67">
        <v>275451</v>
      </c>
      <c r="AD55" s="10"/>
      <c r="AF55" s="66">
        <v>43327</v>
      </c>
      <c r="AG55" s="67">
        <v>282000</v>
      </c>
      <c r="AH55" s="16">
        <f>AF55-Z55</f>
        <v>14</v>
      </c>
      <c r="AI55" s="16">
        <f>AG55-AA55</f>
        <v>6549</v>
      </c>
      <c r="AJ55" s="36">
        <f>AI55/AA55</f>
        <v>2.377555354672882E-2</v>
      </c>
      <c r="AK55" s="66">
        <v>43350</v>
      </c>
      <c r="AL55" s="67">
        <v>282000</v>
      </c>
      <c r="AM55" s="6">
        <f>AK55-AF55</f>
        <v>23</v>
      </c>
      <c r="AN55" s="66">
        <v>43378</v>
      </c>
      <c r="AO55" s="67">
        <v>282000</v>
      </c>
      <c r="AP55" s="6">
        <f>AN55-AK55</f>
        <v>28</v>
      </c>
      <c r="AQ55" s="6">
        <f>AH55+AM55+AP55</f>
        <v>65</v>
      </c>
      <c r="AR55" s="6">
        <f>AO55-AA55</f>
        <v>6549</v>
      </c>
      <c r="AS55" s="8">
        <f>AR55/AA55</f>
        <v>2.377555354672882E-2</v>
      </c>
      <c r="AT55" s="9"/>
      <c r="AU55" s="6" t="str">
        <f>IF(AND(AU$2&gt;$Z55,$Z55&gt;0,OR($AN55&gt;AU$2,ISBLANK($AN55))),AU$2-$Z55,"")</f>
        <v/>
      </c>
      <c r="AV55" s="6" t="str">
        <f>IF(AND(AV$2&gt;$Z55,$Z55&gt;0,OR($AN55&gt;AV$2,ISBLANK($AN55))),AV$2-$Z55,"")</f>
        <v/>
      </c>
      <c r="AW55" s="6" t="str">
        <f>IF(AND(AW$2&gt;$Z55,$Z55&gt;0,OR($AN55&gt;AW$2,ISBLANK($AN55))),AW$2-$Z55,"")</f>
        <v/>
      </c>
      <c r="AX55" s="6">
        <f>IF(AND(AX$2&gt;$Z55,$Z55&gt;0,OR($AN55&gt;AX$2,ISBLANK($AN55))),AX$2-$Z55,"")</f>
        <v>30</v>
      </c>
      <c r="AY55" s="6">
        <f>IF(AND(AY$2&gt;$Z55,$Z55&gt;0,OR($AN55&gt;AY$2,ISBLANK($AN55))),AY$2-$Z55,"")</f>
        <v>60</v>
      </c>
      <c r="AZ55" s="6" t="str">
        <f ca="1">IF(AND(AZ$2&gt;$Z55,$Z55&gt;0,OR($AN55&gt;AZ$2,ISBLANK($AN55))),AZ$2-$Z55,"")</f>
        <v/>
      </c>
      <c r="BA55" s="6"/>
      <c r="BB55" s="6"/>
      <c r="BC55" s="6"/>
      <c r="BD55" s="6"/>
    </row>
    <row r="56" spans="2:56" x14ac:dyDescent="0.25">
      <c r="B56" s="13">
        <f t="shared" si="0"/>
        <v>1</v>
      </c>
      <c r="C56" s="13">
        <f t="shared" si="1"/>
        <v>10</v>
      </c>
      <c r="D56" s="13">
        <f t="shared" si="2"/>
        <v>4</v>
      </c>
      <c r="E56" s="13">
        <f t="shared" si="3"/>
        <v>2018</v>
      </c>
      <c r="F56" s="13">
        <f t="shared" si="4"/>
        <v>0</v>
      </c>
      <c r="G56" s="13">
        <f t="shared" si="5"/>
        <v>1</v>
      </c>
      <c r="H56" s="13">
        <f t="shared" si="6"/>
        <v>1</v>
      </c>
      <c r="I56" s="13">
        <f t="shared" si="7"/>
        <v>1900</v>
      </c>
      <c r="J56" s="13">
        <f t="shared" si="8"/>
        <v>0</v>
      </c>
      <c r="K56" s="13">
        <f>IF(J56=1,MONTH(AK56),)</f>
        <v>0</v>
      </c>
      <c r="L56" s="13">
        <f t="shared" si="9"/>
        <v>0</v>
      </c>
      <c r="M56" s="13">
        <f t="shared" si="10"/>
        <v>1900</v>
      </c>
      <c r="N56" s="13">
        <f t="shared" si="11"/>
        <v>0</v>
      </c>
      <c r="O56" s="13">
        <f>IF(N56=1,MONTH(AN56),)</f>
        <v>0</v>
      </c>
      <c r="P56" s="13">
        <f t="shared" si="12"/>
        <v>0</v>
      </c>
      <c r="Q56" s="13">
        <f t="shared" si="13"/>
        <v>1900</v>
      </c>
      <c r="S56" s="38" t="s">
        <v>567</v>
      </c>
      <c r="T56" s="11" t="s">
        <v>38</v>
      </c>
      <c r="U56" s="11" t="s">
        <v>26</v>
      </c>
      <c r="V56" s="39" t="s">
        <v>38</v>
      </c>
      <c r="W56" s="39" t="s">
        <v>27</v>
      </c>
      <c r="X56" s="13"/>
      <c r="Y56" s="13"/>
      <c r="Z56" s="66">
        <v>43389</v>
      </c>
      <c r="AA56" s="67">
        <v>344800</v>
      </c>
      <c r="AD56" s="10"/>
      <c r="AG56" s="67">
        <v>360500</v>
      </c>
      <c r="AH56" s="16"/>
      <c r="AI56" s="16">
        <f>AG56-AA56</f>
        <v>15700</v>
      </c>
      <c r="AJ56" s="36">
        <f>AI56/AA56</f>
        <v>4.5533642691415313E-2</v>
      </c>
      <c r="AN56" s="66"/>
      <c r="AT56" s="9"/>
      <c r="AU56" s="6"/>
      <c r="AV56" s="6"/>
      <c r="AW56" s="6"/>
      <c r="AX56" s="6"/>
      <c r="AY56" s="6"/>
      <c r="AZ56" s="6"/>
      <c r="BA56" s="6"/>
      <c r="BB56" s="6"/>
      <c r="BC56" s="6"/>
      <c r="BD56" s="6"/>
    </row>
    <row r="57" spans="2:56" x14ac:dyDescent="0.25">
      <c r="B57" s="13">
        <f t="shared" si="0"/>
        <v>1</v>
      </c>
      <c r="C57" s="13">
        <f t="shared" si="1"/>
        <v>9</v>
      </c>
      <c r="D57" s="13">
        <f t="shared" si="2"/>
        <v>3</v>
      </c>
      <c r="E57" s="13">
        <f t="shared" si="3"/>
        <v>2018</v>
      </c>
      <c r="F57" s="13">
        <f t="shared" si="4"/>
        <v>1</v>
      </c>
      <c r="G57" s="13">
        <f t="shared" si="5"/>
        <v>9</v>
      </c>
      <c r="H57" s="13">
        <f t="shared" si="6"/>
        <v>3</v>
      </c>
      <c r="I57" s="13">
        <f t="shared" si="7"/>
        <v>2018</v>
      </c>
      <c r="J57" s="13">
        <f t="shared" si="8"/>
        <v>1</v>
      </c>
      <c r="K57" s="13">
        <f>IF(J57=1,MONTH(AK57),)</f>
        <v>10</v>
      </c>
      <c r="L57" s="13">
        <f t="shared" si="9"/>
        <v>4</v>
      </c>
      <c r="M57" s="13">
        <f t="shared" si="10"/>
        <v>2018</v>
      </c>
      <c r="N57" s="13">
        <f t="shared" si="11"/>
        <v>0</v>
      </c>
      <c r="O57" s="13">
        <f>IF(N57=1,MONTH(AN57),)</f>
        <v>0</v>
      </c>
      <c r="P57" s="13">
        <f t="shared" si="12"/>
        <v>0</v>
      </c>
      <c r="Q57" s="13">
        <f t="shared" si="13"/>
        <v>1900</v>
      </c>
      <c r="S57" s="38" t="s">
        <v>119</v>
      </c>
      <c r="T57" s="11" t="s">
        <v>65</v>
      </c>
      <c r="U57" s="11" t="s">
        <v>26</v>
      </c>
      <c r="V57" s="39" t="s">
        <v>38</v>
      </c>
      <c r="W57" s="39" t="s">
        <v>27</v>
      </c>
      <c r="X57" s="13" t="s">
        <v>120</v>
      </c>
      <c r="Y57" s="4" t="s">
        <v>29</v>
      </c>
      <c r="Z57" s="66">
        <v>43353</v>
      </c>
      <c r="AA57" s="67">
        <v>259000</v>
      </c>
      <c r="AD57" s="10"/>
      <c r="AF57" s="66">
        <v>43372</v>
      </c>
      <c r="AG57" s="67">
        <v>270800</v>
      </c>
      <c r="AH57" s="16">
        <f>AF57-Z57</f>
        <v>19</v>
      </c>
      <c r="AI57" s="16">
        <f>AG57-AA57</f>
        <v>11800</v>
      </c>
      <c r="AJ57" s="36">
        <f>AI57/AA57</f>
        <v>4.555984555984556E-2</v>
      </c>
      <c r="AK57" s="66">
        <v>43383</v>
      </c>
      <c r="AL57" s="67">
        <v>270800</v>
      </c>
      <c r="AM57" s="6">
        <f>AK57-AF57</f>
        <v>11</v>
      </c>
      <c r="AN57" s="66"/>
      <c r="AT57" s="9"/>
      <c r="AU57" s="6" t="str">
        <f>IF(AND(AU$2&gt;$Z57,$Z57&gt;0,OR($AN57&gt;AU$2,ISBLANK($AN57))),AU$2-$Z57,"")</f>
        <v/>
      </c>
      <c r="AV57" s="6" t="str">
        <f>IF(AND(AV$2&gt;$Z57,$Z57&gt;0,OR($AN57&gt;AV$2,ISBLANK($AN57))),AV$2-$Z57,"")</f>
        <v/>
      </c>
      <c r="AW57" s="6" t="str">
        <f>IF(AND(AW$2&gt;$Z57,$Z57&gt;0,OR($AN57&gt;AW$2,ISBLANK($AN57))),AW$2-$Z57,"")</f>
        <v/>
      </c>
      <c r="AX57" s="6" t="str">
        <f>IF(AND(AX$2&gt;$Z57,$Z57&gt;0,OR($AN57&gt;AX$2,ISBLANK($AN57))),AX$2-$Z57,"")</f>
        <v/>
      </c>
      <c r="AY57" s="6">
        <f>IF(AND(AY$2&gt;$Z57,$Z57&gt;0,OR($AN57&gt;AY$2,ISBLANK($AN57))),AY$2-$Z57,"")</f>
        <v>20</v>
      </c>
      <c r="AZ57" s="6">
        <f ca="1">IF(AND(AZ$2&gt;$Z57,$Z57&gt;0,OR($AN57&gt;AZ$2,ISBLANK($AN57))),AZ$2-$Z57,"")</f>
        <v>38.382289814813703</v>
      </c>
      <c r="BA57" s="6"/>
      <c r="BB57" s="6"/>
      <c r="BC57" s="6"/>
      <c r="BD57" s="6"/>
    </row>
    <row r="58" spans="2:56" x14ac:dyDescent="0.25">
      <c r="B58" s="13">
        <f t="shared" si="0"/>
        <v>1</v>
      </c>
      <c r="C58" s="13">
        <f t="shared" si="1"/>
        <v>9</v>
      </c>
      <c r="D58" s="13">
        <f t="shared" si="2"/>
        <v>3</v>
      </c>
      <c r="E58" s="13">
        <f t="shared" si="3"/>
        <v>2018</v>
      </c>
      <c r="F58" s="13">
        <f t="shared" si="4"/>
        <v>1</v>
      </c>
      <c r="G58" s="13">
        <f t="shared" si="5"/>
        <v>9</v>
      </c>
      <c r="H58" s="13">
        <f t="shared" si="6"/>
        <v>3</v>
      </c>
      <c r="I58" s="13">
        <f t="shared" si="7"/>
        <v>2018</v>
      </c>
      <c r="J58" s="13">
        <f t="shared" si="8"/>
        <v>0</v>
      </c>
      <c r="K58" s="13">
        <f>IF(J58=1,MONTH(AK58),)</f>
        <v>0</v>
      </c>
      <c r="L58" s="13">
        <f t="shared" si="9"/>
        <v>0</v>
      </c>
      <c r="M58" s="13">
        <f t="shared" si="10"/>
        <v>1900</v>
      </c>
      <c r="N58" s="13">
        <f t="shared" si="11"/>
        <v>0</v>
      </c>
      <c r="O58" s="13">
        <f>IF(N58=1,MONTH(AN58),)</f>
        <v>0</v>
      </c>
      <c r="P58" s="13">
        <f t="shared" si="12"/>
        <v>0</v>
      </c>
      <c r="Q58" s="13">
        <f t="shared" si="13"/>
        <v>1900</v>
      </c>
      <c r="S58" s="38" t="s">
        <v>121</v>
      </c>
      <c r="T58" s="11" t="s">
        <v>40</v>
      </c>
      <c r="U58" s="11" t="s">
        <v>26</v>
      </c>
      <c r="V58" s="39" t="s">
        <v>38</v>
      </c>
      <c r="W58" s="39" t="s">
        <v>27</v>
      </c>
      <c r="X58" s="4" t="s">
        <v>122</v>
      </c>
      <c r="Y58" s="4" t="s">
        <v>29</v>
      </c>
      <c r="Z58" s="66">
        <v>43349</v>
      </c>
      <c r="AA58" s="67">
        <v>450000</v>
      </c>
      <c r="AD58" s="10"/>
      <c r="AF58" s="66">
        <v>43363</v>
      </c>
      <c r="AG58" s="67">
        <v>469300</v>
      </c>
      <c r="AH58" s="16">
        <f>AF58-Z58</f>
        <v>14</v>
      </c>
      <c r="AI58" s="16">
        <f>AG58-AA58</f>
        <v>19300</v>
      </c>
      <c r="AJ58" s="36">
        <f>AI58/AA58</f>
        <v>4.2888888888888886E-2</v>
      </c>
      <c r="AN58" s="66"/>
      <c r="AT58" s="9"/>
      <c r="AU58" s="6" t="str">
        <f>IF(AND(AU$2&gt;$Z58,$Z58&gt;0,OR($AN58&gt;AU$2,ISBLANK($AN58))),AU$2-$Z58,"")</f>
        <v/>
      </c>
      <c r="AV58" s="6" t="str">
        <f>IF(AND(AV$2&gt;$Z58,$Z58&gt;0,OR($AN58&gt;AV$2,ISBLANK($AN58))),AV$2-$Z58,"")</f>
        <v/>
      </c>
      <c r="AW58" s="6" t="str">
        <f>IF(AND(AW$2&gt;$Z58,$Z58&gt;0,OR($AN58&gt;AW$2,ISBLANK($AN58))),AW$2-$Z58,"")</f>
        <v/>
      </c>
      <c r="AX58" s="6" t="str">
        <f>IF(AND(AX$2&gt;$Z58,$Z58&gt;0,OR($AN58&gt;AX$2,ISBLANK($AN58))),AX$2-$Z58,"")</f>
        <v/>
      </c>
      <c r="AY58" s="6">
        <f>IF(AND(AY$2&gt;$Z58,$Z58&gt;0,OR($AN58&gt;AY$2,ISBLANK($AN58))),AY$2-$Z58,"")</f>
        <v>24</v>
      </c>
      <c r="AZ58" s="6">
        <f ca="1">IF(AND(AZ$2&gt;$Z58,$Z58&gt;0,OR($AN58&gt;AZ$2,ISBLANK($AN58))),AZ$2-$Z58,"")</f>
        <v>42.382289814813703</v>
      </c>
      <c r="BA58" s="6"/>
      <c r="BB58" s="6"/>
      <c r="BC58" s="6"/>
      <c r="BD58" s="6"/>
    </row>
    <row r="59" spans="2:56" x14ac:dyDescent="0.25">
      <c r="B59" s="13">
        <f t="shared" si="0"/>
        <v>1</v>
      </c>
      <c r="C59" s="13">
        <f t="shared" si="1"/>
        <v>7</v>
      </c>
      <c r="D59" s="13">
        <f t="shared" si="2"/>
        <v>3</v>
      </c>
      <c r="E59" s="13">
        <f t="shared" si="3"/>
        <v>2018</v>
      </c>
      <c r="F59" s="13">
        <f t="shared" si="4"/>
        <v>1</v>
      </c>
      <c r="G59" s="13">
        <f t="shared" si="5"/>
        <v>8</v>
      </c>
      <c r="H59" s="13">
        <f t="shared" si="6"/>
        <v>3</v>
      </c>
      <c r="I59" s="13">
        <f t="shared" si="7"/>
        <v>2018</v>
      </c>
      <c r="J59" s="13">
        <f t="shared" si="8"/>
        <v>0</v>
      </c>
      <c r="K59" s="13">
        <f>IF(J59=1,MONTH(AK59),)</f>
        <v>0</v>
      </c>
      <c r="L59" s="13">
        <f t="shared" si="9"/>
        <v>0</v>
      </c>
      <c r="M59" s="13">
        <f t="shared" si="10"/>
        <v>1900</v>
      </c>
      <c r="N59" s="13">
        <f t="shared" si="11"/>
        <v>0</v>
      </c>
      <c r="O59" s="13">
        <f>IF(N59=1,MONTH(AN59),)</f>
        <v>0</v>
      </c>
      <c r="P59" s="13">
        <f t="shared" si="12"/>
        <v>0</v>
      </c>
      <c r="Q59" s="13">
        <f t="shared" si="13"/>
        <v>1900</v>
      </c>
      <c r="S59" s="38" t="s">
        <v>123</v>
      </c>
      <c r="T59" s="11" t="s">
        <v>38</v>
      </c>
      <c r="U59" s="11" t="s">
        <v>26</v>
      </c>
      <c r="V59" s="39" t="s">
        <v>38</v>
      </c>
      <c r="W59" s="39" t="s">
        <v>27</v>
      </c>
      <c r="X59" s="4" t="s">
        <v>124</v>
      </c>
      <c r="Y59" s="4" t="s">
        <v>29</v>
      </c>
      <c r="Z59" s="66">
        <v>43307</v>
      </c>
      <c r="AA59" s="67">
        <v>179584</v>
      </c>
      <c r="AD59" s="10"/>
      <c r="AF59" s="66">
        <v>43318</v>
      </c>
      <c r="AG59" s="67">
        <v>184300</v>
      </c>
      <c r="AH59" s="16">
        <f>AF59-Z59</f>
        <v>11</v>
      </c>
      <c r="AI59" s="16">
        <f>AG59-AA59</f>
        <v>4716</v>
      </c>
      <c r="AJ59" s="36">
        <f>AI59/AA59</f>
        <v>2.6260691375623663E-2</v>
      </c>
      <c r="AN59" s="66"/>
      <c r="AT59" s="9"/>
      <c r="AU59" s="6" t="str">
        <f>IF(AND(AU$2&gt;$Z59,$Z59&gt;0,OR($AN59&gt;AU$2,ISBLANK($AN59))),AU$2-$Z59,"")</f>
        <v/>
      </c>
      <c r="AV59" s="6" t="str">
        <f>IF(AND(AV$2&gt;$Z59,$Z59&gt;0,OR($AN59&gt;AV$2,ISBLANK($AN59))),AV$2-$Z59,"")</f>
        <v/>
      </c>
      <c r="AW59" s="6">
        <f>IF(AND(AW$2&gt;$Z59,$Z59&gt;0,OR($AN59&gt;AW$2,ISBLANK($AN59))),AW$2-$Z59,"")</f>
        <v>5</v>
      </c>
      <c r="AX59" s="6">
        <f>IF(AND(AX$2&gt;$Z59,$Z59&gt;0,OR($AN59&gt;AX$2,ISBLANK($AN59))),AX$2-$Z59,"")</f>
        <v>36</v>
      </c>
      <c r="AY59" s="6">
        <f>IF(AND(AY$2&gt;$Z59,$Z59&gt;0,OR($AN59&gt;AY$2,ISBLANK($AN59))),AY$2-$Z59,"")</f>
        <v>66</v>
      </c>
      <c r="AZ59" s="6">
        <f ca="1">IF(AND(AZ$2&gt;$Z59,$Z59&gt;0,OR($AN59&gt;AZ$2,ISBLANK($AN59))),AZ$2-$Z59,"")</f>
        <v>84.382289814813703</v>
      </c>
      <c r="BA59" s="6"/>
      <c r="BB59" s="6"/>
      <c r="BC59" s="6"/>
      <c r="BD59" s="6"/>
    </row>
    <row r="60" spans="2:56" x14ac:dyDescent="0.25">
      <c r="B60" s="13">
        <f t="shared" si="0"/>
        <v>1</v>
      </c>
      <c r="C60" s="13">
        <f t="shared" si="1"/>
        <v>10</v>
      </c>
      <c r="D60" s="13">
        <f t="shared" si="2"/>
        <v>4</v>
      </c>
      <c r="E60" s="13">
        <f t="shared" si="3"/>
        <v>2018</v>
      </c>
      <c r="F60" s="13">
        <f t="shared" si="4"/>
        <v>1</v>
      </c>
      <c r="G60" s="13">
        <f t="shared" si="5"/>
        <v>10</v>
      </c>
      <c r="H60" s="13">
        <f t="shared" si="6"/>
        <v>4</v>
      </c>
      <c r="I60" s="13">
        <f t="shared" si="7"/>
        <v>2018</v>
      </c>
      <c r="J60" s="13">
        <f t="shared" si="8"/>
        <v>0</v>
      </c>
      <c r="K60" s="13">
        <f>IF(J60=1,MONTH(AK60),)</f>
        <v>0</v>
      </c>
      <c r="L60" s="13">
        <f t="shared" si="9"/>
        <v>0</v>
      </c>
      <c r="M60" s="13">
        <f t="shared" si="10"/>
        <v>1900</v>
      </c>
      <c r="N60" s="13">
        <f t="shared" si="11"/>
        <v>0</v>
      </c>
      <c r="O60" s="13">
        <f>IF(N60=1,MONTH(AN60),)</f>
        <v>0</v>
      </c>
      <c r="P60" s="13">
        <f t="shared" si="12"/>
        <v>0</v>
      </c>
      <c r="Q60" s="13">
        <f t="shared" si="13"/>
        <v>1900</v>
      </c>
      <c r="S60" s="38" t="s">
        <v>125</v>
      </c>
      <c r="T60" s="11" t="s">
        <v>65</v>
      </c>
      <c r="U60" s="11" t="s">
        <v>26</v>
      </c>
      <c r="V60" s="39" t="s">
        <v>38</v>
      </c>
      <c r="W60" s="39" t="s">
        <v>27</v>
      </c>
      <c r="X60" s="4" t="s">
        <v>126</v>
      </c>
      <c r="Y60" s="4" t="s">
        <v>29</v>
      </c>
      <c r="Z60" s="66">
        <v>43374</v>
      </c>
      <c r="AA60" s="67">
        <v>295800</v>
      </c>
      <c r="AD60" s="10"/>
      <c r="AF60" s="66">
        <v>43380</v>
      </c>
      <c r="AG60" s="67">
        <v>303900</v>
      </c>
      <c r="AH60" s="16">
        <f>AF60-Z60</f>
        <v>6</v>
      </c>
      <c r="AI60" s="16">
        <f>AG60-AA60</f>
        <v>8100</v>
      </c>
      <c r="AJ60" s="36">
        <f>AI60/AA60</f>
        <v>2.7383367139959432E-2</v>
      </c>
      <c r="AN60" s="66"/>
      <c r="AT60" s="9"/>
      <c r="AU60" s="6" t="str">
        <f>IF(AND(AU$2&gt;$Z60,$Z60&gt;0,OR($AN60&gt;AU$2,ISBLANK($AN60))),AU$2-$Z60,"")</f>
        <v/>
      </c>
      <c r="AV60" s="6" t="str">
        <f>IF(AND(AV$2&gt;$Z60,$Z60&gt;0,OR($AN60&gt;AV$2,ISBLANK($AN60))),AV$2-$Z60,"")</f>
        <v/>
      </c>
      <c r="AW60" s="6" t="str">
        <f>IF(AND(AW$2&gt;$Z60,$Z60&gt;0,OR($AN60&gt;AW$2,ISBLANK($AN60))),AW$2-$Z60,"")</f>
        <v/>
      </c>
      <c r="AX60" s="6" t="str">
        <f>IF(AND(AX$2&gt;$Z60,$Z60&gt;0,OR($AN60&gt;AX$2,ISBLANK($AN60))),AX$2-$Z60,"")</f>
        <v/>
      </c>
      <c r="AY60" s="6" t="str">
        <f>IF(AND(AY$2&gt;$Z60,$Z60&gt;0,OR($AN60&gt;AY$2,ISBLANK($AN60))),AY$2-$Z60,"")</f>
        <v/>
      </c>
      <c r="AZ60" s="6">
        <f ca="1">IF(AND(AZ$2&gt;$Z60,$Z60&gt;0,OR($AN60&gt;AZ$2,ISBLANK($AN60))),AZ$2-$Z60,"")</f>
        <v>17.382289814813703</v>
      </c>
      <c r="BA60" s="6"/>
      <c r="BB60" s="6"/>
      <c r="BC60" s="6"/>
      <c r="BD60" s="6"/>
    </row>
    <row r="61" spans="2:56" x14ac:dyDescent="0.25">
      <c r="B61" s="13">
        <f t="shared" si="0"/>
        <v>1</v>
      </c>
      <c r="C61" s="13">
        <f t="shared" si="1"/>
        <v>9</v>
      </c>
      <c r="D61" s="13">
        <f t="shared" si="2"/>
        <v>3</v>
      </c>
      <c r="E61" s="13">
        <f t="shared" si="3"/>
        <v>2018</v>
      </c>
      <c r="F61" s="13">
        <f t="shared" si="4"/>
        <v>1</v>
      </c>
      <c r="G61" s="13">
        <f t="shared" si="5"/>
        <v>9</v>
      </c>
      <c r="H61" s="13">
        <f t="shared" si="6"/>
        <v>3</v>
      </c>
      <c r="I61" s="13">
        <f t="shared" si="7"/>
        <v>2018</v>
      </c>
      <c r="J61" s="13">
        <f t="shared" si="8"/>
        <v>1</v>
      </c>
      <c r="K61" s="13">
        <f>IF(J61=1,MONTH(AK61),)</f>
        <v>10</v>
      </c>
      <c r="L61" s="13">
        <f t="shared" si="9"/>
        <v>4</v>
      </c>
      <c r="M61" s="13">
        <f t="shared" si="10"/>
        <v>2018</v>
      </c>
      <c r="N61" s="13">
        <f t="shared" si="11"/>
        <v>0</v>
      </c>
      <c r="O61" s="13">
        <f>IF(N61=1,MONTH(AN61),)</f>
        <v>0</v>
      </c>
      <c r="P61" s="13">
        <f t="shared" si="12"/>
        <v>0</v>
      </c>
      <c r="Q61" s="13">
        <f t="shared" si="13"/>
        <v>1900</v>
      </c>
      <c r="S61" s="38" t="s">
        <v>127</v>
      </c>
      <c r="T61" s="11" t="s">
        <v>38</v>
      </c>
      <c r="U61" s="11" t="s">
        <v>26</v>
      </c>
      <c r="V61" s="39" t="s">
        <v>38</v>
      </c>
      <c r="W61" s="39" t="s">
        <v>27</v>
      </c>
      <c r="X61" s="4" t="s">
        <v>128</v>
      </c>
      <c r="Y61" s="4" t="s">
        <v>29</v>
      </c>
      <c r="Z61" s="66">
        <v>43360</v>
      </c>
      <c r="AA61" s="67">
        <v>227610</v>
      </c>
      <c r="AD61" s="10"/>
      <c r="AF61" s="66">
        <v>43372</v>
      </c>
      <c r="AG61" s="67">
        <v>239100</v>
      </c>
      <c r="AH61" s="16">
        <f>AF61-Z61</f>
        <v>12</v>
      </c>
      <c r="AI61" s="16">
        <f>AG61-AA61</f>
        <v>11490</v>
      </c>
      <c r="AJ61" s="36">
        <f>AI61/AA61</f>
        <v>5.0481086068274679E-2</v>
      </c>
      <c r="AK61" s="66">
        <v>43376</v>
      </c>
      <c r="AL61" s="67">
        <v>239100</v>
      </c>
      <c r="AM61" s="6">
        <f>AK61-AF61</f>
        <v>4</v>
      </c>
      <c r="AN61" s="66"/>
      <c r="AT61" s="9"/>
      <c r="AU61" s="6" t="str">
        <f>IF(AND(AU$2&gt;$Z61,$Z61&gt;0,OR($AN61&gt;AU$2,ISBLANK($AN61))),AU$2-$Z61,"")</f>
        <v/>
      </c>
      <c r="AV61" s="6" t="str">
        <f>IF(AND(AV$2&gt;$Z61,$Z61&gt;0,OR($AN61&gt;AV$2,ISBLANK($AN61))),AV$2-$Z61,"")</f>
        <v/>
      </c>
      <c r="AW61" s="6" t="str">
        <f>IF(AND(AW$2&gt;$Z61,$Z61&gt;0,OR($AN61&gt;AW$2,ISBLANK($AN61))),AW$2-$Z61,"")</f>
        <v/>
      </c>
      <c r="AX61" s="6" t="str">
        <f>IF(AND(AX$2&gt;$Z61,$Z61&gt;0,OR($AN61&gt;AX$2,ISBLANK($AN61))),AX$2-$Z61,"")</f>
        <v/>
      </c>
      <c r="AY61" s="6">
        <f>IF(AND(AY$2&gt;$Z61,$Z61&gt;0,OR($AN61&gt;AY$2,ISBLANK($AN61))),AY$2-$Z61,"")</f>
        <v>13</v>
      </c>
      <c r="AZ61" s="6">
        <f ca="1">IF(AND(AZ$2&gt;$Z61,$Z61&gt;0,OR($AN61&gt;AZ$2,ISBLANK($AN61))),AZ$2-$Z61,"")</f>
        <v>31.382289814813703</v>
      </c>
      <c r="BA61" s="6"/>
      <c r="BB61" s="6"/>
      <c r="BC61" s="6"/>
      <c r="BD61" s="6"/>
    </row>
    <row r="62" spans="2:56" x14ac:dyDescent="0.25">
      <c r="B62" s="13">
        <f t="shared" si="0"/>
        <v>1</v>
      </c>
      <c r="C62" s="13">
        <f t="shared" si="1"/>
        <v>9</v>
      </c>
      <c r="D62" s="13">
        <f t="shared" si="2"/>
        <v>3</v>
      </c>
      <c r="E62" s="13">
        <f t="shared" si="3"/>
        <v>2018</v>
      </c>
      <c r="F62" s="13">
        <f t="shared" si="4"/>
        <v>1</v>
      </c>
      <c r="G62" s="13">
        <f t="shared" si="5"/>
        <v>10</v>
      </c>
      <c r="H62" s="13">
        <f t="shared" si="6"/>
        <v>4</v>
      </c>
      <c r="I62" s="13">
        <f t="shared" si="7"/>
        <v>2018</v>
      </c>
      <c r="J62" s="13">
        <f t="shared" si="8"/>
        <v>0</v>
      </c>
      <c r="K62" s="13">
        <f>IF(J62=1,MONTH(AK62),)</f>
        <v>0</v>
      </c>
      <c r="L62" s="13">
        <f t="shared" si="9"/>
        <v>0</v>
      </c>
      <c r="M62" s="13">
        <f t="shared" si="10"/>
        <v>1900</v>
      </c>
      <c r="N62" s="13">
        <f t="shared" si="11"/>
        <v>0</v>
      </c>
      <c r="O62" s="13">
        <f>IF(N62=1,MONTH(AN62),)</f>
        <v>0</v>
      </c>
      <c r="P62" s="13">
        <f t="shared" si="12"/>
        <v>0</v>
      </c>
      <c r="Q62" s="13">
        <f t="shared" si="13"/>
        <v>1900</v>
      </c>
      <c r="S62" s="38" t="s">
        <v>129</v>
      </c>
      <c r="T62" s="11" t="s">
        <v>91</v>
      </c>
      <c r="U62" s="11" t="s">
        <v>26</v>
      </c>
      <c r="V62" s="39" t="s">
        <v>38</v>
      </c>
      <c r="W62" s="39" t="s">
        <v>27</v>
      </c>
      <c r="X62" s="4" t="s">
        <v>130</v>
      </c>
      <c r="Y62" s="4" t="s">
        <v>29</v>
      </c>
      <c r="Z62" s="66">
        <v>43362</v>
      </c>
      <c r="AA62" s="67">
        <v>210000</v>
      </c>
      <c r="AD62" s="10"/>
      <c r="AF62" s="66">
        <v>43383</v>
      </c>
      <c r="AG62" s="67">
        <v>222900</v>
      </c>
      <c r="AH62" s="16">
        <f>AF62-Z62</f>
        <v>21</v>
      </c>
      <c r="AI62" s="16">
        <f>AG62-AA62</f>
        <v>12900</v>
      </c>
      <c r="AJ62" s="36">
        <f>AI62/AA62</f>
        <v>6.142857142857143E-2</v>
      </c>
      <c r="AN62" s="66"/>
      <c r="AT62" s="9"/>
      <c r="AU62" s="6" t="str">
        <f>IF(AND(AU$2&gt;$Z62,$Z62&gt;0,OR($AN62&gt;AU$2,ISBLANK($AN62))),AU$2-$Z62,"")</f>
        <v/>
      </c>
      <c r="AV62" s="6" t="str">
        <f>IF(AND(AV$2&gt;$Z62,$Z62&gt;0,OR($AN62&gt;AV$2,ISBLANK($AN62))),AV$2-$Z62,"")</f>
        <v/>
      </c>
      <c r="AW62" s="6" t="str">
        <f>IF(AND(AW$2&gt;$Z62,$Z62&gt;0,OR($AN62&gt;AW$2,ISBLANK($AN62))),AW$2-$Z62,"")</f>
        <v/>
      </c>
      <c r="AX62" s="6" t="str">
        <f>IF(AND(AX$2&gt;$Z62,$Z62&gt;0,OR($AN62&gt;AX$2,ISBLANK($AN62))),AX$2-$Z62,"")</f>
        <v/>
      </c>
      <c r="AY62" s="6">
        <f>IF(AND(AY$2&gt;$Z62,$Z62&gt;0,OR($AN62&gt;AY$2,ISBLANK($AN62))),AY$2-$Z62,"")</f>
        <v>11</v>
      </c>
      <c r="AZ62" s="6">
        <f ca="1">IF(AND(AZ$2&gt;$Z62,$Z62&gt;0,OR($AN62&gt;AZ$2,ISBLANK($AN62))),AZ$2-$Z62,"")</f>
        <v>29.382289814813703</v>
      </c>
      <c r="BA62" s="6"/>
      <c r="BB62" s="6"/>
      <c r="BC62" s="6"/>
      <c r="BD62" s="6"/>
    </row>
    <row r="63" spans="2:56" x14ac:dyDescent="0.25">
      <c r="B63" s="13">
        <f t="shared" si="0"/>
        <v>1</v>
      </c>
      <c r="C63" s="13">
        <f t="shared" si="1"/>
        <v>9</v>
      </c>
      <c r="D63" s="13">
        <f t="shared" si="2"/>
        <v>3</v>
      </c>
      <c r="E63" s="13">
        <f t="shared" si="3"/>
        <v>2018</v>
      </c>
      <c r="F63" s="13">
        <f t="shared" si="4"/>
        <v>1</v>
      </c>
      <c r="G63" s="13">
        <f t="shared" si="5"/>
        <v>10</v>
      </c>
      <c r="H63" s="13">
        <f t="shared" si="6"/>
        <v>4</v>
      </c>
      <c r="I63" s="13">
        <f t="shared" si="7"/>
        <v>2018</v>
      </c>
      <c r="J63" s="13">
        <f t="shared" si="8"/>
        <v>0</v>
      </c>
      <c r="K63" s="13">
        <f>IF(J63=1,MONTH(AK63),)</f>
        <v>0</v>
      </c>
      <c r="L63" s="13">
        <f t="shared" si="9"/>
        <v>0</v>
      </c>
      <c r="M63" s="13">
        <f t="shared" si="10"/>
        <v>1900</v>
      </c>
      <c r="N63" s="13">
        <f t="shared" si="11"/>
        <v>0</v>
      </c>
      <c r="O63" s="13">
        <f>IF(N63=1,MONTH(AN63),)</f>
        <v>0</v>
      </c>
      <c r="P63" s="13">
        <f t="shared" si="12"/>
        <v>0</v>
      </c>
      <c r="Q63" s="13">
        <f t="shared" si="13"/>
        <v>1900</v>
      </c>
      <c r="S63" s="38" t="s">
        <v>131</v>
      </c>
      <c r="T63" s="11" t="s">
        <v>91</v>
      </c>
      <c r="U63" s="11" t="s">
        <v>26</v>
      </c>
      <c r="V63" s="39" t="s">
        <v>38</v>
      </c>
      <c r="W63" s="39" t="s">
        <v>27</v>
      </c>
      <c r="X63" s="4" t="s">
        <v>132</v>
      </c>
      <c r="Y63" s="4" t="s">
        <v>29</v>
      </c>
      <c r="Z63" s="66">
        <v>43369</v>
      </c>
      <c r="AA63" s="67">
        <v>215530</v>
      </c>
      <c r="AD63" s="10"/>
      <c r="AF63" s="66">
        <v>43383</v>
      </c>
      <c r="AG63" s="67">
        <v>226600</v>
      </c>
      <c r="AH63" s="16">
        <f>AF63-Z63</f>
        <v>14</v>
      </c>
      <c r="AI63" s="16">
        <f>AG63-AA63</f>
        <v>11070</v>
      </c>
      <c r="AJ63" s="36">
        <f>AI63/AA63</f>
        <v>5.1361759383844477E-2</v>
      </c>
      <c r="AN63" s="66"/>
      <c r="AT63" s="9"/>
      <c r="AU63" s="6" t="str">
        <f>IF(AND(AU$2&gt;$Z63,$Z63&gt;0,OR($AN63&gt;AU$2,ISBLANK($AN63))),AU$2-$Z63,"")</f>
        <v/>
      </c>
      <c r="AV63" s="6" t="str">
        <f>IF(AND(AV$2&gt;$Z63,$Z63&gt;0,OR($AN63&gt;AV$2,ISBLANK($AN63))),AV$2-$Z63,"")</f>
        <v/>
      </c>
      <c r="AW63" s="6" t="str">
        <f>IF(AND(AW$2&gt;$Z63,$Z63&gt;0,OR($AN63&gt;AW$2,ISBLANK($AN63))),AW$2-$Z63,"")</f>
        <v/>
      </c>
      <c r="AX63" s="6" t="str">
        <f>IF(AND(AX$2&gt;$Z63,$Z63&gt;0,OR($AN63&gt;AX$2,ISBLANK($AN63))),AX$2-$Z63,"")</f>
        <v/>
      </c>
      <c r="AY63" s="6">
        <f>IF(AND(AY$2&gt;$Z63,$Z63&gt;0,OR($AN63&gt;AY$2,ISBLANK($AN63))),AY$2-$Z63,"")</f>
        <v>4</v>
      </c>
      <c r="AZ63" s="6">
        <f ca="1">IF(AND(AZ$2&gt;$Z63,$Z63&gt;0,OR($AN63&gt;AZ$2,ISBLANK($AN63))),AZ$2-$Z63,"")</f>
        <v>22.382289814813703</v>
      </c>
      <c r="BA63" s="6"/>
      <c r="BB63" s="6"/>
      <c r="BC63" s="6"/>
      <c r="BD63" s="6"/>
    </row>
    <row r="64" spans="2:56" x14ac:dyDescent="0.25">
      <c r="B64" s="13">
        <f t="shared" si="0"/>
        <v>1</v>
      </c>
      <c r="C64" s="13">
        <f t="shared" si="1"/>
        <v>8</v>
      </c>
      <c r="D64" s="13">
        <f t="shared" si="2"/>
        <v>3</v>
      </c>
      <c r="E64" s="13">
        <f t="shared" si="3"/>
        <v>2018</v>
      </c>
      <c r="F64" s="13">
        <f t="shared" si="4"/>
        <v>1</v>
      </c>
      <c r="G64" s="13">
        <f t="shared" si="5"/>
        <v>9</v>
      </c>
      <c r="H64" s="13">
        <f t="shared" si="6"/>
        <v>3</v>
      </c>
      <c r="I64" s="13">
        <f t="shared" si="7"/>
        <v>2018</v>
      </c>
      <c r="J64" s="13">
        <f t="shared" si="8"/>
        <v>0</v>
      </c>
      <c r="K64" s="13">
        <f>IF(J64=1,MONTH(AK64),)</f>
        <v>0</v>
      </c>
      <c r="L64" s="13">
        <f t="shared" si="9"/>
        <v>0</v>
      </c>
      <c r="M64" s="13">
        <f t="shared" si="10"/>
        <v>1900</v>
      </c>
      <c r="N64" s="13">
        <f t="shared" si="11"/>
        <v>0</v>
      </c>
      <c r="O64" s="13">
        <f>IF(N64=1,MONTH(AN64),)</f>
        <v>0</v>
      </c>
      <c r="P64" s="13">
        <f t="shared" si="12"/>
        <v>0</v>
      </c>
      <c r="Q64" s="13">
        <f t="shared" si="13"/>
        <v>1900</v>
      </c>
      <c r="S64" s="38" t="s">
        <v>133</v>
      </c>
      <c r="T64" s="11" t="s">
        <v>62</v>
      </c>
      <c r="U64" s="11" t="s">
        <v>26</v>
      </c>
      <c r="V64" s="39" t="s">
        <v>38</v>
      </c>
      <c r="W64" s="39" t="s">
        <v>27</v>
      </c>
      <c r="X64" s="4" t="s">
        <v>134</v>
      </c>
      <c r="Y64" s="4" t="s">
        <v>29</v>
      </c>
      <c r="Z64" s="66">
        <v>43343</v>
      </c>
      <c r="AA64" s="67">
        <v>430000</v>
      </c>
      <c r="AD64" s="10"/>
      <c r="AF64" s="66">
        <v>43357</v>
      </c>
      <c r="AG64" s="67">
        <v>455000</v>
      </c>
      <c r="AH64" s="16">
        <f>AF64-Z64</f>
        <v>14</v>
      </c>
      <c r="AI64" s="16">
        <f>AG64-AA64</f>
        <v>25000</v>
      </c>
      <c r="AJ64" s="36">
        <f>AI64/AA64</f>
        <v>5.8139534883720929E-2</v>
      </c>
      <c r="AN64" s="66"/>
      <c r="AT64" s="9"/>
      <c r="AU64" s="6" t="str">
        <f>IF(AND(AU$2&gt;$Z64,$Z64&gt;0,OR($AN64&gt;AU$2,ISBLANK($AN64))),AU$2-$Z64,"")</f>
        <v/>
      </c>
      <c r="AV64" s="6" t="str">
        <f>IF(AND(AV$2&gt;$Z64,$Z64&gt;0,OR($AN64&gt;AV$2,ISBLANK($AN64))),AV$2-$Z64,"")</f>
        <v/>
      </c>
      <c r="AW64" s="6" t="str">
        <f>IF(AND(AW$2&gt;$Z64,$Z64&gt;0,OR($AN64&gt;AW$2,ISBLANK($AN64))),AW$2-$Z64,"")</f>
        <v/>
      </c>
      <c r="AX64" s="6" t="str">
        <f>IF(AND(AX$2&gt;$Z64,$Z64&gt;0,OR($AN64&gt;AX$2,ISBLANK($AN64))),AX$2-$Z64,"")</f>
        <v/>
      </c>
      <c r="AY64" s="6">
        <f>IF(AND(AY$2&gt;$Z64,$Z64&gt;0,OR($AN64&gt;AY$2,ISBLANK($AN64))),AY$2-$Z64,"")</f>
        <v>30</v>
      </c>
      <c r="AZ64" s="6">
        <f ca="1">IF(AND(AZ$2&gt;$Z64,$Z64&gt;0,OR($AN64&gt;AZ$2,ISBLANK($AN64))),AZ$2-$Z64,"")</f>
        <v>48.382289814813703</v>
      </c>
      <c r="BA64" s="6"/>
      <c r="BB64" s="6"/>
      <c r="BC64" s="6"/>
      <c r="BD64" s="6"/>
    </row>
    <row r="65" spans="2:56" x14ac:dyDescent="0.25">
      <c r="B65" s="13">
        <f t="shared" si="0"/>
        <v>1</v>
      </c>
      <c r="C65" s="13">
        <f t="shared" si="1"/>
        <v>9</v>
      </c>
      <c r="D65" s="13">
        <f t="shared" si="2"/>
        <v>3</v>
      </c>
      <c r="E65" s="13">
        <f t="shared" si="3"/>
        <v>2018</v>
      </c>
      <c r="F65" s="13">
        <f t="shared" si="4"/>
        <v>0</v>
      </c>
      <c r="G65" s="13">
        <f t="shared" si="5"/>
        <v>1</v>
      </c>
      <c r="H65" s="13">
        <f t="shared" si="6"/>
        <v>1</v>
      </c>
      <c r="I65" s="13">
        <f t="shared" si="7"/>
        <v>1900</v>
      </c>
      <c r="J65" s="13">
        <f t="shared" si="8"/>
        <v>0</v>
      </c>
      <c r="K65" s="13">
        <f>IF(J65=1,MONTH(AK65),)</f>
        <v>0</v>
      </c>
      <c r="L65" s="13">
        <f t="shared" si="9"/>
        <v>0</v>
      </c>
      <c r="M65" s="13">
        <f t="shared" si="10"/>
        <v>1900</v>
      </c>
      <c r="N65" s="13">
        <f t="shared" si="11"/>
        <v>0</v>
      </c>
      <c r="O65" s="13">
        <f>IF(N65=1,MONTH(AN65),)</f>
        <v>0</v>
      </c>
      <c r="P65" s="13">
        <f t="shared" si="12"/>
        <v>0</v>
      </c>
      <c r="Q65" s="13">
        <f t="shared" si="13"/>
        <v>1900</v>
      </c>
      <c r="S65" s="38" t="s">
        <v>135</v>
      </c>
      <c r="T65" s="11" t="s">
        <v>57</v>
      </c>
      <c r="U65" s="11" t="s">
        <v>26</v>
      </c>
      <c r="V65" s="39" t="s">
        <v>38</v>
      </c>
      <c r="W65" s="39" t="s">
        <v>27</v>
      </c>
      <c r="X65" s="4" t="s">
        <v>136</v>
      </c>
      <c r="Y65" s="4" t="s">
        <v>29</v>
      </c>
      <c r="Z65" s="66">
        <v>43371</v>
      </c>
      <c r="AA65" s="67">
        <v>207300</v>
      </c>
      <c r="AD65" s="10"/>
      <c r="AG65" s="67">
        <v>217900</v>
      </c>
      <c r="AH65" s="16"/>
      <c r="AI65" s="16">
        <f>AG65-AA65</f>
        <v>10600</v>
      </c>
      <c r="AJ65" s="36">
        <f>AI65/AA65</f>
        <v>5.1133622768933913E-2</v>
      </c>
      <c r="AN65" s="66"/>
      <c r="AT65" s="9"/>
      <c r="AU65" s="6" t="str">
        <f>IF(AND(AU$2&gt;$Z65,$Z65&gt;0,OR($AN65&gt;AU$2,ISBLANK($AN65))),AU$2-$Z65,"")</f>
        <v/>
      </c>
      <c r="AV65" s="6" t="str">
        <f>IF(AND(AV$2&gt;$Z65,$Z65&gt;0,OR($AN65&gt;AV$2,ISBLANK($AN65))),AV$2-$Z65,"")</f>
        <v/>
      </c>
      <c r="AW65" s="6" t="str">
        <f>IF(AND(AW$2&gt;$Z65,$Z65&gt;0,OR($AN65&gt;AW$2,ISBLANK($AN65))),AW$2-$Z65,"")</f>
        <v/>
      </c>
      <c r="AX65" s="6" t="str">
        <f>IF(AND(AX$2&gt;$Z65,$Z65&gt;0,OR($AN65&gt;AX$2,ISBLANK($AN65))),AX$2-$Z65,"")</f>
        <v/>
      </c>
      <c r="AY65" s="6">
        <f>IF(AND(AY$2&gt;$Z65,$Z65&gt;0,OR($AN65&gt;AY$2,ISBLANK($AN65))),AY$2-$Z65,"")</f>
        <v>2</v>
      </c>
      <c r="AZ65" s="6">
        <f ca="1">IF(AND(AZ$2&gt;$Z65,$Z65&gt;0,OR($AN65&gt;AZ$2,ISBLANK($AN65))),AZ$2-$Z65,"")</f>
        <v>20.382289814813703</v>
      </c>
      <c r="BA65" s="6"/>
      <c r="BB65" s="6"/>
      <c r="BC65" s="6"/>
      <c r="BD65" s="6"/>
    </row>
    <row r="66" spans="2:56" x14ac:dyDescent="0.25">
      <c r="B66" s="13">
        <f t="shared" si="0"/>
        <v>1</v>
      </c>
      <c r="C66" s="13">
        <f t="shared" si="1"/>
        <v>9</v>
      </c>
      <c r="D66" s="13">
        <f t="shared" si="2"/>
        <v>3</v>
      </c>
      <c r="E66" s="13">
        <f t="shared" si="3"/>
        <v>2018</v>
      </c>
      <c r="F66" s="13">
        <f t="shared" si="4"/>
        <v>1</v>
      </c>
      <c r="G66" s="13">
        <f t="shared" si="5"/>
        <v>10</v>
      </c>
      <c r="H66" s="13">
        <f t="shared" si="6"/>
        <v>4</v>
      </c>
      <c r="I66" s="13">
        <f t="shared" si="7"/>
        <v>2018</v>
      </c>
      <c r="J66" s="13">
        <f t="shared" si="8"/>
        <v>0</v>
      </c>
      <c r="K66" s="13">
        <f>IF(J66=1,MONTH(AK66),)</f>
        <v>0</v>
      </c>
      <c r="L66" s="13">
        <f t="shared" si="9"/>
        <v>0</v>
      </c>
      <c r="M66" s="13">
        <f t="shared" si="10"/>
        <v>1900</v>
      </c>
      <c r="N66" s="13">
        <f t="shared" si="11"/>
        <v>0</v>
      </c>
      <c r="O66" s="13">
        <f>IF(N66=1,MONTH(AN66),)</f>
        <v>0</v>
      </c>
      <c r="P66" s="13">
        <f t="shared" si="12"/>
        <v>0</v>
      </c>
      <c r="Q66" s="13">
        <f t="shared" si="13"/>
        <v>1900</v>
      </c>
      <c r="S66" s="38" t="s">
        <v>137</v>
      </c>
      <c r="T66" s="11" t="s">
        <v>38</v>
      </c>
      <c r="U66" s="11" t="s">
        <v>26</v>
      </c>
      <c r="V66" s="39" t="s">
        <v>38</v>
      </c>
      <c r="W66" s="39" t="s">
        <v>27</v>
      </c>
      <c r="X66" s="4" t="s">
        <v>138</v>
      </c>
      <c r="Y66" s="4" t="s">
        <v>29</v>
      </c>
      <c r="Z66" s="66">
        <v>43350</v>
      </c>
      <c r="AA66" s="67">
        <v>266000</v>
      </c>
      <c r="AD66" s="10"/>
      <c r="AF66" s="66">
        <v>43377</v>
      </c>
      <c r="AG66" s="67">
        <v>288700</v>
      </c>
      <c r="AH66" s="16">
        <f>AF66-Z66</f>
        <v>27</v>
      </c>
      <c r="AI66" s="16">
        <f>AG66-AA66</f>
        <v>22700</v>
      </c>
      <c r="AJ66" s="36">
        <f>AI66/AA66</f>
        <v>8.5338345864661658E-2</v>
      </c>
      <c r="AN66" s="66"/>
      <c r="AT66" s="9"/>
      <c r="AU66" s="6" t="str">
        <f>IF(AND(AU$2&gt;$Z66,$Z66&gt;0,OR($AN66&gt;AU$2,ISBLANK($AN66))),AU$2-$Z66,"")</f>
        <v/>
      </c>
      <c r="AV66" s="6" t="str">
        <f>IF(AND(AV$2&gt;$Z66,$Z66&gt;0,OR($AN66&gt;AV$2,ISBLANK($AN66))),AV$2-$Z66,"")</f>
        <v/>
      </c>
      <c r="AW66" s="6" t="str">
        <f>IF(AND(AW$2&gt;$Z66,$Z66&gt;0,OR($AN66&gt;AW$2,ISBLANK($AN66))),AW$2-$Z66,"")</f>
        <v/>
      </c>
      <c r="AX66" s="6" t="str">
        <f>IF(AND(AX$2&gt;$Z66,$Z66&gt;0,OR($AN66&gt;AX$2,ISBLANK($AN66))),AX$2-$Z66,"")</f>
        <v/>
      </c>
      <c r="AY66" s="6">
        <f>IF(AND(AY$2&gt;$Z66,$Z66&gt;0,OR($AN66&gt;AY$2,ISBLANK($AN66))),AY$2-$Z66,"")</f>
        <v>23</v>
      </c>
      <c r="AZ66" s="6">
        <f ca="1">IF(AND(AZ$2&gt;$Z66,$Z66&gt;0,OR($AN66&gt;AZ$2,ISBLANK($AN66))),AZ$2-$Z66,"")</f>
        <v>41.382289814813703</v>
      </c>
      <c r="BA66" s="6"/>
      <c r="BB66" s="6"/>
      <c r="BC66" s="6"/>
      <c r="BD66" s="6"/>
    </row>
    <row r="67" spans="2:56" x14ac:dyDescent="0.25">
      <c r="B67" s="13">
        <f t="shared" si="0"/>
        <v>1</v>
      </c>
      <c r="C67" s="13">
        <f t="shared" si="1"/>
        <v>6</v>
      </c>
      <c r="D67" s="13">
        <f t="shared" si="2"/>
        <v>2</v>
      </c>
      <c r="E67" s="13">
        <f t="shared" si="3"/>
        <v>2018</v>
      </c>
      <c r="F67" s="13">
        <f t="shared" si="4"/>
        <v>1</v>
      </c>
      <c r="G67" s="13">
        <f t="shared" si="5"/>
        <v>7</v>
      </c>
      <c r="H67" s="13">
        <f t="shared" si="6"/>
        <v>3</v>
      </c>
      <c r="I67" s="13">
        <f t="shared" si="7"/>
        <v>2018</v>
      </c>
      <c r="J67" s="13">
        <f t="shared" si="8"/>
        <v>1</v>
      </c>
      <c r="K67" s="13">
        <f>IF(J67=1,MONTH(AK67),)</f>
        <v>9</v>
      </c>
      <c r="L67" s="13">
        <f t="shared" si="9"/>
        <v>3</v>
      </c>
      <c r="M67" s="13">
        <f t="shared" si="10"/>
        <v>2018</v>
      </c>
      <c r="N67" s="13">
        <f t="shared" si="11"/>
        <v>1</v>
      </c>
      <c r="O67" s="13">
        <f>IF(N67=1,MONTH(AN67),)</f>
        <v>9</v>
      </c>
      <c r="P67" s="13">
        <f t="shared" si="12"/>
        <v>3</v>
      </c>
      <c r="Q67" s="13">
        <f t="shared" si="13"/>
        <v>2018</v>
      </c>
      <c r="S67" s="38" t="s">
        <v>431</v>
      </c>
      <c r="T67" s="11" t="s">
        <v>62</v>
      </c>
      <c r="U67" s="11" t="s">
        <v>26</v>
      </c>
      <c r="V67" s="39" t="s">
        <v>38</v>
      </c>
      <c r="W67" s="39" t="s">
        <v>27</v>
      </c>
      <c r="X67" s="4" t="s">
        <v>432</v>
      </c>
      <c r="Y67" s="4" t="s">
        <v>322</v>
      </c>
      <c r="Z67" s="66">
        <v>43265</v>
      </c>
      <c r="AA67" s="67">
        <v>395000</v>
      </c>
      <c r="AD67" s="10"/>
      <c r="AF67" s="66">
        <v>43286</v>
      </c>
      <c r="AG67" s="67">
        <v>409900</v>
      </c>
      <c r="AH67" s="16">
        <f>AF67-Z67</f>
        <v>21</v>
      </c>
      <c r="AI67" s="16">
        <f>AG67-AA67</f>
        <v>14900</v>
      </c>
      <c r="AJ67" s="36">
        <f>AI67/AA67</f>
        <v>3.7721518987341773E-2</v>
      </c>
      <c r="AK67" s="66">
        <v>43347</v>
      </c>
      <c r="AL67" s="67">
        <v>407500</v>
      </c>
      <c r="AM67" s="6">
        <f>AK67-AF67</f>
        <v>61</v>
      </c>
      <c r="AN67" s="66">
        <v>43371</v>
      </c>
      <c r="AO67" s="67">
        <v>400000</v>
      </c>
      <c r="AP67" s="6">
        <f>AN67-AK67</f>
        <v>24</v>
      </c>
      <c r="AQ67" s="6">
        <f>AH67+AM67+AP67</f>
        <v>106</v>
      </c>
      <c r="AR67" s="6">
        <f>AO67-AA67</f>
        <v>5000</v>
      </c>
      <c r="AS67" s="8">
        <f>AR67/AA67</f>
        <v>1.2658227848101266E-2</v>
      </c>
      <c r="AT67" s="9"/>
      <c r="AU67" s="6" t="str">
        <f>IF(AND(AU$2&gt;$Z67,$Z67&gt;0,OR($AN67&gt;AU$2,ISBLANK($AN67))),AU$2-$Z67,"")</f>
        <v/>
      </c>
      <c r="AV67" s="6">
        <f>IF(AND(AV$2&gt;$Z67,$Z67&gt;0,OR($AN67&gt;AV$2,ISBLANK($AN67))),AV$2-$Z67,"")</f>
        <v>16</v>
      </c>
      <c r="AW67" s="6">
        <f>IF(AND(AW$2&gt;$Z67,$Z67&gt;0,OR($AN67&gt;AW$2,ISBLANK($AN67))),AW$2-$Z67,"")</f>
        <v>47</v>
      </c>
      <c r="AX67" s="6">
        <f>IF(AND(AX$2&gt;$Z67,$Z67&gt;0,OR($AN67&gt;AX$2,ISBLANK($AN67))),AX$2-$Z67,"")</f>
        <v>78</v>
      </c>
      <c r="AY67" s="6" t="str">
        <f>IF(AND(AY$2&gt;$Z67,$Z67&gt;0,OR($AN67&gt;AY$2,ISBLANK($AN67))),AY$2-$Z67,"")</f>
        <v/>
      </c>
      <c r="AZ67" s="6" t="str">
        <f ca="1">IF(AND(AZ$2&gt;$Z67,$Z67&gt;0,OR($AN67&gt;AZ$2,ISBLANK($AN67))),AZ$2-$Z67,"")</f>
        <v/>
      </c>
      <c r="BA67" s="6"/>
      <c r="BB67" s="6"/>
      <c r="BC67" s="6"/>
      <c r="BD67" s="6"/>
    </row>
    <row r="68" spans="2:56" x14ac:dyDescent="0.25">
      <c r="B68" s="13">
        <f t="shared" ref="B68:B131" si="14">IF(Z68&lt;&gt;0,1,)</f>
        <v>1</v>
      </c>
      <c r="C68" s="13">
        <f t="shared" ref="C68:C131" si="15">MONTH(Z68)</f>
        <v>8</v>
      </c>
      <c r="D68" s="13">
        <f t="shared" ref="D68:D131" si="16">IF(C68=1,1,IF(C68=2,1,IF(C68=3,1,IF(C68=4,2,IF(C68=5,2,IF(C68=6,2,IF(C68=7,3,IF(C68=8,3,IF(C68=9,3,IF(C68=10,4,IF(C68=11,4,IF(C68=12,4,))))))))))))</f>
        <v>3</v>
      </c>
      <c r="E68" s="13">
        <f t="shared" ref="E68:E131" si="17">YEAR(Z68)</f>
        <v>2018</v>
      </c>
      <c r="F68" s="13">
        <f t="shared" ref="F68:F131" si="18">IF(AF68&lt;&gt;0,1,)</f>
        <v>1</v>
      </c>
      <c r="G68" s="13">
        <f t="shared" ref="G68:G131" si="19">MONTH(AF68)</f>
        <v>9</v>
      </c>
      <c r="H68" s="13">
        <f t="shared" ref="H68:H131" si="20">IF(G68=1,1,IF(G68=2,1,IF(G68=3,1,IF(G68=4,2,IF(G68=5,2,IF(G68=6,2,IF(G68=7,3,IF(G68=8,3,IF(G68=9,3,IF(G68=10,4,IF(G68=11,4,IF(G68=12,4,))))))))))))</f>
        <v>3</v>
      </c>
      <c r="I68" s="13">
        <f t="shared" ref="I68:I131" si="21">YEAR(AF68)</f>
        <v>2018</v>
      </c>
      <c r="J68" s="13">
        <f t="shared" ref="J68:J131" si="22">IF(AK68&lt;&gt;0,1,)</f>
        <v>0</v>
      </c>
      <c r="K68" s="13">
        <f>IF(J68=1,MONTH(AK68),)</f>
        <v>0</v>
      </c>
      <c r="L68" s="13">
        <f t="shared" ref="L68:L131" si="23">IF(K68=1,1,IF(K68=2,1,IF(K68=3,1,IF(K68=4,2,IF(K68=5,2,IF(K68=6,2,IF(K68=7,3,IF(K68=8,3,IF(K68=9,3,IF(K68=10,4,IF(K68=11,4,IF(K68=12,4,))))))))))))</f>
        <v>0</v>
      </c>
      <c r="M68" s="13">
        <f t="shared" ref="M68:M131" si="24">YEAR(AK68)</f>
        <v>1900</v>
      </c>
      <c r="N68" s="13">
        <f t="shared" ref="N68:N131" si="25">IF(AN68&lt;&gt;0,1,)</f>
        <v>0</v>
      </c>
      <c r="O68" s="13">
        <f>IF(N68=1,MONTH(AN68),)</f>
        <v>0</v>
      </c>
      <c r="P68" s="13">
        <f t="shared" ref="P68:P131" si="26">IF(O68=1,1,IF(O68=2,1,IF(O68=3,1,IF(O68=4,2,IF(O68=5,2,IF(O68=6,2,IF(O68=7,3,IF(O68=8,3,IF(O68=9,3,IF(O68=10,4,IF(O68=11,4,IF(O68=12,4,))))))))))))</f>
        <v>0</v>
      </c>
      <c r="Q68" s="13">
        <f t="shared" ref="Q68:Q131" si="27">YEAR(AN68)</f>
        <v>1900</v>
      </c>
      <c r="S68" s="38" t="s">
        <v>139</v>
      </c>
      <c r="T68" s="11" t="s">
        <v>140</v>
      </c>
      <c r="U68" s="11" t="s">
        <v>26</v>
      </c>
      <c r="V68" s="39" t="s">
        <v>38</v>
      </c>
      <c r="W68" s="39" t="s">
        <v>27</v>
      </c>
      <c r="X68" s="4" t="s">
        <v>141</v>
      </c>
      <c r="Y68" s="4" t="s">
        <v>29</v>
      </c>
      <c r="Z68" s="66">
        <v>43335</v>
      </c>
      <c r="AA68" s="67">
        <v>370000</v>
      </c>
      <c r="AD68" s="10"/>
      <c r="AF68" s="66">
        <v>43344</v>
      </c>
      <c r="AG68" s="67">
        <v>385700</v>
      </c>
      <c r="AH68" s="16">
        <f>AF68-Z68</f>
        <v>9</v>
      </c>
      <c r="AI68" s="16">
        <f>AG68-AA68</f>
        <v>15700</v>
      </c>
      <c r="AJ68" s="36">
        <f>AI68/AA68</f>
        <v>4.2432432432432429E-2</v>
      </c>
      <c r="AN68" s="66"/>
      <c r="AT68" s="9"/>
      <c r="AU68" s="6" t="str">
        <f>IF(AND(AU$2&gt;$Z68,$Z68&gt;0,OR($AN68&gt;AU$2,ISBLANK($AN68))),AU$2-$Z68,"")</f>
        <v/>
      </c>
      <c r="AV68" s="6" t="str">
        <f>IF(AND(AV$2&gt;$Z68,$Z68&gt;0,OR($AN68&gt;AV$2,ISBLANK($AN68))),AV$2-$Z68,"")</f>
        <v/>
      </c>
      <c r="AW68" s="6" t="str">
        <f>IF(AND(AW$2&gt;$Z68,$Z68&gt;0,OR($AN68&gt;AW$2,ISBLANK($AN68))),AW$2-$Z68,"")</f>
        <v/>
      </c>
      <c r="AX68" s="6">
        <f>IF(AND(AX$2&gt;$Z68,$Z68&gt;0,OR($AN68&gt;AX$2,ISBLANK($AN68))),AX$2-$Z68,"")</f>
        <v>8</v>
      </c>
      <c r="AY68" s="6">
        <f>IF(AND(AY$2&gt;$Z68,$Z68&gt;0,OR($AN68&gt;AY$2,ISBLANK($AN68))),AY$2-$Z68,"")</f>
        <v>38</v>
      </c>
      <c r="AZ68" s="6">
        <f ca="1">IF(AND(AZ$2&gt;$Z68,$Z68&gt;0,OR($AN68&gt;AZ$2,ISBLANK($AN68))),AZ$2-$Z68,"")</f>
        <v>56.382289814813703</v>
      </c>
      <c r="BA68" s="6"/>
      <c r="BB68" s="6"/>
      <c r="BC68" s="6"/>
      <c r="BD68" s="6"/>
    </row>
    <row r="69" spans="2:56" x14ac:dyDescent="0.25">
      <c r="B69" s="13">
        <f t="shared" si="14"/>
        <v>1</v>
      </c>
      <c r="C69" s="13">
        <f t="shared" si="15"/>
        <v>7</v>
      </c>
      <c r="D69" s="13">
        <f t="shared" si="16"/>
        <v>3</v>
      </c>
      <c r="E69" s="13">
        <f t="shared" si="17"/>
        <v>2018</v>
      </c>
      <c r="F69" s="13">
        <f t="shared" si="18"/>
        <v>1</v>
      </c>
      <c r="G69" s="13">
        <f t="shared" si="19"/>
        <v>8</v>
      </c>
      <c r="H69" s="13">
        <f t="shared" si="20"/>
        <v>3</v>
      </c>
      <c r="I69" s="13">
        <f t="shared" si="21"/>
        <v>2018</v>
      </c>
      <c r="J69" s="13">
        <f t="shared" si="22"/>
        <v>1</v>
      </c>
      <c r="K69" s="13">
        <f>IF(J69=1,MONTH(AK69),)</f>
        <v>8</v>
      </c>
      <c r="L69" s="13">
        <f t="shared" si="23"/>
        <v>3</v>
      </c>
      <c r="M69" s="13">
        <f t="shared" si="24"/>
        <v>2018</v>
      </c>
      <c r="N69" s="13">
        <f t="shared" si="25"/>
        <v>1</v>
      </c>
      <c r="O69" s="13">
        <f>IF(N69=1,MONTH(AN69),)</f>
        <v>9</v>
      </c>
      <c r="P69" s="13">
        <f t="shared" si="26"/>
        <v>3</v>
      </c>
      <c r="Q69" s="13">
        <f t="shared" si="27"/>
        <v>2018</v>
      </c>
      <c r="S69" s="38" t="s">
        <v>480</v>
      </c>
      <c r="T69" s="11" t="s">
        <v>65</v>
      </c>
      <c r="U69" s="11" t="s">
        <v>26</v>
      </c>
      <c r="V69" s="39" t="s">
        <v>38</v>
      </c>
      <c r="W69" s="39" t="s">
        <v>27</v>
      </c>
      <c r="Y69" s="4" t="s">
        <v>29</v>
      </c>
      <c r="Z69" s="66">
        <v>43299</v>
      </c>
      <c r="AA69" s="67">
        <v>264000</v>
      </c>
      <c r="AD69" s="10"/>
      <c r="AF69" s="66">
        <v>43317</v>
      </c>
      <c r="AG69" s="67">
        <v>277500</v>
      </c>
      <c r="AH69" s="16">
        <f>AF69-Z69</f>
        <v>18</v>
      </c>
      <c r="AI69" s="16">
        <f>AG69-AA69</f>
        <v>13500</v>
      </c>
      <c r="AJ69" s="36">
        <f>AI69/AA69</f>
        <v>5.113636363636364E-2</v>
      </c>
      <c r="AK69" s="66">
        <v>43328</v>
      </c>
      <c r="AL69" s="67">
        <v>277500</v>
      </c>
      <c r="AM69" s="6">
        <f>AK69-AF69</f>
        <v>11</v>
      </c>
      <c r="AN69" s="66">
        <v>43350</v>
      </c>
      <c r="AO69" s="67">
        <v>275000</v>
      </c>
      <c r="AP69" s="6">
        <f>AN69-AK69</f>
        <v>22</v>
      </c>
      <c r="AQ69" s="6">
        <f>AH69+AM69+AP69</f>
        <v>51</v>
      </c>
      <c r="AR69" s="6">
        <f>AO69-AA69</f>
        <v>11000</v>
      </c>
      <c r="AS69" s="8">
        <f>AR69/AA69</f>
        <v>4.1666666666666664E-2</v>
      </c>
      <c r="AT69" s="9"/>
      <c r="AU69" s="6" t="str">
        <f>IF(AND(AU$2&gt;$Z69,$Z69&gt;0,OR($AN69&gt;AU$2,ISBLANK($AN69))),AU$2-$Z69,"")</f>
        <v/>
      </c>
      <c r="AV69" s="6" t="str">
        <f>IF(AND(AV$2&gt;$Z69,$Z69&gt;0,OR($AN69&gt;AV$2,ISBLANK($AN69))),AV$2-$Z69,"")</f>
        <v/>
      </c>
      <c r="AW69" s="6">
        <f>IF(AND(AW$2&gt;$Z69,$Z69&gt;0,OR($AN69&gt;AW$2,ISBLANK($AN69))),AW$2-$Z69,"")</f>
        <v>13</v>
      </c>
      <c r="AX69" s="6">
        <f>IF(AND(AX$2&gt;$Z69,$Z69&gt;0,OR($AN69&gt;AX$2,ISBLANK($AN69))),AX$2-$Z69,"")</f>
        <v>44</v>
      </c>
      <c r="AY69" s="6" t="str">
        <f>IF(AND(AY$2&gt;$Z69,$Z69&gt;0,OR($AN69&gt;AY$2,ISBLANK($AN69))),AY$2-$Z69,"")</f>
        <v/>
      </c>
      <c r="AZ69" s="6" t="str">
        <f ca="1">IF(AND(AZ$2&gt;$Z69,$Z69&gt;0,OR($AN69&gt;AZ$2,ISBLANK($AN69))),AZ$2-$Z69,"")</f>
        <v/>
      </c>
      <c r="BA69" s="6"/>
      <c r="BB69" s="6"/>
      <c r="BC69" s="6"/>
      <c r="BD69" s="6"/>
    </row>
    <row r="70" spans="2:56" x14ac:dyDescent="0.25">
      <c r="B70" s="13">
        <f t="shared" si="14"/>
        <v>1</v>
      </c>
      <c r="C70" s="13">
        <f t="shared" si="15"/>
        <v>7</v>
      </c>
      <c r="D70" s="13">
        <f t="shared" si="16"/>
        <v>3</v>
      </c>
      <c r="E70" s="13">
        <f t="shared" si="17"/>
        <v>2018</v>
      </c>
      <c r="F70" s="13">
        <f t="shared" si="18"/>
        <v>1</v>
      </c>
      <c r="G70" s="13">
        <f t="shared" si="19"/>
        <v>8</v>
      </c>
      <c r="H70" s="13">
        <f t="shared" si="20"/>
        <v>3</v>
      </c>
      <c r="I70" s="13">
        <f t="shared" si="21"/>
        <v>2018</v>
      </c>
      <c r="J70" s="13">
        <f t="shared" si="22"/>
        <v>0</v>
      </c>
      <c r="K70" s="13">
        <f>IF(J70=1,MONTH(AK70),)</f>
        <v>0</v>
      </c>
      <c r="L70" s="13">
        <f t="shared" si="23"/>
        <v>0</v>
      </c>
      <c r="M70" s="13">
        <f t="shared" si="24"/>
        <v>1900</v>
      </c>
      <c r="N70" s="13">
        <f t="shared" si="25"/>
        <v>0</v>
      </c>
      <c r="O70" s="13">
        <f>IF(N70=1,MONTH(AN70),)</f>
        <v>0</v>
      </c>
      <c r="P70" s="13">
        <f t="shared" si="26"/>
        <v>0</v>
      </c>
      <c r="Q70" s="13">
        <f t="shared" si="27"/>
        <v>1900</v>
      </c>
      <c r="S70" s="38" t="s">
        <v>142</v>
      </c>
      <c r="T70" s="11" t="s">
        <v>38</v>
      </c>
      <c r="U70" s="11" t="s">
        <v>26</v>
      </c>
      <c r="V70" s="39" t="s">
        <v>38</v>
      </c>
      <c r="W70" s="39" t="s">
        <v>27</v>
      </c>
      <c r="X70" s="13" t="s">
        <v>143</v>
      </c>
      <c r="Y70" s="13" t="s">
        <v>29</v>
      </c>
      <c r="Z70" s="66">
        <v>43301</v>
      </c>
      <c r="AA70" s="67">
        <v>376000</v>
      </c>
      <c r="AD70" s="10"/>
      <c r="AF70" s="66">
        <v>43316</v>
      </c>
      <c r="AG70" s="67">
        <v>395000</v>
      </c>
      <c r="AH70" s="16">
        <f>AF70-Z70</f>
        <v>15</v>
      </c>
      <c r="AI70" s="16">
        <f>AG70-AA70</f>
        <v>19000</v>
      </c>
      <c r="AJ70" s="36">
        <f>AI70/AA70</f>
        <v>5.0531914893617018E-2</v>
      </c>
      <c r="AN70" s="66"/>
      <c r="AT70" s="9"/>
      <c r="AU70" s="6" t="str">
        <f>IF(AND(AU$2&gt;$Z70,$Z70&gt;0,OR($AN70&gt;AU$2,ISBLANK($AN70))),AU$2-$Z70,"")</f>
        <v/>
      </c>
      <c r="AV70" s="6" t="str">
        <f>IF(AND(AV$2&gt;$Z70,$Z70&gt;0,OR($AN70&gt;AV$2,ISBLANK($AN70))),AV$2-$Z70,"")</f>
        <v/>
      </c>
      <c r="AW70" s="6">
        <f>IF(AND(AW$2&gt;$Z70,$Z70&gt;0,OR($AN70&gt;AW$2,ISBLANK($AN70))),AW$2-$Z70,"")</f>
        <v>11</v>
      </c>
      <c r="AX70" s="6">
        <f>IF(AND(AX$2&gt;$Z70,$Z70&gt;0,OR($AN70&gt;AX$2,ISBLANK($AN70))),AX$2-$Z70,"")</f>
        <v>42</v>
      </c>
      <c r="AY70" s="6">
        <f>IF(AND(AY$2&gt;$Z70,$Z70&gt;0,OR($AN70&gt;AY$2,ISBLANK($AN70))),AY$2-$Z70,"")</f>
        <v>72</v>
      </c>
      <c r="AZ70" s="6">
        <f ca="1">IF(AND(AZ$2&gt;$Z70,$Z70&gt;0,OR($AN70&gt;AZ$2,ISBLANK($AN70))),AZ$2-$Z70,"")</f>
        <v>90.382289814813703</v>
      </c>
      <c r="BA70" s="6"/>
      <c r="BB70" s="6"/>
      <c r="BC70" s="6"/>
      <c r="BD70" s="6"/>
    </row>
    <row r="71" spans="2:56" x14ac:dyDescent="0.25">
      <c r="B71" s="13">
        <f t="shared" si="14"/>
        <v>1</v>
      </c>
      <c r="C71" s="13">
        <f t="shared" si="15"/>
        <v>10</v>
      </c>
      <c r="D71" s="13">
        <f t="shared" si="16"/>
        <v>4</v>
      </c>
      <c r="E71" s="13">
        <f t="shared" si="17"/>
        <v>2018</v>
      </c>
      <c r="F71" s="13">
        <f t="shared" si="18"/>
        <v>0</v>
      </c>
      <c r="G71" s="13">
        <f t="shared" si="19"/>
        <v>1</v>
      </c>
      <c r="H71" s="13">
        <f t="shared" si="20"/>
        <v>1</v>
      </c>
      <c r="I71" s="13">
        <f t="shared" si="21"/>
        <v>1900</v>
      </c>
      <c r="J71" s="13">
        <f t="shared" si="22"/>
        <v>0</v>
      </c>
      <c r="K71" s="13">
        <f>IF(J71=1,MONTH(AK71),)</f>
        <v>0</v>
      </c>
      <c r="L71" s="13">
        <f t="shared" si="23"/>
        <v>0</v>
      </c>
      <c r="M71" s="13">
        <f t="shared" si="24"/>
        <v>1900</v>
      </c>
      <c r="N71" s="13">
        <f t="shared" si="25"/>
        <v>0</v>
      </c>
      <c r="O71" s="13">
        <f>IF(N71=1,MONTH(AN71),)</f>
        <v>0</v>
      </c>
      <c r="P71" s="13">
        <f t="shared" si="26"/>
        <v>0</v>
      </c>
      <c r="Q71" s="13">
        <f t="shared" si="27"/>
        <v>1900</v>
      </c>
      <c r="S71" s="38" t="s">
        <v>508</v>
      </c>
      <c r="T71" s="11" t="s">
        <v>38</v>
      </c>
      <c r="U71" s="11" t="s">
        <v>26</v>
      </c>
      <c r="V71" s="39" t="s">
        <v>38</v>
      </c>
      <c r="W71" s="39" t="s">
        <v>27</v>
      </c>
      <c r="Z71" s="66">
        <v>43383</v>
      </c>
      <c r="AA71" s="67">
        <v>219800</v>
      </c>
      <c r="AD71" s="10"/>
      <c r="AG71" s="67">
        <v>229900</v>
      </c>
      <c r="AH71" s="16"/>
      <c r="AI71" s="16">
        <f>AG71-AA71</f>
        <v>10100</v>
      </c>
      <c r="AJ71" s="36">
        <f>AI71/AA71</f>
        <v>4.5950864422202004E-2</v>
      </c>
      <c r="AN71" s="66"/>
      <c r="AT71" s="9"/>
      <c r="AU71" s="6" t="str">
        <f>IF(AND(AU$2&gt;$Z71,$Z71&gt;0,OR($AN71&gt;AU$2,ISBLANK($AN71))),AU$2-$Z71,"")</f>
        <v/>
      </c>
      <c r="AV71" s="6" t="str">
        <f>IF(AND(AV$2&gt;$Z71,$Z71&gt;0,OR($AN71&gt;AV$2,ISBLANK($AN71))),AV$2-$Z71,"")</f>
        <v/>
      </c>
      <c r="AW71" s="6" t="str">
        <f>IF(AND(AW$2&gt;$Z71,$Z71&gt;0,OR($AN71&gt;AW$2,ISBLANK($AN71))),AW$2-$Z71,"")</f>
        <v/>
      </c>
      <c r="AX71" s="6" t="str">
        <f>IF(AND(AX$2&gt;$Z71,$Z71&gt;0,OR($AN71&gt;AX$2,ISBLANK($AN71))),AX$2-$Z71,"")</f>
        <v/>
      </c>
      <c r="AY71" s="6" t="str">
        <f>IF(AND(AY$2&gt;$Z71,$Z71&gt;0,OR($AN71&gt;AY$2,ISBLANK($AN71))),AY$2-$Z71,"")</f>
        <v/>
      </c>
      <c r="AZ71" s="6">
        <f ca="1">IF(AND(AZ$2&gt;$Z71,$Z71&gt;0,OR($AN71&gt;AZ$2,ISBLANK($AN71))),AZ$2-$Z71,"")</f>
        <v>8.3822898148137028</v>
      </c>
      <c r="BA71" s="6"/>
      <c r="BB71" s="6"/>
      <c r="BC71" s="6"/>
      <c r="BD71" s="6"/>
    </row>
    <row r="72" spans="2:56" x14ac:dyDescent="0.25">
      <c r="B72" s="13">
        <f t="shared" si="14"/>
        <v>1</v>
      </c>
      <c r="C72" s="13">
        <f t="shared" si="15"/>
        <v>8</v>
      </c>
      <c r="D72" s="13">
        <f t="shared" si="16"/>
        <v>3</v>
      </c>
      <c r="E72" s="13">
        <f t="shared" si="17"/>
        <v>2018</v>
      </c>
      <c r="F72" s="13">
        <f t="shared" si="18"/>
        <v>1</v>
      </c>
      <c r="G72" s="13">
        <f t="shared" si="19"/>
        <v>9</v>
      </c>
      <c r="H72" s="13">
        <f t="shared" si="20"/>
        <v>3</v>
      </c>
      <c r="I72" s="13">
        <f t="shared" si="21"/>
        <v>2018</v>
      </c>
      <c r="J72" s="13">
        <f t="shared" si="22"/>
        <v>0</v>
      </c>
      <c r="K72" s="13">
        <f>IF(J72=1,MONTH(AK72),)</f>
        <v>0</v>
      </c>
      <c r="L72" s="13">
        <f t="shared" si="23"/>
        <v>0</v>
      </c>
      <c r="M72" s="13">
        <f t="shared" si="24"/>
        <v>1900</v>
      </c>
      <c r="N72" s="13">
        <f t="shared" si="25"/>
        <v>0</v>
      </c>
      <c r="O72" s="13">
        <f>IF(N72=1,MONTH(AN72),)</f>
        <v>0</v>
      </c>
      <c r="P72" s="13">
        <f t="shared" si="26"/>
        <v>0</v>
      </c>
      <c r="Q72" s="13">
        <f t="shared" si="27"/>
        <v>1900</v>
      </c>
      <c r="S72" s="38" t="s">
        <v>144</v>
      </c>
      <c r="T72" s="11" t="s">
        <v>65</v>
      </c>
      <c r="U72" s="11" t="s">
        <v>26</v>
      </c>
      <c r="V72" s="39" t="s">
        <v>38</v>
      </c>
      <c r="W72" s="39" t="s">
        <v>27</v>
      </c>
      <c r="X72" s="13" t="s">
        <v>145</v>
      </c>
      <c r="Y72" s="13" t="s">
        <v>29</v>
      </c>
      <c r="Z72" s="66">
        <v>43327</v>
      </c>
      <c r="AA72" s="67">
        <v>244080</v>
      </c>
      <c r="AD72" s="10"/>
      <c r="AF72" s="66">
        <v>43353</v>
      </c>
      <c r="AG72" s="67">
        <v>258300</v>
      </c>
      <c r="AH72" s="16">
        <f>AF72-Z72</f>
        <v>26</v>
      </c>
      <c r="AI72" s="16">
        <f>AG72-AA72</f>
        <v>14220</v>
      </c>
      <c r="AJ72" s="36">
        <f>AI72/AA72</f>
        <v>5.825958702064897E-2</v>
      </c>
      <c r="AN72" s="66"/>
      <c r="AT72" s="9"/>
      <c r="AU72" s="6" t="str">
        <f>IF(AND(AU$2&gt;$Z72,$Z72&gt;0,OR($AN72&gt;AU$2,ISBLANK($AN72))),AU$2-$Z72,"")</f>
        <v/>
      </c>
      <c r="AV72" s="6" t="str">
        <f>IF(AND(AV$2&gt;$Z72,$Z72&gt;0,OR($AN72&gt;AV$2,ISBLANK($AN72))),AV$2-$Z72,"")</f>
        <v/>
      </c>
      <c r="AW72" s="6" t="str">
        <f>IF(AND(AW$2&gt;$Z72,$Z72&gt;0,OR($AN72&gt;AW$2,ISBLANK($AN72))),AW$2-$Z72,"")</f>
        <v/>
      </c>
      <c r="AX72" s="6">
        <f>IF(AND(AX$2&gt;$Z72,$Z72&gt;0,OR($AN72&gt;AX$2,ISBLANK($AN72))),AX$2-$Z72,"")</f>
        <v>16</v>
      </c>
      <c r="AY72" s="6">
        <f>IF(AND(AY$2&gt;$Z72,$Z72&gt;0,OR($AN72&gt;AY$2,ISBLANK($AN72))),AY$2-$Z72,"")</f>
        <v>46</v>
      </c>
      <c r="AZ72" s="6">
        <f ca="1">IF(AND(AZ$2&gt;$Z72,$Z72&gt;0,OR($AN72&gt;AZ$2,ISBLANK($AN72))),AZ$2-$Z72,"")</f>
        <v>64.382289814813703</v>
      </c>
      <c r="BA72" s="6"/>
      <c r="BB72" s="6"/>
      <c r="BC72" s="6"/>
      <c r="BD72" s="6"/>
    </row>
    <row r="73" spans="2:56" x14ac:dyDescent="0.25">
      <c r="B73" s="13">
        <f t="shared" si="14"/>
        <v>1</v>
      </c>
      <c r="C73" s="13">
        <f t="shared" si="15"/>
        <v>9</v>
      </c>
      <c r="D73" s="13">
        <f t="shared" si="16"/>
        <v>3</v>
      </c>
      <c r="E73" s="13">
        <f t="shared" si="17"/>
        <v>2018</v>
      </c>
      <c r="F73" s="13">
        <f t="shared" si="18"/>
        <v>0</v>
      </c>
      <c r="G73" s="13">
        <f t="shared" si="19"/>
        <v>1</v>
      </c>
      <c r="H73" s="13">
        <f t="shared" si="20"/>
        <v>1</v>
      </c>
      <c r="I73" s="13">
        <f t="shared" si="21"/>
        <v>1900</v>
      </c>
      <c r="J73" s="13">
        <f t="shared" si="22"/>
        <v>0</v>
      </c>
      <c r="K73" s="13">
        <f>IF(J73=1,MONTH(AK73),)</f>
        <v>0</v>
      </c>
      <c r="L73" s="13">
        <f t="shared" si="23"/>
        <v>0</v>
      </c>
      <c r="M73" s="13">
        <f t="shared" si="24"/>
        <v>1900</v>
      </c>
      <c r="N73" s="13">
        <f t="shared" si="25"/>
        <v>0</v>
      </c>
      <c r="O73" s="13">
        <f>IF(N73=1,MONTH(AN73),)</f>
        <v>0</v>
      </c>
      <c r="P73" s="13">
        <f t="shared" si="26"/>
        <v>0</v>
      </c>
      <c r="Q73" s="13">
        <f t="shared" si="27"/>
        <v>1900</v>
      </c>
      <c r="S73" s="38" t="s">
        <v>146</v>
      </c>
      <c r="T73" s="11" t="s">
        <v>65</v>
      </c>
      <c r="U73" s="11" t="s">
        <v>26</v>
      </c>
      <c r="V73" s="39" t="s">
        <v>38</v>
      </c>
      <c r="W73" s="39" t="s">
        <v>27</v>
      </c>
      <c r="X73" s="4" t="s">
        <v>147</v>
      </c>
      <c r="Y73" s="4" t="s">
        <v>29</v>
      </c>
      <c r="Z73" s="66">
        <v>43367</v>
      </c>
      <c r="AA73" s="67">
        <v>204500</v>
      </c>
      <c r="AD73" s="10"/>
      <c r="AG73" s="67">
        <v>215800</v>
      </c>
      <c r="AH73" s="16"/>
      <c r="AI73" s="16">
        <f>AG73-AA73</f>
        <v>11300</v>
      </c>
      <c r="AJ73" s="36">
        <f>AI73/AA73</f>
        <v>5.525672371638142E-2</v>
      </c>
      <c r="AN73" s="66"/>
      <c r="AT73" s="9"/>
      <c r="AU73" s="6" t="str">
        <f>IF(AND(AU$2&gt;$Z73,$Z73&gt;0,OR($AN73&gt;AU$2,ISBLANK($AN73))),AU$2-$Z73,"")</f>
        <v/>
      </c>
      <c r="AV73" s="6" t="str">
        <f>IF(AND(AV$2&gt;$Z73,$Z73&gt;0,OR($AN73&gt;AV$2,ISBLANK($AN73))),AV$2-$Z73,"")</f>
        <v/>
      </c>
      <c r="AW73" s="6" t="str">
        <f>IF(AND(AW$2&gt;$Z73,$Z73&gt;0,OR($AN73&gt;AW$2,ISBLANK($AN73))),AW$2-$Z73,"")</f>
        <v/>
      </c>
      <c r="AX73" s="6" t="str">
        <f>IF(AND(AX$2&gt;$Z73,$Z73&gt;0,OR($AN73&gt;AX$2,ISBLANK($AN73))),AX$2-$Z73,"")</f>
        <v/>
      </c>
      <c r="AY73" s="6">
        <f>IF(AND(AY$2&gt;$Z73,$Z73&gt;0,OR($AN73&gt;AY$2,ISBLANK($AN73))),AY$2-$Z73,"")</f>
        <v>6</v>
      </c>
      <c r="AZ73" s="6">
        <f ca="1">IF(AND(AZ$2&gt;$Z73,$Z73&gt;0,OR($AN73&gt;AZ$2,ISBLANK($AN73))),AZ$2-$Z73,"")</f>
        <v>24.382289814813703</v>
      </c>
      <c r="BA73" s="6"/>
      <c r="BB73" s="6"/>
      <c r="BC73" s="6"/>
      <c r="BD73" s="6"/>
    </row>
    <row r="74" spans="2:56" x14ac:dyDescent="0.25">
      <c r="B74" s="13">
        <f t="shared" si="14"/>
        <v>1</v>
      </c>
      <c r="C74" s="13">
        <f t="shared" si="15"/>
        <v>10</v>
      </c>
      <c r="D74" s="13">
        <f t="shared" si="16"/>
        <v>4</v>
      </c>
      <c r="E74" s="13">
        <f t="shared" si="17"/>
        <v>2018</v>
      </c>
      <c r="F74" s="13">
        <f t="shared" si="18"/>
        <v>0</v>
      </c>
      <c r="G74" s="13">
        <f t="shared" si="19"/>
        <v>1</v>
      </c>
      <c r="H74" s="13">
        <f t="shared" si="20"/>
        <v>1</v>
      </c>
      <c r="I74" s="13">
        <f t="shared" si="21"/>
        <v>1900</v>
      </c>
      <c r="J74" s="13">
        <f t="shared" si="22"/>
        <v>0</v>
      </c>
      <c r="K74" s="13">
        <f>IF(J74=1,MONTH(AK74),)</f>
        <v>0</v>
      </c>
      <c r="L74" s="13">
        <f t="shared" si="23"/>
        <v>0</v>
      </c>
      <c r="M74" s="13">
        <f t="shared" si="24"/>
        <v>1900</v>
      </c>
      <c r="N74" s="13">
        <f t="shared" si="25"/>
        <v>0</v>
      </c>
      <c r="O74" s="13">
        <f>IF(N74=1,MONTH(AN74),)</f>
        <v>0</v>
      </c>
      <c r="P74" s="13">
        <f t="shared" si="26"/>
        <v>0</v>
      </c>
      <c r="Q74" s="13">
        <f t="shared" si="27"/>
        <v>1900</v>
      </c>
      <c r="S74" s="38" t="s">
        <v>519</v>
      </c>
      <c r="T74" s="11" t="s">
        <v>91</v>
      </c>
      <c r="U74" s="11" t="s">
        <v>26</v>
      </c>
      <c r="V74" s="39" t="s">
        <v>38</v>
      </c>
      <c r="W74" s="39" t="s">
        <v>27</v>
      </c>
      <c r="Z74" s="66">
        <v>43388</v>
      </c>
      <c r="AA74" s="67">
        <v>315300</v>
      </c>
      <c r="AD74" s="10"/>
      <c r="AG74" s="67">
        <v>323900</v>
      </c>
      <c r="AH74" s="16"/>
      <c r="AI74" s="16">
        <f>AG74-AA74</f>
        <v>8600</v>
      </c>
      <c r="AJ74" s="36">
        <f>AI74/AA74</f>
        <v>2.7275610529654298E-2</v>
      </c>
      <c r="AN74" s="66"/>
      <c r="AT74" s="9"/>
      <c r="AU74" s="6" t="str">
        <f>IF(AND(AU$2&gt;$Z74,$Z74&gt;0,OR($AN74&gt;AU$2,ISBLANK($AN74))),AU$2-$Z74,"")</f>
        <v/>
      </c>
      <c r="AV74" s="6" t="str">
        <f>IF(AND(AV$2&gt;$Z74,$Z74&gt;0,OR($AN74&gt;AV$2,ISBLANK($AN74))),AV$2-$Z74,"")</f>
        <v/>
      </c>
      <c r="AW74" s="6" t="str">
        <f>IF(AND(AW$2&gt;$Z74,$Z74&gt;0,OR($AN74&gt;AW$2,ISBLANK($AN74))),AW$2-$Z74,"")</f>
        <v/>
      </c>
      <c r="AX74" s="6" t="str">
        <f>IF(AND(AX$2&gt;$Z74,$Z74&gt;0,OR($AN74&gt;AX$2,ISBLANK($AN74))),AX$2-$Z74,"")</f>
        <v/>
      </c>
      <c r="AY74" s="6" t="str">
        <f>IF(AND(AY$2&gt;$Z74,$Z74&gt;0,OR($AN74&gt;AY$2,ISBLANK($AN74))),AY$2-$Z74,"")</f>
        <v/>
      </c>
      <c r="AZ74" s="6">
        <f ca="1">IF(AND(AZ$2&gt;$Z74,$Z74&gt;0,OR($AN74&gt;AZ$2,ISBLANK($AN74))),AZ$2-$Z74,"")</f>
        <v>3.3822898148137028</v>
      </c>
      <c r="BA74" s="6"/>
      <c r="BB74" s="6"/>
      <c r="BC74" s="6"/>
      <c r="BD74" s="6"/>
    </row>
    <row r="75" spans="2:56" x14ac:dyDescent="0.25">
      <c r="B75" s="13">
        <f t="shared" si="14"/>
        <v>1</v>
      </c>
      <c r="C75" s="13">
        <f t="shared" si="15"/>
        <v>8</v>
      </c>
      <c r="D75" s="13">
        <f t="shared" si="16"/>
        <v>3</v>
      </c>
      <c r="E75" s="13">
        <f t="shared" si="17"/>
        <v>2018</v>
      </c>
      <c r="F75" s="13">
        <f t="shared" si="18"/>
        <v>1</v>
      </c>
      <c r="G75" s="13">
        <f t="shared" si="19"/>
        <v>9</v>
      </c>
      <c r="H75" s="13">
        <f t="shared" si="20"/>
        <v>3</v>
      </c>
      <c r="I75" s="13">
        <f t="shared" si="21"/>
        <v>2018</v>
      </c>
      <c r="J75" s="13">
        <f t="shared" si="22"/>
        <v>0</v>
      </c>
      <c r="K75" s="13">
        <f>IF(J75=1,MONTH(AK75),)</f>
        <v>0</v>
      </c>
      <c r="L75" s="13">
        <f t="shared" si="23"/>
        <v>0</v>
      </c>
      <c r="M75" s="13">
        <f t="shared" si="24"/>
        <v>1900</v>
      </c>
      <c r="N75" s="13">
        <f t="shared" si="25"/>
        <v>0</v>
      </c>
      <c r="O75" s="13">
        <f>IF(N75=1,MONTH(AN75),)</f>
        <v>0</v>
      </c>
      <c r="P75" s="13">
        <f t="shared" si="26"/>
        <v>0</v>
      </c>
      <c r="Q75" s="13">
        <f t="shared" si="27"/>
        <v>1900</v>
      </c>
      <c r="S75" s="38" t="s">
        <v>148</v>
      </c>
      <c r="T75" s="11" t="s">
        <v>91</v>
      </c>
      <c r="U75" s="11" t="s">
        <v>26</v>
      </c>
      <c r="V75" s="39" t="s">
        <v>38</v>
      </c>
      <c r="W75" s="39" t="s">
        <v>27</v>
      </c>
      <c r="X75" s="13" t="s">
        <v>149</v>
      </c>
      <c r="Y75" s="13" t="s">
        <v>29</v>
      </c>
      <c r="Z75" s="66">
        <v>43341</v>
      </c>
      <c r="AA75" s="67">
        <v>256000</v>
      </c>
      <c r="AD75" s="10"/>
      <c r="AF75" s="66">
        <v>43353</v>
      </c>
      <c r="AG75" s="67">
        <v>267800</v>
      </c>
      <c r="AH75" s="16">
        <f>AF75-Z75</f>
        <v>12</v>
      </c>
      <c r="AI75" s="16">
        <f>AG75-AA75</f>
        <v>11800</v>
      </c>
      <c r="AJ75" s="36">
        <f>AI75/AA75</f>
        <v>4.6093750000000003E-2</v>
      </c>
      <c r="AN75" s="66"/>
      <c r="AT75" s="9"/>
      <c r="AU75" s="6" t="str">
        <f>IF(AND(AU$2&gt;$Z75,$Z75&gt;0,OR($AN75&gt;AU$2,ISBLANK($AN75))),AU$2-$Z75,"")</f>
        <v/>
      </c>
      <c r="AV75" s="6" t="str">
        <f>IF(AND(AV$2&gt;$Z75,$Z75&gt;0,OR($AN75&gt;AV$2,ISBLANK($AN75))),AV$2-$Z75,"")</f>
        <v/>
      </c>
      <c r="AW75" s="6" t="str">
        <f>IF(AND(AW$2&gt;$Z75,$Z75&gt;0,OR($AN75&gt;AW$2,ISBLANK($AN75))),AW$2-$Z75,"")</f>
        <v/>
      </c>
      <c r="AX75" s="6">
        <f>IF(AND(AX$2&gt;$Z75,$Z75&gt;0,OR($AN75&gt;AX$2,ISBLANK($AN75))),AX$2-$Z75,"")</f>
        <v>2</v>
      </c>
      <c r="AY75" s="6">
        <f>IF(AND(AY$2&gt;$Z75,$Z75&gt;0,OR($AN75&gt;AY$2,ISBLANK($AN75))),AY$2-$Z75,"")</f>
        <v>32</v>
      </c>
      <c r="AZ75" s="6">
        <f ca="1">IF(AND(AZ$2&gt;$Z75,$Z75&gt;0,OR($AN75&gt;AZ$2,ISBLANK($AN75))),AZ$2-$Z75,"")</f>
        <v>50.382289814813703</v>
      </c>
      <c r="BA75" s="6"/>
      <c r="BB75" s="6"/>
      <c r="BC75" s="6"/>
      <c r="BD75" s="6"/>
    </row>
    <row r="76" spans="2:56" x14ac:dyDescent="0.25">
      <c r="B76" s="13">
        <f t="shared" si="14"/>
        <v>1</v>
      </c>
      <c r="C76" s="13">
        <f t="shared" si="15"/>
        <v>9</v>
      </c>
      <c r="D76" s="13">
        <f t="shared" si="16"/>
        <v>3</v>
      </c>
      <c r="E76" s="13">
        <f t="shared" si="17"/>
        <v>2018</v>
      </c>
      <c r="F76" s="13">
        <f t="shared" si="18"/>
        <v>1</v>
      </c>
      <c r="G76" s="13">
        <f t="shared" si="19"/>
        <v>10</v>
      </c>
      <c r="H76" s="13">
        <f t="shared" si="20"/>
        <v>4</v>
      </c>
      <c r="I76" s="13">
        <f t="shared" si="21"/>
        <v>2018</v>
      </c>
      <c r="J76" s="13">
        <f t="shared" si="22"/>
        <v>0</v>
      </c>
      <c r="K76" s="13">
        <f>IF(J76=1,MONTH(AK76),)</f>
        <v>0</v>
      </c>
      <c r="L76" s="13">
        <f t="shared" si="23"/>
        <v>0</v>
      </c>
      <c r="M76" s="13">
        <f t="shared" si="24"/>
        <v>1900</v>
      </c>
      <c r="N76" s="13">
        <f t="shared" si="25"/>
        <v>0</v>
      </c>
      <c r="O76" s="13">
        <f>IF(N76=1,MONTH(AN76),)</f>
        <v>0</v>
      </c>
      <c r="P76" s="13">
        <f t="shared" si="26"/>
        <v>0</v>
      </c>
      <c r="Q76" s="13">
        <f t="shared" si="27"/>
        <v>1900</v>
      </c>
      <c r="S76" s="38" t="s">
        <v>150</v>
      </c>
      <c r="T76" s="11" t="s">
        <v>151</v>
      </c>
      <c r="U76" s="11" t="s">
        <v>26</v>
      </c>
      <c r="V76" s="39" t="s">
        <v>38</v>
      </c>
      <c r="W76" s="39" t="s">
        <v>27</v>
      </c>
      <c r="X76" s="4" t="s">
        <v>152</v>
      </c>
      <c r="Y76" s="4" t="s">
        <v>29</v>
      </c>
      <c r="Z76" s="66">
        <v>43349</v>
      </c>
      <c r="AA76" s="67">
        <v>299000</v>
      </c>
      <c r="AD76" s="10"/>
      <c r="AF76" s="66">
        <v>43379</v>
      </c>
      <c r="AG76" s="67">
        <v>314900</v>
      </c>
      <c r="AH76" s="16">
        <f>AF76-Z76</f>
        <v>30</v>
      </c>
      <c r="AI76" s="16">
        <f>AG76-AA76</f>
        <v>15900</v>
      </c>
      <c r="AJ76" s="36">
        <f>AI76/AA76</f>
        <v>5.3177257525083614E-2</v>
      </c>
      <c r="AN76" s="66"/>
      <c r="AT76" s="9"/>
      <c r="AU76" s="6" t="str">
        <f>IF(AND(AU$2&gt;$Z76,$Z76&gt;0,OR($AN76&gt;AU$2,ISBLANK($AN76))),AU$2-$Z76,"")</f>
        <v/>
      </c>
      <c r="AV76" s="6" t="str">
        <f>IF(AND(AV$2&gt;$Z76,$Z76&gt;0,OR($AN76&gt;AV$2,ISBLANK($AN76))),AV$2-$Z76,"")</f>
        <v/>
      </c>
      <c r="AW76" s="6" t="str">
        <f>IF(AND(AW$2&gt;$Z76,$Z76&gt;0,OR($AN76&gt;AW$2,ISBLANK($AN76))),AW$2-$Z76,"")</f>
        <v/>
      </c>
      <c r="AX76" s="6" t="str">
        <f>IF(AND(AX$2&gt;$Z76,$Z76&gt;0,OR($AN76&gt;AX$2,ISBLANK($AN76))),AX$2-$Z76,"")</f>
        <v/>
      </c>
      <c r="AY76" s="6">
        <f>IF(AND(AY$2&gt;$Z76,$Z76&gt;0,OR($AN76&gt;AY$2,ISBLANK($AN76))),AY$2-$Z76,"")</f>
        <v>24</v>
      </c>
      <c r="AZ76" s="6">
        <f ca="1">IF(AND(AZ$2&gt;$Z76,$Z76&gt;0,OR($AN76&gt;AZ$2,ISBLANK($AN76))),AZ$2-$Z76,"")</f>
        <v>42.382289814813703</v>
      </c>
      <c r="BA76" s="6"/>
      <c r="BB76" s="6"/>
      <c r="BC76" s="6"/>
      <c r="BD76" s="6"/>
    </row>
    <row r="77" spans="2:56" x14ac:dyDescent="0.25">
      <c r="B77" s="13">
        <f t="shared" si="14"/>
        <v>1</v>
      </c>
      <c r="C77" s="13">
        <f t="shared" si="15"/>
        <v>8</v>
      </c>
      <c r="D77" s="13">
        <f t="shared" si="16"/>
        <v>3</v>
      </c>
      <c r="E77" s="13">
        <f t="shared" si="17"/>
        <v>2018</v>
      </c>
      <c r="F77" s="13">
        <f t="shared" si="18"/>
        <v>1</v>
      </c>
      <c r="G77" s="13">
        <f t="shared" si="19"/>
        <v>9</v>
      </c>
      <c r="H77" s="13">
        <f t="shared" si="20"/>
        <v>3</v>
      </c>
      <c r="I77" s="13">
        <f t="shared" si="21"/>
        <v>2018</v>
      </c>
      <c r="J77" s="13">
        <f t="shared" si="22"/>
        <v>1</v>
      </c>
      <c r="K77" s="13">
        <f>IF(J77=1,MONTH(AK77),)</f>
        <v>10</v>
      </c>
      <c r="L77" s="13">
        <f t="shared" si="23"/>
        <v>4</v>
      </c>
      <c r="M77" s="13">
        <f t="shared" si="24"/>
        <v>2018</v>
      </c>
      <c r="N77" s="13">
        <f t="shared" si="25"/>
        <v>1</v>
      </c>
      <c r="O77" s="13">
        <f>IF(N77=1,MONTH(AN77),)</f>
        <v>10</v>
      </c>
      <c r="P77" s="13">
        <f t="shared" si="26"/>
        <v>4</v>
      </c>
      <c r="Q77" s="13">
        <f t="shared" si="27"/>
        <v>2018</v>
      </c>
      <c r="S77" s="38" t="s">
        <v>153</v>
      </c>
      <c r="T77" s="11" t="s">
        <v>38</v>
      </c>
      <c r="U77" s="11" t="s">
        <v>26</v>
      </c>
      <c r="V77" s="39" t="s">
        <v>38</v>
      </c>
      <c r="W77" s="39" t="s">
        <v>27</v>
      </c>
      <c r="X77" s="4" t="s">
        <v>154</v>
      </c>
      <c r="Y77" s="4" t="s">
        <v>29</v>
      </c>
      <c r="Z77" s="66">
        <v>43321</v>
      </c>
      <c r="AA77" s="67">
        <v>387010</v>
      </c>
      <c r="AD77" s="10"/>
      <c r="AF77" s="66">
        <v>43364</v>
      </c>
      <c r="AG77" s="67">
        <v>397300</v>
      </c>
      <c r="AH77" s="16">
        <f>AF77-Z77</f>
        <v>43</v>
      </c>
      <c r="AI77" s="16">
        <f>AG77-AA77</f>
        <v>10290</v>
      </c>
      <c r="AJ77" s="36">
        <f>AI77/AA77</f>
        <v>2.6588460246505258E-2</v>
      </c>
      <c r="AK77" s="66">
        <v>43376</v>
      </c>
      <c r="AL77" s="67">
        <v>397300</v>
      </c>
      <c r="AM77" s="6">
        <f>AK77-AF77</f>
        <v>12</v>
      </c>
      <c r="AN77" s="66">
        <v>43384</v>
      </c>
      <c r="AO77" s="67">
        <v>394000</v>
      </c>
      <c r="AP77" s="6">
        <f>AN77-AK77</f>
        <v>8</v>
      </c>
      <c r="AQ77" s="6">
        <f>AH77+AM77+AP77</f>
        <v>63</v>
      </c>
      <c r="AR77" s="6">
        <f>AO77-AA77</f>
        <v>6990</v>
      </c>
      <c r="AS77" s="8">
        <f>AR77/AA77</f>
        <v>1.8061548797188704E-2</v>
      </c>
      <c r="AT77" s="9"/>
      <c r="AU77" s="6" t="str">
        <f>IF(AND(AU$2&gt;$Z77,$Z77&gt;0,OR($AN77&gt;AU$2,ISBLANK($AN77))),AU$2-$Z77,"")</f>
        <v/>
      </c>
      <c r="AV77" s="6" t="str">
        <f>IF(AND(AV$2&gt;$Z77,$Z77&gt;0,OR($AN77&gt;AV$2,ISBLANK($AN77))),AV$2-$Z77,"")</f>
        <v/>
      </c>
      <c r="AW77" s="6" t="str">
        <f>IF(AND(AW$2&gt;$Z77,$Z77&gt;0,OR($AN77&gt;AW$2,ISBLANK($AN77))),AW$2-$Z77,"")</f>
        <v/>
      </c>
      <c r="AX77" s="6">
        <f>IF(AND(AX$2&gt;$Z77,$Z77&gt;0,OR($AN77&gt;AX$2,ISBLANK($AN77))),AX$2-$Z77,"")</f>
        <v>22</v>
      </c>
      <c r="AY77" s="6">
        <f>IF(AND(AY$2&gt;$Z77,$Z77&gt;0,OR($AN77&gt;AY$2,ISBLANK($AN77))),AY$2-$Z77,"")</f>
        <v>52</v>
      </c>
      <c r="AZ77" s="6" t="str">
        <f ca="1">IF(AND(AZ$2&gt;$Z77,$Z77&gt;0,OR($AN77&gt;AZ$2,ISBLANK($AN77))),AZ$2-$Z77,"")</f>
        <v/>
      </c>
      <c r="BA77" s="6"/>
      <c r="BB77" s="6"/>
      <c r="BC77" s="6"/>
      <c r="BD77" s="6"/>
    </row>
    <row r="78" spans="2:56" x14ac:dyDescent="0.25">
      <c r="B78" s="13">
        <f t="shared" si="14"/>
        <v>1</v>
      </c>
      <c r="C78" s="13">
        <f t="shared" si="15"/>
        <v>9</v>
      </c>
      <c r="D78" s="13">
        <f t="shared" si="16"/>
        <v>3</v>
      </c>
      <c r="E78" s="13">
        <f t="shared" si="17"/>
        <v>2018</v>
      </c>
      <c r="F78" s="13">
        <f t="shared" si="18"/>
        <v>1</v>
      </c>
      <c r="G78" s="13">
        <f t="shared" si="19"/>
        <v>10</v>
      </c>
      <c r="H78" s="13">
        <f t="shared" si="20"/>
        <v>4</v>
      </c>
      <c r="I78" s="13">
        <f t="shared" si="21"/>
        <v>2018</v>
      </c>
      <c r="J78" s="13">
        <f t="shared" si="22"/>
        <v>0</v>
      </c>
      <c r="K78" s="13">
        <f>IF(J78=1,MONTH(AK78),)</f>
        <v>0</v>
      </c>
      <c r="L78" s="13">
        <f t="shared" si="23"/>
        <v>0</v>
      </c>
      <c r="M78" s="13">
        <f t="shared" si="24"/>
        <v>1900</v>
      </c>
      <c r="N78" s="13">
        <f t="shared" si="25"/>
        <v>0</v>
      </c>
      <c r="O78" s="13">
        <f>IF(N78=1,MONTH(AN78),)</f>
        <v>0</v>
      </c>
      <c r="P78" s="13">
        <f t="shared" si="26"/>
        <v>0</v>
      </c>
      <c r="Q78" s="13">
        <f t="shared" si="27"/>
        <v>1900</v>
      </c>
      <c r="S78" s="38" t="s">
        <v>155</v>
      </c>
      <c r="T78" s="11" t="s">
        <v>38</v>
      </c>
      <c r="U78" s="11" t="s">
        <v>26</v>
      </c>
      <c r="V78" s="39" t="s">
        <v>38</v>
      </c>
      <c r="W78" s="39" t="s">
        <v>27</v>
      </c>
      <c r="X78" s="4" t="s">
        <v>156</v>
      </c>
      <c r="Y78" s="4" t="s">
        <v>29</v>
      </c>
      <c r="Z78" s="66">
        <v>43367</v>
      </c>
      <c r="AA78" s="67">
        <v>207300</v>
      </c>
      <c r="AD78" s="10"/>
      <c r="AF78" s="66">
        <v>43385</v>
      </c>
      <c r="AG78" s="67">
        <v>216300</v>
      </c>
      <c r="AH78" s="16">
        <f>AF78-Z78</f>
        <v>18</v>
      </c>
      <c r="AI78" s="16">
        <f>AG78-AA78</f>
        <v>9000</v>
      </c>
      <c r="AJ78" s="36">
        <f>AI78/AA78</f>
        <v>4.3415340086830678E-2</v>
      </c>
      <c r="AN78" s="66"/>
      <c r="AT78" s="9"/>
      <c r="AU78" s="6" t="str">
        <f>IF(AND(AU$2&gt;$Z78,$Z78&gt;0,OR($AN78&gt;AU$2,ISBLANK($AN78))),AU$2-$Z78,"")</f>
        <v/>
      </c>
      <c r="AV78" s="6" t="str">
        <f>IF(AND(AV$2&gt;$Z78,$Z78&gt;0,OR($AN78&gt;AV$2,ISBLANK($AN78))),AV$2-$Z78,"")</f>
        <v/>
      </c>
      <c r="AW78" s="6" t="str">
        <f>IF(AND(AW$2&gt;$Z78,$Z78&gt;0,OR($AN78&gt;AW$2,ISBLANK($AN78))),AW$2-$Z78,"")</f>
        <v/>
      </c>
      <c r="AX78" s="6" t="str">
        <f>IF(AND(AX$2&gt;$Z78,$Z78&gt;0,OR($AN78&gt;AX$2,ISBLANK($AN78))),AX$2-$Z78,"")</f>
        <v/>
      </c>
      <c r="AY78" s="6">
        <f>IF(AND(AY$2&gt;$Z78,$Z78&gt;0,OR($AN78&gt;AY$2,ISBLANK($AN78))),AY$2-$Z78,"")</f>
        <v>6</v>
      </c>
      <c r="AZ78" s="6">
        <f ca="1">IF(AND(AZ$2&gt;$Z78,$Z78&gt;0,OR($AN78&gt;AZ$2,ISBLANK($AN78))),AZ$2-$Z78,"")</f>
        <v>24.382289814813703</v>
      </c>
      <c r="BA78" s="6"/>
      <c r="BB78" s="6"/>
      <c r="BC78" s="6"/>
      <c r="BD78" s="6"/>
    </row>
    <row r="79" spans="2:56" x14ac:dyDescent="0.25">
      <c r="B79" s="13">
        <f t="shared" si="14"/>
        <v>1</v>
      </c>
      <c r="C79" s="13">
        <f t="shared" si="15"/>
        <v>7</v>
      </c>
      <c r="D79" s="13">
        <f t="shared" si="16"/>
        <v>3</v>
      </c>
      <c r="E79" s="13">
        <f t="shared" si="17"/>
        <v>2018</v>
      </c>
      <c r="F79" s="13">
        <f t="shared" si="18"/>
        <v>1</v>
      </c>
      <c r="G79" s="13">
        <f t="shared" si="19"/>
        <v>7</v>
      </c>
      <c r="H79" s="13">
        <f t="shared" si="20"/>
        <v>3</v>
      </c>
      <c r="I79" s="13">
        <f t="shared" si="21"/>
        <v>2018</v>
      </c>
      <c r="J79" s="13">
        <f t="shared" si="22"/>
        <v>1</v>
      </c>
      <c r="K79" s="13">
        <f>IF(J79=1,MONTH(AK79),)</f>
        <v>10</v>
      </c>
      <c r="L79" s="13">
        <f t="shared" si="23"/>
        <v>4</v>
      </c>
      <c r="M79" s="13">
        <f t="shared" si="24"/>
        <v>2018</v>
      </c>
      <c r="N79" s="13">
        <f t="shared" si="25"/>
        <v>0</v>
      </c>
      <c r="O79" s="13">
        <f>IF(N79=1,MONTH(AN79),)</f>
        <v>0</v>
      </c>
      <c r="P79" s="13">
        <f t="shared" si="26"/>
        <v>0</v>
      </c>
      <c r="Q79" s="13">
        <f t="shared" si="27"/>
        <v>1900</v>
      </c>
      <c r="S79" s="38" t="s">
        <v>157</v>
      </c>
      <c r="T79" s="11" t="s">
        <v>62</v>
      </c>
      <c r="U79" s="11" t="s">
        <v>26</v>
      </c>
      <c r="V79" s="39" t="s">
        <v>38</v>
      </c>
      <c r="W79" s="39" t="s">
        <v>27</v>
      </c>
      <c r="X79" s="4" t="s">
        <v>158</v>
      </c>
      <c r="Y79" s="4" t="s">
        <v>29</v>
      </c>
      <c r="Z79" s="66">
        <v>43287</v>
      </c>
      <c r="AA79" s="67">
        <v>399000</v>
      </c>
      <c r="AD79" s="10"/>
      <c r="AF79" s="66">
        <v>43306</v>
      </c>
      <c r="AG79" s="67">
        <v>404900</v>
      </c>
      <c r="AH79" s="16">
        <f>AF79-Z79</f>
        <v>19</v>
      </c>
      <c r="AI79" s="16">
        <f>AG79-AA79</f>
        <v>5900</v>
      </c>
      <c r="AJ79" s="36">
        <f>AI79/AA79</f>
        <v>1.4786967418546366E-2</v>
      </c>
      <c r="AK79" s="66">
        <v>43376</v>
      </c>
      <c r="AL79" s="67">
        <v>399900</v>
      </c>
      <c r="AM79" s="6">
        <f>AK79-AF79</f>
        <v>70</v>
      </c>
      <c r="AN79" s="66"/>
      <c r="AT79" s="9"/>
      <c r="AU79" s="6" t="str">
        <f>IF(AND(AU$2&gt;$Z79,$Z79&gt;0,OR($AN79&gt;AU$2,ISBLANK($AN79))),AU$2-$Z79,"")</f>
        <v/>
      </c>
      <c r="AV79" s="6" t="str">
        <f>IF(AND(AV$2&gt;$Z79,$Z79&gt;0,OR($AN79&gt;AV$2,ISBLANK($AN79))),AV$2-$Z79,"")</f>
        <v/>
      </c>
      <c r="AW79" s="6">
        <f>IF(AND(AW$2&gt;$Z79,$Z79&gt;0,OR($AN79&gt;AW$2,ISBLANK($AN79))),AW$2-$Z79,"")</f>
        <v>25</v>
      </c>
      <c r="AX79" s="6">
        <f>IF(AND(AX$2&gt;$Z79,$Z79&gt;0,OR($AN79&gt;AX$2,ISBLANK($AN79))),AX$2-$Z79,"")</f>
        <v>56</v>
      </c>
      <c r="AY79" s="6">
        <f>IF(AND(AY$2&gt;$Z79,$Z79&gt;0,OR($AN79&gt;AY$2,ISBLANK($AN79))),AY$2-$Z79,"")</f>
        <v>86</v>
      </c>
      <c r="AZ79" s="6">
        <f ca="1">IF(AND(AZ$2&gt;$Z79,$Z79&gt;0,OR($AN79&gt;AZ$2,ISBLANK($AN79))),AZ$2-$Z79,"")</f>
        <v>104.3822898148137</v>
      </c>
      <c r="BA79" s="6"/>
      <c r="BB79" s="6"/>
      <c r="BC79" s="6"/>
      <c r="BD79" s="6"/>
    </row>
    <row r="80" spans="2:56" x14ac:dyDescent="0.25">
      <c r="B80" s="13">
        <f t="shared" si="14"/>
        <v>1</v>
      </c>
      <c r="C80" s="13">
        <f t="shared" si="15"/>
        <v>6</v>
      </c>
      <c r="D80" s="13">
        <f t="shared" si="16"/>
        <v>2</v>
      </c>
      <c r="E80" s="13">
        <f t="shared" si="17"/>
        <v>2018</v>
      </c>
      <c r="F80" s="13">
        <f t="shared" si="18"/>
        <v>1</v>
      </c>
      <c r="G80" s="13">
        <f t="shared" si="19"/>
        <v>7</v>
      </c>
      <c r="H80" s="13">
        <f t="shared" si="20"/>
        <v>3</v>
      </c>
      <c r="I80" s="13">
        <f t="shared" si="21"/>
        <v>2018</v>
      </c>
      <c r="J80" s="13">
        <f t="shared" si="22"/>
        <v>1</v>
      </c>
      <c r="K80" s="13">
        <f>IF(J80=1,MONTH(AK80),)</f>
        <v>7</v>
      </c>
      <c r="L80" s="13">
        <f t="shared" si="23"/>
        <v>3</v>
      </c>
      <c r="M80" s="13">
        <f t="shared" si="24"/>
        <v>2018</v>
      </c>
      <c r="N80" s="13">
        <f t="shared" si="25"/>
        <v>1</v>
      </c>
      <c r="O80" s="13">
        <f>IF(N80=1,MONTH(AN80),)</f>
        <v>8</v>
      </c>
      <c r="P80" s="13">
        <f t="shared" si="26"/>
        <v>3</v>
      </c>
      <c r="Q80" s="13">
        <f t="shared" si="27"/>
        <v>2018</v>
      </c>
      <c r="S80" s="38" t="s">
        <v>416</v>
      </c>
      <c r="T80" s="11" t="s">
        <v>65</v>
      </c>
      <c r="U80" s="11" t="s">
        <v>26</v>
      </c>
      <c r="V80" s="39" t="s">
        <v>38</v>
      </c>
      <c r="W80" s="39" t="s">
        <v>27</v>
      </c>
      <c r="X80" s="4" t="s">
        <v>425</v>
      </c>
      <c r="Y80" s="4" t="s">
        <v>322</v>
      </c>
      <c r="Z80" s="66">
        <v>43270</v>
      </c>
      <c r="AA80" s="67">
        <v>226000</v>
      </c>
      <c r="AD80" s="10"/>
      <c r="AF80" s="66">
        <v>43286</v>
      </c>
      <c r="AG80" s="67">
        <v>239900</v>
      </c>
      <c r="AH80" s="16">
        <f>AF80-Z80</f>
        <v>16</v>
      </c>
      <c r="AI80" s="16">
        <f>AG80-AA80</f>
        <v>13900</v>
      </c>
      <c r="AJ80" s="36">
        <f>AI80/AA80</f>
        <v>6.1504424778761065E-2</v>
      </c>
      <c r="AK80" s="66">
        <v>43293</v>
      </c>
      <c r="AL80" s="67">
        <v>239900</v>
      </c>
      <c r="AM80" s="6">
        <f>AK80-AF80</f>
        <v>7</v>
      </c>
      <c r="AN80" s="66">
        <v>43333</v>
      </c>
      <c r="AO80" s="67">
        <v>242000</v>
      </c>
      <c r="AP80" s="6">
        <f>AN80-AK80</f>
        <v>40</v>
      </c>
      <c r="AQ80" s="6">
        <f>AH80+AM80+AP80</f>
        <v>63</v>
      </c>
      <c r="AR80" s="6">
        <f>AO80-AA80</f>
        <v>16000</v>
      </c>
      <c r="AS80" s="8">
        <f>AR80/AA80</f>
        <v>7.0796460176991149E-2</v>
      </c>
      <c r="AT80" s="9"/>
      <c r="AU80" s="6" t="str">
        <f>IF(AND(AU$2&gt;$Z80,$Z80&gt;0,OR($AN80&gt;AU$2,ISBLANK($AN80))),AU$2-$Z80,"")</f>
        <v/>
      </c>
      <c r="AV80" s="6">
        <f>IF(AND(AV$2&gt;$Z80,$Z80&gt;0,OR($AN80&gt;AV$2,ISBLANK($AN80))),AV$2-$Z80,"")</f>
        <v>11</v>
      </c>
      <c r="AW80" s="6">
        <f>IF(AND(AW$2&gt;$Z80,$Z80&gt;0,OR($AN80&gt;AW$2,ISBLANK($AN80))),AW$2-$Z80,"")</f>
        <v>42</v>
      </c>
      <c r="AX80" s="6" t="str">
        <f>IF(AND(AX$2&gt;$Z80,$Z80&gt;0,OR($AN80&gt;AX$2,ISBLANK($AN80))),AX$2-$Z80,"")</f>
        <v/>
      </c>
      <c r="AY80" s="6" t="str">
        <f>IF(AND(AY$2&gt;$Z80,$Z80&gt;0,OR($AN80&gt;AY$2,ISBLANK($AN80))),AY$2-$Z80,"")</f>
        <v/>
      </c>
      <c r="AZ80" s="6" t="str">
        <f ca="1">IF(AND(AZ$2&gt;$Z80,$Z80&gt;0,OR($AN80&gt;AZ$2,ISBLANK($AN80))),AZ$2-$Z80,"")</f>
        <v/>
      </c>
      <c r="BA80" s="6"/>
      <c r="BB80" s="6"/>
      <c r="BC80" s="6"/>
      <c r="BD80" s="6"/>
    </row>
    <row r="81" spans="2:56" x14ac:dyDescent="0.25">
      <c r="B81" s="13">
        <f t="shared" si="14"/>
        <v>1</v>
      </c>
      <c r="C81" s="13">
        <f t="shared" si="15"/>
        <v>6</v>
      </c>
      <c r="D81" s="13">
        <f t="shared" si="16"/>
        <v>2</v>
      </c>
      <c r="E81" s="13">
        <f t="shared" si="17"/>
        <v>2018</v>
      </c>
      <c r="F81" s="13">
        <f t="shared" si="18"/>
        <v>1</v>
      </c>
      <c r="G81" s="13">
        <f t="shared" si="19"/>
        <v>7</v>
      </c>
      <c r="H81" s="13">
        <f t="shared" si="20"/>
        <v>3</v>
      </c>
      <c r="I81" s="13">
        <f t="shared" si="21"/>
        <v>2018</v>
      </c>
      <c r="J81" s="13">
        <f t="shared" si="22"/>
        <v>1</v>
      </c>
      <c r="K81" s="13">
        <f>IF(J81=1,MONTH(AK81),)</f>
        <v>8</v>
      </c>
      <c r="L81" s="13">
        <f t="shared" si="23"/>
        <v>3</v>
      </c>
      <c r="M81" s="13">
        <f t="shared" si="24"/>
        <v>2018</v>
      </c>
      <c r="N81" s="13">
        <f t="shared" si="25"/>
        <v>1</v>
      </c>
      <c r="O81" s="13">
        <f>IF(N81=1,MONTH(AN81),)</f>
        <v>9</v>
      </c>
      <c r="P81" s="13">
        <f t="shared" si="26"/>
        <v>3</v>
      </c>
      <c r="Q81" s="13">
        <f t="shared" si="27"/>
        <v>2018</v>
      </c>
      <c r="S81" s="38" t="s">
        <v>433</v>
      </c>
      <c r="T81" s="11" t="s">
        <v>40</v>
      </c>
      <c r="U81" s="11" t="s">
        <v>26</v>
      </c>
      <c r="V81" s="39" t="s">
        <v>38</v>
      </c>
      <c r="W81" s="39" t="s">
        <v>27</v>
      </c>
      <c r="X81" s="4" t="s">
        <v>434</v>
      </c>
      <c r="Y81" s="4" t="s">
        <v>322</v>
      </c>
      <c r="Z81" s="66">
        <v>43266</v>
      </c>
      <c r="AA81" s="67">
        <v>352000</v>
      </c>
      <c r="AD81" s="10"/>
      <c r="AF81" s="66">
        <v>43292</v>
      </c>
      <c r="AG81" s="67">
        <v>359900</v>
      </c>
      <c r="AH81" s="16">
        <f>AF81-Z81</f>
        <v>26</v>
      </c>
      <c r="AI81" s="16">
        <f>AG81-AA81</f>
        <v>7900</v>
      </c>
      <c r="AJ81" s="36">
        <f>AI81/AA81</f>
        <v>2.2443181818181817E-2</v>
      </c>
      <c r="AK81" s="66">
        <v>43339</v>
      </c>
      <c r="AL81" s="67">
        <v>354900</v>
      </c>
      <c r="AM81" s="6">
        <f>AK81-AF81</f>
        <v>47</v>
      </c>
      <c r="AN81" s="66">
        <v>43364</v>
      </c>
      <c r="AO81" s="67">
        <v>354000</v>
      </c>
      <c r="AP81" s="6">
        <f>AN81-AK81</f>
        <v>25</v>
      </c>
      <c r="AQ81" s="6">
        <f>AH81+AM81+AP81</f>
        <v>98</v>
      </c>
      <c r="AR81" s="6">
        <f>AO81-AA81</f>
        <v>2000</v>
      </c>
      <c r="AS81" s="8">
        <f>AR81/AA81</f>
        <v>5.681818181818182E-3</v>
      </c>
      <c r="AT81" s="9"/>
      <c r="AU81" s="6" t="str">
        <f>IF(AND(AU$2&gt;$Z81,$Z81&gt;0,OR($AN81&gt;AU$2,ISBLANK($AN81))),AU$2-$Z81,"")</f>
        <v/>
      </c>
      <c r="AV81" s="6">
        <f>IF(AND(AV$2&gt;$Z81,$Z81&gt;0,OR($AN81&gt;AV$2,ISBLANK($AN81))),AV$2-$Z81,"")</f>
        <v>15</v>
      </c>
      <c r="AW81" s="6">
        <f>IF(AND(AW$2&gt;$Z81,$Z81&gt;0,OR($AN81&gt;AW$2,ISBLANK($AN81))),AW$2-$Z81,"")</f>
        <v>46</v>
      </c>
      <c r="AX81" s="6">
        <f>IF(AND(AX$2&gt;$Z81,$Z81&gt;0,OR($AN81&gt;AX$2,ISBLANK($AN81))),AX$2-$Z81,"")</f>
        <v>77</v>
      </c>
      <c r="AY81" s="6" t="str">
        <f>IF(AND(AY$2&gt;$Z81,$Z81&gt;0,OR($AN81&gt;AY$2,ISBLANK($AN81))),AY$2-$Z81,"")</f>
        <v/>
      </c>
      <c r="AZ81" s="6" t="str">
        <f ca="1">IF(AND(AZ$2&gt;$Z81,$Z81&gt;0,OR($AN81&gt;AZ$2,ISBLANK($AN81))),AZ$2-$Z81,"")</f>
        <v/>
      </c>
      <c r="BA81" s="6"/>
      <c r="BB81" s="6"/>
      <c r="BC81" s="6"/>
      <c r="BD81" s="6"/>
    </row>
    <row r="82" spans="2:56" x14ac:dyDescent="0.25">
      <c r="B82" s="13">
        <f t="shared" si="14"/>
        <v>1</v>
      </c>
      <c r="C82" s="13">
        <f t="shared" si="15"/>
        <v>7</v>
      </c>
      <c r="D82" s="13">
        <f t="shared" si="16"/>
        <v>3</v>
      </c>
      <c r="E82" s="13">
        <f t="shared" si="17"/>
        <v>2018</v>
      </c>
      <c r="F82" s="13">
        <f t="shared" si="18"/>
        <v>1</v>
      </c>
      <c r="G82" s="13">
        <f t="shared" si="19"/>
        <v>7</v>
      </c>
      <c r="H82" s="13">
        <f t="shared" si="20"/>
        <v>3</v>
      </c>
      <c r="I82" s="13">
        <f t="shared" si="21"/>
        <v>2018</v>
      </c>
      <c r="J82" s="13">
        <f t="shared" si="22"/>
        <v>0</v>
      </c>
      <c r="K82" s="13">
        <f>IF(J82=1,MONTH(AK82),)</f>
        <v>0</v>
      </c>
      <c r="L82" s="13">
        <f t="shared" si="23"/>
        <v>0</v>
      </c>
      <c r="M82" s="13">
        <f t="shared" si="24"/>
        <v>1900</v>
      </c>
      <c r="N82" s="13">
        <f t="shared" si="25"/>
        <v>0</v>
      </c>
      <c r="O82" s="13">
        <f>IF(N82=1,MONTH(AN82),)</f>
        <v>0</v>
      </c>
      <c r="P82" s="13">
        <f t="shared" si="26"/>
        <v>0</v>
      </c>
      <c r="Q82" s="13">
        <f t="shared" si="27"/>
        <v>1900</v>
      </c>
      <c r="S82" s="38" t="s">
        <v>159</v>
      </c>
      <c r="T82" s="11" t="s">
        <v>160</v>
      </c>
      <c r="U82" s="11" t="s">
        <v>26</v>
      </c>
      <c r="V82" s="39" t="s">
        <v>38</v>
      </c>
      <c r="W82" s="39" t="s">
        <v>27</v>
      </c>
      <c r="X82" s="13" t="s">
        <v>161</v>
      </c>
      <c r="Y82" s="4" t="s">
        <v>29</v>
      </c>
      <c r="Z82" s="66">
        <v>43294</v>
      </c>
      <c r="AA82" s="67">
        <v>408000</v>
      </c>
      <c r="AD82" s="10"/>
      <c r="AF82" s="66">
        <v>43311</v>
      </c>
      <c r="AG82" s="67">
        <v>415000</v>
      </c>
      <c r="AH82" s="16">
        <f>AF82-Z82</f>
        <v>17</v>
      </c>
      <c r="AI82" s="16">
        <f>AG82-AA82</f>
        <v>7000</v>
      </c>
      <c r="AJ82" s="36">
        <f>AI82/AA82</f>
        <v>1.7156862745098041E-2</v>
      </c>
      <c r="AN82" s="66"/>
      <c r="AT82" s="9"/>
      <c r="AU82" s="6" t="str">
        <f>IF(AND(AU$2&gt;$Z82,$Z82&gt;0,OR($AN82&gt;AU$2,ISBLANK($AN82))),AU$2-$Z82,"")</f>
        <v/>
      </c>
      <c r="AV82" s="6" t="str">
        <f>IF(AND(AV$2&gt;$Z82,$Z82&gt;0,OR($AN82&gt;AV$2,ISBLANK($AN82))),AV$2-$Z82,"")</f>
        <v/>
      </c>
      <c r="AW82" s="6">
        <f>IF(AND(AW$2&gt;$Z82,$Z82&gt;0,OR($AN82&gt;AW$2,ISBLANK($AN82))),AW$2-$Z82,"")</f>
        <v>18</v>
      </c>
      <c r="AX82" s="6">
        <f>IF(AND(AX$2&gt;$Z82,$Z82&gt;0,OR($AN82&gt;AX$2,ISBLANK($AN82))),AX$2-$Z82,"")</f>
        <v>49</v>
      </c>
      <c r="AY82" s="6">
        <f>IF(AND(AY$2&gt;$Z82,$Z82&gt;0,OR($AN82&gt;AY$2,ISBLANK($AN82))),AY$2-$Z82,"")</f>
        <v>79</v>
      </c>
      <c r="AZ82" s="6">
        <f ca="1">IF(AND(AZ$2&gt;$Z82,$Z82&gt;0,OR($AN82&gt;AZ$2,ISBLANK($AN82))),AZ$2-$Z82,"")</f>
        <v>97.382289814813703</v>
      </c>
      <c r="BA82" s="6"/>
      <c r="BB82" s="6"/>
      <c r="BC82" s="6"/>
      <c r="BD82" s="6"/>
    </row>
    <row r="83" spans="2:56" x14ac:dyDescent="0.25">
      <c r="B83" s="13">
        <f t="shared" si="14"/>
        <v>1</v>
      </c>
      <c r="C83" s="13">
        <f t="shared" si="15"/>
        <v>9</v>
      </c>
      <c r="D83" s="13">
        <f t="shared" si="16"/>
        <v>3</v>
      </c>
      <c r="E83" s="13">
        <f t="shared" si="17"/>
        <v>2018</v>
      </c>
      <c r="F83" s="13">
        <f t="shared" si="18"/>
        <v>1</v>
      </c>
      <c r="G83" s="13">
        <f t="shared" si="19"/>
        <v>10</v>
      </c>
      <c r="H83" s="13">
        <f t="shared" si="20"/>
        <v>4</v>
      </c>
      <c r="I83" s="13">
        <f t="shared" si="21"/>
        <v>2018</v>
      </c>
      <c r="J83" s="13">
        <f t="shared" si="22"/>
        <v>0</v>
      </c>
      <c r="K83" s="13">
        <f>IF(J83=1,MONTH(AK83),)</f>
        <v>0</v>
      </c>
      <c r="L83" s="13">
        <f t="shared" si="23"/>
        <v>0</v>
      </c>
      <c r="M83" s="13">
        <f t="shared" si="24"/>
        <v>1900</v>
      </c>
      <c r="N83" s="13">
        <f t="shared" si="25"/>
        <v>0</v>
      </c>
      <c r="O83" s="13">
        <f>IF(N83=1,MONTH(AN83),)</f>
        <v>0</v>
      </c>
      <c r="P83" s="13">
        <f t="shared" si="26"/>
        <v>0</v>
      </c>
      <c r="Q83" s="13">
        <f t="shared" si="27"/>
        <v>1900</v>
      </c>
      <c r="S83" s="38" t="s">
        <v>162</v>
      </c>
      <c r="T83" s="11" t="s">
        <v>68</v>
      </c>
      <c r="U83" s="11" t="s">
        <v>26</v>
      </c>
      <c r="V83" s="39" t="s">
        <v>38</v>
      </c>
      <c r="W83" s="39" t="s">
        <v>27</v>
      </c>
      <c r="X83" s="4" t="s">
        <v>163</v>
      </c>
      <c r="Y83" s="4" t="s">
        <v>29</v>
      </c>
      <c r="Z83" s="66">
        <v>43362</v>
      </c>
      <c r="AA83" s="67">
        <v>327000</v>
      </c>
      <c r="AD83" s="10"/>
      <c r="AF83" s="66">
        <v>43385</v>
      </c>
      <c r="AG83" s="67">
        <v>335900</v>
      </c>
      <c r="AH83" s="16">
        <f>AF83-Z83</f>
        <v>23</v>
      </c>
      <c r="AI83" s="16">
        <f>AG83-AA83</f>
        <v>8900</v>
      </c>
      <c r="AJ83" s="36">
        <f>AI83/AA83</f>
        <v>2.7217125382262997E-2</v>
      </c>
      <c r="AN83" s="66"/>
      <c r="AT83" s="9"/>
      <c r="AU83" s="6" t="str">
        <f>IF(AND(AU$2&gt;$Z83,$Z83&gt;0,OR($AN83&gt;AU$2,ISBLANK($AN83))),AU$2-$Z83,"")</f>
        <v/>
      </c>
      <c r="AV83" s="6" t="str">
        <f>IF(AND(AV$2&gt;$Z83,$Z83&gt;0,OR($AN83&gt;AV$2,ISBLANK($AN83))),AV$2-$Z83,"")</f>
        <v/>
      </c>
      <c r="AW83" s="6" t="str">
        <f>IF(AND(AW$2&gt;$Z83,$Z83&gt;0,OR($AN83&gt;AW$2,ISBLANK($AN83))),AW$2-$Z83,"")</f>
        <v/>
      </c>
      <c r="AX83" s="6" t="str">
        <f>IF(AND(AX$2&gt;$Z83,$Z83&gt;0,OR($AN83&gt;AX$2,ISBLANK($AN83))),AX$2-$Z83,"")</f>
        <v/>
      </c>
      <c r="AY83" s="6">
        <f>IF(AND(AY$2&gt;$Z83,$Z83&gt;0,OR($AN83&gt;AY$2,ISBLANK($AN83))),AY$2-$Z83,"")</f>
        <v>11</v>
      </c>
      <c r="AZ83" s="6">
        <f ca="1">IF(AND(AZ$2&gt;$Z83,$Z83&gt;0,OR($AN83&gt;AZ$2,ISBLANK($AN83))),AZ$2-$Z83,"")</f>
        <v>29.382289814813703</v>
      </c>
      <c r="BA83" s="6"/>
      <c r="BB83" s="6"/>
      <c r="BC83" s="6"/>
      <c r="BD83" s="6"/>
    </row>
    <row r="84" spans="2:56" x14ac:dyDescent="0.25">
      <c r="B84" s="13">
        <f t="shared" si="14"/>
        <v>1</v>
      </c>
      <c r="C84" s="13">
        <f t="shared" si="15"/>
        <v>8</v>
      </c>
      <c r="D84" s="13">
        <f t="shared" si="16"/>
        <v>3</v>
      </c>
      <c r="E84" s="13">
        <f t="shared" si="17"/>
        <v>2018</v>
      </c>
      <c r="F84" s="13">
        <f t="shared" si="18"/>
        <v>1</v>
      </c>
      <c r="G84" s="13">
        <f t="shared" si="19"/>
        <v>9</v>
      </c>
      <c r="H84" s="13">
        <f t="shared" si="20"/>
        <v>3</v>
      </c>
      <c r="I84" s="13">
        <f t="shared" si="21"/>
        <v>2018</v>
      </c>
      <c r="J84" s="13">
        <f t="shared" si="22"/>
        <v>0</v>
      </c>
      <c r="K84" s="13">
        <f>IF(J84=1,MONTH(AK84),)</f>
        <v>0</v>
      </c>
      <c r="L84" s="13">
        <f t="shared" si="23"/>
        <v>0</v>
      </c>
      <c r="M84" s="13">
        <f t="shared" si="24"/>
        <v>1900</v>
      </c>
      <c r="N84" s="13">
        <f t="shared" si="25"/>
        <v>0</v>
      </c>
      <c r="O84" s="13">
        <f>IF(N84=1,MONTH(AN84),)</f>
        <v>0</v>
      </c>
      <c r="P84" s="13">
        <f t="shared" si="26"/>
        <v>0</v>
      </c>
      <c r="Q84" s="13">
        <f t="shared" si="27"/>
        <v>1900</v>
      </c>
      <c r="S84" s="38" t="s">
        <v>164</v>
      </c>
      <c r="T84" s="11" t="s">
        <v>38</v>
      </c>
      <c r="U84" s="11" t="s">
        <v>26</v>
      </c>
      <c r="V84" s="39" t="s">
        <v>38</v>
      </c>
      <c r="W84" s="39" t="s">
        <v>27</v>
      </c>
      <c r="X84" s="4" t="s">
        <v>165</v>
      </c>
      <c r="Y84" s="4" t="s">
        <v>29</v>
      </c>
      <c r="Z84" s="66">
        <v>43343</v>
      </c>
      <c r="AA84" s="67">
        <v>344000</v>
      </c>
      <c r="AD84" s="10"/>
      <c r="AF84" s="66">
        <v>43356</v>
      </c>
      <c r="AG84" s="67">
        <v>360500</v>
      </c>
      <c r="AH84" s="16">
        <f>AF84-Z84</f>
        <v>13</v>
      </c>
      <c r="AI84" s="16">
        <f>AG84-AA84</f>
        <v>16500</v>
      </c>
      <c r="AJ84" s="36">
        <f>AI84/AA84</f>
        <v>4.7965116279069769E-2</v>
      </c>
      <c r="AN84" s="66"/>
      <c r="AT84" s="9"/>
      <c r="AU84" s="6" t="str">
        <f>IF(AND(AU$2&gt;$Z84,$Z84&gt;0,OR($AN84&gt;AU$2,ISBLANK($AN84))),AU$2-$Z84,"")</f>
        <v/>
      </c>
      <c r="AV84" s="6" t="str">
        <f>IF(AND(AV$2&gt;$Z84,$Z84&gt;0,OR($AN84&gt;AV$2,ISBLANK($AN84))),AV$2-$Z84,"")</f>
        <v/>
      </c>
      <c r="AW84" s="6" t="str">
        <f>IF(AND(AW$2&gt;$Z84,$Z84&gt;0,OR($AN84&gt;AW$2,ISBLANK($AN84))),AW$2-$Z84,"")</f>
        <v/>
      </c>
      <c r="AX84" s="6" t="str">
        <f>IF(AND(AX$2&gt;$Z84,$Z84&gt;0,OR($AN84&gt;AX$2,ISBLANK($AN84))),AX$2-$Z84,"")</f>
        <v/>
      </c>
      <c r="AY84" s="6">
        <f>IF(AND(AY$2&gt;$Z84,$Z84&gt;0,OR($AN84&gt;AY$2,ISBLANK($AN84))),AY$2-$Z84,"")</f>
        <v>30</v>
      </c>
      <c r="AZ84" s="6">
        <f ca="1">IF(AND(AZ$2&gt;$Z84,$Z84&gt;0,OR($AN84&gt;AZ$2,ISBLANK($AN84))),AZ$2-$Z84,"")</f>
        <v>48.382289814813703</v>
      </c>
      <c r="BA84" s="6"/>
      <c r="BB84" s="6"/>
      <c r="BC84" s="6"/>
      <c r="BD84" s="6"/>
    </row>
    <row r="85" spans="2:56" x14ac:dyDescent="0.25">
      <c r="B85" s="13">
        <f t="shared" si="14"/>
        <v>1</v>
      </c>
      <c r="C85" s="13">
        <f t="shared" si="15"/>
        <v>7</v>
      </c>
      <c r="D85" s="13">
        <f t="shared" si="16"/>
        <v>3</v>
      </c>
      <c r="E85" s="13">
        <f t="shared" si="17"/>
        <v>2018</v>
      </c>
      <c r="F85" s="13">
        <f t="shared" si="18"/>
        <v>1</v>
      </c>
      <c r="G85" s="13">
        <f t="shared" si="19"/>
        <v>8</v>
      </c>
      <c r="H85" s="13">
        <f t="shared" si="20"/>
        <v>3</v>
      </c>
      <c r="I85" s="13">
        <f t="shared" si="21"/>
        <v>2018</v>
      </c>
      <c r="J85" s="13">
        <f t="shared" si="22"/>
        <v>1</v>
      </c>
      <c r="K85" s="13">
        <f>IF(J85=1,MONTH(AK85),)</f>
        <v>8</v>
      </c>
      <c r="L85" s="13">
        <f t="shared" si="23"/>
        <v>3</v>
      </c>
      <c r="M85" s="13">
        <f t="shared" si="24"/>
        <v>2018</v>
      </c>
      <c r="N85" s="13">
        <f t="shared" si="25"/>
        <v>1</v>
      </c>
      <c r="O85" s="13">
        <f>IF(N85=1,MONTH(AN85),)</f>
        <v>9</v>
      </c>
      <c r="P85" s="13">
        <f t="shared" si="26"/>
        <v>3</v>
      </c>
      <c r="Q85" s="13">
        <f t="shared" si="27"/>
        <v>2018</v>
      </c>
      <c r="S85" s="38" t="s">
        <v>481</v>
      </c>
      <c r="T85" s="11" t="s">
        <v>38</v>
      </c>
      <c r="U85" s="11" t="s">
        <v>26</v>
      </c>
      <c r="V85" s="39" t="s">
        <v>38</v>
      </c>
      <c r="W85" s="39" t="s">
        <v>27</v>
      </c>
      <c r="Y85" s="4" t="s">
        <v>29</v>
      </c>
      <c r="Z85" s="66">
        <v>43312</v>
      </c>
      <c r="AA85" s="67">
        <v>301000</v>
      </c>
      <c r="AD85" s="10"/>
      <c r="AF85" s="66">
        <v>43320</v>
      </c>
      <c r="AG85" s="67">
        <v>311300</v>
      </c>
      <c r="AH85" s="16">
        <f>AF85-Z85</f>
        <v>8</v>
      </c>
      <c r="AI85" s="16">
        <f>AG85-AA85</f>
        <v>10300</v>
      </c>
      <c r="AJ85" s="36">
        <f>AI85/AA85</f>
        <v>3.421926910299003E-2</v>
      </c>
      <c r="AK85" s="66">
        <v>43335</v>
      </c>
      <c r="AL85" s="67">
        <v>311300</v>
      </c>
      <c r="AM85" s="6">
        <f>AK85-AF85</f>
        <v>15</v>
      </c>
      <c r="AN85" s="66">
        <v>43368</v>
      </c>
      <c r="AO85" s="67">
        <v>308000</v>
      </c>
      <c r="AP85" s="6">
        <f>AN85-AK85</f>
        <v>33</v>
      </c>
      <c r="AQ85" s="6">
        <f>AH85+AM85+AP85</f>
        <v>56</v>
      </c>
      <c r="AR85" s="6">
        <f>AO85-AA85</f>
        <v>7000</v>
      </c>
      <c r="AS85" s="8">
        <f>AR85/AA85</f>
        <v>2.3255813953488372E-2</v>
      </c>
      <c r="AT85" s="9"/>
      <c r="AU85" s="6" t="str">
        <f>IF(AND(AU$2&gt;$Z85,$Z85&gt;0,OR($AN85&gt;AU$2,ISBLANK($AN85))),AU$2-$Z85,"")</f>
        <v/>
      </c>
      <c r="AV85" s="6" t="str">
        <f>IF(AND(AV$2&gt;$Z85,$Z85&gt;0,OR($AN85&gt;AV$2,ISBLANK($AN85))),AV$2-$Z85,"")</f>
        <v/>
      </c>
      <c r="AW85" s="6" t="str">
        <f>IF(AND(AW$2&gt;$Z85,$Z85&gt;0,OR($AN85&gt;AW$2,ISBLANK($AN85))),AW$2-$Z85,"")</f>
        <v/>
      </c>
      <c r="AX85" s="6">
        <f>IF(AND(AX$2&gt;$Z85,$Z85&gt;0,OR($AN85&gt;AX$2,ISBLANK($AN85))),AX$2-$Z85,"")</f>
        <v>31</v>
      </c>
      <c r="AY85" s="6" t="str">
        <f>IF(AND(AY$2&gt;$Z85,$Z85&gt;0,OR($AN85&gt;AY$2,ISBLANK($AN85))),AY$2-$Z85,"")</f>
        <v/>
      </c>
      <c r="AZ85" s="6" t="str">
        <f ca="1">IF(AND(AZ$2&gt;$Z85,$Z85&gt;0,OR($AN85&gt;AZ$2,ISBLANK($AN85))),AZ$2-$Z85,"")</f>
        <v/>
      </c>
      <c r="BA85" s="6"/>
      <c r="BB85" s="6"/>
      <c r="BC85" s="6"/>
      <c r="BD85" s="6"/>
    </row>
    <row r="86" spans="2:56" x14ac:dyDescent="0.25">
      <c r="B86" s="13">
        <f t="shared" si="14"/>
        <v>1</v>
      </c>
      <c r="C86" s="13">
        <f t="shared" si="15"/>
        <v>8</v>
      </c>
      <c r="D86" s="13">
        <f t="shared" si="16"/>
        <v>3</v>
      </c>
      <c r="E86" s="13">
        <f t="shared" si="17"/>
        <v>2018</v>
      </c>
      <c r="F86" s="13">
        <f t="shared" si="18"/>
        <v>1</v>
      </c>
      <c r="G86" s="13">
        <f t="shared" si="19"/>
        <v>8</v>
      </c>
      <c r="H86" s="13">
        <f t="shared" si="20"/>
        <v>3</v>
      </c>
      <c r="I86" s="13">
        <f t="shared" si="21"/>
        <v>2018</v>
      </c>
      <c r="J86" s="13">
        <f t="shared" si="22"/>
        <v>1</v>
      </c>
      <c r="K86" s="13">
        <f>IF(J86=1,MONTH(AK86),)</f>
        <v>9</v>
      </c>
      <c r="L86" s="13">
        <f t="shared" si="23"/>
        <v>3</v>
      </c>
      <c r="M86" s="13">
        <f t="shared" si="24"/>
        <v>2018</v>
      </c>
      <c r="N86" s="13">
        <f t="shared" si="25"/>
        <v>1</v>
      </c>
      <c r="O86" s="13">
        <f>IF(N86=1,MONTH(AN86),)</f>
        <v>10</v>
      </c>
      <c r="P86" s="13">
        <f t="shared" si="26"/>
        <v>4</v>
      </c>
      <c r="Q86" s="13">
        <f t="shared" si="27"/>
        <v>2018</v>
      </c>
      <c r="S86" s="38" t="s">
        <v>166</v>
      </c>
      <c r="T86" s="11" t="s">
        <v>160</v>
      </c>
      <c r="U86" s="11" t="s">
        <v>26</v>
      </c>
      <c r="V86" s="39" t="s">
        <v>38</v>
      </c>
      <c r="W86" s="39" t="s">
        <v>27</v>
      </c>
      <c r="X86" s="13" t="s">
        <v>167</v>
      </c>
      <c r="Y86" s="13" t="s">
        <v>29</v>
      </c>
      <c r="Z86" s="66">
        <v>43327</v>
      </c>
      <c r="AA86" s="67">
        <v>256000</v>
      </c>
      <c r="AD86" s="10"/>
      <c r="AF86" s="66">
        <v>43340</v>
      </c>
      <c r="AG86" s="67">
        <v>259800</v>
      </c>
      <c r="AH86" s="16">
        <f>AF86-Z86</f>
        <v>13</v>
      </c>
      <c r="AI86" s="16">
        <f>AG86-AA86</f>
        <v>3800</v>
      </c>
      <c r="AJ86" s="36">
        <f>AI86/AA86</f>
        <v>1.4843749999999999E-2</v>
      </c>
      <c r="AK86" s="66">
        <v>43348</v>
      </c>
      <c r="AL86" s="67">
        <v>259800</v>
      </c>
      <c r="AM86" s="6">
        <f>AK86-AF86</f>
        <v>8</v>
      </c>
      <c r="AN86" s="66">
        <v>43384</v>
      </c>
      <c r="AO86" s="67">
        <v>259800</v>
      </c>
      <c r="AP86" s="6">
        <f>AN86-AK86</f>
        <v>36</v>
      </c>
      <c r="AQ86" s="6">
        <f>AH86+AM86+AP86</f>
        <v>57</v>
      </c>
      <c r="AR86" s="6">
        <f>AO86-AA86</f>
        <v>3800</v>
      </c>
      <c r="AS86" s="8">
        <f>AR86/AA86</f>
        <v>1.4843749999999999E-2</v>
      </c>
      <c r="AT86" s="9"/>
      <c r="AU86" s="6" t="str">
        <f>IF(AND(AU$2&gt;$Z86,$Z86&gt;0,OR($AN86&gt;AU$2,ISBLANK($AN86))),AU$2-$Z86,"")</f>
        <v/>
      </c>
      <c r="AV86" s="6" t="str">
        <f>IF(AND(AV$2&gt;$Z86,$Z86&gt;0,OR($AN86&gt;AV$2,ISBLANK($AN86))),AV$2-$Z86,"")</f>
        <v/>
      </c>
      <c r="AW86" s="6" t="str">
        <f>IF(AND(AW$2&gt;$Z86,$Z86&gt;0,OR($AN86&gt;AW$2,ISBLANK($AN86))),AW$2-$Z86,"")</f>
        <v/>
      </c>
      <c r="AX86" s="6">
        <f>IF(AND(AX$2&gt;$Z86,$Z86&gt;0,OR($AN86&gt;AX$2,ISBLANK($AN86))),AX$2-$Z86,"")</f>
        <v>16</v>
      </c>
      <c r="AY86" s="6">
        <f>IF(AND(AY$2&gt;$Z86,$Z86&gt;0,OR($AN86&gt;AY$2,ISBLANK($AN86))),AY$2-$Z86,"")</f>
        <v>46</v>
      </c>
      <c r="AZ86" s="6" t="str">
        <f ca="1">IF(AND(AZ$2&gt;$Z86,$Z86&gt;0,OR($AN86&gt;AZ$2,ISBLANK($AN86))),AZ$2-$Z86,"")</f>
        <v/>
      </c>
      <c r="BA86" s="6"/>
      <c r="BB86" s="6"/>
      <c r="BC86" s="6"/>
      <c r="BD86" s="6"/>
    </row>
    <row r="87" spans="2:56" x14ac:dyDescent="0.25">
      <c r="B87" s="13">
        <f t="shared" si="14"/>
        <v>1</v>
      </c>
      <c r="C87" s="13">
        <f t="shared" si="15"/>
        <v>7</v>
      </c>
      <c r="D87" s="13">
        <f t="shared" si="16"/>
        <v>3</v>
      </c>
      <c r="E87" s="13">
        <f t="shared" si="17"/>
        <v>2018</v>
      </c>
      <c r="F87" s="13">
        <f t="shared" si="18"/>
        <v>1</v>
      </c>
      <c r="G87" s="13">
        <f t="shared" si="19"/>
        <v>7</v>
      </c>
      <c r="H87" s="13">
        <f t="shared" si="20"/>
        <v>3</v>
      </c>
      <c r="I87" s="13">
        <f t="shared" si="21"/>
        <v>2018</v>
      </c>
      <c r="J87" s="13">
        <f t="shared" si="22"/>
        <v>1</v>
      </c>
      <c r="K87" s="13">
        <f>IF(J87=1,MONTH(AK87),)</f>
        <v>7</v>
      </c>
      <c r="L87" s="13">
        <f t="shared" si="23"/>
        <v>3</v>
      </c>
      <c r="M87" s="13">
        <f t="shared" si="24"/>
        <v>2018</v>
      </c>
      <c r="N87" s="13">
        <f t="shared" si="25"/>
        <v>1</v>
      </c>
      <c r="O87" s="13">
        <f>IF(N87=1,MONTH(AN87),)</f>
        <v>8</v>
      </c>
      <c r="P87" s="13">
        <f t="shared" si="26"/>
        <v>3</v>
      </c>
      <c r="Q87" s="13">
        <f t="shared" si="27"/>
        <v>2018</v>
      </c>
      <c r="S87" s="38" t="s">
        <v>439</v>
      </c>
      <c r="T87" s="11" t="s">
        <v>38</v>
      </c>
      <c r="U87" s="11" t="s">
        <v>26</v>
      </c>
      <c r="V87" s="39" t="s">
        <v>38</v>
      </c>
      <c r="W87" s="39" t="s">
        <v>27</v>
      </c>
      <c r="X87" s="4" t="s">
        <v>440</v>
      </c>
      <c r="Y87" s="4" t="s">
        <v>322</v>
      </c>
      <c r="Z87" s="66">
        <v>43286</v>
      </c>
      <c r="AA87" s="67">
        <v>430000</v>
      </c>
      <c r="AD87" s="10"/>
      <c r="AF87" s="66">
        <v>43302</v>
      </c>
      <c r="AG87" s="67">
        <v>439900</v>
      </c>
      <c r="AH87" s="16">
        <f>AF87-Z87</f>
        <v>16</v>
      </c>
      <c r="AI87" s="16">
        <f>AG87-AA87</f>
        <v>9900</v>
      </c>
      <c r="AJ87" s="36">
        <f>AI87/AA87</f>
        <v>2.3023255813953487E-2</v>
      </c>
      <c r="AK87" s="66">
        <v>43306</v>
      </c>
      <c r="AL87" s="67">
        <v>439900</v>
      </c>
      <c r="AM87" s="6">
        <f>AK87-AF87</f>
        <v>4</v>
      </c>
      <c r="AN87" s="66">
        <v>43327</v>
      </c>
      <c r="AO87" s="67">
        <v>445000</v>
      </c>
      <c r="AP87" s="6">
        <f>AN87-AK87</f>
        <v>21</v>
      </c>
      <c r="AQ87" s="6">
        <f>AH87+AM87+AP87</f>
        <v>41</v>
      </c>
      <c r="AR87" s="6">
        <f>AO87-AA87</f>
        <v>15000</v>
      </c>
      <c r="AS87" s="8">
        <f>AR87/AA87</f>
        <v>3.4883720930232558E-2</v>
      </c>
      <c r="AT87" s="9"/>
      <c r="AU87" s="6" t="str">
        <f>IF(AND(AU$2&gt;$Z87,$Z87&gt;0,OR($AN87&gt;AU$2,ISBLANK($AN87))),AU$2-$Z87,"")</f>
        <v/>
      </c>
      <c r="AV87" s="6" t="str">
        <f>IF(AND(AV$2&gt;$Z87,$Z87&gt;0,OR($AN87&gt;AV$2,ISBLANK($AN87))),AV$2-$Z87,"")</f>
        <v/>
      </c>
      <c r="AW87" s="6">
        <f>IF(AND(AW$2&gt;$Z87,$Z87&gt;0,OR($AN87&gt;AW$2,ISBLANK($AN87))),AW$2-$Z87,"")</f>
        <v>26</v>
      </c>
      <c r="AX87" s="6" t="str">
        <f>IF(AND(AX$2&gt;$Z87,$Z87&gt;0,OR($AN87&gt;AX$2,ISBLANK($AN87))),AX$2-$Z87,"")</f>
        <v/>
      </c>
      <c r="AY87" s="6" t="str">
        <f>IF(AND(AY$2&gt;$Z87,$Z87&gt;0,OR($AN87&gt;AY$2,ISBLANK($AN87))),AY$2-$Z87,"")</f>
        <v/>
      </c>
      <c r="AZ87" s="6" t="str">
        <f ca="1">IF(AND(AZ$2&gt;$Z87,$Z87&gt;0,OR($AN87&gt;AZ$2,ISBLANK($AN87))),AZ$2-$Z87,"")</f>
        <v/>
      </c>
      <c r="BA87" s="6"/>
      <c r="BB87" s="6"/>
      <c r="BC87" s="6"/>
      <c r="BD87" s="6"/>
    </row>
    <row r="88" spans="2:56" x14ac:dyDescent="0.25">
      <c r="B88" s="13">
        <f t="shared" si="14"/>
        <v>1</v>
      </c>
      <c r="C88" s="13">
        <f t="shared" si="15"/>
        <v>9</v>
      </c>
      <c r="D88" s="13">
        <f t="shared" si="16"/>
        <v>3</v>
      </c>
      <c r="E88" s="13">
        <f t="shared" si="17"/>
        <v>2018</v>
      </c>
      <c r="F88" s="13">
        <f t="shared" si="18"/>
        <v>1</v>
      </c>
      <c r="G88" s="13">
        <f t="shared" si="19"/>
        <v>10</v>
      </c>
      <c r="H88" s="13">
        <f t="shared" si="20"/>
        <v>4</v>
      </c>
      <c r="I88" s="13">
        <f t="shared" si="21"/>
        <v>2018</v>
      </c>
      <c r="J88" s="13">
        <f t="shared" si="22"/>
        <v>1</v>
      </c>
      <c r="K88" s="13">
        <f>IF(J88=1,MONTH(AK88),)</f>
        <v>10</v>
      </c>
      <c r="L88" s="13">
        <f t="shared" si="23"/>
        <v>4</v>
      </c>
      <c r="M88" s="13">
        <f t="shared" si="24"/>
        <v>2018</v>
      </c>
      <c r="N88" s="13">
        <f t="shared" si="25"/>
        <v>0</v>
      </c>
      <c r="O88" s="13">
        <f>IF(N88=1,MONTH(AN88),)</f>
        <v>0</v>
      </c>
      <c r="P88" s="13">
        <f t="shared" si="26"/>
        <v>0</v>
      </c>
      <c r="Q88" s="13">
        <f t="shared" si="27"/>
        <v>1900</v>
      </c>
      <c r="S88" s="38" t="s">
        <v>168</v>
      </c>
      <c r="T88" s="11" t="s">
        <v>169</v>
      </c>
      <c r="U88" s="11" t="s">
        <v>26</v>
      </c>
      <c r="V88" s="39" t="s">
        <v>38</v>
      </c>
      <c r="W88" s="39" t="s">
        <v>27</v>
      </c>
      <c r="X88" s="4" t="s">
        <v>170</v>
      </c>
      <c r="Y88" s="4" t="s">
        <v>29</v>
      </c>
      <c r="Z88" s="66">
        <v>43362</v>
      </c>
      <c r="AA88" s="67">
        <v>194000</v>
      </c>
      <c r="AD88" s="10"/>
      <c r="AF88" s="66">
        <v>43383</v>
      </c>
      <c r="AG88" s="67">
        <v>205900</v>
      </c>
      <c r="AH88" s="16">
        <f>AF88-Z88</f>
        <v>21</v>
      </c>
      <c r="AI88" s="16">
        <f>AG88-AA88</f>
        <v>11900</v>
      </c>
      <c r="AJ88" s="36">
        <f>AI88/AA88</f>
        <v>6.1340206185567007E-2</v>
      </c>
      <c r="AK88" s="66">
        <v>43388</v>
      </c>
      <c r="AL88" s="67">
        <v>340000</v>
      </c>
      <c r="AM88" s="6">
        <f>AK88-AF88</f>
        <v>5</v>
      </c>
      <c r="AN88" s="66"/>
      <c r="AT88" s="9"/>
      <c r="AU88" s="6" t="str">
        <f>IF(AND(AU$2&gt;$Z88,$Z88&gt;0,OR($AN88&gt;AU$2,ISBLANK($AN88))),AU$2-$Z88,"")</f>
        <v/>
      </c>
      <c r="AV88" s="6" t="str">
        <f>IF(AND(AV$2&gt;$Z88,$Z88&gt;0,OR($AN88&gt;AV$2,ISBLANK($AN88))),AV$2-$Z88,"")</f>
        <v/>
      </c>
      <c r="AW88" s="6" t="str">
        <f>IF(AND(AW$2&gt;$Z88,$Z88&gt;0,OR($AN88&gt;AW$2,ISBLANK($AN88))),AW$2-$Z88,"")</f>
        <v/>
      </c>
      <c r="AX88" s="6" t="str">
        <f>IF(AND(AX$2&gt;$Z88,$Z88&gt;0,OR($AN88&gt;AX$2,ISBLANK($AN88))),AX$2-$Z88,"")</f>
        <v/>
      </c>
      <c r="AY88" s="6">
        <f>IF(AND(AY$2&gt;$Z88,$Z88&gt;0,OR($AN88&gt;AY$2,ISBLANK($AN88))),AY$2-$Z88,"")</f>
        <v>11</v>
      </c>
      <c r="AZ88" s="6">
        <f ca="1">IF(AND(AZ$2&gt;$Z88,$Z88&gt;0,OR($AN88&gt;AZ$2,ISBLANK($AN88))),AZ$2-$Z88,"")</f>
        <v>29.382289814813703</v>
      </c>
      <c r="BA88" s="6"/>
      <c r="BB88" s="6"/>
      <c r="BC88" s="6"/>
      <c r="BD88" s="6"/>
    </row>
    <row r="89" spans="2:56" x14ac:dyDescent="0.25">
      <c r="B89" s="13">
        <f t="shared" si="14"/>
        <v>1</v>
      </c>
      <c r="C89" s="13">
        <f t="shared" si="15"/>
        <v>6</v>
      </c>
      <c r="D89" s="13">
        <f t="shared" si="16"/>
        <v>2</v>
      </c>
      <c r="E89" s="13">
        <f t="shared" si="17"/>
        <v>2018</v>
      </c>
      <c r="F89" s="13">
        <f t="shared" si="18"/>
        <v>1</v>
      </c>
      <c r="G89" s="13">
        <f t="shared" si="19"/>
        <v>6</v>
      </c>
      <c r="H89" s="13">
        <f t="shared" si="20"/>
        <v>2</v>
      </c>
      <c r="I89" s="13">
        <f t="shared" si="21"/>
        <v>2018</v>
      </c>
      <c r="J89" s="13">
        <f t="shared" si="22"/>
        <v>1</v>
      </c>
      <c r="K89" s="13">
        <f>IF(J89=1,MONTH(AK89),)</f>
        <v>7</v>
      </c>
      <c r="L89" s="13">
        <f t="shared" si="23"/>
        <v>3</v>
      </c>
      <c r="M89" s="13">
        <f t="shared" si="24"/>
        <v>2018</v>
      </c>
      <c r="N89" s="13">
        <f t="shared" si="25"/>
        <v>1</v>
      </c>
      <c r="O89" s="13">
        <f>IF(N89=1,MONTH(AN89),)</f>
        <v>8</v>
      </c>
      <c r="P89" s="13">
        <f t="shared" si="26"/>
        <v>3</v>
      </c>
      <c r="Q89" s="13">
        <f t="shared" si="27"/>
        <v>2018</v>
      </c>
      <c r="S89" s="38" t="s">
        <v>411</v>
      </c>
      <c r="T89" s="11" t="s">
        <v>160</v>
      </c>
      <c r="U89" s="11" t="s">
        <v>26</v>
      </c>
      <c r="V89" s="39" t="s">
        <v>38</v>
      </c>
      <c r="W89" s="39" t="s">
        <v>27</v>
      </c>
      <c r="X89" s="4" t="s">
        <v>420</v>
      </c>
      <c r="Z89" s="66">
        <v>43266</v>
      </c>
      <c r="AA89" s="67">
        <v>335000</v>
      </c>
      <c r="AD89" s="10"/>
      <c r="AF89" s="66">
        <v>43278</v>
      </c>
      <c r="AG89" s="67">
        <v>340000</v>
      </c>
      <c r="AH89" s="16">
        <f>AF89-Z89</f>
        <v>12</v>
      </c>
      <c r="AI89" s="16">
        <f>AG89-AA89</f>
        <v>5000</v>
      </c>
      <c r="AJ89" s="36">
        <f>AI89/AA89</f>
        <v>1.4925373134328358E-2</v>
      </c>
      <c r="AK89" s="66">
        <v>43287</v>
      </c>
      <c r="AL89" s="67">
        <v>340000</v>
      </c>
      <c r="AM89" s="6">
        <f>AK89-AF89</f>
        <v>9</v>
      </c>
      <c r="AN89" s="66">
        <v>43314</v>
      </c>
      <c r="AO89" s="67">
        <v>345000</v>
      </c>
      <c r="AP89" s="6">
        <f>AN89-AK89</f>
        <v>27</v>
      </c>
      <c r="AQ89" s="6">
        <f>AH89+AM89+AP89</f>
        <v>48</v>
      </c>
      <c r="AR89" s="6">
        <f>AO89-AA89</f>
        <v>10000</v>
      </c>
      <c r="AS89" s="8">
        <f>AR89/AA89</f>
        <v>2.9850746268656716E-2</v>
      </c>
      <c r="AT89" s="9"/>
      <c r="AU89" s="6" t="str">
        <f>IF(AND(AU$2&gt;$Z89,$Z89&gt;0,OR($AN89&gt;AU$2,ISBLANK($AN89))),AU$2-$Z89,"")</f>
        <v/>
      </c>
      <c r="AV89" s="6">
        <f>IF(AND(AV$2&gt;$Z89,$Z89&gt;0,OR($AN89&gt;AV$2,ISBLANK($AN89))),AV$2-$Z89,"")</f>
        <v>15</v>
      </c>
      <c r="AW89" s="6">
        <f>IF(AND(AW$2&gt;$Z89,$Z89&gt;0,OR($AN89&gt;AW$2,ISBLANK($AN89))),AW$2-$Z89,"")</f>
        <v>46</v>
      </c>
      <c r="AX89" s="6" t="str">
        <f>IF(AND(AX$2&gt;$Z89,$Z89&gt;0,OR($AN89&gt;AX$2,ISBLANK($AN89))),AX$2-$Z89,"")</f>
        <v/>
      </c>
      <c r="AY89" s="6" t="str">
        <f>IF(AND(AY$2&gt;$Z89,$Z89&gt;0,OR($AN89&gt;AY$2,ISBLANK($AN89))),AY$2-$Z89,"")</f>
        <v/>
      </c>
      <c r="AZ89" s="6" t="str">
        <f ca="1">IF(AND(AZ$2&gt;$Z89,$Z89&gt;0,OR($AN89&gt;AZ$2,ISBLANK($AN89))),AZ$2-$Z89,"")</f>
        <v/>
      </c>
      <c r="BA89" s="6"/>
      <c r="BB89" s="6"/>
      <c r="BC89" s="6"/>
      <c r="BD89" s="6"/>
    </row>
    <row r="90" spans="2:56" x14ac:dyDescent="0.25">
      <c r="B90" s="13">
        <f t="shared" si="14"/>
        <v>1</v>
      </c>
      <c r="C90" s="13">
        <f t="shared" si="15"/>
        <v>10</v>
      </c>
      <c r="D90" s="13">
        <f t="shared" si="16"/>
        <v>4</v>
      </c>
      <c r="E90" s="13">
        <f t="shared" si="17"/>
        <v>2018</v>
      </c>
      <c r="F90" s="13">
        <f t="shared" si="18"/>
        <v>0</v>
      </c>
      <c r="G90" s="13">
        <f t="shared" si="19"/>
        <v>1</v>
      </c>
      <c r="H90" s="13">
        <f t="shared" si="20"/>
        <v>1</v>
      </c>
      <c r="I90" s="13">
        <f t="shared" si="21"/>
        <v>1900</v>
      </c>
      <c r="J90" s="13">
        <f t="shared" si="22"/>
        <v>0</v>
      </c>
      <c r="K90" s="13">
        <f>IF(J90=1,MONTH(AK90),)</f>
        <v>0</v>
      </c>
      <c r="L90" s="13">
        <f t="shared" si="23"/>
        <v>0</v>
      </c>
      <c r="M90" s="13">
        <f t="shared" si="24"/>
        <v>1900</v>
      </c>
      <c r="N90" s="13">
        <f t="shared" si="25"/>
        <v>0</v>
      </c>
      <c r="O90" s="13">
        <f>IF(N90=1,MONTH(AN90),)</f>
        <v>0</v>
      </c>
      <c r="P90" s="13">
        <f t="shared" si="26"/>
        <v>0</v>
      </c>
      <c r="Q90" s="13">
        <f t="shared" si="27"/>
        <v>1900</v>
      </c>
      <c r="S90" s="38" t="s">
        <v>536</v>
      </c>
      <c r="T90" s="11" t="s">
        <v>40</v>
      </c>
      <c r="U90" s="11" t="s">
        <v>26</v>
      </c>
      <c r="V90" s="39" t="s">
        <v>38</v>
      </c>
      <c r="W90" s="39" t="s">
        <v>27</v>
      </c>
      <c r="X90" s="4" t="s">
        <v>537</v>
      </c>
      <c r="Y90" s="4" t="s">
        <v>29</v>
      </c>
      <c r="Z90" s="66">
        <v>43384</v>
      </c>
      <c r="AA90" s="67">
        <v>392000</v>
      </c>
      <c r="AD90" s="10"/>
      <c r="AG90" s="67">
        <v>397000</v>
      </c>
      <c r="AH90" s="16"/>
      <c r="AI90" s="16">
        <f>AG90-AA90</f>
        <v>5000</v>
      </c>
      <c r="AJ90" s="36">
        <f>AI90/AA90</f>
        <v>1.2755102040816327E-2</v>
      </c>
      <c r="AN90" s="66"/>
      <c r="AT90" s="9"/>
      <c r="AU90" s="6" t="str">
        <f>IF(AND(AU$2&gt;$Z90,$Z90&gt;0,OR($AN90&gt;AU$2,ISBLANK($AN90))),AU$2-$Z90,"")</f>
        <v/>
      </c>
      <c r="AV90" s="6" t="str">
        <f>IF(AND(AV$2&gt;$Z90,$Z90&gt;0,OR($AN90&gt;AV$2,ISBLANK($AN90))),AV$2-$Z90,"")</f>
        <v/>
      </c>
      <c r="AW90" s="6" t="str">
        <f>IF(AND(AW$2&gt;$Z90,$Z90&gt;0,OR($AN90&gt;AW$2,ISBLANK($AN90))),AW$2-$Z90,"")</f>
        <v/>
      </c>
      <c r="AX90" s="6" t="str">
        <f>IF(AND(AX$2&gt;$Z90,$Z90&gt;0,OR($AN90&gt;AX$2,ISBLANK($AN90))),AX$2-$Z90,"")</f>
        <v/>
      </c>
      <c r="AY90" s="6" t="str">
        <f>IF(AND(AY$2&gt;$Z90,$Z90&gt;0,OR($AN90&gt;AY$2,ISBLANK($AN90))),AY$2-$Z90,"")</f>
        <v/>
      </c>
      <c r="AZ90" s="6">
        <f ca="1">IF(AND(AZ$2&gt;$Z90,$Z90&gt;0,OR($AN90&gt;AZ$2,ISBLANK($AN90))),AZ$2-$Z90,"")</f>
        <v>7.3822898148137028</v>
      </c>
      <c r="BA90" s="6"/>
      <c r="BB90" s="6"/>
      <c r="BC90" s="6"/>
      <c r="BD90" s="6"/>
    </row>
    <row r="91" spans="2:56" x14ac:dyDescent="0.25">
      <c r="B91" s="13">
        <f t="shared" si="14"/>
        <v>1</v>
      </c>
      <c r="C91" s="13">
        <f t="shared" si="15"/>
        <v>6</v>
      </c>
      <c r="D91" s="13">
        <f t="shared" si="16"/>
        <v>2</v>
      </c>
      <c r="E91" s="13">
        <f t="shared" si="17"/>
        <v>2018</v>
      </c>
      <c r="F91" s="13">
        <f t="shared" si="18"/>
        <v>1</v>
      </c>
      <c r="G91" s="13">
        <f t="shared" si="19"/>
        <v>7</v>
      </c>
      <c r="H91" s="13">
        <f t="shared" si="20"/>
        <v>3</v>
      </c>
      <c r="I91" s="13">
        <f t="shared" si="21"/>
        <v>2018</v>
      </c>
      <c r="J91" s="13">
        <f t="shared" si="22"/>
        <v>0</v>
      </c>
      <c r="K91" s="13">
        <f>IF(J91=1,MONTH(AK91),)</f>
        <v>0</v>
      </c>
      <c r="L91" s="13">
        <f t="shared" si="23"/>
        <v>0</v>
      </c>
      <c r="M91" s="13">
        <f t="shared" si="24"/>
        <v>1900</v>
      </c>
      <c r="N91" s="13">
        <f t="shared" si="25"/>
        <v>0</v>
      </c>
      <c r="O91" s="13">
        <f>IF(N91=1,MONTH(AN91),)</f>
        <v>0</v>
      </c>
      <c r="P91" s="13">
        <f t="shared" si="26"/>
        <v>0</v>
      </c>
      <c r="Q91" s="13">
        <f t="shared" si="27"/>
        <v>1900</v>
      </c>
      <c r="S91" s="38" t="s">
        <v>171</v>
      </c>
      <c r="T91" s="11" t="s">
        <v>31</v>
      </c>
      <c r="U91" s="11" t="s">
        <v>26</v>
      </c>
      <c r="V91" s="39" t="s">
        <v>38</v>
      </c>
      <c r="W91" s="39" t="s">
        <v>27</v>
      </c>
      <c r="X91" s="13" t="s">
        <v>172</v>
      </c>
      <c r="Y91" s="13" t="s">
        <v>29</v>
      </c>
      <c r="Z91" s="66">
        <v>43276</v>
      </c>
      <c r="AA91" s="67">
        <v>350000</v>
      </c>
      <c r="AD91" s="10"/>
      <c r="AF91" s="66">
        <v>43285</v>
      </c>
      <c r="AG91" s="67">
        <v>354000</v>
      </c>
      <c r="AH91" s="16">
        <f>AF91-Z91</f>
        <v>9</v>
      </c>
      <c r="AI91" s="16">
        <f>AG91-AA91</f>
        <v>4000</v>
      </c>
      <c r="AJ91" s="36">
        <f>AI91/AA91</f>
        <v>1.1428571428571429E-2</v>
      </c>
      <c r="AN91" s="66"/>
      <c r="AT91" s="9"/>
      <c r="AU91" s="6" t="str">
        <f>IF(AND(AU$2&gt;$Z91,$Z91&gt;0,OR($AN91&gt;AU$2,ISBLANK($AN91))),AU$2-$Z91,"")</f>
        <v/>
      </c>
      <c r="AV91" s="6">
        <f>IF(AND(AV$2&gt;$Z91,$Z91&gt;0,OR($AN91&gt;AV$2,ISBLANK($AN91))),AV$2-$Z91,"")</f>
        <v>5</v>
      </c>
      <c r="AW91" s="6">
        <f>IF(AND(AW$2&gt;$Z91,$Z91&gt;0,OR($AN91&gt;AW$2,ISBLANK($AN91))),AW$2-$Z91,"")</f>
        <v>36</v>
      </c>
      <c r="AX91" s="6">
        <f>IF(AND(AX$2&gt;$Z91,$Z91&gt;0,OR($AN91&gt;AX$2,ISBLANK($AN91))),AX$2-$Z91,"")</f>
        <v>67</v>
      </c>
      <c r="AY91" s="6">
        <f>IF(AND(AY$2&gt;$Z91,$Z91&gt;0,OR($AN91&gt;AY$2,ISBLANK($AN91))),AY$2-$Z91,"")</f>
        <v>97</v>
      </c>
      <c r="AZ91" s="6">
        <f ca="1">IF(AND(AZ$2&gt;$Z91,$Z91&gt;0,OR($AN91&gt;AZ$2,ISBLANK($AN91))),AZ$2-$Z91,"")</f>
        <v>115.3822898148137</v>
      </c>
      <c r="BA91" s="6"/>
      <c r="BB91" s="6"/>
      <c r="BC91" s="6"/>
      <c r="BD91" s="6"/>
    </row>
    <row r="92" spans="2:56" x14ac:dyDescent="0.25">
      <c r="B92" s="13">
        <f t="shared" si="14"/>
        <v>1</v>
      </c>
      <c r="C92" s="13">
        <f t="shared" si="15"/>
        <v>7</v>
      </c>
      <c r="D92" s="13">
        <f t="shared" si="16"/>
        <v>3</v>
      </c>
      <c r="E92" s="13">
        <f t="shared" si="17"/>
        <v>2018</v>
      </c>
      <c r="F92" s="13">
        <f t="shared" si="18"/>
        <v>1</v>
      </c>
      <c r="G92" s="13">
        <f t="shared" si="19"/>
        <v>7</v>
      </c>
      <c r="H92" s="13">
        <f t="shared" si="20"/>
        <v>3</v>
      </c>
      <c r="I92" s="13">
        <f t="shared" si="21"/>
        <v>2018</v>
      </c>
      <c r="J92" s="13">
        <f t="shared" si="22"/>
        <v>1</v>
      </c>
      <c r="K92" s="13">
        <f>IF(J92=1,MONTH(AK92),)</f>
        <v>8</v>
      </c>
      <c r="L92" s="13">
        <f t="shared" si="23"/>
        <v>3</v>
      </c>
      <c r="M92" s="13">
        <f t="shared" si="24"/>
        <v>2018</v>
      </c>
      <c r="N92" s="13">
        <f t="shared" si="25"/>
        <v>1</v>
      </c>
      <c r="O92" s="13">
        <f>IF(N92=1,MONTH(AN92),)</f>
        <v>9</v>
      </c>
      <c r="P92" s="13">
        <f t="shared" si="26"/>
        <v>3</v>
      </c>
      <c r="Q92" s="13">
        <f t="shared" si="27"/>
        <v>2018</v>
      </c>
      <c r="S92" s="38" t="s">
        <v>437</v>
      </c>
      <c r="T92" s="11" t="s">
        <v>38</v>
      </c>
      <c r="U92" s="11" t="s">
        <v>26</v>
      </c>
      <c r="V92" s="39" t="s">
        <v>38</v>
      </c>
      <c r="W92" s="39" t="s">
        <v>27</v>
      </c>
      <c r="X92" s="4" t="s">
        <v>438</v>
      </c>
      <c r="Y92" s="4" t="s">
        <v>322</v>
      </c>
      <c r="Z92" s="66">
        <v>43286</v>
      </c>
      <c r="AA92" s="67">
        <v>260000</v>
      </c>
      <c r="AD92" s="10"/>
      <c r="AF92" s="66">
        <v>43310</v>
      </c>
      <c r="AG92" s="67">
        <v>275000</v>
      </c>
      <c r="AH92" s="16">
        <f>AF92-Z92</f>
        <v>24</v>
      </c>
      <c r="AI92" s="16">
        <f>AG92-AA92</f>
        <v>15000</v>
      </c>
      <c r="AJ92" s="36">
        <f>AI92/AA92</f>
        <v>5.7692307692307696E-2</v>
      </c>
      <c r="AK92" s="66">
        <v>43319</v>
      </c>
      <c r="AL92" s="67">
        <v>275000</v>
      </c>
      <c r="AM92" s="6">
        <f>AK92-AF92</f>
        <v>9</v>
      </c>
      <c r="AN92" s="66">
        <v>43350</v>
      </c>
      <c r="AO92" s="67">
        <v>275000</v>
      </c>
      <c r="AP92" s="6">
        <f>AN92-AK92</f>
        <v>31</v>
      </c>
      <c r="AQ92" s="6">
        <f>AH92+AM92+AP92</f>
        <v>64</v>
      </c>
      <c r="AR92" s="6">
        <f>AO92-AA92</f>
        <v>15000</v>
      </c>
      <c r="AS92" s="8">
        <f>AR92/AA92</f>
        <v>5.7692307692307696E-2</v>
      </c>
      <c r="AT92" s="9"/>
      <c r="AU92" s="6" t="str">
        <f>IF(AND(AU$2&gt;$Z92,$Z92&gt;0,OR($AN92&gt;AU$2,ISBLANK($AN92))),AU$2-$Z92,"")</f>
        <v/>
      </c>
      <c r="AV92" s="6" t="str">
        <f>IF(AND(AV$2&gt;$Z92,$Z92&gt;0,OR($AN92&gt;AV$2,ISBLANK($AN92))),AV$2-$Z92,"")</f>
        <v/>
      </c>
      <c r="AW92" s="6">
        <f>IF(AND(AW$2&gt;$Z92,$Z92&gt;0,OR($AN92&gt;AW$2,ISBLANK($AN92))),AW$2-$Z92,"")</f>
        <v>26</v>
      </c>
      <c r="AX92" s="6">
        <f>IF(AND(AX$2&gt;$Z92,$Z92&gt;0,OR($AN92&gt;AX$2,ISBLANK($AN92))),AX$2-$Z92,"")</f>
        <v>57</v>
      </c>
      <c r="AY92" s="6" t="str">
        <f>IF(AND(AY$2&gt;$Z92,$Z92&gt;0,OR($AN92&gt;AY$2,ISBLANK($AN92))),AY$2-$Z92,"")</f>
        <v/>
      </c>
      <c r="AZ92" s="6" t="str">
        <f ca="1">IF(AND(AZ$2&gt;$Z92,$Z92&gt;0,OR($AN92&gt;AZ$2,ISBLANK($AN92))),AZ$2-$Z92,"")</f>
        <v/>
      </c>
      <c r="BA92" s="6"/>
      <c r="BB92" s="6"/>
      <c r="BC92" s="6"/>
      <c r="BD92" s="6"/>
    </row>
    <row r="93" spans="2:56" x14ac:dyDescent="0.25">
      <c r="B93" s="13">
        <f t="shared" si="14"/>
        <v>1</v>
      </c>
      <c r="C93" s="13">
        <f t="shared" si="15"/>
        <v>9</v>
      </c>
      <c r="D93" s="13">
        <f t="shared" si="16"/>
        <v>3</v>
      </c>
      <c r="E93" s="13">
        <f t="shared" si="17"/>
        <v>2018</v>
      </c>
      <c r="F93" s="13">
        <f t="shared" si="18"/>
        <v>1</v>
      </c>
      <c r="G93" s="13">
        <f t="shared" si="19"/>
        <v>10</v>
      </c>
      <c r="H93" s="13">
        <f t="shared" si="20"/>
        <v>4</v>
      </c>
      <c r="I93" s="13">
        <f t="shared" si="21"/>
        <v>2018</v>
      </c>
      <c r="J93" s="13">
        <f t="shared" si="22"/>
        <v>0</v>
      </c>
      <c r="K93" s="13">
        <f>IF(J93=1,MONTH(AK93),)</f>
        <v>0</v>
      </c>
      <c r="L93" s="13">
        <f t="shared" si="23"/>
        <v>0</v>
      </c>
      <c r="M93" s="13">
        <f t="shared" si="24"/>
        <v>1900</v>
      </c>
      <c r="N93" s="13">
        <f t="shared" si="25"/>
        <v>0</v>
      </c>
      <c r="O93" s="13">
        <f>IF(N93=1,MONTH(AN93),)</f>
        <v>0</v>
      </c>
      <c r="P93" s="13">
        <f t="shared" si="26"/>
        <v>0</v>
      </c>
      <c r="Q93" s="13">
        <f t="shared" si="27"/>
        <v>1900</v>
      </c>
      <c r="S93" s="38" t="s">
        <v>173</v>
      </c>
      <c r="T93" s="11" t="s">
        <v>169</v>
      </c>
      <c r="U93" s="11" t="s">
        <v>26</v>
      </c>
      <c r="V93" s="39" t="s">
        <v>38</v>
      </c>
      <c r="W93" s="39" t="s">
        <v>27</v>
      </c>
      <c r="X93" s="4" t="s">
        <v>174</v>
      </c>
      <c r="Y93" s="4" t="s">
        <v>29</v>
      </c>
      <c r="Z93" s="66">
        <v>43371</v>
      </c>
      <c r="AA93" s="67">
        <v>295300</v>
      </c>
      <c r="AD93" s="10"/>
      <c r="AF93" s="66">
        <v>43384</v>
      </c>
      <c r="AG93" s="67">
        <v>309900</v>
      </c>
      <c r="AH93" s="16">
        <f>AF93-Z93</f>
        <v>13</v>
      </c>
      <c r="AI93" s="16">
        <f>AG93-AA93</f>
        <v>14600</v>
      </c>
      <c r="AJ93" s="36">
        <f>AI93/AA93</f>
        <v>4.9441246190314932E-2</v>
      </c>
      <c r="AN93" s="66"/>
      <c r="AT93" s="9"/>
      <c r="AU93" s="6" t="str">
        <f>IF(AND(AU$2&gt;$Z93,$Z93&gt;0,OR($AN93&gt;AU$2,ISBLANK($AN93))),AU$2-$Z93,"")</f>
        <v/>
      </c>
      <c r="AV93" s="6" t="str">
        <f>IF(AND(AV$2&gt;$Z93,$Z93&gt;0,OR($AN93&gt;AV$2,ISBLANK($AN93))),AV$2-$Z93,"")</f>
        <v/>
      </c>
      <c r="AW93" s="6" t="str">
        <f>IF(AND(AW$2&gt;$Z93,$Z93&gt;0,OR($AN93&gt;AW$2,ISBLANK($AN93))),AW$2-$Z93,"")</f>
        <v/>
      </c>
      <c r="AX93" s="6" t="str">
        <f>IF(AND(AX$2&gt;$Z93,$Z93&gt;0,OR($AN93&gt;AX$2,ISBLANK($AN93))),AX$2-$Z93,"")</f>
        <v/>
      </c>
      <c r="AY93" s="6">
        <f>IF(AND(AY$2&gt;$Z93,$Z93&gt;0,OR($AN93&gt;AY$2,ISBLANK($AN93))),AY$2-$Z93,"")</f>
        <v>2</v>
      </c>
      <c r="AZ93" s="6">
        <f ca="1">IF(AND(AZ$2&gt;$Z93,$Z93&gt;0,OR($AN93&gt;AZ$2,ISBLANK($AN93))),AZ$2-$Z93,"")</f>
        <v>20.382289814813703</v>
      </c>
      <c r="BA93" s="6"/>
      <c r="BB93" s="6"/>
      <c r="BC93" s="6"/>
      <c r="BD93" s="6"/>
    </row>
    <row r="94" spans="2:56" x14ac:dyDescent="0.25">
      <c r="B94" s="13">
        <f t="shared" si="14"/>
        <v>1</v>
      </c>
      <c r="C94" s="13">
        <f t="shared" si="15"/>
        <v>10</v>
      </c>
      <c r="D94" s="13">
        <f t="shared" si="16"/>
        <v>4</v>
      </c>
      <c r="E94" s="13">
        <f t="shared" si="17"/>
        <v>2018</v>
      </c>
      <c r="F94" s="13">
        <f t="shared" si="18"/>
        <v>0</v>
      </c>
      <c r="G94" s="13">
        <f t="shared" si="19"/>
        <v>1</v>
      </c>
      <c r="H94" s="13">
        <f t="shared" si="20"/>
        <v>1</v>
      </c>
      <c r="I94" s="13">
        <f t="shared" si="21"/>
        <v>1900</v>
      </c>
      <c r="J94" s="13">
        <f t="shared" si="22"/>
        <v>0</v>
      </c>
      <c r="K94" s="13">
        <f>IF(J94=1,MONTH(AK94),)</f>
        <v>0</v>
      </c>
      <c r="L94" s="13">
        <f t="shared" si="23"/>
        <v>0</v>
      </c>
      <c r="M94" s="13">
        <f t="shared" si="24"/>
        <v>1900</v>
      </c>
      <c r="N94" s="13">
        <f t="shared" si="25"/>
        <v>0</v>
      </c>
      <c r="O94" s="13">
        <f>IF(N94=1,MONTH(AN94),)</f>
        <v>0</v>
      </c>
      <c r="P94" s="13">
        <f t="shared" si="26"/>
        <v>0</v>
      </c>
      <c r="Q94" s="13">
        <f t="shared" si="27"/>
        <v>1900</v>
      </c>
      <c r="S94" s="38" t="s">
        <v>175</v>
      </c>
      <c r="T94" s="11" t="s">
        <v>38</v>
      </c>
      <c r="U94" s="11" t="s">
        <v>26</v>
      </c>
      <c r="V94" s="39" t="s">
        <v>38</v>
      </c>
      <c r="W94" s="39" t="s">
        <v>27</v>
      </c>
      <c r="X94" s="4" t="s">
        <v>176</v>
      </c>
      <c r="Y94" s="4" t="s">
        <v>29</v>
      </c>
      <c r="Z94" s="66">
        <v>43374</v>
      </c>
      <c r="AA94" s="67">
        <v>132000</v>
      </c>
      <c r="AD94" s="10"/>
      <c r="AG94" s="67">
        <v>141000</v>
      </c>
      <c r="AH94" s="16"/>
      <c r="AI94" s="16">
        <f>AG94-AA94</f>
        <v>9000</v>
      </c>
      <c r="AJ94" s="36">
        <f>AI94/AA94</f>
        <v>6.8181818181818177E-2</v>
      </c>
      <c r="AN94" s="66"/>
      <c r="AT94" s="9"/>
      <c r="AU94" s="6" t="str">
        <f>IF(AND(AU$2&gt;$Z94,$Z94&gt;0,OR($AN94&gt;AU$2,ISBLANK($AN94))),AU$2-$Z94,"")</f>
        <v/>
      </c>
      <c r="AV94" s="6" t="str">
        <f>IF(AND(AV$2&gt;$Z94,$Z94&gt;0,OR($AN94&gt;AV$2,ISBLANK($AN94))),AV$2-$Z94,"")</f>
        <v/>
      </c>
      <c r="AW94" s="6" t="str">
        <f>IF(AND(AW$2&gt;$Z94,$Z94&gt;0,OR($AN94&gt;AW$2,ISBLANK($AN94))),AW$2-$Z94,"")</f>
        <v/>
      </c>
      <c r="AX94" s="6" t="str">
        <f>IF(AND(AX$2&gt;$Z94,$Z94&gt;0,OR($AN94&gt;AX$2,ISBLANK($AN94))),AX$2-$Z94,"")</f>
        <v/>
      </c>
      <c r="AY94" s="6" t="str">
        <f>IF(AND(AY$2&gt;$Z94,$Z94&gt;0,OR($AN94&gt;AY$2,ISBLANK($AN94))),AY$2-$Z94,"")</f>
        <v/>
      </c>
      <c r="AZ94" s="6">
        <f ca="1">IF(AND(AZ$2&gt;$Z94,$Z94&gt;0,OR($AN94&gt;AZ$2,ISBLANK($AN94))),AZ$2-$Z94,"")</f>
        <v>17.382289814813703</v>
      </c>
      <c r="BA94" s="6"/>
      <c r="BB94" s="6"/>
      <c r="BC94" s="6"/>
      <c r="BD94" s="6"/>
    </row>
    <row r="95" spans="2:56" x14ac:dyDescent="0.25">
      <c r="B95" s="13">
        <f t="shared" si="14"/>
        <v>1</v>
      </c>
      <c r="C95" s="13">
        <f t="shared" si="15"/>
        <v>10</v>
      </c>
      <c r="D95" s="13">
        <f t="shared" si="16"/>
        <v>4</v>
      </c>
      <c r="E95" s="13">
        <f t="shared" si="17"/>
        <v>2018</v>
      </c>
      <c r="F95" s="13">
        <f t="shared" si="18"/>
        <v>0</v>
      </c>
      <c r="G95" s="13">
        <f t="shared" si="19"/>
        <v>1</v>
      </c>
      <c r="H95" s="13">
        <f t="shared" si="20"/>
        <v>1</v>
      </c>
      <c r="I95" s="13">
        <f t="shared" si="21"/>
        <v>1900</v>
      </c>
      <c r="J95" s="13">
        <f t="shared" si="22"/>
        <v>0</v>
      </c>
      <c r="K95" s="13">
        <f>IF(J95=1,MONTH(AK95),)</f>
        <v>0</v>
      </c>
      <c r="L95" s="13">
        <f t="shared" si="23"/>
        <v>0</v>
      </c>
      <c r="M95" s="13">
        <f t="shared" si="24"/>
        <v>1900</v>
      </c>
      <c r="N95" s="13">
        <f t="shared" si="25"/>
        <v>0</v>
      </c>
      <c r="O95" s="13">
        <f>IF(N95=1,MONTH(AN95),)</f>
        <v>0</v>
      </c>
      <c r="P95" s="13">
        <f t="shared" si="26"/>
        <v>0</v>
      </c>
      <c r="Q95" s="13">
        <f t="shared" si="27"/>
        <v>1900</v>
      </c>
      <c r="S95" s="38" t="s">
        <v>538</v>
      </c>
      <c r="T95" s="11" t="s">
        <v>57</v>
      </c>
      <c r="U95" s="11" t="s">
        <v>26</v>
      </c>
      <c r="V95" s="39" t="s">
        <v>38</v>
      </c>
      <c r="W95" s="39" t="s">
        <v>27</v>
      </c>
      <c r="X95" s="4" t="s">
        <v>539</v>
      </c>
      <c r="Y95" s="4" t="s">
        <v>29</v>
      </c>
      <c r="Z95" s="66">
        <v>43384</v>
      </c>
      <c r="AA95" s="67">
        <v>143300</v>
      </c>
      <c r="AD95" s="10"/>
      <c r="AG95" s="67">
        <v>149900</v>
      </c>
      <c r="AH95" s="16"/>
      <c r="AI95" s="16">
        <f>AG95-AA95</f>
        <v>6600</v>
      </c>
      <c r="AJ95" s="36">
        <f>AI95/AA95</f>
        <v>4.6057222609909285E-2</v>
      </c>
      <c r="AN95" s="66"/>
      <c r="AT95" s="9"/>
      <c r="AU95" s="6" t="str">
        <f>IF(AND(AU$2&gt;$Z95,$Z95&gt;0,OR($AN95&gt;AU$2,ISBLANK($AN95))),AU$2-$Z95,"")</f>
        <v/>
      </c>
      <c r="AV95" s="6" t="str">
        <f>IF(AND(AV$2&gt;$Z95,$Z95&gt;0,OR($AN95&gt;AV$2,ISBLANK($AN95))),AV$2-$Z95,"")</f>
        <v/>
      </c>
      <c r="AW95" s="6" t="str">
        <f>IF(AND(AW$2&gt;$Z95,$Z95&gt;0,OR($AN95&gt;AW$2,ISBLANK($AN95))),AW$2-$Z95,"")</f>
        <v/>
      </c>
      <c r="AX95" s="6" t="str">
        <f>IF(AND(AX$2&gt;$Z95,$Z95&gt;0,OR($AN95&gt;AX$2,ISBLANK($AN95))),AX$2-$Z95,"")</f>
        <v/>
      </c>
      <c r="AY95" s="6" t="str">
        <f>IF(AND(AY$2&gt;$Z95,$Z95&gt;0,OR($AN95&gt;AY$2,ISBLANK($AN95))),AY$2-$Z95,"")</f>
        <v/>
      </c>
      <c r="AZ95" s="6">
        <f ca="1">IF(AND(AZ$2&gt;$Z95,$Z95&gt;0,OR($AN95&gt;AZ$2,ISBLANK($AN95))),AZ$2-$Z95,"")</f>
        <v>7.3822898148137028</v>
      </c>
      <c r="BA95" s="6"/>
      <c r="BB95" s="6"/>
      <c r="BC95" s="6"/>
      <c r="BD95" s="6"/>
    </row>
    <row r="96" spans="2:56" x14ac:dyDescent="0.25">
      <c r="B96" s="13">
        <f t="shared" si="14"/>
        <v>1</v>
      </c>
      <c r="C96" s="13">
        <f t="shared" si="15"/>
        <v>6</v>
      </c>
      <c r="D96" s="13">
        <f t="shared" si="16"/>
        <v>2</v>
      </c>
      <c r="E96" s="13">
        <f t="shared" si="17"/>
        <v>2018</v>
      </c>
      <c r="F96" s="13">
        <f t="shared" si="18"/>
        <v>1</v>
      </c>
      <c r="G96" s="13">
        <f t="shared" si="19"/>
        <v>6</v>
      </c>
      <c r="H96" s="13">
        <f t="shared" si="20"/>
        <v>2</v>
      </c>
      <c r="I96" s="13">
        <f t="shared" si="21"/>
        <v>2018</v>
      </c>
      <c r="J96" s="13">
        <f t="shared" si="22"/>
        <v>1</v>
      </c>
      <c r="K96" s="13">
        <f>IF(J96=1,MONTH(AK96),)</f>
        <v>6</v>
      </c>
      <c r="L96" s="13">
        <f t="shared" si="23"/>
        <v>2</v>
      </c>
      <c r="M96" s="13">
        <f t="shared" si="24"/>
        <v>2018</v>
      </c>
      <c r="N96" s="13">
        <f t="shared" si="25"/>
        <v>1</v>
      </c>
      <c r="O96" s="13">
        <f>IF(N96=1,MONTH(AN96),)</f>
        <v>7</v>
      </c>
      <c r="P96" s="13">
        <f t="shared" si="26"/>
        <v>3</v>
      </c>
      <c r="Q96" s="13">
        <f t="shared" si="27"/>
        <v>2018</v>
      </c>
      <c r="S96" s="38" t="s">
        <v>482</v>
      </c>
      <c r="T96" s="11" t="s">
        <v>38</v>
      </c>
      <c r="U96" s="11" t="s">
        <v>26</v>
      </c>
      <c r="V96" s="39" t="s">
        <v>38</v>
      </c>
      <c r="W96" s="39" t="s">
        <v>27</v>
      </c>
      <c r="X96" s="13"/>
      <c r="Y96" s="13" t="s">
        <v>322</v>
      </c>
      <c r="Z96" s="66">
        <v>43263</v>
      </c>
      <c r="AA96" s="67">
        <v>407000</v>
      </c>
      <c r="AD96" s="10"/>
      <c r="AF96" s="66">
        <v>43270</v>
      </c>
      <c r="AG96" s="67">
        <v>410000</v>
      </c>
      <c r="AH96" s="16">
        <f>AF96-Z96</f>
        <v>7</v>
      </c>
      <c r="AI96" s="16">
        <f>AG96-AA96</f>
        <v>3000</v>
      </c>
      <c r="AJ96" s="36">
        <f>AI96/AA96</f>
        <v>7.3710073710073713E-3</v>
      </c>
      <c r="AK96" s="66">
        <v>43277</v>
      </c>
      <c r="AL96" s="67">
        <v>410000</v>
      </c>
      <c r="AM96" s="6">
        <f>AK96-AF96</f>
        <v>7</v>
      </c>
      <c r="AN96" s="66">
        <v>43308</v>
      </c>
      <c r="AO96" s="67">
        <v>408000</v>
      </c>
      <c r="AP96" s="6">
        <f>AN96-AK96</f>
        <v>31</v>
      </c>
      <c r="AQ96" s="6">
        <f>AH96+AM96+AP96</f>
        <v>45</v>
      </c>
      <c r="AR96" s="6">
        <f>AO96-AA96</f>
        <v>1000</v>
      </c>
      <c r="AS96" s="8">
        <f>AR96/AA96</f>
        <v>2.4570024570024569E-3</v>
      </c>
      <c r="AT96" s="9"/>
      <c r="AU96" s="6" t="str">
        <f>IF(AND(AU$2&gt;$Z96,$Z96&gt;0,OR($AN96&gt;AU$2,ISBLANK($AN96))),AU$2-$Z96,"")</f>
        <v/>
      </c>
      <c r="AV96" s="6">
        <f>IF(AND(AV$2&gt;$Z96,$Z96&gt;0,OR($AN96&gt;AV$2,ISBLANK($AN96))),AV$2-$Z96,"")</f>
        <v>18</v>
      </c>
      <c r="AW96" s="6" t="str">
        <f>IF(AND(AW$2&gt;$Z96,$Z96&gt;0,OR($AN96&gt;AW$2,ISBLANK($AN96))),AW$2-$Z96,"")</f>
        <v/>
      </c>
      <c r="AX96" s="6" t="str">
        <f>IF(AND(AX$2&gt;$Z96,$Z96&gt;0,OR($AN96&gt;AX$2,ISBLANK($AN96))),AX$2-$Z96,"")</f>
        <v/>
      </c>
      <c r="AY96" s="6" t="str">
        <f>IF(AND(AY$2&gt;$Z96,$Z96&gt;0,OR($AN96&gt;AY$2,ISBLANK($AN96))),AY$2-$Z96,"")</f>
        <v/>
      </c>
      <c r="AZ96" s="6" t="str">
        <f ca="1">IF(AND(AZ$2&gt;$Z96,$Z96&gt;0,OR($AN96&gt;AZ$2,ISBLANK($AN96))),AZ$2-$Z96,"")</f>
        <v/>
      </c>
      <c r="BA96" s="6"/>
      <c r="BB96" s="6"/>
      <c r="BC96" s="6"/>
      <c r="BD96" s="6"/>
    </row>
    <row r="97" spans="2:56" x14ac:dyDescent="0.25">
      <c r="B97" s="13">
        <f t="shared" si="14"/>
        <v>1</v>
      </c>
      <c r="C97" s="13">
        <f t="shared" si="15"/>
        <v>9</v>
      </c>
      <c r="D97" s="13">
        <f t="shared" si="16"/>
        <v>3</v>
      </c>
      <c r="E97" s="13">
        <f t="shared" si="17"/>
        <v>2018</v>
      </c>
      <c r="F97" s="13">
        <f t="shared" si="18"/>
        <v>0</v>
      </c>
      <c r="G97" s="13">
        <f t="shared" si="19"/>
        <v>1</v>
      </c>
      <c r="H97" s="13">
        <f t="shared" si="20"/>
        <v>1</v>
      </c>
      <c r="I97" s="13">
        <f t="shared" si="21"/>
        <v>1900</v>
      </c>
      <c r="J97" s="13">
        <f t="shared" si="22"/>
        <v>0</v>
      </c>
      <c r="K97" s="13">
        <f>IF(J97=1,MONTH(AK97),)</f>
        <v>0</v>
      </c>
      <c r="L97" s="13">
        <f t="shared" si="23"/>
        <v>0</v>
      </c>
      <c r="M97" s="13">
        <f t="shared" si="24"/>
        <v>1900</v>
      </c>
      <c r="N97" s="13">
        <f t="shared" si="25"/>
        <v>0</v>
      </c>
      <c r="O97" s="13">
        <f>IF(N97=1,MONTH(AN97),)</f>
        <v>0</v>
      </c>
      <c r="P97" s="13">
        <f t="shared" si="26"/>
        <v>0</v>
      </c>
      <c r="Q97" s="13">
        <f t="shared" si="27"/>
        <v>1900</v>
      </c>
      <c r="S97" s="38" t="s">
        <v>177</v>
      </c>
      <c r="T97" s="11" t="s">
        <v>62</v>
      </c>
      <c r="U97" s="11" t="s">
        <v>26</v>
      </c>
      <c r="V97" s="39" t="s">
        <v>38</v>
      </c>
      <c r="W97" s="39" t="s">
        <v>27</v>
      </c>
      <c r="X97" s="4" t="s">
        <v>178</v>
      </c>
      <c r="Y97" s="4" t="s">
        <v>29</v>
      </c>
      <c r="Z97" s="66">
        <v>43368</v>
      </c>
      <c r="AA97" s="67">
        <v>364000</v>
      </c>
      <c r="AD97" s="10"/>
      <c r="AG97" s="67">
        <v>381100</v>
      </c>
      <c r="AH97" s="16"/>
      <c r="AI97" s="16">
        <f>AG97-AA97</f>
        <v>17100</v>
      </c>
      <c r="AJ97" s="36">
        <f>AI97/AA97</f>
        <v>4.6978021978021978E-2</v>
      </c>
      <c r="AN97" s="66"/>
      <c r="AT97" s="9"/>
      <c r="AU97" s="6" t="str">
        <f>IF(AND(AU$2&gt;$Z97,$Z97&gt;0,OR($AN97&gt;AU$2,ISBLANK($AN97))),AU$2-$Z97,"")</f>
        <v/>
      </c>
      <c r="AV97" s="6" t="str">
        <f>IF(AND(AV$2&gt;$Z97,$Z97&gt;0,OR($AN97&gt;AV$2,ISBLANK($AN97))),AV$2-$Z97,"")</f>
        <v/>
      </c>
      <c r="AW97" s="6" t="str">
        <f>IF(AND(AW$2&gt;$Z97,$Z97&gt;0,OR($AN97&gt;AW$2,ISBLANK($AN97))),AW$2-$Z97,"")</f>
        <v/>
      </c>
      <c r="AX97" s="6" t="str">
        <f>IF(AND(AX$2&gt;$Z97,$Z97&gt;0,OR($AN97&gt;AX$2,ISBLANK($AN97))),AX$2-$Z97,"")</f>
        <v/>
      </c>
      <c r="AY97" s="6">
        <f>IF(AND(AY$2&gt;$Z97,$Z97&gt;0,OR($AN97&gt;AY$2,ISBLANK($AN97))),AY$2-$Z97,"")</f>
        <v>5</v>
      </c>
      <c r="AZ97" s="6">
        <f ca="1">IF(AND(AZ$2&gt;$Z97,$Z97&gt;0,OR($AN97&gt;AZ$2,ISBLANK($AN97))),AZ$2-$Z97,"")</f>
        <v>23.382289814813703</v>
      </c>
      <c r="BA97" s="6"/>
      <c r="BB97" s="6"/>
      <c r="BC97" s="6"/>
      <c r="BD97" s="6"/>
    </row>
    <row r="98" spans="2:56" x14ac:dyDescent="0.25">
      <c r="B98" s="13">
        <f t="shared" si="14"/>
        <v>1</v>
      </c>
      <c r="C98" s="13">
        <f t="shared" si="15"/>
        <v>5</v>
      </c>
      <c r="D98" s="13">
        <f t="shared" si="16"/>
        <v>2</v>
      </c>
      <c r="E98" s="13">
        <f t="shared" si="17"/>
        <v>2018</v>
      </c>
      <c r="F98" s="13">
        <f t="shared" si="18"/>
        <v>1</v>
      </c>
      <c r="G98" s="13">
        <f t="shared" si="19"/>
        <v>6</v>
      </c>
      <c r="H98" s="13">
        <f t="shared" si="20"/>
        <v>2</v>
      </c>
      <c r="I98" s="13">
        <f t="shared" si="21"/>
        <v>2018</v>
      </c>
      <c r="J98" s="13">
        <f t="shared" si="22"/>
        <v>1</v>
      </c>
      <c r="K98" s="13">
        <f>IF(J98=1,MONTH(AK98),)</f>
        <v>7</v>
      </c>
      <c r="L98" s="13">
        <f t="shared" si="23"/>
        <v>3</v>
      </c>
      <c r="M98" s="13">
        <f t="shared" si="24"/>
        <v>2018</v>
      </c>
      <c r="N98" s="13">
        <f t="shared" si="25"/>
        <v>1</v>
      </c>
      <c r="O98" s="13">
        <f>IF(N98=1,MONTH(AN98),)</f>
        <v>8</v>
      </c>
      <c r="P98" s="13">
        <f t="shared" si="26"/>
        <v>3</v>
      </c>
      <c r="Q98" s="13">
        <f t="shared" si="27"/>
        <v>2018</v>
      </c>
      <c r="S98" s="38" t="s">
        <v>428</v>
      </c>
      <c r="T98" s="11" t="s">
        <v>429</v>
      </c>
      <c r="U98" s="11" t="s">
        <v>26</v>
      </c>
      <c r="V98" s="39" t="s">
        <v>38</v>
      </c>
      <c r="W98" s="39" t="s">
        <v>27</v>
      </c>
      <c r="X98" s="13" t="s">
        <v>430</v>
      </c>
      <c r="Y98" s="13" t="s">
        <v>322</v>
      </c>
      <c r="Z98" s="66">
        <v>43250</v>
      </c>
      <c r="AA98" s="67">
        <v>312000</v>
      </c>
      <c r="AD98" s="10"/>
      <c r="AF98" s="66">
        <v>43269</v>
      </c>
      <c r="AG98" s="67">
        <v>320000</v>
      </c>
      <c r="AH98" s="16">
        <f>AF98-Z98</f>
        <v>19</v>
      </c>
      <c r="AI98" s="16">
        <f>AG98-AA98</f>
        <v>8000</v>
      </c>
      <c r="AJ98" s="36">
        <f>AI98/AA98</f>
        <v>2.564102564102564E-2</v>
      </c>
      <c r="AK98" s="66">
        <v>43308</v>
      </c>
      <c r="AL98" s="67">
        <v>317500</v>
      </c>
      <c r="AM98" s="6">
        <f>AK98-AF98</f>
        <v>39</v>
      </c>
      <c r="AN98" s="66">
        <v>43328</v>
      </c>
      <c r="AO98" s="67">
        <v>315000</v>
      </c>
      <c r="AP98" s="6">
        <f>AN98-AK98</f>
        <v>20</v>
      </c>
      <c r="AQ98" s="6">
        <f>AH98+AM98+AP98</f>
        <v>78</v>
      </c>
      <c r="AR98" s="6">
        <f>AO98-AA98</f>
        <v>3000</v>
      </c>
      <c r="AS98" s="8">
        <f>AR98/AA98</f>
        <v>9.6153846153846159E-3</v>
      </c>
      <c r="AT98" s="9"/>
      <c r="AU98" s="6">
        <f>IF(AND(AU$2&gt;$Z98,$Z98&gt;0,OR($AN98&gt;AU$2,ISBLANK($AN98))),AU$2-$Z98,"")</f>
        <v>1</v>
      </c>
      <c r="AV98" s="6">
        <f>IF(AND(AV$2&gt;$Z98,$Z98&gt;0,OR($AN98&gt;AV$2,ISBLANK($AN98))),AV$2-$Z98,"")</f>
        <v>31</v>
      </c>
      <c r="AW98" s="6">
        <f>IF(AND(AW$2&gt;$Z98,$Z98&gt;0,OR($AN98&gt;AW$2,ISBLANK($AN98))),AW$2-$Z98,"")</f>
        <v>62</v>
      </c>
      <c r="AX98" s="6" t="str">
        <f>IF(AND(AX$2&gt;$Z98,$Z98&gt;0,OR($AN98&gt;AX$2,ISBLANK($AN98))),AX$2-$Z98,"")</f>
        <v/>
      </c>
      <c r="AY98" s="6" t="str">
        <f>IF(AND(AY$2&gt;$Z98,$Z98&gt;0,OR($AN98&gt;AY$2,ISBLANK($AN98))),AY$2-$Z98,"")</f>
        <v/>
      </c>
      <c r="AZ98" s="6" t="str">
        <f ca="1">IF(AND(AZ$2&gt;$Z98,$Z98&gt;0,OR($AN98&gt;AZ$2,ISBLANK($AN98))),AZ$2-$Z98,"")</f>
        <v/>
      </c>
      <c r="BA98" s="6"/>
      <c r="BB98" s="6"/>
      <c r="BC98" s="6"/>
      <c r="BD98" s="6"/>
    </row>
    <row r="99" spans="2:56" x14ac:dyDescent="0.25">
      <c r="B99" s="13">
        <f t="shared" si="14"/>
        <v>1</v>
      </c>
      <c r="C99" s="13">
        <f t="shared" si="15"/>
        <v>6</v>
      </c>
      <c r="D99" s="13">
        <f t="shared" si="16"/>
        <v>2</v>
      </c>
      <c r="E99" s="13">
        <f t="shared" si="17"/>
        <v>2018</v>
      </c>
      <c r="F99" s="13">
        <f t="shared" si="18"/>
        <v>1</v>
      </c>
      <c r="G99" s="13">
        <f t="shared" si="19"/>
        <v>7</v>
      </c>
      <c r="H99" s="13">
        <f t="shared" si="20"/>
        <v>3</v>
      </c>
      <c r="I99" s="13">
        <f t="shared" si="21"/>
        <v>2018</v>
      </c>
      <c r="J99" s="13">
        <f t="shared" si="22"/>
        <v>1</v>
      </c>
      <c r="K99" s="13">
        <f>IF(J99=1,MONTH(AK99),)</f>
        <v>7</v>
      </c>
      <c r="L99" s="13">
        <f t="shared" si="23"/>
        <v>3</v>
      </c>
      <c r="M99" s="13">
        <f t="shared" si="24"/>
        <v>2018</v>
      </c>
      <c r="N99" s="13">
        <f t="shared" si="25"/>
        <v>1</v>
      </c>
      <c r="O99" s="13">
        <f>IF(N99=1,MONTH(AN99),)</f>
        <v>8</v>
      </c>
      <c r="P99" s="13">
        <f t="shared" si="26"/>
        <v>3</v>
      </c>
      <c r="Q99" s="13">
        <f t="shared" si="27"/>
        <v>2018</v>
      </c>
      <c r="S99" s="38" t="s">
        <v>417</v>
      </c>
      <c r="T99" s="11" t="s">
        <v>38</v>
      </c>
      <c r="U99" s="11" t="s">
        <v>26</v>
      </c>
      <c r="V99" s="39" t="s">
        <v>38</v>
      </c>
      <c r="W99" s="39" t="s">
        <v>27</v>
      </c>
      <c r="X99" s="4" t="s">
        <v>426</v>
      </c>
      <c r="Y99" s="4" t="s">
        <v>322</v>
      </c>
      <c r="Z99" s="66">
        <v>43271</v>
      </c>
      <c r="AA99" s="67">
        <v>328000</v>
      </c>
      <c r="AD99" s="10"/>
      <c r="AF99" s="66">
        <v>43286</v>
      </c>
      <c r="AG99" s="67">
        <v>330000</v>
      </c>
      <c r="AH99" s="16">
        <f>AF99-Z99</f>
        <v>15</v>
      </c>
      <c r="AI99" s="16">
        <f>AG99-AA99</f>
        <v>2000</v>
      </c>
      <c r="AJ99" s="36">
        <f>AI99/AA99</f>
        <v>6.0975609756097563E-3</v>
      </c>
      <c r="AK99" s="66">
        <v>43293</v>
      </c>
      <c r="AL99" s="67">
        <v>330000</v>
      </c>
      <c r="AM99" s="6">
        <f>AK99-AF99</f>
        <v>7</v>
      </c>
      <c r="AN99" s="66">
        <v>43321</v>
      </c>
      <c r="AO99" s="67">
        <v>330000</v>
      </c>
      <c r="AP99" s="6">
        <f>AN99-AK99</f>
        <v>28</v>
      </c>
      <c r="AQ99" s="6">
        <f>AH99+AM99+AP99</f>
        <v>50</v>
      </c>
      <c r="AR99" s="6">
        <f>AO99-AA99</f>
        <v>2000</v>
      </c>
      <c r="AS99" s="8">
        <f>AR99/AA99</f>
        <v>6.0975609756097563E-3</v>
      </c>
      <c r="AT99" s="9"/>
      <c r="AU99" s="6" t="str">
        <f>IF(AND(AU$2&gt;$Z99,$Z99&gt;0,OR($AN99&gt;AU$2,ISBLANK($AN99))),AU$2-$Z99,"")</f>
        <v/>
      </c>
      <c r="AV99" s="6">
        <f>IF(AND(AV$2&gt;$Z99,$Z99&gt;0,OR($AN99&gt;AV$2,ISBLANK($AN99))),AV$2-$Z99,"")</f>
        <v>10</v>
      </c>
      <c r="AW99" s="6">
        <f>IF(AND(AW$2&gt;$Z99,$Z99&gt;0,OR($AN99&gt;AW$2,ISBLANK($AN99))),AW$2-$Z99,"")</f>
        <v>41</v>
      </c>
      <c r="AX99" s="6" t="str">
        <f>IF(AND(AX$2&gt;$Z99,$Z99&gt;0,OR($AN99&gt;AX$2,ISBLANK($AN99))),AX$2-$Z99,"")</f>
        <v/>
      </c>
      <c r="AY99" s="6" t="str">
        <f>IF(AND(AY$2&gt;$Z99,$Z99&gt;0,OR($AN99&gt;AY$2,ISBLANK($AN99))),AY$2-$Z99,"")</f>
        <v/>
      </c>
      <c r="AZ99" s="6" t="str">
        <f ca="1">IF(AND(AZ$2&gt;$Z99,$Z99&gt;0,OR($AN99&gt;AZ$2,ISBLANK($AN99))),AZ$2-$Z99,"")</f>
        <v/>
      </c>
      <c r="BA99" s="6"/>
      <c r="BB99" s="6"/>
      <c r="BC99" s="6"/>
      <c r="BD99" s="6"/>
    </row>
    <row r="100" spans="2:56" x14ac:dyDescent="0.25">
      <c r="B100" s="13">
        <f t="shared" si="14"/>
        <v>1</v>
      </c>
      <c r="C100" s="13">
        <f t="shared" si="15"/>
        <v>6</v>
      </c>
      <c r="D100" s="13">
        <f t="shared" si="16"/>
        <v>2</v>
      </c>
      <c r="E100" s="13">
        <f t="shared" si="17"/>
        <v>2018</v>
      </c>
      <c r="F100" s="13">
        <f t="shared" si="18"/>
        <v>1</v>
      </c>
      <c r="G100" s="13">
        <f t="shared" si="19"/>
        <v>7</v>
      </c>
      <c r="H100" s="13">
        <f t="shared" si="20"/>
        <v>3</v>
      </c>
      <c r="I100" s="13">
        <f t="shared" si="21"/>
        <v>2018</v>
      </c>
      <c r="J100" s="13">
        <f t="shared" si="22"/>
        <v>0</v>
      </c>
      <c r="K100" s="13">
        <f>IF(J100=1,MONTH(AK100),)</f>
        <v>0</v>
      </c>
      <c r="L100" s="13">
        <f t="shared" si="23"/>
        <v>0</v>
      </c>
      <c r="M100" s="13">
        <f t="shared" si="24"/>
        <v>1900</v>
      </c>
      <c r="N100" s="13">
        <f t="shared" si="25"/>
        <v>0</v>
      </c>
      <c r="O100" s="13">
        <f>IF(N100=1,MONTH(AN100),)</f>
        <v>0</v>
      </c>
      <c r="P100" s="13">
        <f t="shared" si="26"/>
        <v>0</v>
      </c>
      <c r="Q100" s="13">
        <f t="shared" si="27"/>
        <v>1900</v>
      </c>
      <c r="S100" s="38" t="s">
        <v>179</v>
      </c>
      <c r="T100" s="11" t="s">
        <v>38</v>
      </c>
      <c r="U100" s="11" t="s">
        <v>26</v>
      </c>
      <c r="V100" s="39" t="s">
        <v>38</v>
      </c>
      <c r="W100" s="39" t="s">
        <v>27</v>
      </c>
      <c r="X100" s="4" t="s">
        <v>180</v>
      </c>
      <c r="Y100" s="4" t="s">
        <v>29</v>
      </c>
      <c r="Z100" s="66">
        <v>43273</v>
      </c>
      <c r="AA100" s="67">
        <v>290000</v>
      </c>
      <c r="AD100" s="10"/>
      <c r="AF100" s="66">
        <v>43289</v>
      </c>
      <c r="AG100" s="67">
        <v>299000</v>
      </c>
      <c r="AH100" s="16">
        <f>AF100-Z100</f>
        <v>16</v>
      </c>
      <c r="AI100" s="16">
        <f>AG100-AA100</f>
        <v>9000</v>
      </c>
      <c r="AJ100" s="36">
        <f>AI100/AA100</f>
        <v>3.1034482758620689E-2</v>
      </c>
      <c r="AN100" s="66"/>
      <c r="AT100" s="9"/>
      <c r="AU100" s="6" t="str">
        <f>IF(AND(AU$2&gt;$Z100,$Z100&gt;0,OR($AN100&gt;AU$2,ISBLANK($AN100))),AU$2-$Z100,"")</f>
        <v/>
      </c>
      <c r="AV100" s="6">
        <f>IF(AND(AV$2&gt;$Z100,$Z100&gt;0,OR($AN100&gt;AV$2,ISBLANK($AN100))),AV$2-$Z100,"")</f>
        <v>8</v>
      </c>
      <c r="AW100" s="6">
        <f>IF(AND(AW$2&gt;$Z100,$Z100&gt;0,OR($AN100&gt;AW$2,ISBLANK($AN100))),AW$2-$Z100,"")</f>
        <v>39</v>
      </c>
      <c r="AX100" s="6">
        <f>IF(AND(AX$2&gt;$Z100,$Z100&gt;0,OR($AN100&gt;AX$2,ISBLANK($AN100))),AX$2-$Z100,"")</f>
        <v>70</v>
      </c>
      <c r="AY100" s="6">
        <f>IF(AND(AY$2&gt;$Z100,$Z100&gt;0,OR($AN100&gt;AY$2,ISBLANK($AN100))),AY$2-$Z100,"")</f>
        <v>100</v>
      </c>
      <c r="AZ100" s="6">
        <f ca="1">IF(AND(AZ$2&gt;$Z100,$Z100&gt;0,OR($AN100&gt;AZ$2,ISBLANK($AN100))),AZ$2-$Z100,"")</f>
        <v>118.3822898148137</v>
      </c>
      <c r="BA100" s="6"/>
      <c r="BB100" s="6"/>
      <c r="BC100" s="6"/>
      <c r="BD100" s="6"/>
    </row>
    <row r="101" spans="2:56" x14ac:dyDescent="0.25">
      <c r="B101" s="13">
        <f t="shared" si="14"/>
        <v>1</v>
      </c>
      <c r="C101" s="13">
        <f t="shared" si="15"/>
        <v>8</v>
      </c>
      <c r="D101" s="13">
        <f t="shared" si="16"/>
        <v>3</v>
      </c>
      <c r="E101" s="13">
        <f t="shared" si="17"/>
        <v>2018</v>
      </c>
      <c r="F101" s="13">
        <f t="shared" si="18"/>
        <v>1</v>
      </c>
      <c r="G101" s="13">
        <f t="shared" si="19"/>
        <v>9</v>
      </c>
      <c r="H101" s="13">
        <f t="shared" si="20"/>
        <v>3</v>
      </c>
      <c r="I101" s="13">
        <f t="shared" si="21"/>
        <v>2018</v>
      </c>
      <c r="J101" s="13">
        <f t="shared" si="22"/>
        <v>1</v>
      </c>
      <c r="K101" s="13">
        <f>IF(J101=1,MONTH(AK101),)</f>
        <v>10</v>
      </c>
      <c r="L101" s="13">
        <f t="shared" si="23"/>
        <v>4</v>
      </c>
      <c r="M101" s="13">
        <f t="shared" si="24"/>
        <v>2018</v>
      </c>
      <c r="N101" s="13">
        <f t="shared" si="25"/>
        <v>0</v>
      </c>
      <c r="O101" s="13">
        <f>IF(N101=1,MONTH(AN101),)</f>
        <v>0</v>
      </c>
      <c r="P101" s="13">
        <f t="shared" si="26"/>
        <v>0</v>
      </c>
      <c r="Q101" s="13">
        <f t="shared" si="27"/>
        <v>1900</v>
      </c>
      <c r="S101" s="38" t="s">
        <v>181</v>
      </c>
      <c r="T101" s="11" t="s">
        <v>182</v>
      </c>
      <c r="U101" s="11" t="s">
        <v>26</v>
      </c>
      <c r="V101" s="39" t="s">
        <v>38</v>
      </c>
      <c r="W101" s="39" t="s">
        <v>458</v>
      </c>
      <c r="X101" s="4" t="s">
        <v>459</v>
      </c>
      <c r="Y101" s="4" t="s">
        <v>29</v>
      </c>
      <c r="Z101" s="66">
        <v>43334</v>
      </c>
      <c r="AA101" s="67">
        <v>249000</v>
      </c>
      <c r="AD101" s="10"/>
      <c r="AF101" s="66">
        <v>43351</v>
      </c>
      <c r="AG101" s="67">
        <v>265300</v>
      </c>
      <c r="AH101" s="16">
        <f>AF101-Z101</f>
        <v>17</v>
      </c>
      <c r="AI101" s="16">
        <f>AG101-AA101</f>
        <v>16300</v>
      </c>
      <c r="AJ101" s="36">
        <f>AI101/AA101</f>
        <v>6.5461847389558236E-2</v>
      </c>
      <c r="AK101" s="66">
        <v>43376</v>
      </c>
      <c r="AL101" s="67">
        <v>265300</v>
      </c>
      <c r="AM101" s="6">
        <f>AK101-AF101</f>
        <v>25</v>
      </c>
      <c r="AN101" s="66"/>
      <c r="AT101" s="9"/>
      <c r="AU101" s="6" t="str">
        <f>IF(AND(AU$2&gt;$Z101,$Z101&gt;0,OR($AN101&gt;AU$2,ISBLANK($AN101))),AU$2-$Z101,"")</f>
        <v/>
      </c>
      <c r="AV101" s="6" t="str">
        <f>IF(AND(AV$2&gt;$Z101,$Z101&gt;0,OR($AN101&gt;AV$2,ISBLANK($AN101))),AV$2-$Z101,"")</f>
        <v/>
      </c>
      <c r="AW101" s="6" t="str">
        <f>IF(AND(AW$2&gt;$Z101,$Z101&gt;0,OR($AN101&gt;AW$2,ISBLANK($AN101))),AW$2-$Z101,"")</f>
        <v/>
      </c>
      <c r="AX101" s="6">
        <f>IF(AND(AX$2&gt;$Z101,$Z101&gt;0,OR($AN101&gt;AX$2,ISBLANK($AN101))),AX$2-$Z101,"")</f>
        <v>9</v>
      </c>
      <c r="AY101" s="6">
        <f>IF(AND(AY$2&gt;$Z101,$Z101&gt;0,OR($AN101&gt;AY$2,ISBLANK($AN101))),AY$2-$Z101,"")</f>
        <v>39</v>
      </c>
      <c r="AZ101" s="6">
        <f ca="1">IF(AND(AZ$2&gt;$Z101,$Z101&gt;0,OR($AN101&gt;AZ$2,ISBLANK($AN101))),AZ$2-$Z101,"")</f>
        <v>57.382289814813703</v>
      </c>
      <c r="BA101" s="6"/>
      <c r="BB101" s="6"/>
      <c r="BC101" s="6"/>
      <c r="BD101" s="6"/>
    </row>
    <row r="102" spans="2:56" x14ac:dyDescent="0.25">
      <c r="B102" s="13">
        <f t="shared" si="14"/>
        <v>1</v>
      </c>
      <c r="C102" s="13">
        <f t="shared" si="15"/>
        <v>8</v>
      </c>
      <c r="D102" s="13">
        <f t="shared" si="16"/>
        <v>3</v>
      </c>
      <c r="E102" s="13">
        <f t="shared" si="17"/>
        <v>2018</v>
      </c>
      <c r="F102" s="13">
        <f t="shared" si="18"/>
        <v>1</v>
      </c>
      <c r="G102" s="13">
        <f t="shared" si="19"/>
        <v>9</v>
      </c>
      <c r="H102" s="13">
        <f t="shared" si="20"/>
        <v>3</v>
      </c>
      <c r="I102" s="13">
        <f t="shared" si="21"/>
        <v>2018</v>
      </c>
      <c r="J102" s="13">
        <f t="shared" si="22"/>
        <v>0</v>
      </c>
      <c r="K102" s="13">
        <f>IF(J102=1,MONTH(AK102),)</f>
        <v>0</v>
      </c>
      <c r="L102" s="13">
        <f t="shared" si="23"/>
        <v>0</v>
      </c>
      <c r="M102" s="13">
        <f t="shared" si="24"/>
        <v>1900</v>
      </c>
      <c r="N102" s="13">
        <f t="shared" si="25"/>
        <v>0</v>
      </c>
      <c r="O102" s="13">
        <f>IF(N102=1,MONTH(AN102),)</f>
        <v>0</v>
      </c>
      <c r="P102" s="13">
        <f t="shared" si="26"/>
        <v>0</v>
      </c>
      <c r="Q102" s="13">
        <f t="shared" si="27"/>
        <v>1900</v>
      </c>
      <c r="S102" s="38" t="s">
        <v>183</v>
      </c>
      <c r="T102" s="11" t="s">
        <v>160</v>
      </c>
      <c r="U102" s="11" t="s">
        <v>26</v>
      </c>
      <c r="V102" s="39" t="s">
        <v>38</v>
      </c>
      <c r="W102" s="39" t="s">
        <v>27</v>
      </c>
      <c r="X102" s="4" t="s">
        <v>184</v>
      </c>
      <c r="Y102" s="4" t="s">
        <v>29</v>
      </c>
      <c r="Z102" s="66">
        <v>43343</v>
      </c>
      <c r="AA102" s="67">
        <v>381225</v>
      </c>
      <c r="AD102" s="10"/>
      <c r="AF102" s="66">
        <v>43356</v>
      </c>
      <c r="AG102" s="67">
        <v>395000</v>
      </c>
      <c r="AH102" s="16">
        <f>AF102-Z102</f>
        <v>13</v>
      </c>
      <c r="AI102" s="16">
        <f>AG102-AA102</f>
        <v>13775</v>
      </c>
      <c r="AJ102" s="36">
        <f>AI102/AA102</f>
        <v>3.6133516951931274E-2</v>
      </c>
      <c r="AN102" s="66"/>
      <c r="AT102" s="9"/>
      <c r="AU102" s="6" t="str">
        <f>IF(AND(AU$2&gt;$Z102,$Z102&gt;0,OR($AN102&gt;AU$2,ISBLANK($AN102))),AU$2-$Z102,"")</f>
        <v/>
      </c>
      <c r="AV102" s="6" t="str">
        <f>IF(AND(AV$2&gt;$Z102,$Z102&gt;0,OR($AN102&gt;AV$2,ISBLANK($AN102))),AV$2-$Z102,"")</f>
        <v/>
      </c>
      <c r="AW102" s="6" t="str">
        <f>IF(AND(AW$2&gt;$Z102,$Z102&gt;0,OR($AN102&gt;AW$2,ISBLANK($AN102))),AW$2-$Z102,"")</f>
        <v/>
      </c>
      <c r="AX102" s="6" t="str">
        <f>IF(AND(AX$2&gt;$Z102,$Z102&gt;0,OR($AN102&gt;AX$2,ISBLANK($AN102))),AX$2-$Z102,"")</f>
        <v/>
      </c>
      <c r="AY102" s="6">
        <f>IF(AND(AY$2&gt;$Z102,$Z102&gt;0,OR($AN102&gt;AY$2,ISBLANK($AN102))),AY$2-$Z102,"")</f>
        <v>30</v>
      </c>
      <c r="AZ102" s="6">
        <f ca="1">IF(AND(AZ$2&gt;$Z102,$Z102&gt;0,OR($AN102&gt;AZ$2,ISBLANK($AN102))),AZ$2-$Z102,"")</f>
        <v>48.382289814813703</v>
      </c>
      <c r="BA102" s="6"/>
      <c r="BB102" s="6"/>
      <c r="BC102" s="6"/>
      <c r="BD102" s="6"/>
    </row>
    <row r="103" spans="2:56" x14ac:dyDescent="0.25">
      <c r="B103" s="13">
        <f t="shared" si="14"/>
        <v>1</v>
      </c>
      <c r="C103" s="13">
        <f t="shared" si="15"/>
        <v>9</v>
      </c>
      <c r="D103" s="13">
        <f t="shared" si="16"/>
        <v>3</v>
      </c>
      <c r="E103" s="13">
        <f t="shared" si="17"/>
        <v>2018</v>
      </c>
      <c r="F103" s="13">
        <f t="shared" si="18"/>
        <v>1</v>
      </c>
      <c r="G103" s="13">
        <f t="shared" si="19"/>
        <v>10</v>
      </c>
      <c r="H103" s="13">
        <f t="shared" si="20"/>
        <v>4</v>
      </c>
      <c r="I103" s="13">
        <f t="shared" si="21"/>
        <v>2018</v>
      </c>
      <c r="J103" s="13">
        <f t="shared" si="22"/>
        <v>0</v>
      </c>
      <c r="K103" s="13">
        <f>IF(J103=1,MONTH(AK103),)</f>
        <v>0</v>
      </c>
      <c r="L103" s="13">
        <f t="shared" si="23"/>
        <v>0</v>
      </c>
      <c r="M103" s="13">
        <f t="shared" si="24"/>
        <v>1900</v>
      </c>
      <c r="N103" s="13">
        <f t="shared" si="25"/>
        <v>0</v>
      </c>
      <c r="O103" s="13">
        <f>IF(N103=1,MONTH(AN103),)</f>
        <v>0</v>
      </c>
      <c r="P103" s="13">
        <f t="shared" si="26"/>
        <v>0</v>
      </c>
      <c r="Q103" s="13">
        <f t="shared" si="27"/>
        <v>1900</v>
      </c>
      <c r="S103" s="38" t="s">
        <v>185</v>
      </c>
      <c r="T103" s="11" t="s">
        <v>40</v>
      </c>
      <c r="U103" s="11" t="s">
        <v>26</v>
      </c>
      <c r="V103" s="39" t="s">
        <v>38</v>
      </c>
      <c r="W103" s="39" t="s">
        <v>27</v>
      </c>
      <c r="X103" s="4" t="s">
        <v>186</v>
      </c>
      <c r="Y103" s="4" t="s">
        <v>29</v>
      </c>
      <c r="Z103" s="66">
        <v>43371</v>
      </c>
      <c r="AA103" s="67">
        <v>360000</v>
      </c>
      <c r="AD103" s="10"/>
      <c r="AF103" s="66">
        <v>43387</v>
      </c>
      <c r="AG103" s="67">
        <v>375900</v>
      </c>
      <c r="AH103" s="16">
        <f>AF103-Z103</f>
        <v>16</v>
      </c>
      <c r="AI103" s="16">
        <f>AG103-AA103</f>
        <v>15900</v>
      </c>
      <c r="AJ103" s="36">
        <f>AI103/AA103</f>
        <v>4.4166666666666667E-2</v>
      </c>
      <c r="AN103" s="66"/>
      <c r="AT103" s="9"/>
      <c r="AU103" s="6" t="str">
        <f>IF(AND(AU$2&gt;$Z103,$Z103&gt;0,OR($AN103&gt;AU$2,ISBLANK($AN103))),AU$2-$Z103,"")</f>
        <v/>
      </c>
      <c r="AV103" s="6" t="str">
        <f>IF(AND(AV$2&gt;$Z103,$Z103&gt;0,OR($AN103&gt;AV$2,ISBLANK($AN103))),AV$2-$Z103,"")</f>
        <v/>
      </c>
      <c r="AW103" s="6" t="str">
        <f>IF(AND(AW$2&gt;$Z103,$Z103&gt;0,OR($AN103&gt;AW$2,ISBLANK($AN103))),AW$2-$Z103,"")</f>
        <v/>
      </c>
      <c r="AX103" s="6" t="str">
        <f>IF(AND(AX$2&gt;$Z103,$Z103&gt;0,OR($AN103&gt;AX$2,ISBLANK($AN103))),AX$2-$Z103,"")</f>
        <v/>
      </c>
      <c r="AY103" s="6">
        <f>IF(AND(AY$2&gt;$Z103,$Z103&gt;0,OR($AN103&gt;AY$2,ISBLANK($AN103))),AY$2-$Z103,"")</f>
        <v>2</v>
      </c>
      <c r="AZ103" s="6">
        <f ca="1">IF(AND(AZ$2&gt;$Z103,$Z103&gt;0,OR($AN103&gt;AZ$2,ISBLANK($AN103))),AZ$2-$Z103,"")</f>
        <v>20.382289814813703</v>
      </c>
      <c r="BA103" s="6"/>
      <c r="BB103" s="6"/>
      <c r="BC103" s="6"/>
      <c r="BD103" s="6"/>
    </row>
    <row r="104" spans="2:56" x14ac:dyDescent="0.25">
      <c r="B104" s="13">
        <f t="shared" si="14"/>
        <v>1</v>
      </c>
      <c r="C104" s="13">
        <f t="shared" si="15"/>
        <v>8</v>
      </c>
      <c r="D104" s="13">
        <f t="shared" si="16"/>
        <v>3</v>
      </c>
      <c r="E104" s="13">
        <f t="shared" si="17"/>
        <v>2018</v>
      </c>
      <c r="F104" s="13">
        <f t="shared" si="18"/>
        <v>1</v>
      </c>
      <c r="G104" s="13">
        <f t="shared" si="19"/>
        <v>8</v>
      </c>
      <c r="H104" s="13">
        <f t="shared" si="20"/>
        <v>3</v>
      </c>
      <c r="I104" s="13">
        <f t="shared" si="21"/>
        <v>2018</v>
      </c>
      <c r="J104" s="13">
        <f t="shared" si="22"/>
        <v>0</v>
      </c>
      <c r="K104" s="13">
        <f>IF(J104=1,MONTH(AK104),)</f>
        <v>0</v>
      </c>
      <c r="L104" s="13">
        <f t="shared" si="23"/>
        <v>0</v>
      </c>
      <c r="M104" s="13">
        <f t="shared" si="24"/>
        <v>1900</v>
      </c>
      <c r="N104" s="13">
        <f t="shared" si="25"/>
        <v>0</v>
      </c>
      <c r="O104" s="13">
        <f>IF(N104=1,MONTH(AN104),)</f>
        <v>0</v>
      </c>
      <c r="P104" s="13">
        <f t="shared" si="26"/>
        <v>0</v>
      </c>
      <c r="Q104" s="13">
        <f t="shared" si="27"/>
        <v>1900</v>
      </c>
      <c r="S104" s="38" t="s">
        <v>187</v>
      </c>
      <c r="T104" s="11" t="s">
        <v>38</v>
      </c>
      <c r="U104" s="11" t="s">
        <v>26</v>
      </c>
      <c r="V104" s="39" t="s">
        <v>38</v>
      </c>
      <c r="W104" s="39" t="s">
        <v>27</v>
      </c>
      <c r="X104" s="4" t="s">
        <v>188</v>
      </c>
      <c r="Y104" s="4" t="s">
        <v>29</v>
      </c>
      <c r="Z104" s="66">
        <v>43320</v>
      </c>
      <c r="AA104" s="67">
        <v>388855</v>
      </c>
      <c r="AD104" s="10"/>
      <c r="AF104" s="66">
        <v>43339</v>
      </c>
      <c r="AG104" s="67">
        <v>399900</v>
      </c>
      <c r="AH104" s="16">
        <f>AF104-Z104</f>
        <v>19</v>
      </c>
      <c r="AI104" s="16">
        <f>AG104-AA104</f>
        <v>11045</v>
      </c>
      <c r="AJ104" s="36">
        <f>AI104/AA104</f>
        <v>2.8403903768756993E-2</v>
      </c>
      <c r="AN104" s="66"/>
      <c r="AT104" s="9"/>
      <c r="AU104" s="6" t="str">
        <f>IF(AND(AU$2&gt;$Z104,$Z104&gt;0,OR($AN104&gt;AU$2,ISBLANK($AN104))),AU$2-$Z104,"")</f>
        <v/>
      </c>
      <c r="AV104" s="6" t="str">
        <f>IF(AND(AV$2&gt;$Z104,$Z104&gt;0,OR($AN104&gt;AV$2,ISBLANK($AN104))),AV$2-$Z104,"")</f>
        <v/>
      </c>
      <c r="AW104" s="6" t="str">
        <f>IF(AND(AW$2&gt;$Z104,$Z104&gt;0,OR($AN104&gt;AW$2,ISBLANK($AN104))),AW$2-$Z104,"")</f>
        <v/>
      </c>
      <c r="AX104" s="6">
        <f>IF(AND(AX$2&gt;$Z104,$Z104&gt;0,OR($AN104&gt;AX$2,ISBLANK($AN104))),AX$2-$Z104,"")</f>
        <v>23</v>
      </c>
      <c r="AY104" s="6">
        <f>IF(AND(AY$2&gt;$Z104,$Z104&gt;0,OR($AN104&gt;AY$2,ISBLANK($AN104))),AY$2-$Z104,"")</f>
        <v>53</v>
      </c>
      <c r="AZ104" s="6">
        <f ca="1">IF(AND(AZ$2&gt;$Z104,$Z104&gt;0,OR($AN104&gt;AZ$2,ISBLANK($AN104))),AZ$2-$Z104,"")</f>
        <v>71.382289814813703</v>
      </c>
      <c r="BA104" s="6"/>
      <c r="BB104" s="6"/>
      <c r="BC104" s="6"/>
      <c r="BD104" s="6"/>
    </row>
    <row r="105" spans="2:56" x14ac:dyDescent="0.25">
      <c r="B105" s="13">
        <f t="shared" si="14"/>
        <v>1</v>
      </c>
      <c r="C105" s="13">
        <f t="shared" si="15"/>
        <v>9</v>
      </c>
      <c r="D105" s="13">
        <f t="shared" si="16"/>
        <v>3</v>
      </c>
      <c r="E105" s="13">
        <f t="shared" si="17"/>
        <v>2018</v>
      </c>
      <c r="F105" s="13">
        <f t="shared" si="18"/>
        <v>0</v>
      </c>
      <c r="G105" s="13">
        <f t="shared" si="19"/>
        <v>1</v>
      </c>
      <c r="H105" s="13">
        <f t="shared" si="20"/>
        <v>1</v>
      </c>
      <c r="I105" s="13">
        <f t="shared" si="21"/>
        <v>1900</v>
      </c>
      <c r="J105" s="13">
        <f t="shared" si="22"/>
        <v>0</v>
      </c>
      <c r="K105" s="13">
        <f>IF(J105=1,MONTH(AK105),)</f>
        <v>0</v>
      </c>
      <c r="L105" s="13">
        <f t="shared" si="23"/>
        <v>0</v>
      </c>
      <c r="M105" s="13">
        <f t="shared" si="24"/>
        <v>1900</v>
      </c>
      <c r="N105" s="13">
        <f t="shared" si="25"/>
        <v>0</v>
      </c>
      <c r="O105" s="13">
        <f>IF(N105=1,MONTH(AN105),)</f>
        <v>0</v>
      </c>
      <c r="P105" s="13">
        <f t="shared" si="26"/>
        <v>0</v>
      </c>
      <c r="Q105" s="13">
        <f t="shared" si="27"/>
        <v>1900</v>
      </c>
      <c r="S105" s="38" t="s">
        <v>189</v>
      </c>
      <c r="T105" s="11" t="s">
        <v>38</v>
      </c>
      <c r="U105" s="11" t="s">
        <v>26</v>
      </c>
      <c r="V105" s="39" t="s">
        <v>38</v>
      </c>
      <c r="W105" s="39" t="s">
        <v>27</v>
      </c>
      <c r="X105" s="4" t="s">
        <v>190</v>
      </c>
      <c r="Y105" s="4" t="s">
        <v>29</v>
      </c>
      <c r="Z105" s="66">
        <v>43357</v>
      </c>
      <c r="AA105" s="67">
        <v>407000</v>
      </c>
      <c r="AD105" s="10"/>
      <c r="AG105" s="67">
        <v>423300</v>
      </c>
      <c r="AH105" s="16"/>
      <c r="AI105" s="16">
        <f>AG105-AA105</f>
        <v>16300</v>
      </c>
      <c r="AJ105" s="36">
        <f>AI105/AA105</f>
        <v>4.004914004914005E-2</v>
      </c>
      <c r="AN105" s="66"/>
      <c r="AT105" s="9"/>
      <c r="AU105" s="6" t="str">
        <f>IF(AND(AU$2&gt;$Z105,$Z105&gt;0,OR($AN105&gt;AU$2,ISBLANK($AN105))),AU$2-$Z105,"")</f>
        <v/>
      </c>
      <c r="AV105" s="6" t="str">
        <f>IF(AND(AV$2&gt;$Z105,$Z105&gt;0,OR($AN105&gt;AV$2,ISBLANK($AN105))),AV$2-$Z105,"")</f>
        <v/>
      </c>
      <c r="AW105" s="6" t="str">
        <f>IF(AND(AW$2&gt;$Z105,$Z105&gt;0,OR($AN105&gt;AW$2,ISBLANK($AN105))),AW$2-$Z105,"")</f>
        <v/>
      </c>
      <c r="AX105" s="6" t="str">
        <f>IF(AND(AX$2&gt;$Z105,$Z105&gt;0,OR($AN105&gt;AX$2,ISBLANK($AN105))),AX$2-$Z105,"")</f>
        <v/>
      </c>
      <c r="AY105" s="6">
        <f>IF(AND(AY$2&gt;$Z105,$Z105&gt;0,OR($AN105&gt;AY$2,ISBLANK($AN105))),AY$2-$Z105,"")</f>
        <v>16</v>
      </c>
      <c r="AZ105" s="6">
        <f ca="1">IF(AND(AZ$2&gt;$Z105,$Z105&gt;0,OR($AN105&gt;AZ$2,ISBLANK($AN105))),AZ$2-$Z105,"")</f>
        <v>34.382289814813703</v>
      </c>
      <c r="BA105" s="6"/>
      <c r="BB105" s="6"/>
      <c r="BC105" s="6"/>
      <c r="BD105" s="6"/>
    </row>
    <row r="106" spans="2:56" x14ac:dyDescent="0.25">
      <c r="B106" s="13">
        <f t="shared" si="14"/>
        <v>1</v>
      </c>
      <c r="C106" s="13">
        <f t="shared" si="15"/>
        <v>10</v>
      </c>
      <c r="D106" s="13">
        <f t="shared" si="16"/>
        <v>4</v>
      </c>
      <c r="E106" s="13">
        <f t="shared" si="17"/>
        <v>2018</v>
      </c>
      <c r="F106" s="13">
        <f t="shared" si="18"/>
        <v>0</v>
      </c>
      <c r="G106" s="13">
        <f t="shared" si="19"/>
        <v>1</v>
      </c>
      <c r="H106" s="13">
        <f t="shared" si="20"/>
        <v>1</v>
      </c>
      <c r="I106" s="13">
        <f t="shared" si="21"/>
        <v>1900</v>
      </c>
      <c r="J106" s="13">
        <f t="shared" si="22"/>
        <v>0</v>
      </c>
      <c r="K106" s="13">
        <f>IF(J106=1,MONTH(AK106),)</f>
        <v>0</v>
      </c>
      <c r="L106" s="13">
        <f t="shared" si="23"/>
        <v>0</v>
      </c>
      <c r="M106" s="13">
        <f t="shared" si="24"/>
        <v>1900</v>
      </c>
      <c r="N106" s="13">
        <f t="shared" si="25"/>
        <v>0</v>
      </c>
      <c r="O106" s="13">
        <f>IF(N106=1,MONTH(AN106),)</f>
        <v>0</v>
      </c>
      <c r="P106" s="13">
        <f t="shared" si="26"/>
        <v>0</v>
      </c>
      <c r="Q106" s="13">
        <f t="shared" si="27"/>
        <v>1900</v>
      </c>
      <c r="S106" s="38" t="s">
        <v>191</v>
      </c>
      <c r="T106" s="11" t="s">
        <v>38</v>
      </c>
      <c r="U106" s="11" t="s">
        <v>26</v>
      </c>
      <c r="V106" s="39" t="s">
        <v>38</v>
      </c>
      <c r="W106" s="39" t="s">
        <v>27</v>
      </c>
      <c r="X106" s="13"/>
      <c r="Y106" s="4" t="s">
        <v>322</v>
      </c>
      <c r="Z106" s="66">
        <v>43377</v>
      </c>
      <c r="AA106" s="67">
        <v>396300</v>
      </c>
      <c r="AD106" s="10"/>
      <c r="AG106" s="67">
        <v>411900</v>
      </c>
      <c r="AH106" s="16"/>
      <c r="AI106" s="16">
        <f>AG106-AA106</f>
        <v>15600</v>
      </c>
      <c r="AJ106" s="36">
        <f>AI106/AA106</f>
        <v>3.936411809235428E-2</v>
      </c>
      <c r="AN106" s="66"/>
      <c r="AT106" s="9"/>
      <c r="AU106" s="6" t="str">
        <f>IF(AND(AU$2&gt;$Z106,$Z106&gt;0,OR($AN106&gt;AU$2,ISBLANK($AN106))),AU$2-$Z106,"")</f>
        <v/>
      </c>
      <c r="AV106" s="6" t="str">
        <f>IF(AND(AV$2&gt;$Z106,$Z106&gt;0,OR($AN106&gt;AV$2,ISBLANK($AN106))),AV$2-$Z106,"")</f>
        <v/>
      </c>
      <c r="AW106" s="6" t="str">
        <f>IF(AND(AW$2&gt;$Z106,$Z106&gt;0,OR($AN106&gt;AW$2,ISBLANK($AN106))),AW$2-$Z106,"")</f>
        <v/>
      </c>
      <c r="AX106" s="6" t="str">
        <f>IF(AND(AX$2&gt;$Z106,$Z106&gt;0,OR($AN106&gt;AX$2,ISBLANK($AN106))),AX$2-$Z106,"")</f>
        <v/>
      </c>
      <c r="AY106" s="6" t="str">
        <f>IF(AND(AY$2&gt;$Z106,$Z106&gt;0,OR($AN106&gt;AY$2,ISBLANK($AN106))),AY$2-$Z106,"")</f>
        <v/>
      </c>
      <c r="AZ106" s="6">
        <f ca="1">IF(AND(AZ$2&gt;$Z106,$Z106&gt;0,OR($AN106&gt;AZ$2,ISBLANK($AN106))),AZ$2-$Z106,"")</f>
        <v>14.382289814813703</v>
      </c>
      <c r="BA106" s="6"/>
      <c r="BB106" s="6"/>
      <c r="BC106" s="6"/>
      <c r="BD106" s="6"/>
    </row>
    <row r="107" spans="2:56" x14ac:dyDescent="0.25">
      <c r="B107" s="13">
        <f t="shared" si="14"/>
        <v>1</v>
      </c>
      <c r="C107" s="13">
        <f t="shared" si="15"/>
        <v>7</v>
      </c>
      <c r="D107" s="13">
        <f t="shared" si="16"/>
        <v>3</v>
      </c>
      <c r="E107" s="13">
        <f t="shared" si="17"/>
        <v>2018</v>
      </c>
      <c r="F107" s="13">
        <f t="shared" si="18"/>
        <v>1</v>
      </c>
      <c r="G107" s="13">
        <f t="shared" si="19"/>
        <v>8</v>
      </c>
      <c r="H107" s="13">
        <f t="shared" si="20"/>
        <v>3</v>
      </c>
      <c r="I107" s="13">
        <f t="shared" si="21"/>
        <v>2018</v>
      </c>
      <c r="J107" s="13">
        <f t="shared" si="22"/>
        <v>1</v>
      </c>
      <c r="K107" s="13">
        <f>IF(J107=1,MONTH(AK107),)</f>
        <v>8</v>
      </c>
      <c r="L107" s="13">
        <f t="shared" si="23"/>
        <v>3</v>
      </c>
      <c r="M107" s="13">
        <f t="shared" si="24"/>
        <v>2018</v>
      </c>
      <c r="N107" s="13">
        <f t="shared" si="25"/>
        <v>1</v>
      </c>
      <c r="O107" s="13">
        <f>IF(N107=1,MONTH(AN107),)</f>
        <v>8</v>
      </c>
      <c r="P107" s="13">
        <f t="shared" si="26"/>
        <v>3</v>
      </c>
      <c r="Q107" s="13">
        <f t="shared" si="27"/>
        <v>2018</v>
      </c>
      <c r="S107" s="38" t="s">
        <v>483</v>
      </c>
      <c r="T107" s="11" t="s">
        <v>38</v>
      </c>
      <c r="U107" s="11" t="s">
        <v>26</v>
      </c>
      <c r="V107" s="39" t="s">
        <v>38</v>
      </c>
      <c r="W107" s="39" t="s">
        <v>27</v>
      </c>
      <c r="Y107" s="4" t="s">
        <v>29</v>
      </c>
      <c r="Z107" s="66">
        <v>43306</v>
      </c>
      <c r="AA107" s="67">
        <v>245500</v>
      </c>
      <c r="AD107" s="10"/>
      <c r="AF107" s="66">
        <v>43321</v>
      </c>
      <c r="AG107" s="67">
        <v>251300</v>
      </c>
      <c r="AH107" s="16">
        <f>AF107-Z107</f>
        <v>15</v>
      </c>
      <c r="AI107" s="16">
        <f>AG107-AA107</f>
        <v>5800</v>
      </c>
      <c r="AJ107" s="36">
        <f>AI107/AA107</f>
        <v>2.3625254582484725E-2</v>
      </c>
      <c r="AK107" s="66">
        <v>43328</v>
      </c>
      <c r="AL107" s="67">
        <v>251300</v>
      </c>
      <c r="AM107" s="6">
        <f>AK107-AF107</f>
        <v>7</v>
      </c>
      <c r="AN107" s="66">
        <v>43336</v>
      </c>
      <c r="AO107" s="67">
        <v>248000</v>
      </c>
      <c r="AP107" s="6">
        <f>AN107-AK107</f>
        <v>8</v>
      </c>
      <c r="AQ107" s="6">
        <f>AH107+AM107+AP107</f>
        <v>30</v>
      </c>
      <c r="AR107" s="6">
        <f>AO107-AA107</f>
        <v>2500</v>
      </c>
      <c r="AS107" s="8">
        <f>AR107/AA107</f>
        <v>1.0183299389002037E-2</v>
      </c>
      <c r="AT107" s="9"/>
      <c r="AU107" s="6" t="str">
        <f>IF(AND(AU$2&gt;$Z107,$Z107&gt;0,OR($AN107&gt;AU$2,ISBLANK($AN107))),AU$2-$Z107,"")</f>
        <v/>
      </c>
      <c r="AV107" s="6" t="str">
        <f>IF(AND(AV$2&gt;$Z107,$Z107&gt;0,OR($AN107&gt;AV$2,ISBLANK($AN107))),AV$2-$Z107,"")</f>
        <v/>
      </c>
      <c r="AW107" s="6">
        <f>IF(AND(AW$2&gt;$Z107,$Z107&gt;0,OR($AN107&gt;AW$2,ISBLANK($AN107))),AW$2-$Z107,"")</f>
        <v>6</v>
      </c>
      <c r="AX107" s="6" t="str">
        <f>IF(AND(AX$2&gt;$Z107,$Z107&gt;0,OR($AN107&gt;AX$2,ISBLANK($AN107))),AX$2-$Z107,"")</f>
        <v/>
      </c>
      <c r="AY107" s="6" t="str">
        <f>IF(AND(AY$2&gt;$Z107,$Z107&gt;0,OR($AN107&gt;AY$2,ISBLANK($AN107))),AY$2-$Z107,"")</f>
        <v/>
      </c>
      <c r="AZ107" s="6" t="str">
        <f ca="1">IF(AND(AZ$2&gt;$Z107,$Z107&gt;0,OR($AN107&gt;AZ$2,ISBLANK($AN107))),AZ$2-$Z107,"")</f>
        <v/>
      </c>
      <c r="BA107" s="6"/>
      <c r="BB107" s="6"/>
      <c r="BC107" s="6"/>
      <c r="BD107" s="6"/>
    </row>
    <row r="108" spans="2:56" x14ac:dyDescent="0.25">
      <c r="B108" s="13">
        <f t="shared" si="14"/>
        <v>1</v>
      </c>
      <c r="C108" s="13">
        <f t="shared" si="15"/>
        <v>10</v>
      </c>
      <c r="D108" s="13">
        <f t="shared" si="16"/>
        <v>4</v>
      </c>
      <c r="E108" s="13">
        <f t="shared" si="17"/>
        <v>2018</v>
      </c>
      <c r="F108" s="13">
        <f t="shared" si="18"/>
        <v>0</v>
      </c>
      <c r="G108" s="13">
        <f t="shared" si="19"/>
        <v>1</v>
      </c>
      <c r="H108" s="13">
        <f t="shared" si="20"/>
        <v>1</v>
      </c>
      <c r="I108" s="13">
        <f t="shared" si="21"/>
        <v>1900</v>
      </c>
      <c r="J108" s="13">
        <f t="shared" si="22"/>
        <v>0</v>
      </c>
      <c r="K108" s="13">
        <f>IF(J108=1,MONTH(AK108),)</f>
        <v>0</v>
      </c>
      <c r="L108" s="13">
        <f t="shared" si="23"/>
        <v>0</v>
      </c>
      <c r="M108" s="13">
        <f t="shared" si="24"/>
        <v>1900</v>
      </c>
      <c r="N108" s="13">
        <f t="shared" si="25"/>
        <v>0</v>
      </c>
      <c r="O108" s="13">
        <f>IF(N108=1,MONTH(AN108),)</f>
        <v>0</v>
      </c>
      <c r="P108" s="13">
        <f t="shared" si="26"/>
        <v>0</v>
      </c>
      <c r="Q108" s="13">
        <f t="shared" si="27"/>
        <v>1900</v>
      </c>
      <c r="S108" s="38" t="s">
        <v>518</v>
      </c>
      <c r="T108" s="11" t="s">
        <v>38</v>
      </c>
      <c r="U108" s="11" t="s">
        <v>26</v>
      </c>
      <c r="V108" s="39" t="s">
        <v>38</v>
      </c>
      <c r="W108" s="39" t="s">
        <v>27</v>
      </c>
      <c r="X108" s="13"/>
      <c r="Y108" s="13"/>
      <c r="Z108" s="66">
        <v>43388</v>
      </c>
      <c r="AA108" s="67">
        <v>439800</v>
      </c>
      <c r="AD108" s="10"/>
      <c r="AG108" s="67">
        <v>445900</v>
      </c>
      <c r="AH108" s="16"/>
      <c r="AI108" s="16">
        <f>AG108-AA108</f>
        <v>6100</v>
      </c>
      <c r="AJ108" s="36">
        <f>AI108/AA108</f>
        <v>1.3869940882219191E-2</v>
      </c>
      <c r="AN108" s="66"/>
      <c r="AT108" s="9"/>
      <c r="AU108" s="6" t="str">
        <f>IF(AND(AU$2&gt;$Z108,$Z108&gt;0,OR($AN108&gt;AU$2,ISBLANK($AN108))),AU$2-$Z108,"")</f>
        <v/>
      </c>
      <c r="AV108" s="6" t="str">
        <f>IF(AND(AV$2&gt;$Z108,$Z108&gt;0,OR($AN108&gt;AV$2,ISBLANK($AN108))),AV$2-$Z108,"")</f>
        <v/>
      </c>
      <c r="AW108" s="6" t="str">
        <f>IF(AND(AW$2&gt;$Z108,$Z108&gt;0,OR($AN108&gt;AW$2,ISBLANK($AN108))),AW$2-$Z108,"")</f>
        <v/>
      </c>
      <c r="AX108" s="6" t="str">
        <f>IF(AND(AX$2&gt;$Z108,$Z108&gt;0,OR($AN108&gt;AX$2,ISBLANK($AN108))),AX$2-$Z108,"")</f>
        <v/>
      </c>
      <c r="AY108" s="6" t="str">
        <f>IF(AND(AY$2&gt;$Z108,$Z108&gt;0,OR($AN108&gt;AY$2,ISBLANK($AN108))),AY$2-$Z108,"")</f>
        <v/>
      </c>
      <c r="AZ108" s="6">
        <f ca="1">IF(AND(AZ$2&gt;$Z108,$Z108&gt;0,OR($AN108&gt;AZ$2,ISBLANK($AN108))),AZ$2-$Z108,"")</f>
        <v>3.3822898148137028</v>
      </c>
      <c r="BA108" s="6"/>
      <c r="BB108" s="6"/>
      <c r="BC108" s="6"/>
      <c r="BD108" s="6"/>
    </row>
    <row r="109" spans="2:56" x14ac:dyDescent="0.25">
      <c r="B109" s="13">
        <f t="shared" si="14"/>
        <v>1</v>
      </c>
      <c r="C109" s="13">
        <f t="shared" si="15"/>
        <v>9</v>
      </c>
      <c r="D109" s="13">
        <f t="shared" si="16"/>
        <v>3</v>
      </c>
      <c r="E109" s="13">
        <f t="shared" si="17"/>
        <v>2018</v>
      </c>
      <c r="F109" s="13">
        <f t="shared" si="18"/>
        <v>1</v>
      </c>
      <c r="G109" s="13">
        <f t="shared" si="19"/>
        <v>9</v>
      </c>
      <c r="H109" s="13">
        <f t="shared" si="20"/>
        <v>3</v>
      </c>
      <c r="I109" s="13">
        <f t="shared" si="21"/>
        <v>2018</v>
      </c>
      <c r="J109" s="13">
        <f t="shared" si="22"/>
        <v>0</v>
      </c>
      <c r="K109" s="13">
        <f>IF(J109=1,MONTH(AK109),)</f>
        <v>0</v>
      </c>
      <c r="L109" s="13">
        <f t="shared" si="23"/>
        <v>0</v>
      </c>
      <c r="M109" s="13">
        <f t="shared" si="24"/>
        <v>1900</v>
      </c>
      <c r="N109" s="13">
        <f t="shared" si="25"/>
        <v>0</v>
      </c>
      <c r="O109" s="13">
        <f>IF(N109=1,MONTH(AN109),)</f>
        <v>0</v>
      </c>
      <c r="P109" s="13">
        <f t="shared" si="26"/>
        <v>0</v>
      </c>
      <c r="Q109" s="13">
        <f t="shared" si="27"/>
        <v>1900</v>
      </c>
      <c r="S109" s="38" t="s">
        <v>192</v>
      </c>
      <c r="T109" s="11" t="s">
        <v>38</v>
      </c>
      <c r="U109" s="11" t="s">
        <v>26</v>
      </c>
      <c r="V109" s="39" t="s">
        <v>38</v>
      </c>
      <c r="W109" s="39" t="s">
        <v>27</v>
      </c>
      <c r="X109" s="13" t="s">
        <v>193</v>
      </c>
      <c r="Y109" s="13" t="s">
        <v>29</v>
      </c>
      <c r="Z109" s="66">
        <v>43360</v>
      </c>
      <c r="AA109" s="67">
        <v>424000</v>
      </c>
      <c r="AD109" s="10"/>
      <c r="AF109" s="66">
        <v>43369</v>
      </c>
      <c r="AG109" s="67">
        <v>444900</v>
      </c>
      <c r="AH109" s="16">
        <f>AF109-Z109</f>
        <v>9</v>
      </c>
      <c r="AI109" s="16">
        <f>AG109-AA109</f>
        <v>20900</v>
      </c>
      <c r="AJ109" s="36">
        <f>AI109/AA109</f>
        <v>4.9292452830188682E-2</v>
      </c>
      <c r="AN109" s="66"/>
      <c r="AT109" s="9"/>
      <c r="AU109" s="6" t="str">
        <f>IF(AND(AU$2&gt;$Z109,$Z109&gt;0,OR($AN109&gt;AU$2,ISBLANK($AN109))),AU$2-$Z109,"")</f>
        <v/>
      </c>
      <c r="AV109" s="6" t="str">
        <f>IF(AND(AV$2&gt;$Z109,$Z109&gt;0,OR($AN109&gt;AV$2,ISBLANK($AN109))),AV$2-$Z109,"")</f>
        <v/>
      </c>
      <c r="AW109" s="6" t="str">
        <f>IF(AND(AW$2&gt;$Z109,$Z109&gt;0,OR($AN109&gt;AW$2,ISBLANK($AN109))),AW$2-$Z109,"")</f>
        <v/>
      </c>
      <c r="AX109" s="6" t="str">
        <f>IF(AND(AX$2&gt;$Z109,$Z109&gt;0,OR($AN109&gt;AX$2,ISBLANK($AN109))),AX$2-$Z109,"")</f>
        <v/>
      </c>
      <c r="AY109" s="6">
        <f>IF(AND(AY$2&gt;$Z109,$Z109&gt;0,OR($AN109&gt;AY$2,ISBLANK($AN109))),AY$2-$Z109,"")</f>
        <v>13</v>
      </c>
      <c r="AZ109" s="6">
        <f ca="1">IF(AND(AZ$2&gt;$Z109,$Z109&gt;0,OR($AN109&gt;AZ$2,ISBLANK($AN109))),AZ$2-$Z109,"")</f>
        <v>31.382289814813703</v>
      </c>
      <c r="BA109" s="6"/>
      <c r="BB109" s="6"/>
      <c r="BC109" s="6"/>
      <c r="BD109" s="6"/>
    </row>
    <row r="110" spans="2:56" x14ac:dyDescent="0.25">
      <c r="B110" s="13">
        <f t="shared" si="14"/>
        <v>1</v>
      </c>
      <c r="C110" s="13">
        <f t="shared" si="15"/>
        <v>7</v>
      </c>
      <c r="D110" s="13">
        <f t="shared" si="16"/>
        <v>3</v>
      </c>
      <c r="E110" s="13">
        <f t="shared" si="17"/>
        <v>2018</v>
      </c>
      <c r="F110" s="13">
        <f t="shared" si="18"/>
        <v>1</v>
      </c>
      <c r="G110" s="13">
        <f t="shared" si="19"/>
        <v>8</v>
      </c>
      <c r="H110" s="13">
        <f t="shared" si="20"/>
        <v>3</v>
      </c>
      <c r="I110" s="13">
        <f t="shared" si="21"/>
        <v>2018</v>
      </c>
      <c r="J110" s="13">
        <f t="shared" si="22"/>
        <v>0</v>
      </c>
      <c r="K110" s="13">
        <f>IF(J110=1,MONTH(AK110),)</f>
        <v>0</v>
      </c>
      <c r="L110" s="13">
        <f t="shared" si="23"/>
        <v>0</v>
      </c>
      <c r="M110" s="13">
        <f t="shared" si="24"/>
        <v>1900</v>
      </c>
      <c r="N110" s="13">
        <f t="shared" si="25"/>
        <v>0</v>
      </c>
      <c r="O110" s="13">
        <f>IF(N110=1,MONTH(AN110),)</f>
        <v>0</v>
      </c>
      <c r="P110" s="13">
        <f t="shared" si="26"/>
        <v>0</v>
      </c>
      <c r="Q110" s="13">
        <f t="shared" si="27"/>
        <v>1900</v>
      </c>
      <c r="S110" s="38" t="s">
        <v>194</v>
      </c>
      <c r="T110" s="11" t="s">
        <v>62</v>
      </c>
      <c r="U110" s="11" t="s">
        <v>26</v>
      </c>
      <c r="V110" s="39" t="s">
        <v>38</v>
      </c>
      <c r="W110" s="39" t="s">
        <v>27</v>
      </c>
      <c r="X110" s="4" t="s">
        <v>195</v>
      </c>
      <c r="Y110" s="4" t="s">
        <v>29</v>
      </c>
      <c r="Z110" s="66">
        <v>43290</v>
      </c>
      <c r="AA110" s="67">
        <v>411000</v>
      </c>
      <c r="AD110" s="10"/>
      <c r="AF110" s="66">
        <v>43320</v>
      </c>
      <c r="AG110" s="67">
        <v>419500</v>
      </c>
      <c r="AH110" s="16">
        <f>AF110-Z110</f>
        <v>30</v>
      </c>
      <c r="AI110" s="16">
        <f>AG110-AA110</f>
        <v>8500</v>
      </c>
      <c r="AJ110" s="36">
        <f>AI110/AA110</f>
        <v>2.0681265206812651E-2</v>
      </c>
      <c r="AN110" s="66"/>
      <c r="AT110" s="9"/>
      <c r="AU110" s="6" t="str">
        <f>IF(AND(AU$2&gt;$Z110,$Z110&gt;0,OR($AN110&gt;AU$2,ISBLANK($AN110))),AU$2-$Z110,"")</f>
        <v/>
      </c>
      <c r="AV110" s="6" t="str">
        <f>IF(AND(AV$2&gt;$Z110,$Z110&gt;0,OR($AN110&gt;AV$2,ISBLANK($AN110))),AV$2-$Z110,"")</f>
        <v/>
      </c>
      <c r="AW110" s="6">
        <f>IF(AND(AW$2&gt;$Z110,$Z110&gt;0,OR($AN110&gt;AW$2,ISBLANK($AN110))),AW$2-$Z110,"")</f>
        <v>22</v>
      </c>
      <c r="AX110" s="6">
        <f>IF(AND(AX$2&gt;$Z110,$Z110&gt;0,OR($AN110&gt;AX$2,ISBLANK($AN110))),AX$2-$Z110,"")</f>
        <v>53</v>
      </c>
      <c r="AY110" s="6">
        <f>IF(AND(AY$2&gt;$Z110,$Z110&gt;0,OR($AN110&gt;AY$2,ISBLANK($AN110))),AY$2-$Z110,"")</f>
        <v>83</v>
      </c>
      <c r="AZ110" s="6">
        <f ca="1">IF(AND(AZ$2&gt;$Z110,$Z110&gt;0,OR($AN110&gt;AZ$2,ISBLANK($AN110))),AZ$2-$Z110,"")</f>
        <v>101.3822898148137</v>
      </c>
      <c r="BA110" s="6"/>
      <c r="BB110" s="6"/>
      <c r="BC110" s="6"/>
      <c r="BD110" s="6"/>
    </row>
    <row r="111" spans="2:56" x14ac:dyDescent="0.25">
      <c r="B111" s="13">
        <f t="shared" si="14"/>
        <v>1</v>
      </c>
      <c r="C111" s="13">
        <f t="shared" si="15"/>
        <v>6</v>
      </c>
      <c r="D111" s="13">
        <f t="shared" si="16"/>
        <v>2</v>
      </c>
      <c r="E111" s="13">
        <f t="shared" si="17"/>
        <v>2018</v>
      </c>
      <c r="F111" s="13">
        <f t="shared" si="18"/>
        <v>1</v>
      </c>
      <c r="G111" s="13">
        <f t="shared" si="19"/>
        <v>7</v>
      </c>
      <c r="H111" s="13">
        <f t="shared" si="20"/>
        <v>3</v>
      </c>
      <c r="I111" s="13">
        <f t="shared" si="21"/>
        <v>2018</v>
      </c>
      <c r="J111" s="13">
        <f t="shared" si="22"/>
        <v>1</v>
      </c>
      <c r="K111" s="13">
        <f>IF(J111=1,MONTH(AK111),)</f>
        <v>7</v>
      </c>
      <c r="L111" s="13">
        <f t="shared" si="23"/>
        <v>3</v>
      </c>
      <c r="M111" s="13">
        <f t="shared" si="24"/>
        <v>2018</v>
      </c>
      <c r="N111" s="13">
        <f t="shared" si="25"/>
        <v>1</v>
      </c>
      <c r="O111" s="13">
        <f>IF(N111=1,MONTH(AN111),)</f>
        <v>7</v>
      </c>
      <c r="P111" s="13">
        <f t="shared" si="26"/>
        <v>3</v>
      </c>
      <c r="Q111" s="13">
        <f t="shared" si="27"/>
        <v>2018</v>
      </c>
      <c r="S111" s="38" t="s">
        <v>435</v>
      </c>
      <c r="T111" s="11" t="s">
        <v>40</v>
      </c>
      <c r="U111" s="11" t="s">
        <v>26</v>
      </c>
      <c r="V111" s="39" t="s">
        <v>38</v>
      </c>
      <c r="W111" s="39" t="s">
        <v>27</v>
      </c>
      <c r="X111" s="4" t="s">
        <v>436</v>
      </c>
      <c r="Y111" s="4" t="s">
        <v>322</v>
      </c>
      <c r="Z111" s="66">
        <v>43280</v>
      </c>
      <c r="AA111" s="67">
        <v>230000</v>
      </c>
      <c r="AD111" s="10"/>
      <c r="AF111" s="66">
        <v>43293</v>
      </c>
      <c r="AG111" s="67">
        <v>234900</v>
      </c>
      <c r="AH111" s="16">
        <f>AF111-Z111</f>
        <v>13</v>
      </c>
      <c r="AI111" s="16">
        <f>AG111-AA111</f>
        <v>4900</v>
      </c>
      <c r="AJ111" s="36">
        <f>AI111/AA111</f>
        <v>2.1304347826086957E-2</v>
      </c>
      <c r="AK111" s="66">
        <v>43298</v>
      </c>
      <c r="AL111" s="67">
        <v>234900</v>
      </c>
      <c r="AM111" s="6">
        <f>AK111-AF111</f>
        <v>5</v>
      </c>
      <c r="AN111" s="66">
        <v>43312</v>
      </c>
      <c r="AO111" s="67">
        <v>234900</v>
      </c>
      <c r="AP111" s="6">
        <f>AN111-AK111</f>
        <v>14</v>
      </c>
      <c r="AQ111" s="6">
        <f>AH111+AM111+AP111</f>
        <v>32</v>
      </c>
      <c r="AR111" s="6">
        <f>AO111-AA111</f>
        <v>4900</v>
      </c>
      <c r="AS111" s="8">
        <f>AR111/AA111</f>
        <v>2.1304347826086957E-2</v>
      </c>
      <c r="AT111" s="9"/>
      <c r="AU111" s="6" t="str">
        <f>IF(AND(AU$2&gt;$Z111,$Z111&gt;0,OR($AN111&gt;AU$2,ISBLANK($AN111))),AU$2-$Z111,"")</f>
        <v/>
      </c>
      <c r="AV111" s="6">
        <f>IF(AND(AV$2&gt;$Z111,$Z111&gt;0,OR($AN111&gt;AV$2,ISBLANK($AN111))),AV$2-$Z111,"")</f>
        <v>1</v>
      </c>
      <c r="AW111" s="6" t="str">
        <f>IF(AND(AW$2&gt;$Z111,$Z111&gt;0,OR($AN111&gt;AW$2,ISBLANK($AN111))),AW$2-$Z111,"")</f>
        <v/>
      </c>
      <c r="AX111" s="6" t="str">
        <f>IF(AND(AX$2&gt;$Z111,$Z111&gt;0,OR($AN111&gt;AX$2,ISBLANK($AN111))),AX$2-$Z111,"")</f>
        <v/>
      </c>
      <c r="AY111" s="6" t="str">
        <f>IF(AND(AY$2&gt;$Z111,$Z111&gt;0,OR($AN111&gt;AY$2,ISBLANK($AN111))),AY$2-$Z111,"")</f>
        <v/>
      </c>
      <c r="AZ111" s="6" t="str">
        <f ca="1">IF(AND(AZ$2&gt;$Z111,$Z111&gt;0,OR($AN111&gt;AZ$2,ISBLANK($AN111))),AZ$2-$Z111,"")</f>
        <v/>
      </c>
      <c r="BA111" s="6"/>
      <c r="BB111" s="6"/>
      <c r="BC111" s="6"/>
      <c r="BD111" s="6"/>
    </row>
    <row r="112" spans="2:56" x14ac:dyDescent="0.25">
      <c r="B112" s="13">
        <f t="shared" si="14"/>
        <v>1</v>
      </c>
      <c r="C112" s="13">
        <f t="shared" si="15"/>
        <v>10</v>
      </c>
      <c r="D112" s="13">
        <f t="shared" si="16"/>
        <v>4</v>
      </c>
      <c r="E112" s="13">
        <f t="shared" si="17"/>
        <v>2018</v>
      </c>
      <c r="F112" s="13">
        <f t="shared" si="18"/>
        <v>0</v>
      </c>
      <c r="G112" s="13">
        <f t="shared" si="19"/>
        <v>1</v>
      </c>
      <c r="H112" s="13">
        <f t="shared" si="20"/>
        <v>1</v>
      </c>
      <c r="I112" s="13">
        <f t="shared" si="21"/>
        <v>1900</v>
      </c>
      <c r="J112" s="13">
        <f t="shared" si="22"/>
        <v>0</v>
      </c>
      <c r="K112" s="13">
        <f>IF(J112=1,MONTH(AK112),)</f>
        <v>0</v>
      </c>
      <c r="L112" s="13">
        <f t="shared" si="23"/>
        <v>0</v>
      </c>
      <c r="M112" s="13">
        <f t="shared" si="24"/>
        <v>1900</v>
      </c>
      <c r="N112" s="13">
        <f t="shared" si="25"/>
        <v>0</v>
      </c>
      <c r="O112" s="13">
        <f>IF(N112=1,MONTH(AN112),)</f>
        <v>0</v>
      </c>
      <c r="P112" s="13">
        <f t="shared" si="26"/>
        <v>0</v>
      </c>
      <c r="Q112" s="13">
        <f t="shared" si="27"/>
        <v>1900</v>
      </c>
      <c r="S112" s="38" t="s">
        <v>196</v>
      </c>
      <c r="T112" s="11" t="s">
        <v>62</v>
      </c>
      <c r="U112" s="11" t="s">
        <v>26</v>
      </c>
      <c r="V112" s="39" t="s">
        <v>38</v>
      </c>
      <c r="W112" s="39" t="s">
        <v>27</v>
      </c>
      <c r="X112" s="4" t="s">
        <v>197</v>
      </c>
      <c r="Y112" s="4" t="s">
        <v>29</v>
      </c>
      <c r="Z112" s="66">
        <v>43376</v>
      </c>
      <c r="AA112" s="67">
        <v>375300</v>
      </c>
      <c r="AD112" s="10"/>
      <c r="AG112" s="67">
        <v>383900</v>
      </c>
      <c r="AH112" s="16"/>
      <c r="AI112" s="16">
        <f>AG112-AA112</f>
        <v>8600</v>
      </c>
      <c r="AJ112" s="36">
        <f>AI112/AA112</f>
        <v>2.291500133226752E-2</v>
      </c>
      <c r="AN112" s="66"/>
      <c r="AT112" s="9"/>
      <c r="AU112" s="6" t="str">
        <f>IF(AND(AU$2&gt;$Z112,$Z112&gt;0,OR($AN112&gt;AU$2,ISBLANK($AN112))),AU$2-$Z112,"")</f>
        <v/>
      </c>
      <c r="AV112" s="6" t="str">
        <f>IF(AND(AV$2&gt;$Z112,$Z112&gt;0,OR($AN112&gt;AV$2,ISBLANK($AN112))),AV$2-$Z112,"")</f>
        <v/>
      </c>
      <c r="AW112" s="6" t="str">
        <f>IF(AND(AW$2&gt;$Z112,$Z112&gt;0,OR($AN112&gt;AW$2,ISBLANK($AN112))),AW$2-$Z112,"")</f>
        <v/>
      </c>
      <c r="AX112" s="6" t="str">
        <f>IF(AND(AX$2&gt;$Z112,$Z112&gt;0,OR($AN112&gt;AX$2,ISBLANK($AN112))),AX$2-$Z112,"")</f>
        <v/>
      </c>
      <c r="AY112" s="6" t="str">
        <f>IF(AND(AY$2&gt;$Z112,$Z112&gt;0,OR($AN112&gt;AY$2,ISBLANK($AN112))),AY$2-$Z112,"")</f>
        <v/>
      </c>
      <c r="AZ112" s="6">
        <f ca="1">IF(AND(AZ$2&gt;$Z112,$Z112&gt;0,OR($AN112&gt;AZ$2,ISBLANK($AN112))),AZ$2-$Z112,"")</f>
        <v>15.382289814813703</v>
      </c>
      <c r="BA112" s="6"/>
      <c r="BB112" s="6"/>
      <c r="BC112" s="6"/>
      <c r="BD112" s="6"/>
    </row>
    <row r="113" spans="2:56" x14ac:dyDescent="0.25">
      <c r="B113" s="13">
        <f t="shared" si="14"/>
        <v>1</v>
      </c>
      <c r="C113" s="13">
        <f t="shared" si="15"/>
        <v>9</v>
      </c>
      <c r="D113" s="13">
        <f t="shared" si="16"/>
        <v>3</v>
      </c>
      <c r="E113" s="13">
        <f t="shared" si="17"/>
        <v>2018</v>
      </c>
      <c r="F113" s="13">
        <f t="shared" si="18"/>
        <v>1</v>
      </c>
      <c r="G113" s="13">
        <f t="shared" si="19"/>
        <v>10</v>
      </c>
      <c r="H113" s="13">
        <f t="shared" si="20"/>
        <v>4</v>
      </c>
      <c r="I113" s="13">
        <f t="shared" si="21"/>
        <v>2018</v>
      </c>
      <c r="J113" s="13">
        <f t="shared" si="22"/>
        <v>0</v>
      </c>
      <c r="K113" s="13">
        <f>IF(J113=1,MONTH(AK113),)</f>
        <v>0</v>
      </c>
      <c r="L113" s="13">
        <f t="shared" si="23"/>
        <v>0</v>
      </c>
      <c r="M113" s="13">
        <f t="shared" si="24"/>
        <v>1900</v>
      </c>
      <c r="N113" s="13">
        <f t="shared" si="25"/>
        <v>0</v>
      </c>
      <c r="O113" s="13">
        <f>IF(N113=1,MONTH(AN113),)</f>
        <v>0</v>
      </c>
      <c r="P113" s="13">
        <f t="shared" si="26"/>
        <v>0</v>
      </c>
      <c r="Q113" s="13">
        <f t="shared" si="27"/>
        <v>1900</v>
      </c>
      <c r="S113" s="38" t="s">
        <v>198</v>
      </c>
      <c r="T113" s="11" t="s">
        <v>38</v>
      </c>
      <c r="U113" s="11" t="s">
        <v>26</v>
      </c>
      <c r="V113" s="39" t="s">
        <v>38</v>
      </c>
      <c r="W113" s="39" t="s">
        <v>27</v>
      </c>
      <c r="X113" s="4" t="s">
        <v>199</v>
      </c>
      <c r="Y113" s="4" t="s">
        <v>29</v>
      </c>
      <c r="Z113" s="66">
        <v>43370</v>
      </c>
      <c r="AA113" s="67">
        <v>227300</v>
      </c>
      <c r="AD113" s="10"/>
      <c r="AF113" s="66">
        <v>43383</v>
      </c>
      <c r="AG113" s="67">
        <v>239900</v>
      </c>
      <c r="AH113" s="16">
        <f>AF113-Z113</f>
        <v>13</v>
      </c>
      <c r="AI113" s="16">
        <f>AG113-AA113</f>
        <v>12600</v>
      </c>
      <c r="AJ113" s="36">
        <f>AI113/AA113</f>
        <v>5.5433347998240214E-2</v>
      </c>
      <c r="AN113" s="66"/>
      <c r="AT113" s="9"/>
      <c r="AU113" s="6" t="str">
        <f>IF(AND(AU$2&gt;$Z113,$Z113&gt;0,OR($AN113&gt;AU$2,ISBLANK($AN113))),AU$2-$Z113,"")</f>
        <v/>
      </c>
      <c r="AV113" s="6" t="str">
        <f>IF(AND(AV$2&gt;$Z113,$Z113&gt;0,OR($AN113&gt;AV$2,ISBLANK($AN113))),AV$2-$Z113,"")</f>
        <v/>
      </c>
      <c r="AW113" s="6" t="str">
        <f>IF(AND(AW$2&gt;$Z113,$Z113&gt;0,OR($AN113&gt;AW$2,ISBLANK($AN113))),AW$2-$Z113,"")</f>
        <v/>
      </c>
      <c r="AX113" s="6" t="str">
        <f>IF(AND(AX$2&gt;$Z113,$Z113&gt;0,OR($AN113&gt;AX$2,ISBLANK($AN113))),AX$2-$Z113,"")</f>
        <v/>
      </c>
      <c r="AY113" s="6">
        <f>IF(AND(AY$2&gt;$Z113,$Z113&gt;0,OR($AN113&gt;AY$2,ISBLANK($AN113))),AY$2-$Z113,"")</f>
        <v>3</v>
      </c>
      <c r="AZ113" s="6">
        <f ca="1">IF(AND(AZ$2&gt;$Z113,$Z113&gt;0,OR($AN113&gt;AZ$2,ISBLANK($AN113))),AZ$2-$Z113,"")</f>
        <v>21.382289814813703</v>
      </c>
      <c r="BA113" s="6"/>
      <c r="BB113" s="6"/>
      <c r="BC113" s="6"/>
      <c r="BD113" s="6"/>
    </row>
    <row r="114" spans="2:56" x14ac:dyDescent="0.25">
      <c r="B114" s="13">
        <f t="shared" si="14"/>
        <v>1</v>
      </c>
      <c r="C114" s="13">
        <f t="shared" si="15"/>
        <v>8</v>
      </c>
      <c r="D114" s="13">
        <f t="shared" si="16"/>
        <v>3</v>
      </c>
      <c r="E114" s="13">
        <f t="shared" si="17"/>
        <v>2018</v>
      </c>
      <c r="F114" s="13">
        <f t="shared" si="18"/>
        <v>1</v>
      </c>
      <c r="G114" s="13">
        <f t="shared" si="19"/>
        <v>9</v>
      </c>
      <c r="H114" s="13">
        <f t="shared" si="20"/>
        <v>3</v>
      </c>
      <c r="I114" s="13">
        <f t="shared" si="21"/>
        <v>2018</v>
      </c>
      <c r="J114" s="13">
        <f t="shared" si="22"/>
        <v>0</v>
      </c>
      <c r="K114" s="13">
        <f>IF(J114=1,MONTH(AK114),)</f>
        <v>0</v>
      </c>
      <c r="L114" s="13">
        <f t="shared" si="23"/>
        <v>0</v>
      </c>
      <c r="M114" s="13">
        <f t="shared" si="24"/>
        <v>1900</v>
      </c>
      <c r="N114" s="13">
        <f t="shared" si="25"/>
        <v>0</v>
      </c>
      <c r="O114" s="13">
        <f>IF(N114=1,MONTH(AN114),)</f>
        <v>0</v>
      </c>
      <c r="P114" s="13">
        <f t="shared" si="26"/>
        <v>0</v>
      </c>
      <c r="Q114" s="13">
        <f t="shared" si="27"/>
        <v>1900</v>
      </c>
      <c r="S114" s="38" t="s">
        <v>200</v>
      </c>
      <c r="T114" s="11" t="s">
        <v>40</v>
      </c>
      <c r="U114" s="11" t="s">
        <v>26</v>
      </c>
      <c r="V114" s="39" t="s">
        <v>38</v>
      </c>
      <c r="W114" s="39" t="s">
        <v>27</v>
      </c>
      <c r="X114" s="4" t="s">
        <v>201</v>
      </c>
      <c r="Y114" s="4" t="s">
        <v>29</v>
      </c>
      <c r="Z114" s="66">
        <v>43343</v>
      </c>
      <c r="AA114" s="67">
        <v>445000</v>
      </c>
      <c r="AD114" s="10"/>
      <c r="AF114" s="66">
        <v>43373</v>
      </c>
      <c r="AG114" s="67">
        <v>476700</v>
      </c>
      <c r="AH114" s="16">
        <f>AF114-Z114</f>
        <v>30</v>
      </c>
      <c r="AI114" s="16">
        <f>AG114-AA114</f>
        <v>31700</v>
      </c>
      <c r="AJ114" s="36">
        <f>AI114/AA114</f>
        <v>7.1235955056179773E-2</v>
      </c>
      <c r="AN114" s="66"/>
      <c r="AT114" s="9"/>
      <c r="AU114" s="6" t="str">
        <f>IF(AND(AU$2&gt;$Z114,$Z114&gt;0,OR($AN114&gt;AU$2,ISBLANK($AN114))),AU$2-$Z114,"")</f>
        <v/>
      </c>
      <c r="AV114" s="6" t="str">
        <f>IF(AND(AV$2&gt;$Z114,$Z114&gt;0,OR($AN114&gt;AV$2,ISBLANK($AN114))),AV$2-$Z114,"")</f>
        <v/>
      </c>
      <c r="AW114" s="6" t="str">
        <f>IF(AND(AW$2&gt;$Z114,$Z114&gt;0,OR($AN114&gt;AW$2,ISBLANK($AN114))),AW$2-$Z114,"")</f>
        <v/>
      </c>
      <c r="AX114" s="6" t="str">
        <f>IF(AND(AX$2&gt;$Z114,$Z114&gt;0,OR($AN114&gt;AX$2,ISBLANK($AN114))),AX$2-$Z114,"")</f>
        <v/>
      </c>
      <c r="AY114" s="6">
        <f>IF(AND(AY$2&gt;$Z114,$Z114&gt;0,OR($AN114&gt;AY$2,ISBLANK($AN114))),AY$2-$Z114,"")</f>
        <v>30</v>
      </c>
      <c r="AZ114" s="6">
        <f ca="1">IF(AND(AZ$2&gt;$Z114,$Z114&gt;0,OR($AN114&gt;AZ$2,ISBLANK($AN114))),AZ$2-$Z114,"")</f>
        <v>48.382289814813703</v>
      </c>
      <c r="BA114" s="6"/>
      <c r="BB114" s="6"/>
      <c r="BC114" s="6"/>
      <c r="BD114" s="6"/>
    </row>
    <row r="115" spans="2:56" x14ac:dyDescent="0.25">
      <c r="B115" s="13">
        <f t="shared" si="14"/>
        <v>1</v>
      </c>
      <c r="C115" s="13">
        <f t="shared" si="15"/>
        <v>10</v>
      </c>
      <c r="D115" s="13">
        <f t="shared" si="16"/>
        <v>4</v>
      </c>
      <c r="E115" s="13">
        <f t="shared" si="17"/>
        <v>2018</v>
      </c>
      <c r="F115" s="13">
        <f t="shared" si="18"/>
        <v>0</v>
      </c>
      <c r="G115" s="13">
        <f t="shared" si="19"/>
        <v>1</v>
      </c>
      <c r="H115" s="13">
        <f t="shared" si="20"/>
        <v>1</v>
      </c>
      <c r="I115" s="13">
        <f t="shared" si="21"/>
        <v>1900</v>
      </c>
      <c r="J115" s="13">
        <f t="shared" si="22"/>
        <v>0</v>
      </c>
      <c r="K115" s="13">
        <f>IF(J115=1,MONTH(AK115),)</f>
        <v>0</v>
      </c>
      <c r="L115" s="13">
        <f t="shared" si="23"/>
        <v>0</v>
      </c>
      <c r="M115" s="13">
        <f t="shared" si="24"/>
        <v>1900</v>
      </c>
      <c r="N115" s="13">
        <f t="shared" si="25"/>
        <v>0</v>
      </c>
      <c r="O115" s="13">
        <f>IF(N115=1,MONTH(AN115),)</f>
        <v>0</v>
      </c>
      <c r="P115" s="13">
        <f t="shared" si="26"/>
        <v>0</v>
      </c>
      <c r="Q115" s="13">
        <f t="shared" si="27"/>
        <v>1900</v>
      </c>
      <c r="S115" s="38" t="s">
        <v>510</v>
      </c>
      <c r="T115" s="11" t="s">
        <v>38</v>
      </c>
      <c r="U115" s="11" t="s">
        <v>26</v>
      </c>
      <c r="V115" s="39" t="s">
        <v>38</v>
      </c>
      <c r="W115" s="39" t="s">
        <v>27</v>
      </c>
      <c r="Z115" s="66">
        <v>43383</v>
      </c>
      <c r="AA115" s="67">
        <v>334800</v>
      </c>
      <c r="AD115" s="10"/>
      <c r="AG115" s="67">
        <v>344900</v>
      </c>
      <c r="AH115" s="16"/>
      <c r="AI115" s="16">
        <f>AG115-AA115</f>
        <v>10100</v>
      </c>
      <c r="AJ115" s="36">
        <f>AI115/AA115</f>
        <v>3.0167264038231782E-2</v>
      </c>
      <c r="AN115" s="66"/>
      <c r="AT115" s="9"/>
      <c r="AU115" s="6" t="str">
        <f>IF(AND(AU$2&gt;$Z115,$Z115&gt;0,OR($AN115&gt;AU$2,ISBLANK($AN115))),AU$2-$Z115,"")</f>
        <v/>
      </c>
      <c r="AV115" s="6" t="str">
        <f>IF(AND(AV$2&gt;$Z115,$Z115&gt;0,OR($AN115&gt;AV$2,ISBLANK($AN115))),AV$2-$Z115,"")</f>
        <v/>
      </c>
      <c r="AW115" s="6" t="str">
        <f>IF(AND(AW$2&gt;$Z115,$Z115&gt;0,OR($AN115&gt;AW$2,ISBLANK($AN115))),AW$2-$Z115,"")</f>
        <v/>
      </c>
      <c r="AX115" s="6" t="str">
        <f>IF(AND(AX$2&gt;$Z115,$Z115&gt;0,OR($AN115&gt;AX$2,ISBLANK($AN115))),AX$2-$Z115,"")</f>
        <v/>
      </c>
      <c r="AY115" s="6" t="str">
        <f>IF(AND(AY$2&gt;$Z115,$Z115&gt;0,OR($AN115&gt;AY$2,ISBLANK($AN115))),AY$2-$Z115,"")</f>
        <v/>
      </c>
      <c r="AZ115" s="6">
        <f ca="1">IF(AND(AZ$2&gt;$Z115,$Z115&gt;0,OR($AN115&gt;AZ$2,ISBLANK($AN115))),AZ$2-$Z115,"")</f>
        <v>8.3822898148137028</v>
      </c>
      <c r="BA115" s="6"/>
      <c r="BB115" s="6"/>
      <c r="BC115" s="6"/>
      <c r="BD115" s="6"/>
    </row>
    <row r="116" spans="2:56" x14ac:dyDescent="0.25">
      <c r="B116" s="13">
        <f t="shared" si="14"/>
        <v>1</v>
      </c>
      <c r="C116" s="13">
        <f t="shared" si="15"/>
        <v>9</v>
      </c>
      <c r="D116" s="13">
        <f t="shared" si="16"/>
        <v>3</v>
      </c>
      <c r="E116" s="13">
        <f t="shared" si="17"/>
        <v>2018</v>
      </c>
      <c r="F116" s="13">
        <f t="shared" si="18"/>
        <v>0</v>
      </c>
      <c r="G116" s="13">
        <f t="shared" si="19"/>
        <v>1</v>
      </c>
      <c r="H116" s="13">
        <f t="shared" si="20"/>
        <v>1</v>
      </c>
      <c r="I116" s="13">
        <f t="shared" si="21"/>
        <v>1900</v>
      </c>
      <c r="J116" s="13">
        <f t="shared" si="22"/>
        <v>0</v>
      </c>
      <c r="K116" s="13">
        <f>IF(J116=1,MONTH(AK116),)</f>
        <v>0</v>
      </c>
      <c r="L116" s="13">
        <f t="shared" si="23"/>
        <v>0</v>
      </c>
      <c r="M116" s="13">
        <f t="shared" si="24"/>
        <v>1900</v>
      </c>
      <c r="N116" s="13">
        <f t="shared" si="25"/>
        <v>0</v>
      </c>
      <c r="O116" s="13">
        <f>IF(N116=1,MONTH(AN116),)</f>
        <v>0</v>
      </c>
      <c r="P116" s="13">
        <f t="shared" si="26"/>
        <v>0</v>
      </c>
      <c r="Q116" s="13">
        <f t="shared" si="27"/>
        <v>1900</v>
      </c>
      <c r="S116" s="38" t="s">
        <v>202</v>
      </c>
      <c r="T116" s="11" t="s">
        <v>40</v>
      </c>
      <c r="U116" s="11" t="s">
        <v>26</v>
      </c>
      <c r="V116" s="39" t="s">
        <v>38</v>
      </c>
      <c r="W116" s="39" t="s">
        <v>27</v>
      </c>
      <c r="X116" s="13" t="s">
        <v>203</v>
      </c>
      <c r="Y116" s="13" t="s">
        <v>29</v>
      </c>
      <c r="Z116" s="66">
        <v>43371</v>
      </c>
      <c r="AA116" s="67">
        <v>434081</v>
      </c>
      <c r="AD116" s="10"/>
      <c r="AG116" s="67">
        <v>441900</v>
      </c>
      <c r="AH116" s="16"/>
      <c r="AI116" s="16">
        <f>AG116-AA116</f>
        <v>7819</v>
      </c>
      <c r="AJ116" s="36">
        <f>AI116/AA116</f>
        <v>1.8012767202434568E-2</v>
      </c>
      <c r="AN116" s="66"/>
      <c r="AT116" s="9"/>
      <c r="AU116" s="6" t="str">
        <f>IF(AND(AU$2&gt;$Z116,$Z116&gt;0,OR($AN116&gt;AU$2,ISBLANK($AN116))),AU$2-$Z116,"")</f>
        <v/>
      </c>
      <c r="AV116" s="6" t="str">
        <f>IF(AND(AV$2&gt;$Z116,$Z116&gt;0,OR($AN116&gt;AV$2,ISBLANK($AN116))),AV$2-$Z116,"")</f>
        <v/>
      </c>
      <c r="AW116" s="6" t="str">
        <f>IF(AND(AW$2&gt;$Z116,$Z116&gt;0,OR($AN116&gt;AW$2,ISBLANK($AN116))),AW$2-$Z116,"")</f>
        <v/>
      </c>
      <c r="AX116" s="6" t="str">
        <f>IF(AND(AX$2&gt;$Z116,$Z116&gt;0,OR($AN116&gt;AX$2,ISBLANK($AN116))),AX$2-$Z116,"")</f>
        <v/>
      </c>
      <c r="AY116" s="6">
        <f>IF(AND(AY$2&gt;$Z116,$Z116&gt;0,OR($AN116&gt;AY$2,ISBLANK($AN116))),AY$2-$Z116,"")</f>
        <v>2</v>
      </c>
      <c r="AZ116" s="6">
        <f ca="1">IF(AND(AZ$2&gt;$Z116,$Z116&gt;0,OR($AN116&gt;AZ$2,ISBLANK($AN116))),AZ$2-$Z116,"")</f>
        <v>20.382289814813703</v>
      </c>
      <c r="BA116" s="6"/>
      <c r="BB116" s="6"/>
      <c r="BC116" s="6"/>
      <c r="BD116" s="6"/>
    </row>
    <row r="117" spans="2:56" x14ac:dyDescent="0.25">
      <c r="B117" s="13">
        <f t="shared" si="14"/>
        <v>1</v>
      </c>
      <c r="C117" s="13">
        <f t="shared" si="15"/>
        <v>10</v>
      </c>
      <c r="D117" s="13">
        <f t="shared" si="16"/>
        <v>4</v>
      </c>
      <c r="E117" s="13">
        <f t="shared" si="17"/>
        <v>2018</v>
      </c>
      <c r="F117" s="13">
        <f t="shared" si="18"/>
        <v>0</v>
      </c>
      <c r="G117" s="13">
        <f t="shared" si="19"/>
        <v>1</v>
      </c>
      <c r="H117" s="13">
        <f t="shared" si="20"/>
        <v>1</v>
      </c>
      <c r="I117" s="13">
        <f t="shared" si="21"/>
        <v>1900</v>
      </c>
      <c r="J117" s="13">
        <f t="shared" si="22"/>
        <v>0</v>
      </c>
      <c r="K117" s="13">
        <f>IF(J117=1,MONTH(AK117),)</f>
        <v>0</v>
      </c>
      <c r="L117" s="13">
        <f t="shared" si="23"/>
        <v>0</v>
      </c>
      <c r="M117" s="13">
        <f t="shared" si="24"/>
        <v>1900</v>
      </c>
      <c r="N117" s="13">
        <f t="shared" si="25"/>
        <v>0</v>
      </c>
      <c r="O117" s="13">
        <f>IF(N117=1,MONTH(AN117),)</f>
        <v>0</v>
      </c>
      <c r="P117" s="13">
        <f t="shared" si="26"/>
        <v>0</v>
      </c>
      <c r="Q117" s="13">
        <f t="shared" si="27"/>
        <v>1900</v>
      </c>
      <c r="S117" s="38" t="s">
        <v>568</v>
      </c>
      <c r="T117" s="11" t="s">
        <v>40</v>
      </c>
      <c r="U117" s="11" t="s">
        <v>26</v>
      </c>
      <c r="V117" s="39" t="s">
        <v>38</v>
      </c>
      <c r="W117" s="39" t="s">
        <v>27</v>
      </c>
      <c r="X117" s="13"/>
      <c r="Y117" s="13"/>
      <c r="Z117" s="66">
        <v>43389</v>
      </c>
      <c r="AA117" s="67">
        <v>410300</v>
      </c>
      <c r="AD117" s="10"/>
      <c r="AG117" s="67">
        <v>423900</v>
      </c>
      <c r="AH117" s="16"/>
      <c r="AI117" s="16">
        <f>AG117-AA117</f>
        <v>13600</v>
      </c>
      <c r="AJ117" s="36">
        <f>AI117/AA117</f>
        <v>3.3146478186692661E-2</v>
      </c>
      <c r="AN117" s="66"/>
      <c r="AT117" s="9"/>
      <c r="AU117" s="6" t="str">
        <f>IF(AND(AU$2&gt;$Z117,$Z117&gt;0,OR($AN117&gt;AU$2,ISBLANK($AN117))),AU$2-$Z117,"")</f>
        <v/>
      </c>
      <c r="AV117" s="6" t="str">
        <f>IF(AND(AV$2&gt;$Z117,$Z117&gt;0,OR($AN117&gt;AV$2,ISBLANK($AN117))),AV$2-$Z117,"")</f>
        <v/>
      </c>
      <c r="AW117" s="6" t="str">
        <f>IF(AND(AW$2&gt;$Z117,$Z117&gt;0,OR($AN117&gt;AW$2,ISBLANK($AN117))),AW$2-$Z117,"")</f>
        <v/>
      </c>
      <c r="AX117" s="6" t="str">
        <f>IF(AND(AX$2&gt;$Z117,$Z117&gt;0,OR($AN117&gt;AX$2,ISBLANK($AN117))),AX$2-$Z117,"")</f>
        <v/>
      </c>
      <c r="AY117" s="6" t="str">
        <f>IF(AND(AY$2&gt;$Z117,$Z117&gt;0,OR($AN117&gt;AY$2,ISBLANK($AN117))),AY$2-$Z117,"")</f>
        <v/>
      </c>
      <c r="AZ117" s="6">
        <f ca="1">IF(AND(AZ$2&gt;$Z117,$Z117&gt;0,OR($AN117&gt;AZ$2,ISBLANK($AN117))),AZ$2-$Z117,"")</f>
        <v>2.3822898148137028</v>
      </c>
      <c r="BA117" s="6"/>
      <c r="BB117" s="6"/>
      <c r="BC117" s="6"/>
      <c r="BD117" s="6"/>
    </row>
    <row r="118" spans="2:56" x14ac:dyDescent="0.25">
      <c r="B118" s="13">
        <f t="shared" si="14"/>
        <v>1</v>
      </c>
      <c r="C118" s="13">
        <f t="shared" si="15"/>
        <v>10</v>
      </c>
      <c r="D118" s="13">
        <f t="shared" si="16"/>
        <v>4</v>
      </c>
      <c r="E118" s="13">
        <f t="shared" si="17"/>
        <v>2018</v>
      </c>
      <c r="F118" s="13">
        <f t="shared" si="18"/>
        <v>0</v>
      </c>
      <c r="G118" s="13">
        <f t="shared" si="19"/>
        <v>1</v>
      </c>
      <c r="H118" s="13">
        <f t="shared" si="20"/>
        <v>1</v>
      </c>
      <c r="I118" s="13">
        <f t="shared" si="21"/>
        <v>1900</v>
      </c>
      <c r="J118" s="13">
        <f t="shared" si="22"/>
        <v>0</v>
      </c>
      <c r="K118" s="13">
        <f>IF(J118=1,MONTH(AK118),)</f>
        <v>0</v>
      </c>
      <c r="L118" s="13">
        <f t="shared" si="23"/>
        <v>0</v>
      </c>
      <c r="M118" s="13">
        <f t="shared" si="24"/>
        <v>1900</v>
      </c>
      <c r="N118" s="13">
        <f t="shared" si="25"/>
        <v>0</v>
      </c>
      <c r="O118" s="13">
        <f>IF(N118=1,MONTH(AN118),)</f>
        <v>0</v>
      </c>
      <c r="P118" s="13">
        <f t="shared" si="26"/>
        <v>0</v>
      </c>
      <c r="Q118" s="13">
        <f t="shared" si="27"/>
        <v>1900</v>
      </c>
      <c r="S118" s="38" t="s">
        <v>523</v>
      </c>
      <c r="T118" s="11" t="s">
        <v>25</v>
      </c>
      <c r="U118" s="11" t="s">
        <v>26</v>
      </c>
      <c r="V118" s="39" t="s">
        <v>38</v>
      </c>
      <c r="W118" s="39" t="s">
        <v>27</v>
      </c>
      <c r="X118" s="13"/>
      <c r="Z118" s="66">
        <v>43389</v>
      </c>
      <c r="AA118" s="67">
        <v>546000</v>
      </c>
      <c r="AD118" s="10"/>
      <c r="AG118" s="67">
        <v>574900</v>
      </c>
      <c r="AH118" s="16"/>
      <c r="AI118" s="16">
        <f>AG118-AA118</f>
        <v>28900</v>
      </c>
      <c r="AJ118" s="36">
        <f>AI118/AA118</f>
        <v>5.293040293040293E-2</v>
      </c>
      <c r="AN118" s="66"/>
      <c r="AT118" s="9"/>
      <c r="AU118" s="6" t="str">
        <f>IF(AND(AU$2&gt;$Z118,$Z118&gt;0,OR($AN118&gt;AU$2,ISBLANK($AN118))),AU$2-$Z118,"")</f>
        <v/>
      </c>
      <c r="AV118" s="6" t="str">
        <f>IF(AND(AV$2&gt;$Z118,$Z118&gt;0,OR($AN118&gt;AV$2,ISBLANK($AN118))),AV$2-$Z118,"")</f>
        <v/>
      </c>
      <c r="AW118" s="6" t="str">
        <f>IF(AND(AW$2&gt;$Z118,$Z118&gt;0,OR($AN118&gt;AW$2,ISBLANK($AN118))),AW$2-$Z118,"")</f>
        <v/>
      </c>
      <c r="AX118" s="6" t="str">
        <f>IF(AND(AX$2&gt;$Z118,$Z118&gt;0,OR($AN118&gt;AX$2,ISBLANK($AN118))),AX$2-$Z118,"")</f>
        <v/>
      </c>
      <c r="AY118" s="6" t="str">
        <f>IF(AND(AY$2&gt;$Z118,$Z118&gt;0,OR($AN118&gt;AY$2,ISBLANK($AN118))),AY$2-$Z118,"")</f>
        <v/>
      </c>
      <c r="AZ118" s="6">
        <f ca="1">IF(AND(AZ$2&gt;$Z118,$Z118&gt;0,OR($AN118&gt;AZ$2,ISBLANK($AN118))),AZ$2-$Z118,"")</f>
        <v>2.3822898148137028</v>
      </c>
      <c r="BA118" s="6"/>
      <c r="BB118" s="6"/>
      <c r="BC118" s="6"/>
      <c r="BD118" s="6"/>
    </row>
    <row r="119" spans="2:56" x14ac:dyDescent="0.25">
      <c r="B119" s="13">
        <f t="shared" si="14"/>
        <v>1</v>
      </c>
      <c r="C119" s="13">
        <f t="shared" si="15"/>
        <v>10</v>
      </c>
      <c r="D119" s="13">
        <f t="shared" si="16"/>
        <v>4</v>
      </c>
      <c r="E119" s="13">
        <f t="shared" si="17"/>
        <v>2018</v>
      </c>
      <c r="F119" s="13">
        <f t="shared" si="18"/>
        <v>0</v>
      </c>
      <c r="G119" s="13">
        <f t="shared" si="19"/>
        <v>1</v>
      </c>
      <c r="H119" s="13">
        <f t="shared" si="20"/>
        <v>1</v>
      </c>
      <c r="I119" s="13">
        <f t="shared" si="21"/>
        <v>1900</v>
      </c>
      <c r="J119" s="13">
        <f t="shared" si="22"/>
        <v>0</v>
      </c>
      <c r="K119" s="13">
        <f>IF(J119=1,MONTH(AK119),)</f>
        <v>0</v>
      </c>
      <c r="L119" s="13">
        <f t="shared" si="23"/>
        <v>0</v>
      </c>
      <c r="M119" s="13">
        <f t="shared" si="24"/>
        <v>1900</v>
      </c>
      <c r="N119" s="13">
        <f t="shared" si="25"/>
        <v>0</v>
      </c>
      <c r="O119" s="13">
        <f>IF(N119=1,MONTH(AN119),)</f>
        <v>0</v>
      </c>
      <c r="P119" s="13">
        <f t="shared" si="26"/>
        <v>0</v>
      </c>
      <c r="Q119" s="13">
        <f t="shared" si="27"/>
        <v>1900</v>
      </c>
      <c r="S119" s="38" t="s">
        <v>540</v>
      </c>
      <c r="T119" s="11" t="s">
        <v>62</v>
      </c>
      <c r="U119" s="11" t="s">
        <v>26</v>
      </c>
      <c r="V119" s="39" t="s">
        <v>38</v>
      </c>
      <c r="W119" s="39" t="s">
        <v>27</v>
      </c>
      <c r="X119" s="13" t="s">
        <v>541</v>
      </c>
      <c r="Y119" s="13" t="s">
        <v>29</v>
      </c>
      <c r="Z119" s="66">
        <v>43384</v>
      </c>
      <c r="AA119" s="67">
        <v>225000</v>
      </c>
      <c r="AD119" s="10"/>
      <c r="AG119" s="67">
        <v>236900</v>
      </c>
      <c r="AH119" s="16"/>
      <c r="AI119" s="16">
        <f>AG119-AA119</f>
        <v>11900</v>
      </c>
      <c r="AJ119" s="36">
        <f>AI119/AA119</f>
        <v>5.2888888888888888E-2</v>
      </c>
      <c r="AN119" s="66"/>
      <c r="AT119" s="9"/>
      <c r="AU119" s="6" t="str">
        <f>IF(AND(AU$2&gt;$Z119,$Z119&gt;0,OR($AN119&gt;AU$2,ISBLANK($AN119))),AU$2-$Z119,"")</f>
        <v/>
      </c>
      <c r="AV119" s="6" t="str">
        <f>IF(AND(AV$2&gt;$Z119,$Z119&gt;0,OR($AN119&gt;AV$2,ISBLANK($AN119))),AV$2-$Z119,"")</f>
        <v/>
      </c>
      <c r="AW119" s="6" t="str">
        <f>IF(AND(AW$2&gt;$Z119,$Z119&gt;0,OR($AN119&gt;AW$2,ISBLANK($AN119))),AW$2-$Z119,"")</f>
        <v/>
      </c>
      <c r="AX119" s="6" t="str">
        <f>IF(AND(AX$2&gt;$Z119,$Z119&gt;0,OR($AN119&gt;AX$2,ISBLANK($AN119))),AX$2-$Z119,"")</f>
        <v/>
      </c>
      <c r="AY119" s="6" t="str">
        <f>IF(AND(AY$2&gt;$Z119,$Z119&gt;0,OR($AN119&gt;AY$2,ISBLANK($AN119))),AY$2-$Z119,"")</f>
        <v/>
      </c>
      <c r="AZ119" s="6">
        <f ca="1">IF(AND(AZ$2&gt;$Z119,$Z119&gt;0,OR($AN119&gt;AZ$2,ISBLANK($AN119))),AZ$2-$Z119,"")</f>
        <v>7.3822898148137028</v>
      </c>
      <c r="BA119" s="6"/>
      <c r="BB119" s="6"/>
      <c r="BC119" s="6"/>
      <c r="BD119" s="6"/>
    </row>
    <row r="120" spans="2:56" x14ac:dyDescent="0.25">
      <c r="B120" s="13">
        <f t="shared" si="14"/>
        <v>1</v>
      </c>
      <c r="C120" s="13">
        <f t="shared" si="15"/>
        <v>9</v>
      </c>
      <c r="D120" s="13">
        <f t="shared" si="16"/>
        <v>3</v>
      </c>
      <c r="E120" s="13">
        <f t="shared" si="17"/>
        <v>2018</v>
      </c>
      <c r="F120" s="13">
        <f t="shared" si="18"/>
        <v>1</v>
      </c>
      <c r="G120" s="13">
        <f t="shared" si="19"/>
        <v>9</v>
      </c>
      <c r="H120" s="13">
        <f t="shared" si="20"/>
        <v>3</v>
      </c>
      <c r="I120" s="13">
        <f t="shared" si="21"/>
        <v>2018</v>
      </c>
      <c r="J120" s="13">
        <f t="shared" si="22"/>
        <v>0</v>
      </c>
      <c r="K120" s="13">
        <f>IF(J120=1,MONTH(AK120),)</f>
        <v>0</v>
      </c>
      <c r="L120" s="13">
        <f t="shared" si="23"/>
        <v>0</v>
      </c>
      <c r="M120" s="13">
        <f t="shared" si="24"/>
        <v>1900</v>
      </c>
      <c r="N120" s="13">
        <f t="shared" si="25"/>
        <v>0</v>
      </c>
      <c r="O120" s="13">
        <f>IF(N120=1,MONTH(AN120),)</f>
        <v>0</v>
      </c>
      <c r="P120" s="13">
        <f t="shared" si="26"/>
        <v>0</v>
      </c>
      <c r="Q120" s="13">
        <f t="shared" si="27"/>
        <v>1900</v>
      </c>
      <c r="S120" s="38" t="s">
        <v>204</v>
      </c>
      <c r="T120" s="11" t="s">
        <v>31</v>
      </c>
      <c r="U120" s="11" t="s">
        <v>26</v>
      </c>
      <c r="V120" s="39" t="s">
        <v>38</v>
      </c>
      <c r="W120" s="39" t="s">
        <v>27</v>
      </c>
      <c r="X120" s="13" t="s">
        <v>205</v>
      </c>
      <c r="Y120" s="13" t="s">
        <v>29</v>
      </c>
      <c r="Z120" s="66">
        <v>43349</v>
      </c>
      <c r="AA120" s="67">
        <v>412000</v>
      </c>
      <c r="AD120" s="10"/>
      <c r="AF120" s="66">
        <v>43363</v>
      </c>
      <c r="AG120" s="67">
        <v>427700</v>
      </c>
      <c r="AH120" s="16">
        <f>AF120-Z120</f>
        <v>14</v>
      </c>
      <c r="AI120" s="16">
        <f>AG120-AA120</f>
        <v>15700</v>
      </c>
      <c r="AJ120" s="36">
        <f>AI120/AA120</f>
        <v>3.8106796116504853E-2</v>
      </c>
      <c r="AN120" s="66"/>
      <c r="AT120" s="9"/>
      <c r="AU120" s="6" t="str">
        <f>IF(AND(AU$2&gt;$Z120,$Z120&gt;0,OR($AN120&gt;AU$2,ISBLANK($AN120))),AU$2-$Z120,"")</f>
        <v/>
      </c>
      <c r="AV120" s="6" t="str">
        <f>IF(AND(AV$2&gt;$Z120,$Z120&gt;0,OR($AN120&gt;AV$2,ISBLANK($AN120))),AV$2-$Z120,"")</f>
        <v/>
      </c>
      <c r="AW120" s="6" t="str">
        <f>IF(AND(AW$2&gt;$Z120,$Z120&gt;0,OR($AN120&gt;AW$2,ISBLANK($AN120))),AW$2-$Z120,"")</f>
        <v/>
      </c>
      <c r="AX120" s="6" t="str">
        <f>IF(AND(AX$2&gt;$Z120,$Z120&gt;0,OR($AN120&gt;AX$2,ISBLANK($AN120))),AX$2-$Z120,"")</f>
        <v/>
      </c>
      <c r="AY120" s="6">
        <f>IF(AND(AY$2&gt;$Z120,$Z120&gt;0,OR($AN120&gt;AY$2,ISBLANK($AN120))),AY$2-$Z120,"")</f>
        <v>24</v>
      </c>
      <c r="AZ120" s="6">
        <f ca="1">IF(AND(AZ$2&gt;$Z120,$Z120&gt;0,OR($AN120&gt;AZ$2,ISBLANK($AN120))),AZ$2-$Z120,"")</f>
        <v>42.382289814813703</v>
      </c>
      <c r="BA120" s="6"/>
      <c r="BB120" s="6"/>
      <c r="BC120" s="6"/>
      <c r="BD120" s="6"/>
    </row>
    <row r="121" spans="2:56" x14ac:dyDescent="0.25">
      <c r="B121" s="13">
        <f t="shared" si="14"/>
        <v>1</v>
      </c>
      <c r="C121" s="13">
        <f t="shared" si="15"/>
        <v>9</v>
      </c>
      <c r="D121" s="13">
        <f t="shared" si="16"/>
        <v>3</v>
      </c>
      <c r="E121" s="13">
        <f t="shared" si="17"/>
        <v>2018</v>
      </c>
      <c r="F121" s="13">
        <f t="shared" si="18"/>
        <v>1</v>
      </c>
      <c r="G121" s="13">
        <f t="shared" si="19"/>
        <v>10</v>
      </c>
      <c r="H121" s="13">
        <f t="shared" si="20"/>
        <v>4</v>
      </c>
      <c r="I121" s="13">
        <f t="shared" si="21"/>
        <v>2018</v>
      </c>
      <c r="J121" s="13">
        <f t="shared" si="22"/>
        <v>0</v>
      </c>
      <c r="K121" s="13">
        <f>IF(J121=1,MONTH(AK121),)</f>
        <v>0</v>
      </c>
      <c r="L121" s="13">
        <f t="shared" si="23"/>
        <v>0</v>
      </c>
      <c r="M121" s="13">
        <f t="shared" si="24"/>
        <v>1900</v>
      </c>
      <c r="N121" s="13">
        <f t="shared" si="25"/>
        <v>0</v>
      </c>
      <c r="O121" s="13">
        <f>IF(N121=1,MONTH(AN121),)</f>
        <v>0</v>
      </c>
      <c r="P121" s="13">
        <f t="shared" si="26"/>
        <v>0</v>
      </c>
      <c r="Q121" s="13">
        <f t="shared" si="27"/>
        <v>1900</v>
      </c>
      <c r="S121" s="38" t="s">
        <v>206</v>
      </c>
      <c r="T121" s="11" t="s">
        <v>169</v>
      </c>
      <c r="U121" s="11" t="s">
        <v>26</v>
      </c>
      <c r="V121" s="39" t="s">
        <v>38</v>
      </c>
      <c r="W121" s="39" t="s">
        <v>27</v>
      </c>
      <c r="X121" s="4" t="s">
        <v>207</v>
      </c>
      <c r="Y121" s="4" t="s">
        <v>29</v>
      </c>
      <c r="Z121" s="66">
        <v>43370</v>
      </c>
      <c r="AA121" s="67">
        <v>345000</v>
      </c>
      <c r="AD121" s="10"/>
      <c r="AF121" s="66">
        <v>43383</v>
      </c>
      <c r="AG121" s="67">
        <v>349900</v>
      </c>
      <c r="AH121" s="16">
        <f>AF121-Z121</f>
        <v>13</v>
      </c>
      <c r="AI121" s="16">
        <f>AG121-AA121</f>
        <v>4900</v>
      </c>
      <c r="AJ121" s="36">
        <f>AI121/AA121</f>
        <v>1.4202898550724638E-2</v>
      </c>
      <c r="AN121" s="66"/>
      <c r="AT121" s="9"/>
      <c r="AU121" s="6" t="str">
        <f>IF(AND(AU$2&gt;$Z121,$Z121&gt;0,OR($AN121&gt;AU$2,ISBLANK($AN121))),AU$2-$Z121,"")</f>
        <v/>
      </c>
      <c r="AV121" s="6" t="str">
        <f>IF(AND(AV$2&gt;$Z121,$Z121&gt;0,OR($AN121&gt;AV$2,ISBLANK($AN121))),AV$2-$Z121,"")</f>
        <v/>
      </c>
      <c r="AW121" s="6" t="str">
        <f>IF(AND(AW$2&gt;$Z121,$Z121&gt;0,OR($AN121&gt;AW$2,ISBLANK($AN121))),AW$2-$Z121,"")</f>
        <v/>
      </c>
      <c r="AX121" s="6" t="str">
        <f>IF(AND(AX$2&gt;$Z121,$Z121&gt;0,OR($AN121&gt;AX$2,ISBLANK($AN121))),AX$2-$Z121,"")</f>
        <v/>
      </c>
      <c r="AY121" s="6">
        <f>IF(AND(AY$2&gt;$Z121,$Z121&gt;0,OR($AN121&gt;AY$2,ISBLANK($AN121))),AY$2-$Z121,"")</f>
        <v>3</v>
      </c>
      <c r="AZ121" s="6">
        <f ca="1">IF(AND(AZ$2&gt;$Z121,$Z121&gt;0,OR($AN121&gt;AZ$2,ISBLANK($AN121))),AZ$2-$Z121,"")</f>
        <v>21.382289814813703</v>
      </c>
      <c r="BA121" s="6"/>
      <c r="BB121" s="6"/>
      <c r="BC121" s="6"/>
      <c r="BD121" s="6"/>
    </row>
    <row r="122" spans="2:56" x14ac:dyDescent="0.25">
      <c r="B122" s="13">
        <f t="shared" si="14"/>
        <v>1</v>
      </c>
      <c r="C122" s="13">
        <f t="shared" si="15"/>
        <v>8</v>
      </c>
      <c r="D122" s="13">
        <f t="shared" si="16"/>
        <v>3</v>
      </c>
      <c r="E122" s="13">
        <f t="shared" si="17"/>
        <v>2018</v>
      </c>
      <c r="F122" s="13">
        <f t="shared" si="18"/>
        <v>1</v>
      </c>
      <c r="G122" s="13">
        <f t="shared" si="19"/>
        <v>8</v>
      </c>
      <c r="H122" s="13">
        <f t="shared" si="20"/>
        <v>3</v>
      </c>
      <c r="I122" s="13">
        <f t="shared" si="21"/>
        <v>2018</v>
      </c>
      <c r="J122" s="13">
        <f t="shared" si="22"/>
        <v>0</v>
      </c>
      <c r="K122" s="13">
        <f>IF(J122=1,MONTH(AK122),)</f>
        <v>0</v>
      </c>
      <c r="L122" s="13">
        <f t="shared" si="23"/>
        <v>0</v>
      </c>
      <c r="M122" s="13">
        <f t="shared" si="24"/>
        <v>1900</v>
      </c>
      <c r="N122" s="13">
        <f t="shared" si="25"/>
        <v>0</v>
      </c>
      <c r="O122" s="13">
        <f>IF(N122=1,MONTH(AN122),)</f>
        <v>0</v>
      </c>
      <c r="P122" s="13">
        <f t="shared" si="26"/>
        <v>0</v>
      </c>
      <c r="Q122" s="13">
        <f t="shared" si="27"/>
        <v>1900</v>
      </c>
      <c r="S122" s="38" t="s">
        <v>208</v>
      </c>
      <c r="T122" s="11" t="s">
        <v>38</v>
      </c>
      <c r="U122" s="11" t="s">
        <v>26</v>
      </c>
      <c r="V122" s="39" t="s">
        <v>38</v>
      </c>
      <c r="W122" s="39" t="s">
        <v>27</v>
      </c>
      <c r="X122" s="13" t="s">
        <v>209</v>
      </c>
      <c r="Y122" s="4" t="s">
        <v>29</v>
      </c>
      <c r="Z122" s="66">
        <v>43319</v>
      </c>
      <c r="AA122" s="67">
        <v>376855</v>
      </c>
      <c r="AD122" s="10"/>
      <c r="AF122" s="66">
        <v>43327</v>
      </c>
      <c r="AG122" s="67">
        <v>381000</v>
      </c>
      <c r="AH122" s="16">
        <f>AF122-Z122</f>
        <v>8</v>
      </c>
      <c r="AI122" s="16">
        <f>AG122-AA122</f>
        <v>4145</v>
      </c>
      <c r="AJ122" s="36">
        <f>AI122/AA122</f>
        <v>1.099892531610301E-2</v>
      </c>
      <c r="AN122" s="66"/>
      <c r="AT122" s="9"/>
      <c r="AU122" s="6" t="str">
        <f>IF(AND(AU$2&gt;$Z122,$Z122&gt;0,OR($AN122&gt;AU$2,ISBLANK($AN122))),AU$2-$Z122,"")</f>
        <v/>
      </c>
      <c r="AV122" s="6" t="str">
        <f>IF(AND(AV$2&gt;$Z122,$Z122&gt;0,OR($AN122&gt;AV$2,ISBLANK($AN122))),AV$2-$Z122,"")</f>
        <v/>
      </c>
      <c r="AW122" s="6" t="str">
        <f>IF(AND(AW$2&gt;$Z122,$Z122&gt;0,OR($AN122&gt;AW$2,ISBLANK($AN122))),AW$2-$Z122,"")</f>
        <v/>
      </c>
      <c r="AX122" s="6">
        <f>IF(AND(AX$2&gt;$Z122,$Z122&gt;0,OR($AN122&gt;AX$2,ISBLANK($AN122))),AX$2-$Z122,"")</f>
        <v>24</v>
      </c>
      <c r="AY122" s="6">
        <f>IF(AND(AY$2&gt;$Z122,$Z122&gt;0,OR($AN122&gt;AY$2,ISBLANK($AN122))),AY$2-$Z122,"")</f>
        <v>54</v>
      </c>
      <c r="AZ122" s="6">
        <f ca="1">IF(AND(AZ$2&gt;$Z122,$Z122&gt;0,OR($AN122&gt;AZ$2,ISBLANK($AN122))),AZ$2-$Z122,"")</f>
        <v>72.382289814813703</v>
      </c>
      <c r="BA122" s="6"/>
      <c r="BB122" s="6"/>
      <c r="BC122" s="6"/>
      <c r="BD122" s="6"/>
    </row>
    <row r="123" spans="2:56" x14ac:dyDescent="0.25">
      <c r="B123" s="13">
        <f t="shared" si="14"/>
        <v>1</v>
      </c>
      <c r="C123" s="13">
        <f t="shared" si="15"/>
        <v>10</v>
      </c>
      <c r="D123" s="13">
        <f t="shared" si="16"/>
        <v>4</v>
      </c>
      <c r="E123" s="13">
        <f t="shared" si="17"/>
        <v>2018</v>
      </c>
      <c r="F123" s="13">
        <f t="shared" si="18"/>
        <v>0</v>
      </c>
      <c r="G123" s="13">
        <f t="shared" si="19"/>
        <v>1</v>
      </c>
      <c r="H123" s="13">
        <f t="shared" si="20"/>
        <v>1</v>
      </c>
      <c r="I123" s="13">
        <f t="shared" si="21"/>
        <v>1900</v>
      </c>
      <c r="J123" s="13">
        <f t="shared" si="22"/>
        <v>0</v>
      </c>
      <c r="K123" s="13">
        <f>IF(J123=1,MONTH(AK123),)</f>
        <v>0</v>
      </c>
      <c r="L123" s="13">
        <f t="shared" si="23"/>
        <v>0</v>
      </c>
      <c r="M123" s="13">
        <f t="shared" si="24"/>
        <v>1900</v>
      </c>
      <c r="N123" s="13">
        <f t="shared" si="25"/>
        <v>0</v>
      </c>
      <c r="O123" s="13">
        <f>IF(N123=1,MONTH(AN123),)</f>
        <v>0</v>
      </c>
      <c r="P123" s="13">
        <f t="shared" si="26"/>
        <v>0</v>
      </c>
      <c r="Q123" s="13">
        <f t="shared" si="27"/>
        <v>1900</v>
      </c>
      <c r="S123" s="38" t="s">
        <v>476</v>
      </c>
      <c r="T123" s="11" t="s">
        <v>62</v>
      </c>
      <c r="U123" s="11" t="s">
        <v>26</v>
      </c>
      <c r="V123" s="39" t="s">
        <v>38</v>
      </c>
      <c r="W123" s="39" t="s">
        <v>27</v>
      </c>
      <c r="X123" s="4" t="s">
        <v>473</v>
      </c>
      <c r="Y123" s="4" t="s">
        <v>29</v>
      </c>
      <c r="Z123" s="66">
        <v>43378</v>
      </c>
      <c r="AA123" s="67">
        <v>146000</v>
      </c>
      <c r="AD123" s="10"/>
      <c r="AG123" s="67">
        <v>153900</v>
      </c>
      <c r="AH123" s="16"/>
      <c r="AI123" s="16">
        <f>AG123-AA123</f>
        <v>7900</v>
      </c>
      <c r="AJ123" s="36">
        <f>AI123/AA123</f>
        <v>5.410958904109589E-2</v>
      </c>
      <c r="AN123" s="66"/>
      <c r="AT123" s="9"/>
      <c r="AU123" s="6" t="str">
        <f>IF(AND(AU$2&gt;$Z123,$Z123&gt;0,OR($AN123&gt;AU$2,ISBLANK($AN123))),AU$2-$Z123,"")</f>
        <v/>
      </c>
      <c r="AV123" s="6" t="str">
        <f>IF(AND(AV$2&gt;$Z123,$Z123&gt;0,OR($AN123&gt;AV$2,ISBLANK($AN123))),AV$2-$Z123,"")</f>
        <v/>
      </c>
      <c r="AW123" s="6" t="str">
        <f>IF(AND(AW$2&gt;$Z123,$Z123&gt;0,OR($AN123&gt;AW$2,ISBLANK($AN123))),AW$2-$Z123,"")</f>
        <v/>
      </c>
      <c r="AX123" s="6" t="str">
        <f>IF(AND(AX$2&gt;$Z123,$Z123&gt;0,OR($AN123&gt;AX$2,ISBLANK($AN123))),AX$2-$Z123,"")</f>
        <v/>
      </c>
      <c r="AY123" s="6" t="str">
        <f>IF(AND(AY$2&gt;$Z123,$Z123&gt;0,OR($AN123&gt;AY$2,ISBLANK($AN123))),AY$2-$Z123,"")</f>
        <v/>
      </c>
      <c r="AZ123" s="6">
        <f ca="1">IF(AND(AZ$2&gt;$Z123,$Z123&gt;0,OR($AN123&gt;AZ$2,ISBLANK($AN123))),AZ$2-$Z123,"")</f>
        <v>13.382289814813703</v>
      </c>
      <c r="BA123" s="6"/>
      <c r="BB123" s="6"/>
      <c r="BC123" s="6"/>
      <c r="BD123" s="6"/>
    </row>
    <row r="124" spans="2:56" x14ac:dyDescent="0.25">
      <c r="B124" s="13">
        <f t="shared" si="14"/>
        <v>1</v>
      </c>
      <c r="C124" s="13">
        <f t="shared" si="15"/>
        <v>7</v>
      </c>
      <c r="D124" s="13">
        <f t="shared" si="16"/>
        <v>3</v>
      </c>
      <c r="E124" s="13">
        <f t="shared" si="17"/>
        <v>2018</v>
      </c>
      <c r="F124" s="13">
        <f t="shared" si="18"/>
        <v>1</v>
      </c>
      <c r="G124" s="13">
        <f t="shared" si="19"/>
        <v>7</v>
      </c>
      <c r="H124" s="13">
        <f t="shared" si="20"/>
        <v>3</v>
      </c>
      <c r="I124" s="13">
        <f t="shared" si="21"/>
        <v>2018</v>
      </c>
      <c r="J124" s="13">
        <f t="shared" si="22"/>
        <v>1</v>
      </c>
      <c r="K124" s="13">
        <f>IF(J124=1,MONTH(AK124),)</f>
        <v>8</v>
      </c>
      <c r="L124" s="13">
        <f t="shared" si="23"/>
        <v>3</v>
      </c>
      <c r="M124" s="13">
        <f t="shared" si="24"/>
        <v>2018</v>
      </c>
      <c r="N124" s="13">
        <f t="shared" si="25"/>
        <v>1</v>
      </c>
      <c r="O124" s="13">
        <f>IF(N124=1,MONTH(AN124),)</f>
        <v>9</v>
      </c>
      <c r="P124" s="13">
        <f t="shared" si="26"/>
        <v>3</v>
      </c>
      <c r="Q124" s="13">
        <f t="shared" si="27"/>
        <v>2018</v>
      </c>
      <c r="S124" s="38" t="s">
        <v>484</v>
      </c>
      <c r="T124" s="11" t="s">
        <v>31</v>
      </c>
      <c r="U124" s="11" t="s">
        <v>26</v>
      </c>
      <c r="V124" s="39" t="s">
        <v>38</v>
      </c>
      <c r="W124" s="39" t="s">
        <v>27</v>
      </c>
      <c r="Y124" s="4" t="s">
        <v>29</v>
      </c>
      <c r="Z124" s="66">
        <v>43298</v>
      </c>
      <c r="AA124" s="67">
        <v>325000</v>
      </c>
      <c r="AD124" s="10"/>
      <c r="AF124" s="66">
        <v>43310</v>
      </c>
      <c r="AG124" s="67">
        <v>334900</v>
      </c>
      <c r="AH124" s="16">
        <f>AF124-Z124</f>
        <v>12</v>
      </c>
      <c r="AI124" s="16">
        <f>AG124-AA124</f>
        <v>9900</v>
      </c>
      <c r="AJ124" s="36">
        <f>AI124/AA124</f>
        <v>3.046153846153846E-2</v>
      </c>
      <c r="AK124" s="66">
        <v>43340</v>
      </c>
      <c r="AL124" s="67">
        <v>332900</v>
      </c>
      <c r="AM124" s="6">
        <f>AK124-AF124</f>
        <v>30</v>
      </c>
      <c r="AN124" s="66">
        <v>43369</v>
      </c>
      <c r="AO124" s="67">
        <v>329000</v>
      </c>
      <c r="AP124" s="6">
        <f>AN124-AK124</f>
        <v>29</v>
      </c>
      <c r="AQ124" s="6">
        <f>AH124+AM124+AP124</f>
        <v>71</v>
      </c>
      <c r="AR124" s="6">
        <f>AO124-AA124</f>
        <v>4000</v>
      </c>
      <c r="AS124" s="8">
        <f>AR124/AA124</f>
        <v>1.2307692307692308E-2</v>
      </c>
      <c r="AT124" s="9"/>
      <c r="AU124" s="6" t="str">
        <f>IF(AND(AU$2&gt;$Z124,$Z124&gt;0,OR($AN124&gt;AU$2,ISBLANK($AN124))),AU$2-$Z124,"")</f>
        <v/>
      </c>
      <c r="AV124" s="6" t="str">
        <f>IF(AND(AV$2&gt;$Z124,$Z124&gt;0,OR($AN124&gt;AV$2,ISBLANK($AN124))),AV$2-$Z124,"")</f>
        <v/>
      </c>
      <c r="AW124" s="6">
        <f>IF(AND(AW$2&gt;$Z124,$Z124&gt;0,OR($AN124&gt;AW$2,ISBLANK($AN124))),AW$2-$Z124,"")</f>
        <v>14</v>
      </c>
      <c r="AX124" s="6">
        <f>IF(AND(AX$2&gt;$Z124,$Z124&gt;0,OR($AN124&gt;AX$2,ISBLANK($AN124))),AX$2-$Z124,"")</f>
        <v>45</v>
      </c>
      <c r="AY124" s="6" t="str">
        <f>IF(AND(AY$2&gt;$Z124,$Z124&gt;0,OR($AN124&gt;AY$2,ISBLANK($AN124))),AY$2-$Z124,"")</f>
        <v/>
      </c>
      <c r="AZ124" s="6" t="str">
        <f ca="1">IF(AND(AZ$2&gt;$Z124,$Z124&gt;0,OR($AN124&gt;AZ$2,ISBLANK($AN124))),AZ$2-$Z124,"")</f>
        <v/>
      </c>
      <c r="BA124" s="6"/>
      <c r="BB124" s="6"/>
      <c r="BC124" s="6"/>
      <c r="BD124" s="6"/>
    </row>
    <row r="125" spans="2:56" x14ac:dyDescent="0.25">
      <c r="B125" s="13">
        <f t="shared" si="14"/>
        <v>1</v>
      </c>
      <c r="C125" s="13">
        <f t="shared" si="15"/>
        <v>9</v>
      </c>
      <c r="D125" s="13">
        <f t="shared" si="16"/>
        <v>3</v>
      </c>
      <c r="E125" s="13">
        <f t="shared" si="17"/>
        <v>2018</v>
      </c>
      <c r="F125" s="13">
        <f t="shared" si="18"/>
        <v>0</v>
      </c>
      <c r="G125" s="13">
        <f t="shared" si="19"/>
        <v>1</v>
      </c>
      <c r="H125" s="13">
        <f t="shared" si="20"/>
        <v>1</v>
      </c>
      <c r="I125" s="13">
        <f t="shared" si="21"/>
        <v>1900</v>
      </c>
      <c r="J125" s="13">
        <f t="shared" si="22"/>
        <v>0</v>
      </c>
      <c r="K125" s="13">
        <f>IF(J125=1,MONTH(AK125),)</f>
        <v>0</v>
      </c>
      <c r="L125" s="13">
        <f t="shared" si="23"/>
        <v>0</v>
      </c>
      <c r="M125" s="13">
        <f t="shared" si="24"/>
        <v>1900</v>
      </c>
      <c r="N125" s="13">
        <f t="shared" si="25"/>
        <v>0</v>
      </c>
      <c r="O125" s="13">
        <f>IF(N125=1,MONTH(AN125),)</f>
        <v>0</v>
      </c>
      <c r="P125" s="13">
        <f t="shared" si="26"/>
        <v>0</v>
      </c>
      <c r="Q125" s="13">
        <f t="shared" si="27"/>
        <v>1900</v>
      </c>
      <c r="S125" s="38" t="s">
        <v>210</v>
      </c>
      <c r="T125" s="11" t="s">
        <v>31</v>
      </c>
      <c r="U125" s="11" t="s">
        <v>26</v>
      </c>
      <c r="V125" s="39" t="s">
        <v>38</v>
      </c>
      <c r="W125" s="39" t="s">
        <v>27</v>
      </c>
      <c r="X125" s="13" t="s">
        <v>211</v>
      </c>
      <c r="Y125" s="13" t="s">
        <v>29</v>
      </c>
      <c r="Z125" s="66">
        <v>43350</v>
      </c>
      <c r="AA125" s="67">
        <v>270040</v>
      </c>
      <c r="AD125" s="10"/>
      <c r="AH125" s="16"/>
      <c r="AI125" s="16"/>
      <c r="AJ125" s="36"/>
      <c r="AN125" s="66"/>
      <c r="AT125" s="9"/>
      <c r="AU125" s="6" t="str">
        <f>IF(AND(AU$2&gt;$Z125,$Z125&gt;0,OR($AN125&gt;AU$2,ISBLANK($AN125))),AU$2-$Z125,"")</f>
        <v/>
      </c>
      <c r="AV125" s="6" t="str">
        <f>IF(AND(AV$2&gt;$Z125,$Z125&gt;0,OR($AN125&gt;AV$2,ISBLANK($AN125))),AV$2-$Z125,"")</f>
        <v/>
      </c>
      <c r="AW125" s="6" t="str">
        <f>IF(AND(AW$2&gt;$Z125,$Z125&gt;0,OR($AN125&gt;AW$2,ISBLANK($AN125))),AW$2-$Z125,"")</f>
        <v/>
      </c>
      <c r="AX125" s="6" t="str">
        <f>IF(AND(AX$2&gt;$Z125,$Z125&gt;0,OR($AN125&gt;AX$2,ISBLANK($AN125))),AX$2-$Z125,"")</f>
        <v/>
      </c>
      <c r="AY125" s="6">
        <f>IF(AND(AY$2&gt;$Z125,$Z125&gt;0,OR($AN125&gt;AY$2,ISBLANK($AN125))),AY$2-$Z125,"")</f>
        <v>23</v>
      </c>
      <c r="AZ125" s="6">
        <f ca="1">IF(AND(AZ$2&gt;$Z125,$Z125&gt;0,OR($AN125&gt;AZ$2,ISBLANK($AN125))),AZ$2-$Z125,"")</f>
        <v>41.382289814813703</v>
      </c>
      <c r="BA125" s="6"/>
      <c r="BB125" s="6"/>
      <c r="BC125" s="6"/>
      <c r="BD125" s="6"/>
    </row>
    <row r="126" spans="2:56" x14ac:dyDescent="0.25">
      <c r="B126" s="13">
        <f t="shared" si="14"/>
        <v>1</v>
      </c>
      <c r="C126" s="13">
        <f t="shared" si="15"/>
        <v>10</v>
      </c>
      <c r="D126" s="13">
        <f t="shared" si="16"/>
        <v>4</v>
      </c>
      <c r="E126" s="13">
        <f t="shared" si="17"/>
        <v>2018</v>
      </c>
      <c r="F126" s="13">
        <f t="shared" si="18"/>
        <v>0</v>
      </c>
      <c r="G126" s="13">
        <f t="shared" si="19"/>
        <v>1</v>
      </c>
      <c r="H126" s="13">
        <f t="shared" si="20"/>
        <v>1</v>
      </c>
      <c r="I126" s="13">
        <f t="shared" si="21"/>
        <v>1900</v>
      </c>
      <c r="J126" s="13">
        <f t="shared" si="22"/>
        <v>0</v>
      </c>
      <c r="K126" s="13">
        <f>IF(J126=1,MONTH(AK126),)</f>
        <v>0</v>
      </c>
      <c r="L126" s="13">
        <f t="shared" si="23"/>
        <v>0</v>
      </c>
      <c r="M126" s="13">
        <f t="shared" si="24"/>
        <v>1900</v>
      </c>
      <c r="N126" s="13">
        <f t="shared" si="25"/>
        <v>0</v>
      </c>
      <c r="O126" s="13">
        <f>IF(N126=1,MONTH(AN126),)</f>
        <v>0</v>
      </c>
      <c r="P126" s="13">
        <f t="shared" si="26"/>
        <v>0</v>
      </c>
      <c r="Q126" s="13">
        <f t="shared" si="27"/>
        <v>1900</v>
      </c>
      <c r="S126" s="38" t="s">
        <v>505</v>
      </c>
      <c r="T126" s="11" t="s">
        <v>506</v>
      </c>
      <c r="U126" s="11" t="s">
        <v>26</v>
      </c>
      <c r="V126" s="39" t="s">
        <v>38</v>
      </c>
      <c r="W126" s="39" t="s">
        <v>27</v>
      </c>
      <c r="X126" s="13"/>
      <c r="Z126" s="66">
        <v>43383</v>
      </c>
      <c r="AA126" s="67">
        <v>381800</v>
      </c>
      <c r="AD126" s="10"/>
      <c r="AG126" s="67">
        <v>392900</v>
      </c>
      <c r="AH126" s="16"/>
      <c r="AI126" s="16">
        <f>AG126-AA126</f>
        <v>11100</v>
      </c>
      <c r="AJ126" s="36">
        <f>AI126/AA126</f>
        <v>2.9072812991094814E-2</v>
      </c>
      <c r="AN126" s="66"/>
      <c r="AT126" s="9"/>
      <c r="AU126" s="6" t="str">
        <f>IF(AND(AU$2&gt;$Z126,$Z126&gt;0,OR($AN126&gt;AU$2,ISBLANK($AN126))),AU$2-$Z126,"")</f>
        <v/>
      </c>
      <c r="AV126" s="6" t="str">
        <f>IF(AND(AV$2&gt;$Z126,$Z126&gt;0,OR($AN126&gt;AV$2,ISBLANK($AN126))),AV$2-$Z126,"")</f>
        <v/>
      </c>
      <c r="AW126" s="6" t="str">
        <f>IF(AND(AW$2&gt;$Z126,$Z126&gt;0,OR($AN126&gt;AW$2,ISBLANK($AN126))),AW$2-$Z126,"")</f>
        <v/>
      </c>
      <c r="AX126" s="6" t="str">
        <f>IF(AND(AX$2&gt;$Z126,$Z126&gt;0,OR($AN126&gt;AX$2,ISBLANK($AN126))),AX$2-$Z126,"")</f>
        <v/>
      </c>
      <c r="AY126" s="6" t="str">
        <f>IF(AND(AY$2&gt;$Z126,$Z126&gt;0,OR($AN126&gt;AY$2,ISBLANK($AN126))),AY$2-$Z126,"")</f>
        <v/>
      </c>
      <c r="AZ126" s="6">
        <f ca="1">IF(AND(AZ$2&gt;$Z126,$Z126&gt;0,OR($AN126&gt;AZ$2,ISBLANK($AN126))),AZ$2-$Z126,"")</f>
        <v>8.3822898148137028</v>
      </c>
      <c r="BA126" s="6"/>
      <c r="BB126" s="6"/>
      <c r="BC126" s="6"/>
      <c r="BD126" s="6"/>
    </row>
    <row r="127" spans="2:56" x14ac:dyDescent="0.25">
      <c r="B127" s="13">
        <f t="shared" si="14"/>
        <v>1</v>
      </c>
      <c r="C127" s="13">
        <f t="shared" si="15"/>
        <v>9</v>
      </c>
      <c r="D127" s="13">
        <f t="shared" si="16"/>
        <v>3</v>
      </c>
      <c r="E127" s="13">
        <f t="shared" si="17"/>
        <v>2018</v>
      </c>
      <c r="F127" s="13">
        <f t="shared" si="18"/>
        <v>1</v>
      </c>
      <c r="G127" s="13">
        <f t="shared" si="19"/>
        <v>10</v>
      </c>
      <c r="H127" s="13">
        <f t="shared" si="20"/>
        <v>4</v>
      </c>
      <c r="I127" s="13">
        <f t="shared" si="21"/>
        <v>2018</v>
      </c>
      <c r="J127" s="13">
        <f t="shared" si="22"/>
        <v>1</v>
      </c>
      <c r="K127" s="13">
        <f>IF(J127=1,MONTH(AK127),)</f>
        <v>10</v>
      </c>
      <c r="L127" s="13">
        <f t="shared" si="23"/>
        <v>4</v>
      </c>
      <c r="M127" s="13">
        <f t="shared" si="24"/>
        <v>2018</v>
      </c>
      <c r="N127" s="13">
        <f t="shared" si="25"/>
        <v>0</v>
      </c>
      <c r="O127" s="13">
        <f>IF(N127=1,MONTH(AN127),)</f>
        <v>0</v>
      </c>
      <c r="P127" s="13">
        <f t="shared" si="26"/>
        <v>0</v>
      </c>
      <c r="Q127" s="13">
        <f t="shared" si="27"/>
        <v>1900</v>
      </c>
      <c r="S127" s="38" t="s">
        <v>212</v>
      </c>
      <c r="T127" s="11" t="s">
        <v>38</v>
      </c>
      <c r="U127" s="11" t="s">
        <v>26</v>
      </c>
      <c r="V127" s="39" t="s">
        <v>38</v>
      </c>
      <c r="W127" s="39" t="s">
        <v>27</v>
      </c>
      <c r="X127" s="13" t="s">
        <v>213</v>
      </c>
      <c r="Y127" s="13" t="s">
        <v>29</v>
      </c>
      <c r="Z127" s="66">
        <v>43364</v>
      </c>
      <c r="AA127" s="67">
        <v>240300</v>
      </c>
      <c r="AD127" s="10"/>
      <c r="AF127" s="66">
        <v>43377</v>
      </c>
      <c r="AG127" s="67">
        <v>252800</v>
      </c>
      <c r="AH127" s="16">
        <f>AF127-Z127</f>
        <v>13</v>
      </c>
      <c r="AI127" s="16">
        <f>AG127-AA127</f>
        <v>12500</v>
      </c>
      <c r="AJ127" s="36">
        <f>AI127/AA127</f>
        <v>5.2018310445276737E-2</v>
      </c>
      <c r="AK127" s="66">
        <v>43388</v>
      </c>
      <c r="AL127" s="67">
        <v>252800</v>
      </c>
      <c r="AM127" s="6">
        <f>AK127-AF127</f>
        <v>11</v>
      </c>
      <c r="AN127" s="66"/>
      <c r="AT127" s="9"/>
      <c r="AU127" s="6" t="str">
        <f>IF(AND(AU$2&gt;$Z127,$Z127&gt;0,OR($AN127&gt;AU$2,ISBLANK($AN127))),AU$2-$Z127,"")</f>
        <v/>
      </c>
      <c r="AV127" s="6" t="str">
        <f>IF(AND(AV$2&gt;$Z127,$Z127&gt;0,OR($AN127&gt;AV$2,ISBLANK($AN127))),AV$2-$Z127,"")</f>
        <v/>
      </c>
      <c r="AW127" s="6" t="str">
        <f>IF(AND(AW$2&gt;$Z127,$Z127&gt;0,OR($AN127&gt;AW$2,ISBLANK($AN127))),AW$2-$Z127,"")</f>
        <v/>
      </c>
      <c r="AX127" s="6" t="str">
        <f>IF(AND(AX$2&gt;$Z127,$Z127&gt;0,OR($AN127&gt;AX$2,ISBLANK($AN127))),AX$2-$Z127,"")</f>
        <v/>
      </c>
      <c r="AY127" s="6">
        <f>IF(AND(AY$2&gt;$Z127,$Z127&gt;0,OR($AN127&gt;AY$2,ISBLANK($AN127))),AY$2-$Z127,"")</f>
        <v>9</v>
      </c>
      <c r="AZ127" s="6">
        <f ca="1">IF(AND(AZ$2&gt;$Z127,$Z127&gt;0,OR($AN127&gt;AZ$2,ISBLANK($AN127))),AZ$2-$Z127,"")</f>
        <v>27.382289814813703</v>
      </c>
      <c r="BA127" s="6"/>
      <c r="BB127" s="6"/>
      <c r="BC127" s="6"/>
      <c r="BD127" s="6"/>
    </row>
    <row r="128" spans="2:56" x14ac:dyDescent="0.25">
      <c r="B128" s="13">
        <f t="shared" si="14"/>
        <v>1</v>
      </c>
      <c r="C128" s="13">
        <f t="shared" si="15"/>
        <v>6</v>
      </c>
      <c r="D128" s="13">
        <f t="shared" si="16"/>
        <v>2</v>
      </c>
      <c r="E128" s="13">
        <f t="shared" si="17"/>
        <v>2018</v>
      </c>
      <c r="F128" s="13">
        <f t="shared" si="18"/>
        <v>1</v>
      </c>
      <c r="G128" s="13">
        <f t="shared" si="19"/>
        <v>6</v>
      </c>
      <c r="H128" s="13">
        <f t="shared" si="20"/>
        <v>2</v>
      </c>
      <c r="I128" s="13">
        <f t="shared" si="21"/>
        <v>2018</v>
      </c>
      <c r="J128" s="13">
        <f t="shared" si="22"/>
        <v>1</v>
      </c>
      <c r="K128" s="13">
        <f>IF(J128=1,MONTH(AK128),)</f>
        <v>7</v>
      </c>
      <c r="L128" s="13">
        <f t="shared" si="23"/>
        <v>3</v>
      </c>
      <c r="M128" s="13">
        <f t="shared" si="24"/>
        <v>2018</v>
      </c>
      <c r="N128" s="13">
        <f t="shared" si="25"/>
        <v>1</v>
      </c>
      <c r="O128" s="13">
        <f>IF(N128=1,MONTH(AN128),)</f>
        <v>8</v>
      </c>
      <c r="P128" s="13">
        <f t="shared" si="26"/>
        <v>3</v>
      </c>
      <c r="Q128" s="13">
        <f t="shared" si="27"/>
        <v>2018</v>
      </c>
      <c r="S128" s="38" t="s">
        <v>412</v>
      </c>
      <c r="T128" s="11" t="s">
        <v>31</v>
      </c>
      <c r="U128" s="11" t="s">
        <v>26</v>
      </c>
      <c r="V128" s="39" t="s">
        <v>38</v>
      </c>
      <c r="W128" s="39" t="s">
        <v>27</v>
      </c>
      <c r="X128" s="13" t="s">
        <v>421</v>
      </c>
      <c r="Y128" s="4" t="s">
        <v>322</v>
      </c>
      <c r="Z128" s="66">
        <v>43255</v>
      </c>
      <c r="AA128" s="67">
        <v>375000</v>
      </c>
      <c r="AD128" s="10"/>
      <c r="AF128" s="66">
        <v>43265</v>
      </c>
      <c r="AG128" s="67">
        <v>379900</v>
      </c>
      <c r="AH128" s="16">
        <f>AF128-Z128</f>
        <v>10</v>
      </c>
      <c r="AI128" s="16">
        <f>AG128-AA128</f>
        <v>4900</v>
      </c>
      <c r="AJ128" s="36">
        <f>AI128/AA128</f>
        <v>1.3066666666666667E-2</v>
      </c>
      <c r="AK128" s="66">
        <v>43292</v>
      </c>
      <c r="AL128" s="67">
        <v>379900</v>
      </c>
      <c r="AM128" s="6">
        <f>AK128-AF128</f>
        <v>27</v>
      </c>
      <c r="AN128" s="66">
        <v>43314</v>
      </c>
      <c r="AO128" s="67">
        <v>377000</v>
      </c>
      <c r="AP128" s="6">
        <f>AN128-AK128</f>
        <v>22</v>
      </c>
      <c r="AQ128" s="6">
        <f>AH128+AM128+AP128</f>
        <v>59</v>
      </c>
      <c r="AR128" s="6">
        <f>AO128-AA128</f>
        <v>2000</v>
      </c>
      <c r="AS128" s="8">
        <f>AR128/AA128</f>
        <v>5.3333333333333332E-3</v>
      </c>
      <c r="AT128" s="9"/>
      <c r="AU128" s="6" t="str">
        <f>IF(AND(AU$2&gt;$Z128,$Z128&gt;0,OR($AN128&gt;AU$2,ISBLANK($AN128))),AU$2-$Z128,"")</f>
        <v/>
      </c>
      <c r="AV128" s="6">
        <f>IF(AND(AV$2&gt;$Z128,$Z128&gt;0,OR($AN128&gt;AV$2,ISBLANK($AN128))),AV$2-$Z128,"")</f>
        <v>26</v>
      </c>
      <c r="AW128" s="6">
        <f>IF(AND(AW$2&gt;$Z128,$Z128&gt;0,OR($AN128&gt;AW$2,ISBLANK($AN128))),AW$2-$Z128,"")</f>
        <v>57</v>
      </c>
      <c r="AX128" s="6" t="str">
        <f>IF(AND(AX$2&gt;$Z128,$Z128&gt;0,OR($AN128&gt;AX$2,ISBLANK($AN128))),AX$2-$Z128,"")</f>
        <v/>
      </c>
      <c r="AY128" s="6" t="str">
        <f>IF(AND(AY$2&gt;$Z128,$Z128&gt;0,OR($AN128&gt;AY$2,ISBLANK($AN128))),AY$2-$Z128,"")</f>
        <v/>
      </c>
      <c r="AZ128" s="6" t="str">
        <f ca="1">IF(AND(AZ$2&gt;$Z128,$Z128&gt;0,OR($AN128&gt;AZ$2,ISBLANK($AN128))),AZ$2-$Z128,"")</f>
        <v/>
      </c>
      <c r="BA128" s="6"/>
      <c r="BB128" s="6"/>
      <c r="BC128" s="6"/>
      <c r="BD128" s="6"/>
    </row>
    <row r="129" spans="2:56" x14ac:dyDescent="0.25">
      <c r="B129" s="13">
        <f t="shared" si="14"/>
        <v>1</v>
      </c>
      <c r="C129" s="13">
        <f t="shared" si="15"/>
        <v>8</v>
      </c>
      <c r="D129" s="13">
        <f t="shared" si="16"/>
        <v>3</v>
      </c>
      <c r="E129" s="13">
        <f t="shared" si="17"/>
        <v>2018</v>
      </c>
      <c r="F129" s="13">
        <f t="shared" si="18"/>
        <v>1</v>
      </c>
      <c r="G129" s="13">
        <f t="shared" si="19"/>
        <v>9</v>
      </c>
      <c r="H129" s="13">
        <f t="shared" si="20"/>
        <v>3</v>
      </c>
      <c r="I129" s="13">
        <f t="shared" si="21"/>
        <v>2018</v>
      </c>
      <c r="J129" s="13">
        <f t="shared" si="22"/>
        <v>0</v>
      </c>
      <c r="K129" s="13">
        <f>IF(J129=1,MONTH(AK129),)</f>
        <v>0</v>
      </c>
      <c r="L129" s="13">
        <f t="shared" si="23"/>
        <v>0</v>
      </c>
      <c r="M129" s="13">
        <f t="shared" si="24"/>
        <v>1900</v>
      </c>
      <c r="N129" s="13">
        <f t="shared" si="25"/>
        <v>0</v>
      </c>
      <c r="O129" s="13">
        <f>IF(N129=1,MONTH(AN129),)</f>
        <v>0</v>
      </c>
      <c r="P129" s="13">
        <f t="shared" si="26"/>
        <v>0</v>
      </c>
      <c r="Q129" s="13">
        <f t="shared" si="27"/>
        <v>1900</v>
      </c>
      <c r="S129" s="38" t="s">
        <v>214</v>
      </c>
      <c r="T129" s="11" t="s">
        <v>31</v>
      </c>
      <c r="U129" s="11" t="s">
        <v>26</v>
      </c>
      <c r="V129" s="39" t="s">
        <v>38</v>
      </c>
      <c r="W129" s="39" t="s">
        <v>27</v>
      </c>
      <c r="X129" s="4" t="s">
        <v>215</v>
      </c>
      <c r="Y129" s="4" t="s">
        <v>29</v>
      </c>
      <c r="Z129" s="66">
        <v>43321</v>
      </c>
      <c r="AA129" s="67">
        <v>366605</v>
      </c>
      <c r="AD129" s="10"/>
      <c r="AF129" s="66">
        <v>43346</v>
      </c>
      <c r="AG129" s="67">
        <v>379800</v>
      </c>
      <c r="AH129" s="16">
        <f>AF129-Z129</f>
        <v>25</v>
      </c>
      <c r="AI129" s="16">
        <f>AG129-AA129</f>
        <v>13195</v>
      </c>
      <c r="AJ129" s="36">
        <f>AI129/AA129</f>
        <v>3.5992416906479724E-2</v>
      </c>
      <c r="AN129" s="66"/>
      <c r="AT129" s="9"/>
      <c r="AU129" s="6" t="str">
        <f>IF(AND(AU$2&gt;$Z129,$Z129&gt;0,OR($AN129&gt;AU$2,ISBLANK($AN129))),AU$2-$Z129,"")</f>
        <v/>
      </c>
      <c r="AV129" s="6" t="str">
        <f>IF(AND(AV$2&gt;$Z129,$Z129&gt;0,OR($AN129&gt;AV$2,ISBLANK($AN129))),AV$2-$Z129,"")</f>
        <v/>
      </c>
      <c r="AW129" s="6" t="str">
        <f>IF(AND(AW$2&gt;$Z129,$Z129&gt;0,OR($AN129&gt;AW$2,ISBLANK($AN129))),AW$2-$Z129,"")</f>
        <v/>
      </c>
      <c r="AX129" s="6">
        <f>IF(AND(AX$2&gt;$Z129,$Z129&gt;0,OR($AN129&gt;AX$2,ISBLANK($AN129))),AX$2-$Z129,"")</f>
        <v>22</v>
      </c>
      <c r="AY129" s="6">
        <f>IF(AND(AY$2&gt;$Z129,$Z129&gt;0,OR($AN129&gt;AY$2,ISBLANK($AN129))),AY$2-$Z129,"")</f>
        <v>52</v>
      </c>
      <c r="AZ129" s="6">
        <f ca="1">IF(AND(AZ$2&gt;$Z129,$Z129&gt;0,OR($AN129&gt;AZ$2,ISBLANK($AN129))),AZ$2-$Z129,"")</f>
        <v>70.382289814813703</v>
      </c>
      <c r="BA129" s="6"/>
      <c r="BB129" s="6"/>
      <c r="BC129" s="6"/>
      <c r="BD129" s="6"/>
    </row>
    <row r="130" spans="2:56" x14ac:dyDescent="0.25">
      <c r="B130" s="13">
        <f t="shared" si="14"/>
        <v>1</v>
      </c>
      <c r="C130" s="13">
        <f t="shared" si="15"/>
        <v>7</v>
      </c>
      <c r="D130" s="13">
        <f t="shared" si="16"/>
        <v>3</v>
      </c>
      <c r="E130" s="13">
        <f t="shared" si="17"/>
        <v>2018</v>
      </c>
      <c r="F130" s="13">
        <f t="shared" si="18"/>
        <v>1</v>
      </c>
      <c r="G130" s="13">
        <f t="shared" si="19"/>
        <v>8</v>
      </c>
      <c r="H130" s="13">
        <f t="shared" si="20"/>
        <v>3</v>
      </c>
      <c r="I130" s="13">
        <f t="shared" si="21"/>
        <v>2018</v>
      </c>
      <c r="J130" s="13">
        <f t="shared" si="22"/>
        <v>0</v>
      </c>
      <c r="K130" s="13">
        <f>IF(J130=1,MONTH(AK130),)</f>
        <v>0</v>
      </c>
      <c r="L130" s="13">
        <f t="shared" si="23"/>
        <v>0</v>
      </c>
      <c r="M130" s="13">
        <f t="shared" si="24"/>
        <v>1900</v>
      </c>
      <c r="N130" s="13">
        <f t="shared" si="25"/>
        <v>0</v>
      </c>
      <c r="O130" s="13">
        <f>IF(N130=1,MONTH(AN130),)</f>
        <v>0</v>
      </c>
      <c r="P130" s="13">
        <f t="shared" si="26"/>
        <v>0</v>
      </c>
      <c r="Q130" s="13">
        <f t="shared" si="27"/>
        <v>1900</v>
      </c>
      <c r="S130" s="38" t="s">
        <v>216</v>
      </c>
      <c r="T130" s="11" t="s">
        <v>40</v>
      </c>
      <c r="U130" s="11" t="s">
        <v>26</v>
      </c>
      <c r="V130" s="39" t="s">
        <v>38</v>
      </c>
      <c r="W130" s="39" t="s">
        <v>27</v>
      </c>
      <c r="X130" s="13" t="s">
        <v>217</v>
      </c>
      <c r="Y130" s="4" t="s">
        <v>29</v>
      </c>
      <c r="Z130" s="66">
        <v>43301</v>
      </c>
      <c r="AA130" s="67">
        <v>320000</v>
      </c>
      <c r="AD130" s="10"/>
      <c r="AF130" s="66">
        <v>43314</v>
      </c>
      <c r="AG130" s="67">
        <v>327800</v>
      </c>
      <c r="AH130" s="16">
        <f>AF130-Z130</f>
        <v>13</v>
      </c>
      <c r="AI130" s="16">
        <f>AG130-AA130</f>
        <v>7800</v>
      </c>
      <c r="AJ130" s="36">
        <f>AI130/AA130</f>
        <v>2.4375000000000001E-2</v>
      </c>
      <c r="AN130" s="66"/>
      <c r="AT130" s="9"/>
      <c r="AU130" s="6" t="str">
        <f>IF(AND(AU$2&gt;$Z130,$Z130&gt;0,OR($AN130&gt;AU$2,ISBLANK($AN130))),AU$2-$Z130,"")</f>
        <v/>
      </c>
      <c r="AV130" s="6" t="str">
        <f>IF(AND(AV$2&gt;$Z130,$Z130&gt;0,OR($AN130&gt;AV$2,ISBLANK($AN130))),AV$2-$Z130,"")</f>
        <v/>
      </c>
      <c r="AW130" s="6">
        <f>IF(AND(AW$2&gt;$Z130,$Z130&gt;0,OR($AN130&gt;AW$2,ISBLANK($AN130))),AW$2-$Z130,"")</f>
        <v>11</v>
      </c>
      <c r="AX130" s="6">
        <f>IF(AND(AX$2&gt;$Z130,$Z130&gt;0,OR($AN130&gt;AX$2,ISBLANK($AN130))),AX$2-$Z130,"")</f>
        <v>42</v>
      </c>
      <c r="AY130" s="6">
        <f>IF(AND(AY$2&gt;$Z130,$Z130&gt;0,OR($AN130&gt;AY$2,ISBLANK($AN130))),AY$2-$Z130,"")</f>
        <v>72</v>
      </c>
      <c r="AZ130" s="6">
        <f ca="1">IF(AND(AZ$2&gt;$Z130,$Z130&gt;0,OR($AN130&gt;AZ$2,ISBLANK($AN130))),AZ$2-$Z130,"")</f>
        <v>90.382289814813703</v>
      </c>
      <c r="BA130" s="6"/>
      <c r="BB130" s="6"/>
      <c r="BC130" s="6"/>
      <c r="BD130" s="6"/>
    </row>
    <row r="131" spans="2:56" x14ac:dyDescent="0.25">
      <c r="B131" s="13">
        <f t="shared" si="14"/>
        <v>1</v>
      </c>
      <c r="C131" s="13">
        <f t="shared" si="15"/>
        <v>9</v>
      </c>
      <c r="D131" s="13">
        <f t="shared" si="16"/>
        <v>3</v>
      </c>
      <c r="E131" s="13">
        <f t="shared" si="17"/>
        <v>2018</v>
      </c>
      <c r="F131" s="13">
        <f t="shared" si="18"/>
        <v>1</v>
      </c>
      <c r="G131" s="13">
        <f t="shared" si="19"/>
        <v>9</v>
      </c>
      <c r="H131" s="13">
        <f t="shared" si="20"/>
        <v>3</v>
      </c>
      <c r="I131" s="13">
        <f t="shared" si="21"/>
        <v>2018</v>
      </c>
      <c r="J131" s="13">
        <f t="shared" si="22"/>
        <v>1</v>
      </c>
      <c r="K131" s="13">
        <f>IF(J131=1,MONTH(AK131),)</f>
        <v>10</v>
      </c>
      <c r="L131" s="13">
        <f t="shared" si="23"/>
        <v>4</v>
      </c>
      <c r="M131" s="13">
        <f t="shared" si="24"/>
        <v>2018</v>
      </c>
      <c r="N131" s="13">
        <f t="shared" si="25"/>
        <v>0</v>
      </c>
      <c r="O131" s="13">
        <f>IF(N131=1,MONTH(AN131),)</f>
        <v>0</v>
      </c>
      <c r="P131" s="13">
        <f t="shared" si="26"/>
        <v>0</v>
      </c>
      <c r="Q131" s="13">
        <f t="shared" si="27"/>
        <v>1900</v>
      </c>
      <c r="S131" s="38" t="s">
        <v>218</v>
      </c>
      <c r="T131" s="11" t="s">
        <v>38</v>
      </c>
      <c r="U131" s="11" t="s">
        <v>26</v>
      </c>
      <c r="V131" s="39" t="s">
        <v>38</v>
      </c>
      <c r="W131" s="39" t="s">
        <v>27</v>
      </c>
      <c r="X131" s="4" t="s">
        <v>219</v>
      </c>
      <c r="Y131" s="4" t="s">
        <v>29</v>
      </c>
      <c r="Z131" s="66">
        <v>43350</v>
      </c>
      <c r="AA131" s="67">
        <v>133000</v>
      </c>
      <c r="AD131" s="10"/>
      <c r="AF131" s="66">
        <v>43360</v>
      </c>
      <c r="AG131" s="67">
        <v>142300</v>
      </c>
      <c r="AH131" s="16">
        <f>AF131-Z131</f>
        <v>10</v>
      </c>
      <c r="AI131" s="16">
        <f>AG131-AA131</f>
        <v>9300</v>
      </c>
      <c r="AJ131" s="36">
        <f>AI131/AA131</f>
        <v>6.9924812030075181E-2</v>
      </c>
      <c r="AK131" s="66">
        <v>43376</v>
      </c>
      <c r="AL131" s="67">
        <v>142300</v>
      </c>
      <c r="AM131" s="6">
        <f>AK131-AF131</f>
        <v>16</v>
      </c>
      <c r="AN131" s="66"/>
      <c r="AT131" s="9"/>
      <c r="AU131" s="6" t="str">
        <f>IF(AND(AU$2&gt;$Z131,$Z131&gt;0,OR($AN131&gt;AU$2,ISBLANK($AN131))),AU$2-$Z131,"")</f>
        <v/>
      </c>
      <c r="AV131" s="6" t="str">
        <f>IF(AND(AV$2&gt;$Z131,$Z131&gt;0,OR($AN131&gt;AV$2,ISBLANK($AN131))),AV$2-$Z131,"")</f>
        <v/>
      </c>
      <c r="AW131" s="6" t="str">
        <f>IF(AND(AW$2&gt;$Z131,$Z131&gt;0,OR($AN131&gt;AW$2,ISBLANK($AN131))),AW$2-$Z131,"")</f>
        <v/>
      </c>
      <c r="AX131" s="6" t="str">
        <f>IF(AND(AX$2&gt;$Z131,$Z131&gt;0,OR($AN131&gt;AX$2,ISBLANK($AN131))),AX$2-$Z131,"")</f>
        <v/>
      </c>
      <c r="AY131" s="6">
        <f>IF(AND(AY$2&gt;$Z131,$Z131&gt;0,OR($AN131&gt;AY$2,ISBLANK($AN131))),AY$2-$Z131,"")</f>
        <v>23</v>
      </c>
      <c r="AZ131" s="6">
        <f ca="1">IF(AND(AZ$2&gt;$Z131,$Z131&gt;0,OR($AN131&gt;AZ$2,ISBLANK($AN131))),AZ$2-$Z131,"")</f>
        <v>41.382289814813703</v>
      </c>
      <c r="BA131" s="6"/>
      <c r="BB131" s="6"/>
      <c r="BC131" s="6"/>
      <c r="BD131" s="6"/>
    </row>
    <row r="132" spans="2:56" x14ac:dyDescent="0.25">
      <c r="B132" s="13">
        <f t="shared" ref="B132:B195" si="28">IF(Z132&lt;&gt;0,1,)</f>
        <v>1</v>
      </c>
      <c r="C132" s="13">
        <f t="shared" ref="C132:C195" si="29">MONTH(Z132)</f>
        <v>10</v>
      </c>
      <c r="D132" s="13">
        <f t="shared" ref="D132:D195" si="30">IF(C132=1,1,IF(C132=2,1,IF(C132=3,1,IF(C132=4,2,IF(C132=5,2,IF(C132=6,2,IF(C132=7,3,IF(C132=8,3,IF(C132=9,3,IF(C132=10,4,IF(C132=11,4,IF(C132=12,4,))))))))))))</f>
        <v>4</v>
      </c>
      <c r="E132" s="13">
        <f t="shared" ref="E132:E195" si="31">YEAR(Z132)</f>
        <v>2018</v>
      </c>
      <c r="F132" s="13">
        <f t="shared" ref="F132:F195" si="32">IF(AF132&lt;&gt;0,1,)</f>
        <v>0</v>
      </c>
      <c r="G132" s="13">
        <f t="shared" ref="G132:G195" si="33">MONTH(AF132)</f>
        <v>1</v>
      </c>
      <c r="H132" s="13">
        <f t="shared" ref="H132:H195" si="34">IF(G132=1,1,IF(G132=2,1,IF(G132=3,1,IF(G132=4,2,IF(G132=5,2,IF(G132=6,2,IF(G132=7,3,IF(G132=8,3,IF(G132=9,3,IF(G132=10,4,IF(G132=11,4,IF(G132=12,4,))))))))))))</f>
        <v>1</v>
      </c>
      <c r="I132" s="13">
        <f t="shared" ref="I132:I195" si="35">YEAR(AF132)</f>
        <v>1900</v>
      </c>
      <c r="J132" s="13">
        <f t="shared" ref="J132:J195" si="36">IF(AK132&lt;&gt;0,1,)</f>
        <v>0</v>
      </c>
      <c r="K132" s="13">
        <f>IF(J132=1,MONTH(AK132),)</f>
        <v>0</v>
      </c>
      <c r="L132" s="13">
        <f t="shared" ref="L132:L195" si="37">IF(K132=1,1,IF(K132=2,1,IF(K132=3,1,IF(K132=4,2,IF(K132=5,2,IF(K132=6,2,IF(K132=7,3,IF(K132=8,3,IF(K132=9,3,IF(K132=10,4,IF(K132=11,4,IF(K132=12,4,))))))))))))</f>
        <v>0</v>
      </c>
      <c r="M132" s="13">
        <f t="shared" ref="M132:M195" si="38">YEAR(AK132)</f>
        <v>1900</v>
      </c>
      <c r="N132" s="13">
        <f t="shared" ref="N132:N195" si="39">IF(AN132&lt;&gt;0,1,)</f>
        <v>0</v>
      </c>
      <c r="O132" s="13">
        <f>IF(N132=1,MONTH(AN132),)</f>
        <v>0</v>
      </c>
      <c r="P132" s="13">
        <f t="shared" ref="P132:P195" si="40">IF(O132=1,1,IF(O132=2,1,IF(O132=3,1,IF(O132=4,2,IF(O132=5,2,IF(O132=6,2,IF(O132=7,3,IF(O132=8,3,IF(O132=9,3,IF(O132=10,4,IF(O132=11,4,IF(O132=12,4,))))))))))))</f>
        <v>0</v>
      </c>
      <c r="Q132" s="13">
        <f t="shared" ref="Q132:Q195" si="41">YEAR(AN132)</f>
        <v>1900</v>
      </c>
      <c r="S132" s="38" t="s">
        <v>542</v>
      </c>
      <c r="T132" s="11" t="s">
        <v>31</v>
      </c>
      <c r="U132" s="11" t="s">
        <v>26</v>
      </c>
      <c r="V132" s="39" t="s">
        <v>38</v>
      </c>
      <c r="W132" s="39" t="s">
        <v>27</v>
      </c>
      <c r="X132" s="4" t="s">
        <v>543</v>
      </c>
      <c r="Y132" s="4" t="s">
        <v>29</v>
      </c>
      <c r="Z132" s="66">
        <v>43384</v>
      </c>
      <c r="AA132" s="67">
        <v>424800</v>
      </c>
      <c r="AD132" s="10"/>
      <c r="AG132" s="67">
        <v>434900</v>
      </c>
      <c r="AH132" s="16"/>
      <c r="AI132" s="16">
        <f>AG132-AA132</f>
        <v>10100</v>
      </c>
      <c r="AJ132" s="36">
        <f>AI132/AA132</f>
        <v>2.3775894538606401E-2</v>
      </c>
      <c r="AN132" s="66"/>
      <c r="AT132" s="9"/>
      <c r="AU132" s="6" t="str">
        <f>IF(AND(AU$2&gt;$Z132,$Z132&gt;0,OR($AN132&gt;AU$2,ISBLANK($AN132))),AU$2-$Z132,"")</f>
        <v/>
      </c>
      <c r="AV132" s="6" t="str">
        <f>IF(AND(AV$2&gt;$Z132,$Z132&gt;0,OR($AN132&gt;AV$2,ISBLANK($AN132))),AV$2-$Z132,"")</f>
        <v/>
      </c>
      <c r="AW132" s="6" t="str">
        <f>IF(AND(AW$2&gt;$Z132,$Z132&gt;0,OR($AN132&gt;AW$2,ISBLANK($AN132))),AW$2-$Z132,"")</f>
        <v/>
      </c>
      <c r="AX132" s="6" t="str">
        <f>IF(AND(AX$2&gt;$Z132,$Z132&gt;0,OR($AN132&gt;AX$2,ISBLANK($AN132))),AX$2-$Z132,"")</f>
        <v/>
      </c>
      <c r="AY132" s="6" t="str">
        <f>IF(AND(AY$2&gt;$Z132,$Z132&gt;0,OR($AN132&gt;AY$2,ISBLANK($AN132))),AY$2-$Z132,"")</f>
        <v/>
      </c>
      <c r="AZ132" s="6">
        <f ca="1">IF(AND(AZ$2&gt;$Z132,$Z132&gt;0,OR($AN132&gt;AZ$2,ISBLANK($AN132))),AZ$2-$Z132,"")</f>
        <v>7.3822898148137028</v>
      </c>
      <c r="BA132" s="6"/>
      <c r="BB132" s="6"/>
      <c r="BC132" s="6"/>
      <c r="BD132" s="6"/>
    </row>
    <row r="133" spans="2:56" x14ac:dyDescent="0.25">
      <c r="B133" s="13">
        <f t="shared" si="28"/>
        <v>1</v>
      </c>
      <c r="C133" s="13">
        <f t="shared" si="29"/>
        <v>7</v>
      </c>
      <c r="D133" s="13">
        <f t="shared" si="30"/>
        <v>3</v>
      </c>
      <c r="E133" s="13">
        <f t="shared" si="31"/>
        <v>2018</v>
      </c>
      <c r="F133" s="13">
        <f t="shared" si="32"/>
        <v>1</v>
      </c>
      <c r="G133" s="13">
        <f t="shared" si="33"/>
        <v>7</v>
      </c>
      <c r="H133" s="13">
        <f t="shared" si="34"/>
        <v>3</v>
      </c>
      <c r="I133" s="13">
        <f t="shared" si="35"/>
        <v>2018</v>
      </c>
      <c r="J133" s="13">
        <f t="shared" si="36"/>
        <v>0</v>
      </c>
      <c r="K133" s="13">
        <f>IF(J133=1,MONTH(AK133),)</f>
        <v>0</v>
      </c>
      <c r="L133" s="13">
        <f t="shared" si="37"/>
        <v>0</v>
      </c>
      <c r="M133" s="13">
        <f t="shared" si="38"/>
        <v>1900</v>
      </c>
      <c r="N133" s="13">
        <f t="shared" si="39"/>
        <v>0</v>
      </c>
      <c r="O133" s="13">
        <f>IF(N133=1,MONTH(AN133),)</f>
        <v>0</v>
      </c>
      <c r="P133" s="13">
        <f t="shared" si="40"/>
        <v>0</v>
      </c>
      <c r="Q133" s="13">
        <f t="shared" si="41"/>
        <v>1900</v>
      </c>
      <c r="S133" s="38" t="s">
        <v>220</v>
      </c>
      <c r="T133" s="11" t="s">
        <v>40</v>
      </c>
      <c r="U133" s="11" t="s">
        <v>26</v>
      </c>
      <c r="V133" s="39" t="s">
        <v>38</v>
      </c>
      <c r="W133" s="39" t="s">
        <v>27</v>
      </c>
      <c r="X133" s="13" t="s">
        <v>221</v>
      </c>
      <c r="Y133" s="13" t="s">
        <v>29</v>
      </c>
      <c r="Z133" s="66">
        <v>43284</v>
      </c>
      <c r="AA133" s="67">
        <v>432000</v>
      </c>
      <c r="AD133" s="10"/>
      <c r="AF133" s="66">
        <v>43301</v>
      </c>
      <c r="AG133" s="67">
        <v>439900</v>
      </c>
      <c r="AH133" s="16">
        <f>AF133-Z133</f>
        <v>17</v>
      </c>
      <c r="AI133" s="16">
        <f>AG133-AA133</f>
        <v>7900</v>
      </c>
      <c r="AJ133" s="36">
        <f>AI133/AA133</f>
        <v>1.8287037037037036E-2</v>
      </c>
      <c r="AN133" s="66"/>
      <c r="AT133" s="9"/>
      <c r="AU133" s="6" t="str">
        <f>IF(AND(AU$2&gt;$Z133,$Z133&gt;0,OR($AN133&gt;AU$2,ISBLANK($AN133))),AU$2-$Z133,"")</f>
        <v/>
      </c>
      <c r="AV133" s="6" t="str">
        <f>IF(AND(AV$2&gt;$Z133,$Z133&gt;0,OR($AN133&gt;AV$2,ISBLANK($AN133))),AV$2-$Z133,"")</f>
        <v/>
      </c>
      <c r="AW133" s="6">
        <f>IF(AND(AW$2&gt;$Z133,$Z133&gt;0,OR($AN133&gt;AW$2,ISBLANK($AN133))),AW$2-$Z133,"")</f>
        <v>28</v>
      </c>
      <c r="AX133" s="6">
        <f>IF(AND(AX$2&gt;$Z133,$Z133&gt;0,OR($AN133&gt;AX$2,ISBLANK($AN133))),AX$2-$Z133,"")</f>
        <v>59</v>
      </c>
      <c r="AY133" s="6">
        <f>IF(AND(AY$2&gt;$Z133,$Z133&gt;0,OR($AN133&gt;AY$2,ISBLANK($AN133))),AY$2-$Z133,"")</f>
        <v>89</v>
      </c>
      <c r="AZ133" s="6">
        <f ca="1">IF(AND(AZ$2&gt;$Z133,$Z133&gt;0,OR($AN133&gt;AZ$2,ISBLANK($AN133))),AZ$2-$Z133,"")</f>
        <v>107.3822898148137</v>
      </c>
      <c r="BA133" s="6"/>
      <c r="BB133" s="6"/>
      <c r="BC133" s="6"/>
      <c r="BD133" s="6"/>
    </row>
    <row r="134" spans="2:56" x14ac:dyDescent="0.25">
      <c r="B134" s="13">
        <f t="shared" si="28"/>
        <v>1</v>
      </c>
      <c r="C134" s="13">
        <f t="shared" si="29"/>
        <v>7</v>
      </c>
      <c r="D134" s="13">
        <f t="shared" si="30"/>
        <v>3</v>
      </c>
      <c r="E134" s="13">
        <f t="shared" si="31"/>
        <v>2018</v>
      </c>
      <c r="F134" s="13">
        <f t="shared" si="32"/>
        <v>1</v>
      </c>
      <c r="G134" s="13">
        <f t="shared" si="33"/>
        <v>8</v>
      </c>
      <c r="H134" s="13">
        <f t="shared" si="34"/>
        <v>3</v>
      </c>
      <c r="I134" s="13">
        <f t="shared" si="35"/>
        <v>2018</v>
      </c>
      <c r="J134" s="13">
        <f t="shared" si="36"/>
        <v>0</v>
      </c>
      <c r="K134" s="13">
        <f>IF(J134=1,MONTH(AK134),)</f>
        <v>0</v>
      </c>
      <c r="L134" s="13">
        <f t="shared" si="37"/>
        <v>0</v>
      </c>
      <c r="M134" s="13">
        <f t="shared" si="38"/>
        <v>1900</v>
      </c>
      <c r="N134" s="13">
        <f t="shared" si="39"/>
        <v>0</v>
      </c>
      <c r="O134" s="13">
        <f>IF(N134=1,MONTH(AN134),)</f>
        <v>0</v>
      </c>
      <c r="P134" s="13">
        <f t="shared" si="40"/>
        <v>0</v>
      </c>
      <c r="Q134" s="13">
        <f t="shared" si="41"/>
        <v>1900</v>
      </c>
      <c r="S134" s="38" t="s">
        <v>222</v>
      </c>
      <c r="T134" s="11" t="s">
        <v>40</v>
      </c>
      <c r="U134" s="11" t="s">
        <v>26</v>
      </c>
      <c r="V134" s="39" t="s">
        <v>38</v>
      </c>
      <c r="W134" s="39" t="s">
        <v>27</v>
      </c>
      <c r="X134" s="4" t="s">
        <v>223</v>
      </c>
      <c r="Y134" s="4" t="s">
        <v>29</v>
      </c>
      <c r="Z134" s="66">
        <v>43312</v>
      </c>
      <c r="AA134" s="67">
        <v>385000</v>
      </c>
      <c r="AD134" s="10"/>
      <c r="AF134" s="66">
        <v>43329</v>
      </c>
      <c r="AG134" s="67">
        <v>392800</v>
      </c>
      <c r="AH134" s="16">
        <f>AF134-Z134</f>
        <v>17</v>
      </c>
      <c r="AI134" s="16">
        <f>AG134-AA134</f>
        <v>7800</v>
      </c>
      <c r="AJ134" s="36">
        <f>AI134/AA134</f>
        <v>2.0259740259740259E-2</v>
      </c>
      <c r="AN134" s="66"/>
      <c r="AT134" s="9"/>
      <c r="AU134" s="6" t="str">
        <f>IF(AND(AU$2&gt;$Z134,$Z134&gt;0,OR($AN134&gt;AU$2,ISBLANK($AN134))),AU$2-$Z134,"")</f>
        <v/>
      </c>
      <c r="AV134" s="6" t="str">
        <f>IF(AND(AV$2&gt;$Z134,$Z134&gt;0,OR($AN134&gt;AV$2,ISBLANK($AN134))),AV$2-$Z134,"")</f>
        <v/>
      </c>
      <c r="AW134" s="6" t="str">
        <f>IF(AND(AW$2&gt;$Z134,$Z134&gt;0,OR($AN134&gt;AW$2,ISBLANK($AN134))),AW$2-$Z134,"")</f>
        <v/>
      </c>
      <c r="AX134" s="6">
        <f>IF(AND(AX$2&gt;$Z134,$Z134&gt;0,OR($AN134&gt;AX$2,ISBLANK($AN134))),AX$2-$Z134,"")</f>
        <v>31</v>
      </c>
      <c r="AY134" s="6">
        <f>IF(AND(AY$2&gt;$Z134,$Z134&gt;0,OR($AN134&gt;AY$2,ISBLANK($AN134))),AY$2-$Z134,"")</f>
        <v>61</v>
      </c>
      <c r="AZ134" s="6">
        <f ca="1">IF(AND(AZ$2&gt;$Z134,$Z134&gt;0,OR($AN134&gt;AZ$2,ISBLANK($AN134))),AZ$2-$Z134,"")</f>
        <v>79.382289814813703</v>
      </c>
      <c r="BA134" s="6"/>
      <c r="BB134" s="6"/>
      <c r="BC134" s="6"/>
      <c r="BD134" s="6"/>
    </row>
    <row r="135" spans="2:56" x14ac:dyDescent="0.25">
      <c r="B135" s="13">
        <f t="shared" si="28"/>
        <v>1</v>
      </c>
      <c r="C135" s="13">
        <f t="shared" si="29"/>
        <v>8</v>
      </c>
      <c r="D135" s="13">
        <f t="shared" si="30"/>
        <v>3</v>
      </c>
      <c r="E135" s="13">
        <f t="shared" si="31"/>
        <v>2018</v>
      </c>
      <c r="F135" s="13">
        <f t="shared" si="32"/>
        <v>1</v>
      </c>
      <c r="G135" s="13">
        <f t="shared" si="33"/>
        <v>8</v>
      </c>
      <c r="H135" s="13">
        <f t="shared" si="34"/>
        <v>3</v>
      </c>
      <c r="I135" s="13">
        <f t="shared" si="35"/>
        <v>2018</v>
      </c>
      <c r="J135" s="13">
        <f t="shared" si="36"/>
        <v>1</v>
      </c>
      <c r="K135" s="13">
        <f>IF(J135=1,MONTH(AK135),)</f>
        <v>10</v>
      </c>
      <c r="L135" s="13">
        <f t="shared" si="37"/>
        <v>4</v>
      </c>
      <c r="M135" s="13">
        <f t="shared" si="38"/>
        <v>2018</v>
      </c>
      <c r="N135" s="13">
        <f t="shared" si="39"/>
        <v>0</v>
      </c>
      <c r="O135" s="13">
        <f>IF(N135=1,MONTH(AN135),)</f>
        <v>0</v>
      </c>
      <c r="P135" s="13">
        <f t="shared" si="40"/>
        <v>0</v>
      </c>
      <c r="Q135" s="13">
        <f t="shared" si="41"/>
        <v>1900</v>
      </c>
      <c r="S135" s="38" t="s">
        <v>224</v>
      </c>
      <c r="T135" s="11" t="s">
        <v>225</v>
      </c>
      <c r="U135" s="11" t="s">
        <v>26</v>
      </c>
      <c r="V135" s="39" t="s">
        <v>38</v>
      </c>
      <c r="W135" s="39" t="s">
        <v>27</v>
      </c>
      <c r="X135" s="4" t="s">
        <v>226</v>
      </c>
      <c r="Y135" s="4" t="s">
        <v>29</v>
      </c>
      <c r="Z135" s="66">
        <v>43320</v>
      </c>
      <c r="AA135" s="67">
        <v>311368</v>
      </c>
      <c r="AD135" s="10"/>
      <c r="AF135" s="66">
        <v>43339</v>
      </c>
      <c r="AG135" s="67">
        <v>322000</v>
      </c>
      <c r="AH135" s="16">
        <f>AF135-Z135</f>
        <v>19</v>
      </c>
      <c r="AI135" s="16">
        <f>AG135-AA135</f>
        <v>10632</v>
      </c>
      <c r="AJ135" s="36">
        <f>AI135/AA135</f>
        <v>3.4146090799311427E-2</v>
      </c>
      <c r="AK135" s="66">
        <v>43385</v>
      </c>
      <c r="AL135" s="67">
        <v>320000</v>
      </c>
      <c r="AM135" s="6">
        <f>AK135-AF135</f>
        <v>46</v>
      </c>
      <c r="AN135" s="66"/>
      <c r="AT135" s="9"/>
      <c r="AU135" s="6" t="str">
        <f>IF(AND(AU$2&gt;$Z135,$Z135&gt;0,OR($AN135&gt;AU$2,ISBLANK($AN135))),AU$2-$Z135,"")</f>
        <v/>
      </c>
      <c r="AV135" s="6" t="str">
        <f>IF(AND(AV$2&gt;$Z135,$Z135&gt;0,OR($AN135&gt;AV$2,ISBLANK($AN135))),AV$2-$Z135,"")</f>
        <v/>
      </c>
      <c r="AW135" s="6" t="str">
        <f>IF(AND(AW$2&gt;$Z135,$Z135&gt;0,OR($AN135&gt;AW$2,ISBLANK($AN135))),AW$2-$Z135,"")</f>
        <v/>
      </c>
      <c r="AX135" s="6">
        <f>IF(AND(AX$2&gt;$Z135,$Z135&gt;0,OR($AN135&gt;AX$2,ISBLANK($AN135))),AX$2-$Z135,"")</f>
        <v>23</v>
      </c>
      <c r="AY135" s="6">
        <f>IF(AND(AY$2&gt;$Z135,$Z135&gt;0,OR($AN135&gt;AY$2,ISBLANK($AN135))),AY$2-$Z135,"")</f>
        <v>53</v>
      </c>
      <c r="AZ135" s="6">
        <f ca="1">IF(AND(AZ$2&gt;$Z135,$Z135&gt;0,OR($AN135&gt;AZ$2,ISBLANK($AN135))),AZ$2-$Z135,"")</f>
        <v>71.382289814813703</v>
      </c>
      <c r="BA135" s="6"/>
      <c r="BB135" s="6"/>
      <c r="BC135" s="6"/>
      <c r="BD135" s="6"/>
    </row>
    <row r="136" spans="2:56" x14ac:dyDescent="0.25">
      <c r="B136" s="13">
        <f t="shared" si="28"/>
        <v>1</v>
      </c>
      <c r="C136" s="13">
        <f t="shared" si="29"/>
        <v>9</v>
      </c>
      <c r="D136" s="13">
        <f t="shared" si="30"/>
        <v>3</v>
      </c>
      <c r="E136" s="13">
        <f t="shared" si="31"/>
        <v>2018</v>
      </c>
      <c r="F136" s="13">
        <f t="shared" si="32"/>
        <v>1</v>
      </c>
      <c r="G136" s="13">
        <f t="shared" si="33"/>
        <v>9</v>
      </c>
      <c r="H136" s="13">
        <f t="shared" si="34"/>
        <v>3</v>
      </c>
      <c r="I136" s="13">
        <f t="shared" si="35"/>
        <v>2018</v>
      </c>
      <c r="J136" s="13">
        <f t="shared" si="36"/>
        <v>0</v>
      </c>
      <c r="K136" s="13">
        <f>IF(J136=1,MONTH(AK136),)</f>
        <v>0</v>
      </c>
      <c r="L136" s="13">
        <f t="shared" si="37"/>
        <v>0</v>
      </c>
      <c r="M136" s="13">
        <f t="shared" si="38"/>
        <v>1900</v>
      </c>
      <c r="N136" s="13">
        <f t="shared" si="39"/>
        <v>0</v>
      </c>
      <c r="O136" s="13">
        <f>IF(N136=1,MONTH(AN136),)</f>
        <v>0</v>
      </c>
      <c r="P136" s="13">
        <f t="shared" si="40"/>
        <v>0</v>
      </c>
      <c r="Q136" s="13">
        <f t="shared" si="41"/>
        <v>1900</v>
      </c>
      <c r="S136" s="38" t="s">
        <v>227</v>
      </c>
      <c r="T136" s="11" t="s">
        <v>38</v>
      </c>
      <c r="U136" s="11" t="s">
        <v>26</v>
      </c>
      <c r="V136" s="39" t="s">
        <v>38</v>
      </c>
      <c r="W136" s="39" t="s">
        <v>27</v>
      </c>
      <c r="X136" s="4" t="s">
        <v>228</v>
      </c>
      <c r="Y136" s="4" t="s">
        <v>29</v>
      </c>
      <c r="Z136" s="66">
        <v>43348</v>
      </c>
      <c r="AA136" s="67">
        <v>441000</v>
      </c>
      <c r="AD136" s="10"/>
      <c r="AF136" s="66">
        <v>43371</v>
      </c>
      <c r="AG136" s="67">
        <v>469500</v>
      </c>
      <c r="AH136" s="16">
        <f>AF136-Z136</f>
        <v>23</v>
      </c>
      <c r="AI136" s="16">
        <f>AG136-AA136</f>
        <v>28500</v>
      </c>
      <c r="AJ136" s="36">
        <f>AI136/AA136</f>
        <v>6.4625850340136057E-2</v>
      </c>
      <c r="AN136" s="66"/>
      <c r="AT136" s="9"/>
      <c r="AU136" s="6" t="str">
        <f>IF(AND(AU$2&gt;$Z136,$Z136&gt;0,OR($AN136&gt;AU$2,ISBLANK($AN136))),AU$2-$Z136,"")</f>
        <v/>
      </c>
      <c r="AV136" s="6" t="str">
        <f>IF(AND(AV$2&gt;$Z136,$Z136&gt;0,OR($AN136&gt;AV$2,ISBLANK($AN136))),AV$2-$Z136,"")</f>
        <v/>
      </c>
      <c r="AW136" s="6" t="str">
        <f>IF(AND(AW$2&gt;$Z136,$Z136&gt;0,OR($AN136&gt;AW$2,ISBLANK($AN136))),AW$2-$Z136,"")</f>
        <v/>
      </c>
      <c r="AX136" s="6" t="str">
        <f>IF(AND(AX$2&gt;$Z136,$Z136&gt;0,OR($AN136&gt;AX$2,ISBLANK($AN136))),AX$2-$Z136,"")</f>
        <v/>
      </c>
      <c r="AY136" s="6">
        <f>IF(AND(AY$2&gt;$Z136,$Z136&gt;0,OR($AN136&gt;AY$2,ISBLANK($AN136))),AY$2-$Z136,"")</f>
        <v>25</v>
      </c>
      <c r="AZ136" s="6">
        <f ca="1">IF(AND(AZ$2&gt;$Z136,$Z136&gt;0,OR($AN136&gt;AZ$2,ISBLANK($AN136))),AZ$2-$Z136,"")</f>
        <v>43.382289814813703</v>
      </c>
      <c r="BA136" s="6"/>
      <c r="BB136" s="6"/>
      <c r="BC136" s="6"/>
      <c r="BD136" s="6"/>
    </row>
    <row r="137" spans="2:56" x14ac:dyDescent="0.25">
      <c r="B137" s="13">
        <f t="shared" si="28"/>
        <v>1</v>
      </c>
      <c r="C137" s="13">
        <f t="shared" si="29"/>
        <v>9</v>
      </c>
      <c r="D137" s="13">
        <f t="shared" si="30"/>
        <v>3</v>
      </c>
      <c r="E137" s="13">
        <f t="shared" si="31"/>
        <v>2018</v>
      </c>
      <c r="F137" s="13">
        <f t="shared" si="32"/>
        <v>1</v>
      </c>
      <c r="G137" s="13">
        <f t="shared" si="33"/>
        <v>10</v>
      </c>
      <c r="H137" s="13">
        <f t="shared" si="34"/>
        <v>4</v>
      </c>
      <c r="I137" s="13">
        <f t="shared" si="35"/>
        <v>2018</v>
      </c>
      <c r="J137" s="13">
        <f t="shared" si="36"/>
        <v>0</v>
      </c>
      <c r="K137" s="13">
        <f>IF(J137=1,MONTH(AK137),)</f>
        <v>0</v>
      </c>
      <c r="L137" s="13">
        <f t="shared" si="37"/>
        <v>0</v>
      </c>
      <c r="M137" s="13">
        <f t="shared" si="38"/>
        <v>1900</v>
      </c>
      <c r="N137" s="13">
        <f t="shared" si="39"/>
        <v>0</v>
      </c>
      <c r="O137" s="13">
        <f>IF(N137=1,MONTH(AN137),)</f>
        <v>0</v>
      </c>
      <c r="P137" s="13">
        <f t="shared" si="40"/>
        <v>0</v>
      </c>
      <c r="Q137" s="13">
        <f t="shared" si="41"/>
        <v>1900</v>
      </c>
      <c r="S137" s="38" t="s">
        <v>229</v>
      </c>
      <c r="T137" s="11" t="s">
        <v>182</v>
      </c>
      <c r="U137" s="11" t="s">
        <v>26</v>
      </c>
      <c r="V137" s="39" t="s">
        <v>38</v>
      </c>
      <c r="W137" s="39" t="s">
        <v>27</v>
      </c>
      <c r="Z137" s="66">
        <v>43367</v>
      </c>
      <c r="AA137" s="67">
        <v>263300</v>
      </c>
      <c r="AD137" s="10"/>
      <c r="AF137" s="66">
        <v>43378</v>
      </c>
      <c r="AG137" s="67">
        <v>272900</v>
      </c>
      <c r="AH137" s="16">
        <f>AF137-Z137</f>
        <v>11</v>
      </c>
      <c r="AI137" s="16">
        <f>AG137-AA137</f>
        <v>9600</v>
      </c>
      <c r="AJ137" s="36">
        <f>AI137/AA137</f>
        <v>3.6460311431826813E-2</v>
      </c>
      <c r="AN137" s="66"/>
      <c r="AT137" s="9"/>
      <c r="AU137" s="6" t="str">
        <f>IF(AND(AU$2&gt;$Z137,$Z137&gt;0,OR($AN137&gt;AU$2,ISBLANK($AN137))),AU$2-$Z137,"")</f>
        <v/>
      </c>
      <c r="AV137" s="6" t="str">
        <f>IF(AND(AV$2&gt;$Z137,$Z137&gt;0,OR($AN137&gt;AV$2,ISBLANK($AN137))),AV$2-$Z137,"")</f>
        <v/>
      </c>
      <c r="AW137" s="6" t="str">
        <f>IF(AND(AW$2&gt;$Z137,$Z137&gt;0,OR($AN137&gt;AW$2,ISBLANK($AN137))),AW$2-$Z137,"")</f>
        <v/>
      </c>
      <c r="AX137" s="6" t="str">
        <f>IF(AND(AX$2&gt;$Z137,$Z137&gt;0,OR($AN137&gt;AX$2,ISBLANK($AN137))),AX$2-$Z137,"")</f>
        <v/>
      </c>
      <c r="AY137" s="6">
        <f>IF(AND(AY$2&gt;$Z137,$Z137&gt;0,OR($AN137&gt;AY$2,ISBLANK($AN137))),AY$2-$Z137,"")</f>
        <v>6</v>
      </c>
      <c r="AZ137" s="6">
        <f ca="1">IF(AND(AZ$2&gt;$Z137,$Z137&gt;0,OR($AN137&gt;AZ$2,ISBLANK($AN137))),AZ$2-$Z137,"")</f>
        <v>24.382289814813703</v>
      </c>
      <c r="BA137" s="6"/>
      <c r="BB137" s="6"/>
      <c r="BC137" s="6"/>
      <c r="BD137" s="6"/>
    </row>
    <row r="138" spans="2:56" x14ac:dyDescent="0.25">
      <c r="B138" s="13">
        <f t="shared" si="28"/>
        <v>1</v>
      </c>
      <c r="C138" s="13">
        <f t="shared" si="29"/>
        <v>8</v>
      </c>
      <c r="D138" s="13">
        <f t="shared" si="30"/>
        <v>3</v>
      </c>
      <c r="E138" s="13">
        <f t="shared" si="31"/>
        <v>2018</v>
      </c>
      <c r="F138" s="13">
        <f t="shared" si="32"/>
        <v>1</v>
      </c>
      <c r="G138" s="13">
        <f t="shared" si="33"/>
        <v>8</v>
      </c>
      <c r="H138" s="13">
        <f t="shared" si="34"/>
        <v>3</v>
      </c>
      <c r="I138" s="13">
        <f t="shared" si="35"/>
        <v>2018</v>
      </c>
      <c r="J138" s="13">
        <f t="shared" si="36"/>
        <v>1</v>
      </c>
      <c r="K138" s="13">
        <f>IF(J138=1,MONTH(AK138),)</f>
        <v>9</v>
      </c>
      <c r="L138" s="13">
        <f t="shared" si="37"/>
        <v>3</v>
      </c>
      <c r="M138" s="13">
        <f t="shared" si="38"/>
        <v>2018</v>
      </c>
      <c r="N138" s="13">
        <f t="shared" si="39"/>
        <v>1</v>
      </c>
      <c r="O138" s="13">
        <f>IF(N138=1,MONTH(AN138),)</f>
        <v>10</v>
      </c>
      <c r="P138" s="13">
        <f t="shared" si="40"/>
        <v>4</v>
      </c>
      <c r="Q138" s="13">
        <f t="shared" si="41"/>
        <v>2018</v>
      </c>
      <c r="S138" s="38" t="s">
        <v>230</v>
      </c>
      <c r="T138" s="11" t="s">
        <v>40</v>
      </c>
      <c r="U138" s="11" t="s">
        <v>26</v>
      </c>
      <c r="V138" s="39" t="s">
        <v>38</v>
      </c>
      <c r="W138" s="39" t="s">
        <v>27</v>
      </c>
      <c r="X138" s="13" t="s">
        <v>231</v>
      </c>
      <c r="Y138" s="4" t="s">
        <v>29</v>
      </c>
      <c r="Z138" s="66">
        <v>43314</v>
      </c>
      <c r="AA138" s="67">
        <v>245830</v>
      </c>
      <c r="AD138" s="10"/>
      <c r="AF138" s="66">
        <v>43328</v>
      </c>
      <c r="AG138" s="67">
        <v>259000</v>
      </c>
      <c r="AH138" s="16">
        <f>AF138-Z138</f>
        <v>14</v>
      </c>
      <c r="AI138" s="16">
        <f>AG138-AA138</f>
        <v>13170</v>
      </c>
      <c r="AJ138" s="36">
        <f>AI138/AA138</f>
        <v>5.3573607777732582E-2</v>
      </c>
      <c r="AK138" s="66">
        <v>43347</v>
      </c>
      <c r="AL138" s="67">
        <v>259000</v>
      </c>
      <c r="AM138" s="6">
        <f>AK138-AF138</f>
        <v>19</v>
      </c>
      <c r="AN138" s="66">
        <v>43378</v>
      </c>
      <c r="AO138" s="67">
        <v>255500</v>
      </c>
      <c r="AP138" s="6">
        <f>AN138-AK138</f>
        <v>31</v>
      </c>
      <c r="AQ138" s="6">
        <f>AH138+AM138+AP138</f>
        <v>64</v>
      </c>
      <c r="AR138" s="6">
        <f>AO138-AA138</f>
        <v>9670</v>
      </c>
      <c r="AS138" s="8">
        <f>AR138/AA138</f>
        <v>3.9336126591547005E-2</v>
      </c>
      <c r="AT138" s="9"/>
      <c r="AU138" s="6" t="str">
        <f>IF(AND(AU$2&gt;$Z138,$Z138&gt;0,OR($AN138&gt;AU$2,ISBLANK($AN138))),AU$2-$Z138,"")</f>
        <v/>
      </c>
      <c r="AV138" s="6" t="str">
        <f>IF(AND(AV$2&gt;$Z138,$Z138&gt;0,OR($AN138&gt;AV$2,ISBLANK($AN138))),AV$2-$Z138,"")</f>
        <v/>
      </c>
      <c r="AW138" s="6" t="str">
        <f>IF(AND(AW$2&gt;$Z138,$Z138&gt;0,OR($AN138&gt;AW$2,ISBLANK($AN138))),AW$2-$Z138,"")</f>
        <v/>
      </c>
      <c r="AX138" s="6">
        <f>IF(AND(AX$2&gt;$Z138,$Z138&gt;0,OR($AN138&gt;AX$2,ISBLANK($AN138))),AX$2-$Z138,"")</f>
        <v>29</v>
      </c>
      <c r="AY138" s="6">
        <f>IF(AND(AY$2&gt;$Z138,$Z138&gt;0,OR($AN138&gt;AY$2,ISBLANK($AN138))),AY$2-$Z138,"")</f>
        <v>59</v>
      </c>
      <c r="AZ138" s="6" t="str">
        <f ca="1">IF(AND(AZ$2&gt;$Z138,$Z138&gt;0,OR($AN138&gt;AZ$2,ISBLANK($AN138))),AZ$2-$Z138,"")</f>
        <v/>
      </c>
      <c r="BA138" s="6"/>
      <c r="BB138" s="6"/>
      <c r="BC138" s="6"/>
      <c r="BD138" s="6"/>
    </row>
    <row r="139" spans="2:56" x14ac:dyDescent="0.25">
      <c r="B139" s="13">
        <f t="shared" si="28"/>
        <v>1</v>
      </c>
      <c r="C139" s="13">
        <f t="shared" si="29"/>
        <v>8</v>
      </c>
      <c r="D139" s="13">
        <f t="shared" si="30"/>
        <v>3</v>
      </c>
      <c r="E139" s="13">
        <f t="shared" si="31"/>
        <v>2018</v>
      </c>
      <c r="F139" s="13">
        <f t="shared" si="32"/>
        <v>1</v>
      </c>
      <c r="G139" s="13">
        <f t="shared" si="33"/>
        <v>9</v>
      </c>
      <c r="H139" s="13">
        <f t="shared" si="34"/>
        <v>3</v>
      </c>
      <c r="I139" s="13">
        <f t="shared" si="35"/>
        <v>2018</v>
      </c>
      <c r="J139" s="13">
        <f t="shared" si="36"/>
        <v>1</v>
      </c>
      <c r="K139" s="13">
        <f>IF(J139=1,MONTH(AK139),)</f>
        <v>10</v>
      </c>
      <c r="L139" s="13">
        <f t="shared" si="37"/>
        <v>4</v>
      </c>
      <c r="M139" s="13">
        <f t="shared" si="38"/>
        <v>2018</v>
      </c>
      <c r="N139" s="13">
        <f t="shared" si="39"/>
        <v>0</v>
      </c>
      <c r="O139" s="13">
        <f>IF(N139=1,MONTH(AN139),)</f>
        <v>0</v>
      </c>
      <c r="P139" s="13">
        <f t="shared" si="40"/>
        <v>0</v>
      </c>
      <c r="Q139" s="13">
        <f t="shared" si="41"/>
        <v>1900</v>
      </c>
      <c r="S139" s="38" t="s">
        <v>232</v>
      </c>
      <c r="T139" s="11" t="s">
        <v>40</v>
      </c>
      <c r="U139" s="11" t="s">
        <v>26</v>
      </c>
      <c r="V139" s="39" t="s">
        <v>38</v>
      </c>
      <c r="W139" s="39" t="s">
        <v>27</v>
      </c>
      <c r="X139" s="4" t="s">
        <v>233</v>
      </c>
      <c r="Y139" s="4" t="s">
        <v>29</v>
      </c>
      <c r="Z139" s="66">
        <v>43341</v>
      </c>
      <c r="AA139" s="67">
        <v>339000</v>
      </c>
      <c r="AD139" s="10"/>
      <c r="AF139" s="66">
        <v>43363</v>
      </c>
      <c r="AG139" s="67">
        <v>355300</v>
      </c>
      <c r="AH139" s="16">
        <f>AF139-Z139</f>
        <v>22</v>
      </c>
      <c r="AI139" s="16">
        <f>AG139-AA139</f>
        <v>16300</v>
      </c>
      <c r="AJ139" s="36">
        <f>AI139/AA139</f>
        <v>4.8082595870206489E-2</v>
      </c>
      <c r="AK139" s="66">
        <v>43376</v>
      </c>
      <c r="AL139" s="67">
        <v>355300</v>
      </c>
      <c r="AM139" s="6">
        <f>AK139-AF139</f>
        <v>13</v>
      </c>
      <c r="AN139" s="66"/>
      <c r="AT139" s="9"/>
      <c r="AU139" s="6" t="str">
        <f>IF(AND(AU$2&gt;$Z139,$Z139&gt;0,OR($AN139&gt;AU$2,ISBLANK($AN139))),AU$2-$Z139,"")</f>
        <v/>
      </c>
      <c r="AV139" s="6" t="str">
        <f>IF(AND(AV$2&gt;$Z139,$Z139&gt;0,OR($AN139&gt;AV$2,ISBLANK($AN139))),AV$2-$Z139,"")</f>
        <v/>
      </c>
      <c r="AW139" s="6" t="str">
        <f>IF(AND(AW$2&gt;$Z139,$Z139&gt;0,OR($AN139&gt;AW$2,ISBLANK($AN139))),AW$2-$Z139,"")</f>
        <v/>
      </c>
      <c r="AX139" s="6">
        <f>IF(AND(AX$2&gt;$Z139,$Z139&gt;0,OR($AN139&gt;AX$2,ISBLANK($AN139))),AX$2-$Z139,"")</f>
        <v>2</v>
      </c>
      <c r="AY139" s="6">
        <f>IF(AND(AY$2&gt;$Z139,$Z139&gt;0,OR($AN139&gt;AY$2,ISBLANK($AN139))),AY$2-$Z139,"")</f>
        <v>32</v>
      </c>
      <c r="AZ139" s="6">
        <f ca="1">IF(AND(AZ$2&gt;$Z139,$Z139&gt;0,OR($AN139&gt;AZ$2,ISBLANK($AN139))),AZ$2-$Z139,"")</f>
        <v>50.382289814813703</v>
      </c>
      <c r="BA139" s="6"/>
      <c r="BB139" s="6"/>
      <c r="BC139" s="6"/>
      <c r="BD139" s="6"/>
    </row>
    <row r="140" spans="2:56" x14ac:dyDescent="0.25">
      <c r="B140" s="13">
        <f t="shared" si="28"/>
        <v>1</v>
      </c>
      <c r="C140" s="13">
        <f t="shared" si="29"/>
        <v>9</v>
      </c>
      <c r="D140" s="13">
        <f t="shared" si="30"/>
        <v>3</v>
      </c>
      <c r="E140" s="13">
        <f t="shared" si="31"/>
        <v>2018</v>
      </c>
      <c r="F140" s="13">
        <f t="shared" si="32"/>
        <v>0</v>
      </c>
      <c r="G140" s="13">
        <f t="shared" si="33"/>
        <v>1</v>
      </c>
      <c r="H140" s="13">
        <f t="shared" si="34"/>
        <v>1</v>
      </c>
      <c r="I140" s="13">
        <f t="shared" si="35"/>
        <v>1900</v>
      </c>
      <c r="J140" s="13">
        <f t="shared" si="36"/>
        <v>0</v>
      </c>
      <c r="K140" s="13">
        <f>IF(J140=1,MONTH(AK140),)</f>
        <v>0</v>
      </c>
      <c r="L140" s="13">
        <f t="shared" si="37"/>
        <v>0</v>
      </c>
      <c r="M140" s="13">
        <f t="shared" si="38"/>
        <v>1900</v>
      </c>
      <c r="N140" s="13">
        <f t="shared" si="39"/>
        <v>0</v>
      </c>
      <c r="O140" s="13">
        <f>IF(N140=1,MONTH(AN140),)</f>
        <v>0</v>
      </c>
      <c r="P140" s="13">
        <f t="shared" si="40"/>
        <v>0</v>
      </c>
      <c r="Q140" s="13">
        <f t="shared" si="41"/>
        <v>1900</v>
      </c>
      <c r="S140" s="38" t="s">
        <v>234</v>
      </c>
      <c r="T140" s="11" t="s">
        <v>40</v>
      </c>
      <c r="U140" s="11" t="s">
        <v>26</v>
      </c>
      <c r="V140" s="39" t="s">
        <v>38</v>
      </c>
      <c r="W140" s="39" t="s">
        <v>27</v>
      </c>
      <c r="X140" s="4" t="s">
        <v>235</v>
      </c>
      <c r="Y140" s="4" t="s">
        <v>29</v>
      </c>
      <c r="Z140" s="66">
        <v>43371</v>
      </c>
      <c r="AA140" s="67">
        <v>333000</v>
      </c>
      <c r="AD140" s="10"/>
      <c r="AG140" s="67">
        <v>344900</v>
      </c>
      <c r="AH140" s="16"/>
      <c r="AI140" s="16">
        <f>AG140-AA140</f>
        <v>11900</v>
      </c>
      <c r="AJ140" s="36">
        <f>AI140/AA140</f>
        <v>3.5735735735735734E-2</v>
      </c>
      <c r="AN140" s="66"/>
      <c r="AT140" s="9"/>
      <c r="AU140" s="6" t="str">
        <f>IF(AND(AU$2&gt;$Z140,$Z140&gt;0,OR($AN140&gt;AU$2,ISBLANK($AN140))),AU$2-$Z140,"")</f>
        <v/>
      </c>
      <c r="AV140" s="6" t="str">
        <f>IF(AND(AV$2&gt;$Z140,$Z140&gt;0,OR($AN140&gt;AV$2,ISBLANK($AN140))),AV$2-$Z140,"")</f>
        <v/>
      </c>
      <c r="AW140" s="6" t="str">
        <f>IF(AND(AW$2&gt;$Z140,$Z140&gt;0,OR($AN140&gt;AW$2,ISBLANK($AN140))),AW$2-$Z140,"")</f>
        <v/>
      </c>
      <c r="AX140" s="6" t="str">
        <f>IF(AND(AX$2&gt;$Z140,$Z140&gt;0,OR($AN140&gt;AX$2,ISBLANK($AN140))),AX$2-$Z140,"")</f>
        <v/>
      </c>
      <c r="AY140" s="6">
        <f>IF(AND(AY$2&gt;$Z140,$Z140&gt;0,OR($AN140&gt;AY$2,ISBLANK($AN140))),AY$2-$Z140,"")</f>
        <v>2</v>
      </c>
      <c r="AZ140" s="6">
        <f ca="1">IF(AND(AZ$2&gt;$Z140,$Z140&gt;0,OR($AN140&gt;AZ$2,ISBLANK($AN140))),AZ$2-$Z140,"")</f>
        <v>20.382289814813703</v>
      </c>
      <c r="BA140" s="6"/>
      <c r="BB140" s="6"/>
      <c r="BC140" s="6"/>
      <c r="BD140" s="6"/>
    </row>
    <row r="141" spans="2:56" x14ac:dyDescent="0.25">
      <c r="B141" s="13">
        <f t="shared" si="28"/>
        <v>1</v>
      </c>
      <c r="C141" s="13">
        <f t="shared" si="29"/>
        <v>8</v>
      </c>
      <c r="D141" s="13">
        <f t="shared" si="30"/>
        <v>3</v>
      </c>
      <c r="E141" s="13">
        <f t="shared" si="31"/>
        <v>2018</v>
      </c>
      <c r="F141" s="13">
        <f t="shared" si="32"/>
        <v>1</v>
      </c>
      <c r="G141" s="13">
        <f t="shared" si="33"/>
        <v>9</v>
      </c>
      <c r="H141" s="13">
        <f t="shared" si="34"/>
        <v>3</v>
      </c>
      <c r="I141" s="13">
        <f t="shared" si="35"/>
        <v>2018</v>
      </c>
      <c r="J141" s="13">
        <f t="shared" si="36"/>
        <v>0</v>
      </c>
      <c r="K141" s="13">
        <f>IF(J141=1,MONTH(AK141),)</f>
        <v>0</v>
      </c>
      <c r="L141" s="13">
        <f t="shared" si="37"/>
        <v>0</v>
      </c>
      <c r="M141" s="13">
        <f t="shared" si="38"/>
        <v>1900</v>
      </c>
      <c r="N141" s="13">
        <f t="shared" si="39"/>
        <v>0</v>
      </c>
      <c r="O141" s="13">
        <f>IF(N141=1,MONTH(AN141),)</f>
        <v>0</v>
      </c>
      <c r="P141" s="13">
        <f t="shared" si="40"/>
        <v>0</v>
      </c>
      <c r="Q141" s="13">
        <f t="shared" si="41"/>
        <v>1900</v>
      </c>
      <c r="S141" s="38" t="s">
        <v>236</v>
      </c>
      <c r="T141" s="11" t="s">
        <v>38</v>
      </c>
      <c r="U141" s="11" t="s">
        <v>26</v>
      </c>
      <c r="V141" s="39" t="s">
        <v>38</v>
      </c>
      <c r="W141" s="39" t="s">
        <v>27</v>
      </c>
      <c r="X141" s="4" t="s">
        <v>237</v>
      </c>
      <c r="Y141" s="4" t="s">
        <v>29</v>
      </c>
      <c r="Z141" s="66">
        <v>43339</v>
      </c>
      <c r="AA141" s="67">
        <v>302000</v>
      </c>
      <c r="AD141" s="10"/>
      <c r="AF141" s="66">
        <v>43351</v>
      </c>
      <c r="AG141" s="67">
        <v>328800</v>
      </c>
      <c r="AH141" s="16">
        <f>AF141-Z141</f>
        <v>12</v>
      </c>
      <c r="AI141" s="16">
        <f>AG141-AA141</f>
        <v>26800</v>
      </c>
      <c r="AJ141" s="36">
        <f>AI141/AA141</f>
        <v>8.8741721854304637E-2</v>
      </c>
      <c r="AN141" s="66"/>
      <c r="AT141" s="9"/>
      <c r="AU141" s="6" t="str">
        <f>IF(AND(AU$2&gt;$Z141,$Z141&gt;0,OR($AN141&gt;AU$2,ISBLANK($AN141))),AU$2-$Z141,"")</f>
        <v/>
      </c>
      <c r="AV141" s="6" t="str">
        <f>IF(AND(AV$2&gt;$Z141,$Z141&gt;0,OR($AN141&gt;AV$2,ISBLANK($AN141))),AV$2-$Z141,"")</f>
        <v/>
      </c>
      <c r="AW141" s="6" t="str">
        <f>IF(AND(AW$2&gt;$Z141,$Z141&gt;0,OR($AN141&gt;AW$2,ISBLANK($AN141))),AW$2-$Z141,"")</f>
        <v/>
      </c>
      <c r="AX141" s="6">
        <f>IF(AND(AX$2&gt;$Z141,$Z141&gt;0,OR($AN141&gt;AX$2,ISBLANK($AN141))),AX$2-$Z141,"")</f>
        <v>4</v>
      </c>
      <c r="AY141" s="6">
        <f>IF(AND(AY$2&gt;$Z141,$Z141&gt;0,OR($AN141&gt;AY$2,ISBLANK($AN141))),AY$2-$Z141,"")</f>
        <v>34</v>
      </c>
      <c r="AZ141" s="6">
        <f ca="1">IF(AND(AZ$2&gt;$Z141,$Z141&gt;0,OR($AN141&gt;AZ$2,ISBLANK($AN141))),AZ$2-$Z141,"")</f>
        <v>52.382289814813703</v>
      </c>
      <c r="BA141" s="6"/>
      <c r="BB141" s="6"/>
      <c r="BC141" s="6"/>
      <c r="BD141" s="6"/>
    </row>
    <row r="142" spans="2:56" x14ac:dyDescent="0.25">
      <c r="B142" s="13">
        <f t="shared" si="28"/>
        <v>1</v>
      </c>
      <c r="C142" s="13">
        <f t="shared" si="29"/>
        <v>10</v>
      </c>
      <c r="D142" s="13">
        <f t="shared" si="30"/>
        <v>4</v>
      </c>
      <c r="E142" s="13">
        <f t="shared" si="31"/>
        <v>2018</v>
      </c>
      <c r="F142" s="13">
        <f t="shared" si="32"/>
        <v>0</v>
      </c>
      <c r="G142" s="13">
        <f t="shared" si="33"/>
        <v>1</v>
      </c>
      <c r="H142" s="13">
        <f t="shared" si="34"/>
        <v>1</v>
      </c>
      <c r="I142" s="13">
        <f t="shared" si="35"/>
        <v>1900</v>
      </c>
      <c r="J142" s="13">
        <f t="shared" si="36"/>
        <v>0</v>
      </c>
      <c r="K142" s="13">
        <f>IF(J142=1,MONTH(AK142),)</f>
        <v>0</v>
      </c>
      <c r="L142" s="13">
        <f t="shared" si="37"/>
        <v>0</v>
      </c>
      <c r="M142" s="13">
        <f t="shared" si="38"/>
        <v>1900</v>
      </c>
      <c r="N142" s="13">
        <f t="shared" si="39"/>
        <v>0</v>
      </c>
      <c r="O142" s="13">
        <f>IF(N142=1,MONTH(AN142),)</f>
        <v>0</v>
      </c>
      <c r="P142" s="13">
        <f t="shared" si="40"/>
        <v>0</v>
      </c>
      <c r="Q142" s="13">
        <f t="shared" si="41"/>
        <v>1900</v>
      </c>
      <c r="S142" s="38" t="s">
        <v>544</v>
      </c>
      <c r="T142" s="11" t="s">
        <v>38</v>
      </c>
      <c r="U142" s="11" t="s">
        <v>26</v>
      </c>
      <c r="V142" s="39" t="s">
        <v>38</v>
      </c>
      <c r="W142" s="39" t="s">
        <v>27</v>
      </c>
      <c r="X142" s="4" t="s">
        <v>545</v>
      </c>
      <c r="Y142" s="4" t="s">
        <v>29</v>
      </c>
      <c r="Z142" s="66">
        <v>43384</v>
      </c>
      <c r="AA142" s="67">
        <v>327000</v>
      </c>
      <c r="AD142" s="10"/>
      <c r="AG142" s="67">
        <v>334900</v>
      </c>
      <c r="AH142" s="16"/>
      <c r="AI142" s="16">
        <f>AG142-AA142</f>
        <v>7900</v>
      </c>
      <c r="AJ142" s="36">
        <f>AI142/AA142</f>
        <v>2.4159021406727828E-2</v>
      </c>
      <c r="AN142" s="66"/>
      <c r="AT142" s="9"/>
      <c r="AU142" s="6" t="str">
        <f>IF(AND(AU$2&gt;$Z142,$Z142&gt;0,OR($AN142&gt;AU$2,ISBLANK($AN142))),AU$2-$Z142,"")</f>
        <v/>
      </c>
      <c r="AV142" s="6" t="str">
        <f>IF(AND(AV$2&gt;$Z142,$Z142&gt;0,OR($AN142&gt;AV$2,ISBLANK($AN142))),AV$2-$Z142,"")</f>
        <v/>
      </c>
      <c r="AW142" s="6" t="str">
        <f>IF(AND(AW$2&gt;$Z142,$Z142&gt;0,OR($AN142&gt;AW$2,ISBLANK($AN142))),AW$2-$Z142,"")</f>
        <v/>
      </c>
      <c r="AX142" s="6" t="str">
        <f>IF(AND(AX$2&gt;$Z142,$Z142&gt;0,OR($AN142&gt;AX$2,ISBLANK($AN142))),AX$2-$Z142,"")</f>
        <v/>
      </c>
      <c r="AY142" s="6" t="str">
        <f>IF(AND(AY$2&gt;$Z142,$Z142&gt;0,OR($AN142&gt;AY$2,ISBLANK($AN142))),AY$2-$Z142,"")</f>
        <v/>
      </c>
      <c r="AZ142" s="6">
        <f ca="1">IF(AND(AZ$2&gt;$Z142,$Z142&gt;0,OR($AN142&gt;AZ$2,ISBLANK($AN142))),AZ$2-$Z142,"")</f>
        <v>7.3822898148137028</v>
      </c>
      <c r="BA142" s="6"/>
      <c r="BB142" s="6"/>
      <c r="BC142" s="6"/>
      <c r="BD142" s="6"/>
    </row>
    <row r="143" spans="2:56" x14ac:dyDescent="0.25">
      <c r="B143" s="13">
        <f t="shared" si="28"/>
        <v>1</v>
      </c>
      <c r="C143" s="13">
        <f t="shared" si="29"/>
        <v>8</v>
      </c>
      <c r="D143" s="13">
        <f t="shared" si="30"/>
        <v>3</v>
      </c>
      <c r="E143" s="13">
        <f t="shared" si="31"/>
        <v>2018</v>
      </c>
      <c r="F143" s="13">
        <f t="shared" si="32"/>
        <v>1</v>
      </c>
      <c r="G143" s="13">
        <f t="shared" si="33"/>
        <v>9</v>
      </c>
      <c r="H143" s="13">
        <f t="shared" si="34"/>
        <v>3</v>
      </c>
      <c r="I143" s="13">
        <f t="shared" si="35"/>
        <v>2018</v>
      </c>
      <c r="J143" s="13">
        <f t="shared" si="36"/>
        <v>0</v>
      </c>
      <c r="K143" s="13">
        <f>IF(J143=1,MONTH(AK143),)</f>
        <v>0</v>
      </c>
      <c r="L143" s="13">
        <f t="shared" si="37"/>
        <v>0</v>
      </c>
      <c r="M143" s="13">
        <f t="shared" si="38"/>
        <v>1900</v>
      </c>
      <c r="N143" s="13">
        <f t="shared" si="39"/>
        <v>0</v>
      </c>
      <c r="O143" s="13">
        <f>IF(N143=1,MONTH(AN143),)</f>
        <v>0</v>
      </c>
      <c r="P143" s="13">
        <f t="shared" si="40"/>
        <v>0</v>
      </c>
      <c r="Q143" s="13">
        <f t="shared" si="41"/>
        <v>1900</v>
      </c>
      <c r="S143" s="38" t="s">
        <v>238</v>
      </c>
      <c r="T143" s="11" t="s">
        <v>40</v>
      </c>
      <c r="U143" s="11" t="s">
        <v>26</v>
      </c>
      <c r="V143" s="39" t="s">
        <v>38</v>
      </c>
      <c r="W143" s="39" t="s">
        <v>27</v>
      </c>
      <c r="X143" s="13" t="s">
        <v>239</v>
      </c>
      <c r="Y143" s="13" t="s">
        <v>29</v>
      </c>
      <c r="Z143" s="66">
        <v>43334</v>
      </c>
      <c r="AA143" s="67">
        <v>334000</v>
      </c>
      <c r="AD143" s="10"/>
      <c r="AF143" s="66">
        <v>43351</v>
      </c>
      <c r="AG143" s="67">
        <v>349300</v>
      </c>
      <c r="AH143" s="16">
        <f>AF143-Z143</f>
        <v>17</v>
      </c>
      <c r="AI143" s="16">
        <f>AG143-AA143</f>
        <v>15300</v>
      </c>
      <c r="AJ143" s="36">
        <f>AI143/AA143</f>
        <v>4.5808383233532937E-2</v>
      </c>
      <c r="AN143" s="66"/>
      <c r="AT143" s="9"/>
      <c r="AU143" s="6" t="str">
        <f>IF(AND(AU$2&gt;$Z143,$Z143&gt;0,OR($AN143&gt;AU$2,ISBLANK($AN143))),AU$2-$Z143,"")</f>
        <v/>
      </c>
      <c r="AV143" s="6" t="str">
        <f>IF(AND(AV$2&gt;$Z143,$Z143&gt;0,OR($AN143&gt;AV$2,ISBLANK($AN143))),AV$2-$Z143,"")</f>
        <v/>
      </c>
      <c r="AW143" s="6" t="str">
        <f>IF(AND(AW$2&gt;$Z143,$Z143&gt;0,OR($AN143&gt;AW$2,ISBLANK($AN143))),AW$2-$Z143,"")</f>
        <v/>
      </c>
      <c r="AX143" s="6">
        <f>IF(AND(AX$2&gt;$Z143,$Z143&gt;0,OR($AN143&gt;AX$2,ISBLANK($AN143))),AX$2-$Z143,"")</f>
        <v>9</v>
      </c>
      <c r="AY143" s="6">
        <f>IF(AND(AY$2&gt;$Z143,$Z143&gt;0,OR($AN143&gt;AY$2,ISBLANK($AN143))),AY$2-$Z143,"")</f>
        <v>39</v>
      </c>
      <c r="AZ143" s="6">
        <f ca="1">IF(AND(AZ$2&gt;$Z143,$Z143&gt;0,OR($AN143&gt;AZ$2,ISBLANK($AN143))),AZ$2-$Z143,"")</f>
        <v>57.382289814813703</v>
      </c>
      <c r="BA143" s="6"/>
      <c r="BB143" s="6"/>
      <c r="BC143" s="6"/>
      <c r="BD143" s="6"/>
    </row>
    <row r="144" spans="2:56" x14ac:dyDescent="0.25">
      <c r="B144" s="13">
        <f t="shared" si="28"/>
        <v>1</v>
      </c>
      <c r="C144" s="13">
        <f t="shared" si="29"/>
        <v>10</v>
      </c>
      <c r="D144" s="13">
        <f t="shared" si="30"/>
        <v>4</v>
      </c>
      <c r="E144" s="13">
        <f t="shared" si="31"/>
        <v>2018</v>
      </c>
      <c r="F144" s="13">
        <f t="shared" si="32"/>
        <v>0</v>
      </c>
      <c r="G144" s="13">
        <f t="shared" si="33"/>
        <v>1</v>
      </c>
      <c r="H144" s="13">
        <f t="shared" si="34"/>
        <v>1</v>
      </c>
      <c r="I144" s="13">
        <f t="shared" si="35"/>
        <v>1900</v>
      </c>
      <c r="J144" s="13">
        <f t="shared" si="36"/>
        <v>0</v>
      </c>
      <c r="K144" s="13">
        <f>IF(J144=1,MONTH(AK144),)</f>
        <v>0</v>
      </c>
      <c r="L144" s="13">
        <f t="shared" si="37"/>
        <v>0</v>
      </c>
      <c r="M144" s="13">
        <f t="shared" si="38"/>
        <v>1900</v>
      </c>
      <c r="N144" s="13">
        <f t="shared" si="39"/>
        <v>0</v>
      </c>
      <c r="O144" s="13">
        <f>IF(N144=1,MONTH(AN144),)</f>
        <v>0</v>
      </c>
      <c r="P144" s="13">
        <f t="shared" si="40"/>
        <v>0</v>
      </c>
      <c r="Q144" s="13">
        <f t="shared" si="41"/>
        <v>1900</v>
      </c>
      <c r="S144" s="38" t="s">
        <v>546</v>
      </c>
      <c r="T144" s="11" t="s">
        <v>40</v>
      </c>
      <c r="U144" s="11" t="s">
        <v>26</v>
      </c>
      <c r="V144" s="39" t="s">
        <v>38</v>
      </c>
      <c r="W144" s="39" t="s">
        <v>27</v>
      </c>
      <c r="X144" s="4" t="s">
        <v>547</v>
      </c>
      <c r="Y144" s="4" t="s">
        <v>29</v>
      </c>
      <c r="Z144" s="66">
        <v>43381</v>
      </c>
      <c r="AA144" s="67">
        <v>513800</v>
      </c>
      <c r="AD144" s="10"/>
      <c r="AG144" s="67">
        <v>530900</v>
      </c>
      <c r="AH144" s="16"/>
      <c r="AI144" s="16">
        <f>AG144-AA144</f>
        <v>17100</v>
      </c>
      <c r="AJ144" s="36">
        <f>AI144/AA144</f>
        <v>3.3281432463993774E-2</v>
      </c>
      <c r="AN144" s="66"/>
      <c r="AT144" s="9"/>
      <c r="AU144" s="6" t="str">
        <f>IF(AND(AU$2&gt;$Z144,$Z144&gt;0,OR($AN144&gt;AU$2,ISBLANK($AN144))),AU$2-$Z144,"")</f>
        <v/>
      </c>
      <c r="AV144" s="6" t="str">
        <f>IF(AND(AV$2&gt;$Z144,$Z144&gt;0,OR($AN144&gt;AV$2,ISBLANK($AN144))),AV$2-$Z144,"")</f>
        <v/>
      </c>
      <c r="AW144" s="6" t="str">
        <f>IF(AND(AW$2&gt;$Z144,$Z144&gt;0,OR($AN144&gt;AW$2,ISBLANK($AN144))),AW$2-$Z144,"")</f>
        <v/>
      </c>
      <c r="AX144" s="6" t="str">
        <f>IF(AND(AX$2&gt;$Z144,$Z144&gt;0,OR($AN144&gt;AX$2,ISBLANK($AN144))),AX$2-$Z144,"")</f>
        <v/>
      </c>
      <c r="AY144" s="6" t="str">
        <f>IF(AND(AY$2&gt;$Z144,$Z144&gt;0,OR($AN144&gt;AY$2,ISBLANK($AN144))),AY$2-$Z144,"")</f>
        <v/>
      </c>
      <c r="AZ144" s="6">
        <f ca="1">IF(AND(AZ$2&gt;$Z144,$Z144&gt;0,OR($AN144&gt;AZ$2,ISBLANK($AN144))),AZ$2-$Z144,"")</f>
        <v>10.382289814813703</v>
      </c>
      <c r="BA144" s="6"/>
      <c r="BB144" s="6"/>
      <c r="BC144" s="6"/>
      <c r="BD144" s="6"/>
    </row>
    <row r="145" spans="2:56" x14ac:dyDescent="0.25">
      <c r="B145" s="13">
        <f t="shared" si="28"/>
        <v>1</v>
      </c>
      <c r="C145" s="13">
        <f t="shared" si="29"/>
        <v>8</v>
      </c>
      <c r="D145" s="13">
        <f t="shared" si="30"/>
        <v>3</v>
      </c>
      <c r="E145" s="13">
        <f t="shared" si="31"/>
        <v>2018</v>
      </c>
      <c r="F145" s="13">
        <f t="shared" si="32"/>
        <v>1</v>
      </c>
      <c r="G145" s="13">
        <f t="shared" si="33"/>
        <v>9</v>
      </c>
      <c r="H145" s="13">
        <f t="shared" si="34"/>
        <v>3</v>
      </c>
      <c r="I145" s="13">
        <f t="shared" si="35"/>
        <v>2018</v>
      </c>
      <c r="J145" s="13">
        <f t="shared" si="36"/>
        <v>0</v>
      </c>
      <c r="K145" s="13">
        <f>IF(J145=1,MONTH(AK145),)</f>
        <v>0</v>
      </c>
      <c r="L145" s="13">
        <f t="shared" si="37"/>
        <v>0</v>
      </c>
      <c r="M145" s="13">
        <f t="shared" si="38"/>
        <v>1900</v>
      </c>
      <c r="N145" s="13">
        <f t="shared" si="39"/>
        <v>0</v>
      </c>
      <c r="O145" s="13">
        <f>IF(N145=1,MONTH(AN145),)</f>
        <v>0</v>
      </c>
      <c r="P145" s="13">
        <f t="shared" si="40"/>
        <v>0</v>
      </c>
      <c r="Q145" s="13">
        <f t="shared" si="41"/>
        <v>1900</v>
      </c>
      <c r="S145" s="38" t="s">
        <v>240</v>
      </c>
      <c r="T145" s="11" t="s">
        <v>40</v>
      </c>
      <c r="U145" s="11" t="s">
        <v>26</v>
      </c>
      <c r="V145" s="39" t="s">
        <v>38</v>
      </c>
      <c r="W145" s="39" t="s">
        <v>27</v>
      </c>
      <c r="X145" s="13" t="s">
        <v>241</v>
      </c>
      <c r="Y145" s="13" t="s">
        <v>29</v>
      </c>
      <c r="Z145" s="66">
        <v>43334</v>
      </c>
      <c r="AA145" s="67">
        <v>331300</v>
      </c>
      <c r="AD145" s="10"/>
      <c r="AF145" s="66">
        <v>43358</v>
      </c>
      <c r="AG145" s="67">
        <v>346000</v>
      </c>
      <c r="AH145" s="16">
        <f>AF145-Z145</f>
        <v>24</v>
      </c>
      <c r="AI145" s="16">
        <f>AG145-AA145</f>
        <v>14700</v>
      </c>
      <c r="AJ145" s="36">
        <f>AI145/AA145</f>
        <v>4.4370661032297011E-2</v>
      </c>
      <c r="AN145" s="66"/>
      <c r="AT145" s="9"/>
      <c r="AU145" s="6" t="str">
        <f>IF(AND(AU$2&gt;$Z145,$Z145&gt;0,OR($AN145&gt;AU$2,ISBLANK($AN145))),AU$2-$Z145,"")</f>
        <v/>
      </c>
      <c r="AV145" s="6" t="str">
        <f>IF(AND(AV$2&gt;$Z145,$Z145&gt;0,OR($AN145&gt;AV$2,ISBLANK($AN145))),AV$2-$Z145,"")</f>
        <v/>
      </c>
      <c r="AW145" s="6" t="str">
        <f>IF(AND(AW$2&gt;$Z145,$Z145&gt;0,OR($AN145&gt;AW$2,ISBLANK($AN145))),AW$2-$Z145,"")</f>
        <v/>
      </c>
      <c r="AX145" s="6">
        <f>IF(AND(AX$2&gt;$Z145,$Z145&gt;0,OR($AN145&gt;AX$2,ISBLANK($AN145))),AX$2-$Z145,"")</f>
        <v>9</v>
      </c>
      <c r="AY145" s="6">
        <f>IF(AND(AY$2&gt;$Z145,$Z145&gt;0,OR($AN145&gt;AY$2,ISBLANK($AN145))),AY$2-$Z145,"")</f>
        <v>39</v>
      </c>
      <c r="AZ145" s="6">
        <f ca="1">IF(AND(AZ$2&gt;$Z145,$Z145&gt;0,OR($AN145&gt;AZ$2,ISBLANK($AN145))),AZ$2-$Z145,"")</f>
        <v>57.382289814813703</v>
      </c>
      <c r="BA145" s="6"/>
      <c r="BB145" s="6"/>
      <c r="BC145" s="6"/>
      <c r="BD145" s="6"/>
    </row>
    <row r="146" spans="2:56" x14ac:dyDescent="0.25">
      <c r="B146" s="13">
        <f t="shared" si="28"/>
        <v>1</v>
      </c>
      <c r="C146" s="13">
        <f t="shared" si="29"/>
        <v>6</v>
      </c>
      <c r="D146" s="13">
        <f t="shared" si="30"/>
        <v>2</v>
      </c>
      <c r="E146" s="13">
        <f t="shared" si="31"/>
        <v>2018</v>
      </c>
      <c r="F146" s="13">
        <f t="shared" si="32"/>
        <v>1</v>
      </c>
      <c r="G146" s="13">
        <f t="shared" si="33"/>
        <v>6</v>
      </c>
      <c r="H146" s="13">
        <f t="shared" si="34"/>
        <v>2</v>
      </c>
      <c r="I146" s="13">
        <f t="shared" si="35"/>
        <v>2018</v>
      </c>
      <c r="J146" s="13">
        <f t="shared" si="36"/>
        <v>1</v>
      </c>
      <c r="K146" s="13">
        <f>IF(J146=1,MONTH(AK146),)</f>
        <v>7</v>
      </c>
      <c r="L146" s="13">
        <f t="shared" si="37"/>
        <v>3</v>
      </c>
      <c r="M146" s="13">
        <f t="shared" si="38"/>
        <v>2018</v>
      </c>
      <c r="N146" s="13">
        <f t="shared" si="39"/>
        <v>1</v>
      </c>
      <c r="O146" s="13">
        <f>IF(N146=1,MONTH(AN146),)</f>
        <v>7</v>
      </c>
      <c r="P146" s="13">
        <f t="shared" si="40"/>
        <v>3</v>
      </c>
      <c r="Q146" s="13">
        <f t="shared" si="41"/>
        <v>2018</v>
      </c>
      <c r="S146" s="38" t="s">
        <v>485</v>
      </c>
      <c r="T146" s="11" t="s">
        <v>40</v>
      </c>
      <c r="U146" s="11" t="s">
        <v>26</v>
      </c>
      <c r="V146" s="39" t="s">
        <v>38</v>
      </c>
      <c r="W146" s="39" t="s">
        <v>27</v>
      </c>
      <c r="Y146" s="4" t="s">
        <v>322</v>
      </c>
      <c r="Z146" s="66">
        <v>43266</v>
      </c>
      <c r="AA146" s="67">
        <v>335000</v>
      </c>
      <c r="AD146" s="10"/>
      <c r="AF146" s="66">
        <v>43281</v>
      </c>
      <c r="AG146" s="67">
        <v>345000</v>
      </c>
      <c r="AH146" s="16">
        <f>AF146-Z146</f>
        <v>15</v>
      </c>
      <c r="AI146" s="16">
        <f>AG146-AA146</f>
        <v>10000</v>
      </c>
      <c r="AJ146" s="36">
        <f>AI146/AA146</f>
        <v>2.9850746268656716E-2</v>
      </c>
      <c r="AK146" s="66">
        <v>43284</v>
      </c>
      <c r="AL146" s="67">
        <v>345000</v>
      </c>
      <c r="AM146" s="6">
        <f>AK146-AF146</f>
        <v>3</v>
      </c>
      <c r="AN146" s="66">
        <v>43304</v>
      </c>
      <c r="AO146" s="67">
        <v>353000</v>
      </c>
      <c r="AP146" s="6">
        <f>AN146-AK146</f>
        <v>20</v>
      </c>
      <c r="AQ146" s="6">
        <f>AH146+AM146+AP146</f>
        <v>38</v>
      </c>
      <c r="AR146" s="6">
        <f>AO146-AA146</f>
        <v>18000</v>
      </c>
      <c r="AS146" s="8">
        <f>AR146/AA146</f>
        <v>5.3731343283582089E-2</v>
      </c>
      <c r="AT146" s="9"/>
      <c r="AU146" s="6" t="str">
        <f>IF(AND(AU$2&gt;$Z146,$Z146&gt;0,OR($AN146&gt;AU$2,ISBLANK($AN146))),AU$2-$Z146,"")</f>
        <v/>
      </c>
      <c r="AV146" s="6">
        <f>IF(AND(AV$2&gt;$Z146,$Z146&gt;0,OR($AN146&gt;AV$2,ISBLANK($AN146))),AV$2-$Z146,"")</f>
        <v>15</v>
      </c>
      <c r="AW146" s="6" t="str">
        <f>IF(AND(AW$2&gt;$Z146,$Z146&gt;0,OR($AN146&gt;AW$2,ISBLANK($AN146))),AW$2-$Z146,"")</f>
        <v/>
      </c>
      <c r="AX146" s="6" t="str">
        <f>IF(AND(AX$2&gt;$Z146,$Z146&gt;0,OR($AN146&gt;AX$2,ISBLANK($AN146))),AX$2-$Z146,"")</f>
        <v/>
      </c>
      <c r="AY146" s="6" t="str">
        <f>IF(AND(AY$2&gt;$Z146,$Z146&gt;0,OR($AN146&gt;AY$2,ISBLANK($AN146))),AY$2-$Z146,"")</f>
        <v/>
      </c>
      <c r="AZ146" s="6" t="str">
        <f ca="1">IF(AND(AZ$2&gt;$Z146,$Z146&gt;0,OR($AN146&gt;AZ$2,ISBLANK($AN146))),AZ$2-$Z146,"")</f>
        <v/>
      </c>
      <c r="BA146" s="6"/>
      <c r="BB146" s="6"/>
      <c r="BC146" s="6"/>
      <c r="BD146" s="6"/>
    </row>
    <row r="147" spans="2:56" x14ac:dyDescent="0.25">
      <c r="B147" s="13">
        <f t="shared" si="28"/>
        <v>1</v>
      </c>
      <c r="C147" s="13">
        <f t="shared" si="29"/>
        <v>8</v>
      </c>
      <c r="D147" s="13">
        <f t="shared" si="30"/>
        <v>3</v>
      </c>
      <c r="E147" s="13">
        <f t="shared" si="31"/>
        <v>2018</v>
      </c>
      <c r="F147" s="13">
        <f t="shared" si="32"/>
        <v>1</v>
      </c>
      <c r="G147" s="13">
        <f t="shared" si="33"/>
        <v>9</v>
      </c>
      <c r="H147" s="13">
        <f t="shared" si="34"/>
        <v>3</v>
      </c>
      <c r="I147" s="13">
        <f t="shared" si="35"/>
        <v>2018</v>
      </c>
      <c r="J147" s="13">
        <f t="shared" si="36"/>
        <v>1</v>
      </c>
      <c r="K147" s="13">
        <f>IF(J147=1,MONTH(AK147),)</f>
        <v>9</v>
      </c>
      <c r="L147" s="13">
        <f t="shared" si="37"/>
        <v>3</v>
      </c>
      <c r="M147" s="13">
        <f t="shared" si="38"/>
        <v>2018</v>
      </c>
      <c r="N147" s="13">
        <f t="shared" si="39"/>
        <v>1</v>
      </c>
      <c r="O147" s="13">
        <f>IF(N147=1,MONTH(AN147),)</f>
        <v>9</v>
      </c>
      <c r="P147" s="13">
        <f t="shared" si="40"/>
        <v>3</v>
      </c>
      <c r="Q147" s="13">
        <f t="shared" si="41"/>
        <v>2018</v>
      </c>
      <c r="S147" s="38" t="s">
        <v>486</v>
      </c>
      <c r="T147" s="11" t="s">
        <v>38</v>
      </c>
      <c r="U147" s="11" t="s">
        <v>26</v>
      </c>
      <c r="V147" s="39" t="s">
        <v>38</v>
      </c>
      <c r="W147" s="39" t="s">
        <v>27</v>
      </c>
      <c r="X147" s="13"/>
      <c r="Y147" s="13" t="s">
        <v>29</v>
      </c>
      <c r="Z147" s="66">
        <v>43333</v>
      </c>
      <c r="AA147" s="67">
        <v>287000</v>
      </c>
      <c r="AD147" s="10"/>
      <c r="AF147" s="66">
        <v>43346</v>
      </c>
      <c r="AG147" s="67">
        <v>304300</v>
      </c>
      <c r="AH147" s="16">
        <f>AF147-Z147</f>
        <v>13</v>
      </c>
      <c r="AI147" s="16">
        <f>AG147-AA147</f>
        <v>17300</v>
      </c>
      <c r="AJ147" s="36">
        <f>AI147/AA147</f>
        <v>6.0278745644599306E-2</v>
      </c>
      <c r="AK147" s="66">
        <v>43357</v>
      </c>
      <c r="AL147" s="67">
        <v>304300</v>
      </c>
      <c r="AM147" s="6">
        <f>AK147-AF147</f>
        <v>11</v>
      </c>
      <c r="AN147" s="66">
        <v>43371</v>
      </c>
      <c r="AO147" s="67">
        <v>304300</v>
      </c>
      <c r="AP147" s="6">
        <f>AN147-AK147</f>
        <v>14</v>
      </c>
      <c r="AQ147" s="6">
        <f>AH147+AM147+AP147</f>
        <v>38</v>
      </c>
      <c r="AR147" s="6">
        <f>AO147-AA147</f>
        <v>17300</v>
      </c>
      <c r="AS147" s="8">
        <f>AR147/AA147</f>
        <v>6.0278745644599306E-2</v>
      </c>
      <c r="AT147" s="9"/>
      <c r="AU147" s="6" t="str">
        <f>IF(AND(AU$2&gt;$Z147,$Z147&gt;0,OR($AN147&gt;AU$2,ISBLANK($AN147))),AU$2-$Z147,"")</f>
        <v/>
      </c>
      <c r="AV147" s="6" t="str">
        <f>IF(AND(AV$2&gt;$Z147,$Z147&gt;0,OR($AN147&gt;AV$2,ISBLANK($AN147))),AV$2-$Z147,"")</f>
        <v/>
      </c>
      <c r="AW147" s="6" t="str">
        <f>IF(AND(AW$2&gt;$Z147,$Z147&gt;0,OR($AN147&gt;AW$2,ISBLANK($AN147))),AW$2-$Z147,"")</f>
        <v/>
      </c>
      <c r="AX147" s="6">
        <f>IF(AND(AX$2&gt;$Z147,$Z147&gt;0,OR($AN147&gt;AX$2,ISBLANK($AN147))),AX$2-$Z147,"")</f>
        <v>10</v>
      </c>
      <c r="AY147" s="6" t="str">
        <f>IF(AND(AY$2&gt;$Z147,$Z147&gt;0,OR($AN147&gt;AY$2,ISBLANK($AN147))),AY$2-$Z147,"")</f>
        <v/>
      </c>
      <c r="AZ147" s="6" t="str">
        <f ca="1">IF(AND(AZ$2&gt;$Z147,$Z147&gt;0,OR($AN147&gt;AZ$2,ISBLANK($AN147))),AZ$2-$Z147,"")</f>
        <v/>
      </c>
      <c r="BA147" s="6"/>
      <c r="BB147" s="6"/>
      <c r="BC147" s="6"/>
      <c r="BD147" s="6"/>
    </row>
    <row r="148" spans="2:56" x14ac:dyDescent="0.25">
      <c r="B148" s="13">
        <f t="shared" si="28"/>
        <v>1</v>
      </c>
      <c r="C148" s="13">
        <f t="shared" si="29"/>
        <v>9</v>
      </c>
      <c r="D148" s="13">
        <f t="shared" si="30"/>
        <v>3</v>
      </c>
      <c r="E148" s="13">
        <f t="shared" si="31"/>
        <v>2018</v>
      </c>
      <c r="F148" s="13">
        <f t="shared" si="32"/>
        <v>0</v>
      </c>
      <c r="G148" s="13">
        <f t="shared" si="33"/>
        <v>1</v>
      </c>
      <c r="H148" s="13">
        <f t="shared" si="34"/>
        <v>1</v>
      </c>
      <c r="I148" s="13">
        <f t="shared" si="35"/>
        <v>1900</v>
      </c>
      <c r="J148" s="13">
        <f t="shared" si="36"/>
        <v>0</v>
      </c>
      <c r="K148" s="13">
        <f>IF(J148=1,MONTH(AK148),)</f>
        <v>0</v>
      </c>
      <c r="L148" s="13">
        <f t="shared" si="37"/>
        <v>0</v>
      </c>
      <c r="M148" s="13">
        <f t="shared" si="38"/>
        <v>1900</v>
      </c>
      <c r="N148" s="13">
        <f t="shared" si="39"/>
        <v>0</v>
      </c>
      <c r="O148" s="13">
        <f>IF(N148=1,MONTH(AN148),)</f>
        <v>0</v>
      </c>
      <c r="P148" s="13">
        <f t="shared" si="40"/>
        <v>0</v>
      </c>
      <c r="Q148" s="13">
        <f t="shared" si="41"/>
        <v>1900</v>
      </c>
      <c r="S148" s="38" t="s">
        <v>242</v>
      </c>
      <c r="T148" s="11" t="s">
        <v>38</v>
      </c>
      <c r="U148" s="11" t="s">
        <v>26</v>
      </c>
      <c r="V148" s="39" t="s">
        <v>38</v>
      </c>
      <c r="W148" s="39" t="s">
        <v>27</v>
      </c>
      <c r="X148" s="13" t="s">
        <v>243</v>
      </c>
      <c r="Y148" s="13" t="s">
        <v>29</v>
      </c>
      <c r="Z148" s="66">
        <v>43369</v>
      </c>
      <c r="AA148" s="67">
        <v>302300</v>
      </c>
      <c r="AD148" s="10"/>
      <c r="AG148" s="67">
        <v>309900</v>
      </c>
      <c r="AH148" s="16"/>
      <c r="AI148" s="16">
        <f>AG148-AA148</f>
        <v>7600</v>
      </c>
      <c r="AJ148" s="36">
        <f>AI148/AA148</f>
        <v>2.514058881905392E-2</v>
      </c>
      <c r="AN148" s="66"/>
      <c r="AT148" s="9"/>
      <c r="AU148" s="6" t="str">
        <f>IF(AND(AU$2&gt;$Z148,$Z148&gt;0,OR($AN148&gt;AU$2,ISBLANK($AN148))),AU$2-$Z148,"")</f>
        <v/>
      </c>
      <c r="AV148" s="6" t="str">
        <f>IF(AND(AV$2&gt;$Z148,$Z148&gt;0,OR($AN148&gt;AV$2,ISBLANK($AN148))),AV$2-$Z148,"")</f>
        <v/>
      </c>
      <c r="AW148" s="6" t="str">
        <f>IF(AND(AW$2&gt;$Z148,$Z148&gt;0,OR($AN148&gt;AW$2,ISBLANK($AN148))),AW$2-$Z148,"")</f>
        <v/>
      </c>
      <c r="AX148" s="6" t="str">
        <f>IF(AND(AX$2&gt;$Z148,$Z148&gt;0,OR($AN148&gt;AX$2,ISBLANK($AN148))),AX$2-$Z148,"")</f>
        <v/>
      </c>
      <c r="AY148" s="6">
        <f>IF(AND(AY$2&gt;$Z148,$Z148&gt;0,OR($AN148&gt;AY$2,ISBLANK($AN148))),AY$2-$Z148,"")</f>
        <v>4</v>
      </c>
      <c r="AZ148" s="6">
        <f ca="1">IF(AND(AZ$2&gt;$Z148,$Z148&gt;0,OR($AN148&gt;AZ$2,ISBLANK($AN148))),AZ$2-$Z148,"")</f>
        <v>22.382289814813703</v>
      </c>
      <c r="BA148" s="6"/>
      <c r="BB148" s="6"/>
      <c r="BC148" s="6"/>
      <c r="BD148" s="6"/>
    </row>
    <row r="149" spans="2:56" x14ac:dyDescent="0.25">
      <c r="B149" s="13">
        <f t="shared" si="28"/>
        <v>1</v>
      </c>
      <c r="C149" s="13">
        <f t="shared" si="29"/>
        <v>8</v>
      </c>
      <c r="D149" s="13">
        <f t="shared" si="30"/>
        <v>3</v>
      </c>
      <c r="E149" s="13">
        <f t="shared" si="31"/>
        <v>2018</v>
      </c>
      <c r="F149" s="13">
        <f t="shared" si="32"/>
        <v>1</v>
      </c>
      <c r="G149" s="13">
        <f t="shared" si="33"/>
        <v>8</v>
      </c>
      <c r="H149" s="13">
        <f t="shared" si="34"/>
        <v>3</v>
      </c>
      <c r="I149" s="13">
        <f t="shared" si="35"/>
        <v>2018</v>
      </c>
      <c r="J149" s="13">
        <f t="shared" si="36"/>
        <v>0</v>
      </c>
      <c r="K149" s="13">
        <f>IF(J149=1,MONTH(AK149),)</f>
        <v>0</v>
      </c>
      <c r="L149" s="13">
        <f t="shared" si="37"/>
        <v>0</v>
      </c>
      <c r="M149" s="13">
        <f t="shared" si="38"/>
        <v>1900</v>
      </c>
      <c r="N149" s="13">
        <f t="shared" si="39"/>
        <v>0</v>
      </c>
      <c r="O149" s="13">
        <f>IF(N149=1,MONTH(AN149),)</f>
        <v>0</v>
      </c>
      <c r="P149" s="13">
        <f t="shared" si="40"/>
        <v>0</v>
      </c>
      <c r="Q149" s="13">
        <f t="shared" si="41"/>
        <v>1900</v>
      </c>
      <c r="S149" s="38" t="s">
        <v>244</v>
      </c>
      <c r="T149" s="11" t="s">
        <v>38</v>
      </c>
      <c r="U149" s="11" t="s">
        <v>26</v>
      </c>
      <c r="V149" s="39" t="s">
        <v>38</v>
      </c>
      <c r="W149" s="39" t="s">
        <v>27</v>
      </c>
      <c r="X149" s="13" t="s">
        <v>245</v>
      </c>
      <c r="Y149" s="4" t="s">
        <v>29</v>
      </c>
      <c r="Z149" s="66">
        <v>43313</v>
      </c>
      <c r="AA149" s="67">
        <v>393000</v>
      </c>
      <c r="AD149" s="10"/>
      <c r="AF149" s="66">
        <v>43321</v>
      </c>
      <c r="AG149" s="67">
        <v>399000</v>
      </c>
      <c r="AH149" s="16">
        <f>AF149-Z149</f>
        <v>8</v>
      </c>
      <c r="AI149" s="16">
        <f>AG149-AA149</f>
        <v>6000</v>
      </c>
      <c r="AJ149" s="36">
        <f>AI149/AA149</f>
        <v>1.5267175572519083E-2</v>
      </c>
      <c r="AN149" s="66"/>
      <c r="AT149" s="9"/>
      <c r="AU149" s="6" t="str">
        <f>IF(AND(AU$2&gt;$Z149,$Z149&gt;0,OR($AN149&gt;AU$2,ISBLANK($AN149))),AU$2-$Z149,"")</f>
        <v/>
      </c>
      <c r="AV149" s="6" t="str">
        <f>IF(AND(AV$2&gt;$Z149,$Z149&gt;0,OR($AN149&gt;AV$2,ISBLANK($AN149))),AV$2-$Z149,"")</f>
        <v/>
      </c>
      <c r="AW149" s="6" t="str">
        <f>IF(AND(AW$2&gt;$Z149,$Z149&gt;0,OR($AN149&gt;AW$2,ISBLANK($AN149))),AW$2-$Z149,"")</f>
        <v/>
      </c>
      <c r="AX149" s="6">
        <f>IF(AND(AX$2&gt;$Z149,$Z149&gt;0,OR($AN149&gt;AX$2,ISBLANK($AN149))),AX$2-$Z149,"")</f>
        <v>30</v>
      </c>
      <c r="AY149" s="6">
        <f>IF(AND(AY$2&gt;$Z149,$Z149&gt;0,OR($AN149&gt;AY$2,ISBLANK($AN149))),AY$2-$Z149,"")</f>
        <v>60</v>
      </c>
      <c r="AZ149" s="6">
        <f ca="1">IF(AND(AZ$2&gt;$Z149,$Z149&gt;0,OR($AN149&gt;AZ$2,ISBLANK($AN149))),AZ$2-$Z149,"")</f>
        <v>78.382289814813703</v>
      </c>
      <c r="BA149" s="6"/>
      <c r="BB149" s="6"/>
      <c r="BC149" s="6"/>
      <c r="BD149" s="6"/>
    </row>
    <row r="150" spans="2:56" x14ac:dyDescent="0.25">
      <c r="B150" s="13">
        <f t="shared" si="28"/>
        <v>1</v>
      </c>
      <c r="C150" s="13">
        <f t="shared" si="29"/>
        <v>8</v>
      </c>
      <c r="D150" s="13">
        <f t="shared" si="30"/>
        <v>3</v>
      </c>
      <c r="E150" s="13">
        <f t="shared" si="31"/>
        <v>2018</v>
      </c>
      <c r="F150" s="13">
        <f t="shared" si="32"/>
        <v>1</v>
      </c>
      <c r="G150" s="13">
        <f t="shared" si="33"/>
        <v>8</v>
      </c>
      <c r="H150" s="13">
        <f t="shared" si="34"/>
        <v>3</v>
      </c>
      <c r="I150" s="13">
        <f t="shared" si="35"/>
        <v>2018</v>
      </c>
      <c r="J150" s="13">
        <f t="shared" si="36"/>
        <v>1</v>
      </c>
      <c r="K150" s="13">
        <f>IF(J150=1,MONTH(AK150),)</f>
        <v>9</v>
      </c>
      <c r="L150" s="13">
        <f t="shared" si="37"/>
        <v>3</v>
      </c>
      <c r="M150" s="13">
        <f t="shared" si="38"/>
        <v>2018</v>
      </c>
      <c r="N150" s="13">
        <f t="shared" si="39"/>
        <v>1</v>
      </c>
      <c r="O150" s="13">
        <f>IF(N150=1,MONTH(AN150),)</f>
        <v>10</v>
      </c>
      <c r="P150" s="13">
        <f t="shared" si="40"/>
        <v>4</v>
      </c>
      <c r="Q150" s="13">
        <f t="shared" si="41"/>
        <v>2018</v>
      </c>
      <c r="S150" s="38" t="s">
        <v>246</v>
      </c>
      <c r="T150" s="11" t="s">
        <v>40</v>
      </c>
      <c r="U150" s="11" t="s">
        <v>26</v>
      </c>
      <c r="V150" s="39" t="s">
        <v>38</v>
      </c>
      <c r="W150" s="39" t="s">
        <v>27</v>
      </c>
      <c r="X150" s="4" t="s">
        <v>247</v>
      </c>
      <c r="Y150" s="4" t="s">
        <v>29</v>
      </c>
      <c r="Z150" s="66">
        <v>43329</v>
      </c>
      <c r="AA150" s="67">
        <v>419705</v>
      </c>
      <c r="AD150" s="10"/>
      <c r="AF150" s="66">
        <v>43341</v>
      </c>
      <c r="AG150" s="67">
        <v>439800</v>
      </c>
      <c r="AH150" s="16">
        <f>AF150-Z150</f>
        <v>12</v>
      </c>
      <c r="AI150" s="16">
        <f>AG150-AA150</f>
        <v>20095</v>
      </c>
      <c r="AJ150" s="36">
        <f>AI150/AA150</f>
        <v>4.7878867299650948E-2</v>
      </c>
      <c r="AK150" s="66">
        <v>43350</v>
      </c>
      <c r="AL150" s="67">
        <v>439800</v>
      </c>
      <c r="AM150" s="6">
        <f>AK150-AF150</f>
        <v>9</v>
      </c>
      <c r="AN150" s="66">
        <v>43381</v>
      </c>
      <c r="AO150" s="67">
        <v>439800</v>
      </c>
      <c r="AP150" s="6">
        <f>AN150-AK150</f>
        <v>31</v>
      </c>
      <c r="AQ150" s="6">
        <f>AH150+AM150+AP150</f>
        <v>52</v>
      </c>
      <c r="AR150" s="6">
        <f>AO150-AA150</f>
        <v>20095</v>
      </c>
      <c r="AS150" s="8">
        <f>AR150/AA150</f>
        <v>4.7878867299650948E-2</v>
      </c>
      <c r="AT150" s="9"/>
      <c r="AU150" s="6" t="str">
        <f>IF(AND(AU$2&gt;$Z150,$Z150&gt;0,OR($AN150&gt;AU$2,ISBLANK($AN150))),AU$2-$Z150,"")</f>
        <v/>
      </c>
      <c r="AV150" s="6" t="str">
        <f>IF(AND(AV$2&gt;$Z150,$Z150&gt;0,OR($AN150&gt;AV$2,ISBLANK($AN150))),AV$2-$Z150,"")</f>
        <v/>
      </c>
      <c r="AW150" s="6" t="str">
        <f>IF(AND(AW$2&gt;$Z150,$Z150&gt;0,OR($AN150&gt;AW$2,ISBLANK($AN150))),AW$2-$Z150,"")</f>
        <v/>
      </c>
      <c r="AX150" s="6">
        <f>IF(AND(AX$2&gt;$Z150,$Z150&gt;0,OR($AN150&gt;AX$2,ISBLANK($AN150))),AX$2-$Z150,"")</f>
        <v>14</v>
      </c>
      <c r="AY150" s="6">
        <f>IF(AND(AY$2&gt;$Z150,$Z150&gt;0,OR($AN150&gt;AY$2,ISBLANK($AN150))),AY$2-$Z150,"")</f>
        <v>44</v>
      </c>
      <c r="AZ150" s="6" t="str">
        <f ca="1">IF(AND(AZ$2&gt;$Z150,$Z150&gt;0,OR($AN150&gt;AZ$2,ISBLANK($AN150))),AZ$2-$Z150,"")</f>
        <v/>
      </c>
      <c r="BA150" s="6"/>
      <c r="BB150" s="6"/>
      <c r="BC150" s="6"/>
      <c r="BD150" s="6"/>
    </row>
    <row r="151" spans="2:56" x14ac:dyDescent="0.25">
      <c r="B151" s="13">
        <f t="shared" si="28"/>
        <v>1</v>
      </c>
      <c r="C151" s="13">
        <f t="shared" si="29"/>
        <v>7</v>
      </c>
      <c r="D151" s="13">
        <f t="shared" si="30"/>
        <v>3</v>
      </c>
      <c r="E151" s="13">
        <f t="shared" si="31"/>
        <v>2018</v>
      </c>
      <c r="F151" s="13">
        <f t="shared" si="32"/>
        <v>1</v>
      </c>
      <c r="G151" s="13">
        <f t="shared" si="33"/>
        <v>9</v>
      </c>
      <c r="H151" s="13">
        <f t="shared" si="34"/>
        <v>3</v>
      </c>
      <c r="I151" s="13">
        <f t="shared" si="35"/>
        <v>2018</v>
      </c>
      <c r="J151" s="13">
        <f t="shared" si="36"/>
        <v>0</v>
      </c>
      <c r="K151" s="13">
        <f>IF(J151=1,MONTH(AK151),)</f>
        <v>0</v>
      </c>
      <c r="L151" s="13">
        <f t="shared" si="37"/>
        <v>0</v>
      </c>
      <c r="M151" s="13">
        <f t="shared" si="38"/>
        <v>1900</v>
      </c>
      <c r="N151" s="13">
        <f t="shared" si="39"/>
        <v>0</v>
      </c>
      <c r="O151" s="13">
        <f>IF(N151=1,MONTH(AN151),)</f>
        <v>0</v>
      </c>
      <c r="P151" s="13">
        <f t="shared" si="40"/>
        <v>0</v>
      </c>
      <c r="Q151" s="13">
        <f t="shared" si="41"/>
        <v>1900</v>
      </c>
      <c r="S151" s="38" t="s">
        <v>248</v>
      </c>
      <c r="T151" s="11" t="s">
        <v>62</v>
      </c>
      <c r="U151" s="11" t="s">
        <v>26</v>
      </c>
      <c r="V151" s="39" t="s">
        <v>38</v>
      </c>
      <c r="W151" s="39" t="s">
        <v>27</v>
      </c>
      <c r="X151" s="13" t="s">
        <v>249</v>
      </c>
      <c r="Y151" s="4" t="s">
        <v>29</v>
      </c>
      <c r="Z151" s="66">
        <v>43312</v>
      </c>
      <c r="AA151" s="67">
        <v>469105</v>
      </c>
      <c r="AD151" s="10"/>
      <c r="AF151" s="66">
        <v>43344</v>
      </c>
      <c r="AG151" s="67">
        <v>478500</v>
      </c>
      <c r="AH151" s="16">
        <f>AF151-Z151</f>
        <v>32</v>
      </c>
      <c r="AI151" s="16">
        <f>AG151-AA151</f>
        <v>9395</v>
      </c>
      <c r="AJ151" s="36">
        <f>AI151/AA151</f>
        <v>2.0027499173958921E-2</v>
      </c>
      <c r="AN151" s="66"/>
      <c r="AT151" s="9"/>
      <c r="AU151" s="6" t="str">
        <f>IF(AND(AU$2&gt;$Z151,$Z151&gt;0,OR($AN151&gt;AU$2,ISBLANK($AN151))),AU$2-$Z151,"")</f>
        <v/>
      </c>
      <c r="AV151" s="6" t="str">
        <f>IF(AND(AV$2&gt;$Z151,$Z151&gt;0,OR($AN151&gt;AV$2,ISBLANK($AN151))),AV$2-$Z151,"")</f>
        <v/>
      </c>
      <c r="AW151" s="6" t="str">
        <f>IF(AND(AW$2&gt;$Z151,$Z151&gt;0,OR($AN151&gt;AW$2,ISBLANK($AN151))),AW$2-$Z151,"")</f>
        <v/>
      </c>
      <c r="AX151" s="6">
        <f>IF(AND(AX$2&gt;$Z151,$Z151&gt;0,OR($AN151&gt;AX$2,ISBLANK($AN151))),AX$2-$Z151,"")</f>
        <v>31</v>
      </c>
      <c r="AY151" s="6">
        <f>IF(AND(AY$2&gt;$Z151,$Z151&gt;0,OR($AN151&gt;AY$2,ISBLANK($AN151))),AY$2-$Z151,"")</f>
        <v>61</v>
      </c>
      <c r="AZ151" s="6">
        <f ca="1">IF(AND(AZ$2&gt;$Z151,$Z151&gt;0,OR($AN151&gt;AZ$2,ISBLANK($AN151))),AZ$2-$Z151,"")</f>
        <v>79.382289814813703</v>
      </c>
      <c r="BA151" s="6"/>
      <c r="BB151" s="6"/>
      <c r="BC151" s="6"/>
      <c r="BD151" s="6"/>
    </row>
    <row r="152" spans="2:56" x14ac:dyDescent="0.25">
      <c r="B152" s="13">
        <f t="shared" si="28"/>
        <v>1</v>
      </c>
      <c r="C152" s="13">
        <f t="shared" si="29"/>
        <v>10</v>
      </c>
      <c r="D152" s="13">
        <f t="shared" si="30"/>
        <v>4</v>
      </c>
      <c r="E152" s="13">
        <f t="shared" si="31"/>
        <v>2018</v>
      </c>
      <c r="F152" s="13">
        <f t="shared" si="32"/>
        <v>0</v>
      </c>
      <c r="G152" s="13">
        <f t="shared" si="33"/>
        <v>1</v>
      </c>
      <c r="H152" s="13">
        <f t="shared" si="34"/>
        <v>1</v>
      </c>
      <c r="I152" s="13">
        <f t="shared" si="35"/>
        <v>1900</v>
      </c>
      <c r="J152" s="13">
        <f t="shared" si="36"/>
        <v>0</v>
      </c>
      <c r="K152" s="13">
        <f>IF(J152=1,MONTH(AK152),)</f>
        <v>0</v>
      </c>
      <c r="L152" s="13">
        <f t="shared" si="37"/>
        <v>0</v>
      </c>
      <c r="M152" s="13">
        <f t="shared" si="38"/>
        <v>1900</v>
      </c>
      <c r="N152" s="13">
        <f t="shared" si="39"/>
        <v>0</v>
      </c>
      <c r="O152" s="13">
        <f>IF(N152=1,MONTH(AN152),)</f>
        <v>0</v>
      </c>
      <c r="P152" s="13">
        <f t="shared" si="40"/>
        <v>0</v>
      </c>
      <c r="Q152" s="13">
        <f t="shared" si="41"/>
        <v>1900</v>
      </c>
      <c r="S152" s="38" t="s">
        <v>548</v>
      </c>
      <c r="T152" s="11" t="s">
        <v>40</v>
      </c>
      <c r="U152" s="11" t="s">
        <v>26</v>
      </c>
      <c r="V152" s="39" t="s">
        <v>38</v>
      </c>
      <c r="W152" s="39" t="s">
        <v>27</v>
      </c>
      <c r="X152" s="13" t="s">
        <v>549</v>
      </c>
      <c r="Y152" s="4" t="s">
        <v>29</v>
      </c>
      <c r="Z152" s="66">
        <v>43384</v>
      </c>
      <c r="AA152" s="67">
        <v>331000</v>
      </c>
      <c r="AD152" s="10"/>
      <c r="AG152" s="67">
        <v>349900</v>
      </c>
      <c r="AH152" s="16"/>
      <c r="AI152" s="16">
        <f>AG152-AA152</f>
        <v>18900</v>
      </c>
      <c r="AJ152" s="36">
        <f>AI152/AA152</f>
        <v>5.7099697885196372E-2</v>
      </c>
      <c r="AN152" s="66"/>
      <c r="AT152" s="9"/>
      <c r="AU152" s="6" t="str">
        <f>IF(AND(AU$2&gt;$Z152,$Z152&gt;0,OR($AN152&gt;AU$2,ISBLANK($AN152))),AU$2-$Z152,"")</f>
        <v/>
      </c>
      <c r="AV152" s="6" t="str">
        <f>IF(AND(AV$2&gt;$Z152,$Z152&gt;0,OR($AN152&gt;AV$2,ISBLANK($AN152))),AV$2-$Z152,"")</f>
        <v/>
      </c>
      <c r="AW152" s="6" t="str">
        <f>IF(AND(AW$2&gt;$Z152,$Z152&gt;0,OR($AN152&gt;AW$2,ISBLANK($AN152))),AW$2-$Z152,"")</f>
        <v/>
      </c>
      <c r="AX152" s="6" t="str">
        <f>IF(AND(AX$2&gt;$Z152,$Z152&gt;0,OR($AN152&gt;AX$2,ISBLANK($AN152))),AX$2-$Z152,"")</f>
        <v/>
      </c>
      <c r="AY152" s="6" t="str">
        <f>IF(AND(AY$2&gt;$Z152,$Z152&gt;0,OR($AN152&gt;AY$2,ISBLANK($AN152))),AY$2-$Z152,"")</f>
        <v/>
      </c>
      <c r="AZ152" s="6">
        <f ca="1">IF(AND(AZ$2&gt;$Z152,$Z152&gt;0,OR($AN152&gt;AZ$2,ISBLANK($AN152))),AZ$2-$Z152,"")</f>
        <v>7.3822898148137028</v>
      </c>
      <c r="BA152" s="6"/>
      <c r="BB152" s="6"/>
      <c r="BC152" s="6"/>
      <c r="BD152" s="6"/>
    </row>
    <row r="153" spans="2:56" x14ac:dyDescent="0.25">
      <c r="B153" s="13">
        <f t="shared" si="28"/>
        <v>1</v>
      </c>
      <c r="C153" s="13">
        <f t="shared" si="29"/>
        <v>10</v>
      </c>
      <c r="D153" s="13">
        <f t="shared" si="30"/>
        <v>4</v>
      </c>
      <c r="E153" s="13">
        <f t="shared" si="31"/>
        <v>2018</v>
      </c>
      <c r="F153" s="13">
        <f t="shared" si="32"/>
        <v>0</v>
      </c>
      <c r="G153" s="13">
        <f t="shared" si="33"/>
        <v>1</v>
      </c>
      <c r="H153" s="13">
        <f t="shared" si="34"/>
        <v>1</v>
      </c>
      <c r="I153" s="13">
        <f t="shared" si="35"/>
        <v>1900</v>
      </c>
      <c r="J153" s="13">
        <f t="shared" si="36"/>
        <v>0</v>
      </c>
      <c r="K153" s="13">
        <f>IF(J153=1,MONTH(AK153),)</f>
        <v>0</v>
      </c>
      <c r="L153" s="13">
        <f t="shared" si="37"/>
        <v>0</v>
      </c>
      <c r="M153" s="13">
        <f t="shared" si="38"/>
        <v>1900</v>
      </c>
      <c r="N153" s="13">
        <f t="shared" si="39"/>
        <v>0</v>
      </c>
      <c r="O153" s="13">
        <f>IF(N153=1,MONTH(AN153),)</f>
        <v>0</v>
      </c>
      <c r="P153" s="13">
        <f t="shared" si="40"/>
        <v>0</v>
      </c>
      <c r="Q153" s="13">
        <f t="shared" si="41"/>
        <v>1900</v>
      </c>
      <c r="S153" s="38" t="s">
        <v>507</v>
      </c>
      <c r="T153" s="11" t="s">
        <v>38</v>
      </c>
      <c r="U153" s="11" t="s">
        <v>26</v>
      </c>
      <c r="V153" s="39" t="s">
        <v>38</v>
      </c>
      <c r="W153" s="39" t="s">
        <v>27</v>
      </c>
      <c r="X153" s="13"/>
      <c r="Y153" s="13"/>
      <c r="Z153" s="66">
        <v>43385</v>
      </c>
      <c r="AA153" s="67">
        <v>478800</v>
      </c>
      <c r="AD153" s="10"/>
      <c r="AG153" s="67">
        <v>483900</v>
      </c>
      <c r="AH153" s="16"/>
      <c r="AI153" s="16">
        <f>AG153-AA153</f>
        <v>5100</v>
      </c>
      <c r="AJ153" s="36">
        <f>AI153/AA153</f>
        <v>1.0651629072681704E-2</v>
      </c>
      <c r="AN153" s="66"/>
      <c r="AT153" s="9"/>
      <c r="AU153" s="6" t="str">
        <f>IF(AND(AU$2&gt;$Z153,$Z153&gt;0,OR($AN153&gt;AU$2,ISBLANK($AN153))),AU$2-$Z153,"")</f>
        <v/>
      </c>
      <c r="AV153" s="6" t="str">
        <f>IF(AND(AV$2&gt;$Z153,$Z153&gt;0,OR($AN153&gt;AV$2,ISBLANK($AN153))),AV$2-$Z153,"")</f>
        <v/>
      </c>
      <c r="AW153" s="6" t="str">
        <f>IF(AND(AW$2&gt;$Z153,$Z153&gt;0,OR($AN153&gt;AW$2,ISBLANK($AN153))),AW$2-$Z153,"")</f>
        <v/>
      </c>
      <c r="AX153" s="6" t="str">
        <f>IF(AND(AX$2&gt;$Z153,$Z153&gt;0,OR($AN153&gt;AX$2,ISBLANK($AN153))),AX$2-$Z153,"")</f>
        <v/>
      </c>
      <c r="AY153" s="6" t="str">
        <f>IF(AND(AY$2&gt;$Z153,$Z153&gt;0,OR($AN153&gt;AY$2,ISBLANK($AN153))),AY$2-$Z153,"")</f>
        <v/>
      </c>
      <c r="AZ153" s="6">
        <f ca="1">IF(AND(AZ$2&gt;$Z153,$Z153&gt;0,OR($AN153&gt;AZ$2,ISBLANK($AN153))),AZ$2-$Z153,"")</f>
        <v>6.3822898148137028</v>
      </c>
      <c r="BA153" s="6"/>
      <c r="BB153" s="6"/>
      <c r="BC153" s="6"/>
      <c r="BD153" s="6"/>
    </row>
    <row r="154" spans="2:56" x14ac:dyDescent="0.25">
      <c r="B154" s="13">
        <f t="shared" si="28"/>
        <v>1</v>
      </c>
      <c r="C154" s="13">
        <f t="shared" si="29"/>
        <v>10</v>
      </c>
      <c r="D154" s="13">
        <f t="shared" si="30"/>
        <v>4</v>
      </c>
      <c r="E154" s="13">
        <f t="shared" si="31"/>
        <v>2018</v>
      </c>
      <c r="F154" s="13">
        <f t="shared" si="32"/>
        <v>0</v>
      </c>
      <c r="G154" s="13">
        <f t="shared" si="33"/>
        <v>1</v>
      </c>
      <c r="H154" s="13">
        <f t="shared" si="34"/>
        <v>1</v>
      </c>
      <c r="I154" s="13">
        <f t="shared" si="35"/>
        <v>1900</v>
      </c>
      <c r="J154" s="13">
        <f t="shared" si="36"/>
        <v>0</v>
      </c>
      <c r="K154" s="13">
        <f>IF(J154=1,MONTH(AK154),)</f>
        <v>0</v>
      </c>
      <c r="L154" s="13">
        <f t="shared" si="37"/>
        <v>0</v>
      </c>
      <c r="M154" s="13">
        <f t="shared" si="38"/>
        <v>1900</v>
      </c>
      <c r="N154" s="13">
        <f t="shared" si="39"/>
        <v>0</v>
      </c>
      <c r="O154" s="13">
        <f>IF(N154=1,MONTH(AN154),)</f>
        <v>0</v>
      </c>
      <c r="P154" s="13">
        <f t="shared" si="40"/>
        <v>0</v>
      </c>
      <c r="Q154" s="13">
        <f t="shared" si="41"/>
        <v>1900</v>
      </c>
      <c r="S154" s="38" t="s">
        <v>250</v>
      </c>
      <c r="T154" s="11" t="s">
        <v>38</v>
      </c>
      <c r="U154" s="11" t="s">
        <v>26</v>
      </c>
      <c r="V154" s="39" t="s">
        <v>38</v>
      </c>
      <c r="W154" s="39" t="s">
        <v>27</v>
      </c>
      <c r="X154" s="13"/>
      <c r="Y154" s="13"/>
      <c r="Z154" s="66">
        <v>43376</v>
      </c>
      <c r="AA154" s="67">
        <v>333000</v>
      </c>
      <c r="AD154" s="10"/>
      <c r="AG154" s="67">
        <v>341900</v>
      </c>
      <c r="AH154" s="16"/>
      <c r="AI154" s="16">
        <f>AG154-AA154</f>
        <v>8900</v>
      </c>
      <c r="AJ154" s="36">
        <f>AI154/AA154</f>
        <v>2.6726726726726727E-2</v>
      </c>
      <c r="AN154" s="66"/>
      <c r="AT154" s="9"/>
      <c r="AU154" s="6" t="str">
        <f>IF(AND(AU$2&gt;$Z154,$Z154&gt;0,OR($AN154&gt;AU$2,ISBLANK($AN154))),AU$2-$Z154,"")</f>
        <v/>
      </c>
      <c r="AV154" s="6" t="str">
        <f>IF(AND(AV$2&gt;$Z154,$Z154&gt;0,OR($AN154&gt;AV$2,ISBLANK($AN154))),AV$2-$Z154,"")</f>
        <v/>
      </c>
      <c r="AW154" s="6" t="str">
        <f>IF(AND(AW$2&gt;$Z154,$Z154&gt;0,OR($AN154&gt;AW$2,ISBLANK($AN154))),AW$2-$Z154,"")</f>
        <v/>
      </c>
      <c r="AX154" s="6" t="str">
        <f>IF(AND(AX$2&gt;$Z154,$Z154&gt;0,OR($AN154&gt;AX$2,ISBLANK($AN154))),AX$2-$Z154,"")</f>
        <v/>
      </c>
      <c r="AY154" s="6" t="str">
        <f>IF(AND(AY$2&gt;$Z154,$Z154&gt;0,OR($AN154&gt;AY$2,ISBLANK($AN154))),AY$2-$Z154,"")</f>
        <v/>
      </c>
      <c r="AZ154" s="6">
        <f ca="1">IF(AND(AZ$2&gt;$Z154,$Z154&gt;0,OR($AN154&gt;AZ$2,ISBLANK($AN154))),AZ$2-$Z154,"")</f>
        <v>15.382289814813703</v>
      </c>
      <c r="BA154" s="6"/>
      <c r="BB154" s="6"/>
      <c r="BC154" s="6"/>
      <c r="BD154" s="6"/>
    </row>
    <row r="155" spans="2:56" x14ac:dyDescent="0.25">
      <c r="B155" s="13">
        <f t="shared" si="28"/>
        <v>1</v>
      </c>
      <c r="C155" s="13">
        <f t="shared" si="29"/>
        <v>8</v>
      </c>
      <c r="D155" s="13">
        <f t="shared" si="30"/>
        <v>3</v>
      </c>
      <c r="E155" s="13">
        <f t="shared" si="31"/>
        <v>2018</v>
      </c>
      <c r="F155" s="13">
        <f t="shared" si="32"/>
        <v>1</v>
      </c>
      <c r="G155" s="13">
        <f t="shared" si="33"/>
        <v>8</v>
      </c>
      <c r="H155" s="13">
        <f t="shared" si="34"/>
        <v>3</v>
      </c>
      <c r="I155" s="13">
        <f t="shared" si="35"/>
        <v>2018</v>
      </c>
      <c r="J155" s="13">
        <f t="shared" si="36"/>
        <v>1</v>
      </c>
      <c r="K155" s="13">
        <f>IF(J155=1,MONTH(AK155),)</f>
        <v>8</v>
      </c>
      <c r="L155" s="13">
        <f t="shared" si="37"/>
        <v>3</v>
      </c>
      <c r="M155" s="13">
        <f t="shared" si="38"/>
        <v>2018</v>
      </c>
      <c r="N155" s="13">
        <f t="shared" si="39"/>
        <v>1</v>
      </c>
      <c r="O155" s="13">
        <f>IF(N155=1,MONTH(AN155),)</f>
        <v>9</v>
      </c>
      <c r="P155" s="13">
        <f t="shared" si="40"/>
        <v>3</v>
      </c>
      <c r="Q155" s="13">
        <f t="shared" si="41"/>
        <v>2018</v>
      </c>
      <c r="S155" s="38" t="s">
        <v>487</v>
      </c>
      <c r="T155" s="11" t="s">
        <v>38</v>
      </c>
      <c r="U155" s="11" t="s">
        <v>26</v>
      </c>
      <c r="V155" s="39" t="s">
        <v>38</v>
      </c>
      <c r="W155" s="39" t="s">
        <v>27</v>
      </c>
      <c r="Y155" s="4" t="s">
        <v>29</v>
      </c>
      <c r="Z155" s="66">
        <v>43313</v>
      </c>
      <c r="AA155" s="67">
        <v>190000</v>
      </c>
      <c r="AD155" s="10"/>
      <c r="AF155" s="66">
        <v>43330</v>
      </c>
      <c r="AG155" s="67">
        <v>196000</v>
      </c>
      <c r="AH155" s="16">
        <f>AF155-Z155</f>
        <v>17</v>
      </c>
      <c r="AI155" s="16">
        <f>AG155-AA155</f>
        <v>6000</v>
      </c>
      <c r="AJ155" s="36">
        <f>AI155/AA155</f>
        <v>3.1578947368421054E-2</v>
      </c>
      <c r="AK155" s="66">
        <v>43334</v>
      </c>
      <c r="AL155" s="67">
        <v>196000</v>
      </c>
      <c r="AM155" s="6">
        <f>AK155-AF155</f>
        <v>4</v>
      </c>
      <c r="AN155" s="66">
        <v>43364</v>
      </c>
      <c r="AO155" s="67">
        <v>200000</v>
      </c>
      <c r="AP155" s="6">
        <f>AN155-AK155</f>
        <v>30</v>
      </c>
      <c r="AQ155" s="6">
        <f>AH155+AM155+AP155</f>
        <v>51</v>
      </c>
      <c r="AR155" s="6">
        <f>AO155-AA155</f>
        <v>10000</v>
      </c>
      <c r="AS155" s="8">
        <f>AR155/AA155</f>
        <v>5.2631578947368418E-2</v>
      </c>
      <c r="AT155" s="9"/>
      <c r="AU155" s="6" t="str">
        <f>IF(AND(AU$2&gt;$Z155,$Z155&gt;0,OR($AN155&gt;AU$2,ISBLANK($AN155))),AU$2-$Z155,"")</f>
        <v/>
      </c>
      <c r="AV155" s="6" t="str">
        <f>IF(AND(AV$2&gt;$Z155,$Z155&gt;0,OR($AN155&gt;AV$2,ISBLANK($AN155))),AV$2-$Z155,"")</f>
        <v/>
      </c>
      <c r="AW155" s="6" t="str">
        <f>IF(AND(AW$2&gt;$Z155,$Z155&gt;0,OR($AN155&gt;AW$2,ISBLANK($AN155))),AW$2-$Z155,"")</f>
        <v/>
      </c>
      <c r="AX155" s="6">
        <f>IF(AND(AX$2&gt;$Z155,$Z155&gt;0,OR($AN155&gt;AX$2,ISBLANK($AN155))),AX$2-$Z155,"")</f>
        <v>30</v>
      </c>
      <c r="AY155" s="6" t="str">
        <f>IF(AND(AY$2&gt;$Z155,$Z155&gt;0,OR($AN155&gt;AY$2,ISBLANK($AN155))),AY$2-$Z155,"")</f>
        <v/>
      </c>
      <c r="AZ155" s="6" t="str">
        <f ca="1">IF(AND(AZ$2&gt;$Z155,$Z155&gt;0,OR($AN155&gt;AZ$2,ISBLANK($AN155))),AZ$2-$Z155,"")</f>
        <v/>
      </c>
      <c r="BA155" s="6"/>
      <c r="BB155" s="6"/>
      <c r="BC155" s="6"/>
      <c r="BD155" s="6"/>
    </row>
    <row r="156" spans="2:56" x14ac:dyDescent="0.25">
      <c r="B156" s="13">
        <f t="shared" si="28"/>
        <v>1</v>
      </c>
      <c r="C156" s="13">
        <f t="shared" si="29"/>
        <v>7</v>
      </c>
      <c r="D156" s="13">
        <f t="shared" si="30"/>
        <v>3</v>
      </c>
      <c r="E156" s="13">
        <f t="shared" si="31"/>
        <v>2018</v>
      </c>
      <c r="F156" s="13">
        <f t="shared" si="32"/>
        <v>1</v>
      </c>
      <c r="G156" s="13">
        <f t="shared" si="33"/>
        <v>8</v>
      </c>
      <c r="H156" s="13">
        <f t="shared" si="34"/>
        <v>3</v>
      </c>
      <c r="I156" s="13">
        <f t="shared" si="35"/>
        <v>2018</v>
      </c>
      <c r="J156" s="13">
        <f t="shared" si="36"/>
        <v>0</v>
      </c>
      <c r="K156" s="13">
        <f>IF(J156=1,MONTH(AK156),)</f>
        <v>0</v>
      </c>
      <c r="L156" s="13">
        <f t="shared" si="37"/>
        <v>0</v>
      </c>
      <c r="M156" s="13">
        <f t="shared" si="38"/>
        <v>1900</v>
      </c>
      <c r="N156" s="13">
        <f t="shared" si="39"/>
        <v>0</v>
      </c>
      <c r="O156" s="13">
        <f>IF(N156=1,MONTH(AN156),)</f>
        <v>0</v>
      </c>
      <c r="P156" s="13">
        <f t="shared" si="40"/>
        <v>0</v>
      </c>
      <c r="Q156" s="13">
        <f t="shared" si="41"/>
        <v>1900</v>
      </c>
      <c r="S156" s="38" t="s">
        <v>251</v>
      </c>
      <c r="T156" s="11" t="s">
        <v>57</v>
      </c>
      <c r="U156" s="11" t="s">
        <v>26</v>
      </c>
      <c r="V156" s="39" t="s">
        <v>38</v>
      </c>
      <c r="W156" s="39" t="s">
        <v>27</v>
      </c>
      <c r="X156" s="13" t="s">
        <v>252</v>
      </c>
      <c r="Y156" s="13" t="s">
        <v>29</v>
      </c>
      <c r="Z156" s="66">
        <v>43299</v>
      </c>
      <c r="AA156" s="67">
        <v>376000</v>
      </c>
      <c r="AD156" s="10"/>
      <c r="AF156" s="66">
        <v>43316</v>
      </c>
      <c r="AG156" s="67">
        <v>384300</v>
      </c>
      <c r="AH156" s="16">
        <f>AF156-Z156</f>
        <v>17</v>
      </c>
      <c r="AI156" s="16">
        <f>AG156-AA156</f>
        <v>8300</v>
      </c>
      <c r="AJ156" s="36">
        <f>AI156/AA156</f>
        <v>2.2074468085106384E-2</v>
      </c>
      <c r="AN156" s="66"/>
      <c r="AT156" s="9"/>
      <c r="AU156" s="6" t="str">
        <f>IF(AND(AU$2&gt;$Z156,$Z156&gt;0,OR($AN156&gt;AU$2,ISBLANK($AN156))),AU$2-$Z156,"")</f>
        <v/>
      </c>
      <c r="AV156" s="6" t="str">
        <f>IF(AND(AV$2&gt;$Z156,$Z156&gt;0,OR($AN156&gt;AV$2,ISBLANK($AN156))),AV$2-$Z156,"")</f>
        <v/>
      </c>
      <c r="AW156" s="6">
        <f>IF(AND(AW$2&gt;$Z156,$Z156&gt;0,OR($AN156&gt;AW$2,ISBLANK($AN156))),AW$2-$Z156,"")</f>
        <v>13</v>
      </c>
      <c r="AX156" s="6">
        <f>IF(AND(AX$2&gt;$Z156,$Z156&gt;0,OR($AN156&gt;AX$2,ISBLANK($AN156))),AX$2-$Z156,"")</f>
        <v>44</v>
      </c>
      <c r="AY156" s="6">
        <f>IF(AND(AY$2&gt;$Z156,$Z156&gt;0,OR($AN156&gt;AY$2,ISBLANK($AN156))),AY$2-$Z156,"")</f>
        <v>74</v>
      </c>
      <c r="AZ156" s="6">
        <f ca="1">IF(AND(AZ$2&gt;$Z156,$Z156&gt;0,OR($AN156&gt;AZ$2,ISBLANK($AN156))),AZ$2-$Z156,"")</f>
        <v>92.382289814813703</v>
      </c>
      <c r="BA156" s="6"/>
      <c r="BB156" s="6"/>
      <c r="BC156" s="6"/>
      <c r="BD156" s="6"/>
    </row>
    <row r="157" spans="2:56" x14ac:dyDescent="0.25">
      <c r="B157" s="13">
        <f t="shared" si="28"/>
        <v>1</v>
      </c>
      <c r="C157" s="13">
        <f t="shared" si="29"/>
        <v>7</v>
      </c>
      <c r="D157" s="13">
        <f t="shared" si="30"/>
        <v>3</v>
      </c>
      <c r="E157" s="13">
        <f t="shared" si="31"/>
        <v>2018</v>
      </c>
      <c r="F157" s="13">
        <f t="shared" si="32"/>
        <v>1</v>
      </c>
      <c r="G157" s="13">
        <f t="shared" si="33"/>
        <v>8</v>
      </c>
      <c r="H157" s="13">
        <f t="shared" si="34"/>
        <v>3</v>
      </c>
      <c r="I157" s="13">
        <f t="shared" si="35"/>
        <v>2018</v>
      </c>
      <c r="J157" s="13">
        <f t="shared" si="36"/>
        <v>1</v>
      </c>
      <c r="K157" s="13">
        <f>IF(J157=1,MONTH(AK157),)</f>
        <v>9</v>
      </c>
      <c r="L157" s="13">
        <f t="shared" si="37"/>
        <v>3</v>
      </c>
      <c r="M157" s="13">
        <f t="shared" si="38"/>
        <v>2018</v>
      </c>
      <c r="N157" s="13">
        <f t="shared" si="39"/>
        <v>1</v>
      </c>
      <c r="O157" s="13">
        <f>IF(N157=1,MONTH(AN157),)</f>
        <v>10</v>
      </c>
      <c r="P157" s="13">
        <f t="shared" si="40"/>
        <v>4</v>
      </c>
      <c r="Q157" s="13">
        <f t="shared" si="41"/>
        <v>2018</v>
      </c>
      <c r="S157" s="38" t="s">
        <v>253</v>
      </c>
      <c r="T157" s="11" t="s">
        <v>57</v>
      </c>
      <c r="U157" s="11" t="s">
        <v>26</v>
      </c>
      <c r="V157" s="39" t="s">
        <v>38</v>
      </c>
      <c r="W157" s="39" t="s">
        <v>27</v>
      </c>
      <c r="X157" s="4" t="s">
        <v>254</v>
      </c>
      <c r="Y157" s="4" t="s">
        <v>29</v>
      </c>
      <c r="Z157" s="66">
        <v>43304</v>
      </c>
      <c r="AA157" s="67">
        <v>356000</v>
      </c>
      <c r="AD157" s="10"/>
      <c r="AF157" s="66">
        <v>43323</v>
      </c>
      <c r="AG157" s="67">
        <v>367300</v>
      </c>
      <c r="AH157" s="16">
        <f>AF157-Z157</f>
        <v>19</v>
      </c>
      <c r="AI157" s="16">
        <f>AG157-AA157</f>
        <v>11300</v>
      </c>
      <c r="AJ157" s="36">
        <f>AI157/AA157</f>
        <v>3.1741573033707865E-2</v>
      </c>
      <c r="AK157" s="66">
        <v>43350</v>
      </c>
      <c r="AL157" s="67">
        <v>367300</v>
      </c>
      <c r="AM157" s="6">
        <f>AK157-AF157</f>
        <v>27</v>
      </c>
      <c r="AN157" s="66">
        <v>43378</v>
      </c>
      <c r="AO157" s="67">
        <v>362900</v>
      </c>
      <c r="AP157" s="6">
        <f>AN157-AK157</f>
        <v>28</v>
      </c>
      <c r="AQ157" s="6">
        <f>AH157+AM157+AP157</f>
        <v>74</v>
      </c>
      <c r="AR157" s="6">
        <f>AO157-AA157</f>
        <v>6900</v>
      </c>
      <c r="AS157" s="8">
        <f>AR157/AA157</f>
        <v>1.9382022471910114E-2</v>
      </c>
      <c r="AT157" s="9"/>
      <c r="AU157" s="6" t="str">
        <f>IF(AND(AU$2&gt;$Z157,$Z157&gt;0,OR($AN157&gt;AU$2,ISBLANK($AN157))),AU$2-$Z157,"")</f>
        <v/>
      </c>
      <c r="AV157" s="6" t="str">
        <f>IF(AND(AV$2&gt;$Z157,$Z157&gt;0,OR($AN157&gt;AV$2,ISBLANK($AN157))),AV$2-$Z157,"")</f>
        <v/>
      </c>
      <c r="AW157" s="6">
        <f>IF(AND(AW$2&gt;$Z157,$Z157&gt;0,OR($AN157&gt;AW$2,ISBLANK($AN157))),AW$2-$Z157,"")</f>
        <v>8</v>
      </c>
      <c r="AX157" s="6">
        <f>IF(AND(AX$2&gt;$Z157,$Z157&gt;0,OR($AN157&gt;AX$2,ISBLANK($AN157))),AX$2-$Z157,"")</f>
        <v>39</v>
      </c>
      <c r="AY157" s="6">
        <f>IF(AND(AY$2&gt;$Z157,$Z157&gt;0,OR($AN157&gt;AY$2,ISBLANK($AN157))),AY$2-$Z157,"")</f>
        <v>69</v>
      </c>
      <c r="AZ157" s="6" t="str">
        <f ca="1">IF(AND(AZ$2&gt;$Z157,$Z157&gt;0,OR($AN157&gt;AZ$2,ISBLANK($AN157))),AZ$2-$Z157,"")</f>
        <v/>
      </c>
      <c r="BA157" s="6"/>
      <c r="BB157" s="6"/>
      <c r="BC157" s="6"/>
      <c r="BD157" s="6"/>
    </row>
    <row r="158" spans="2:56" x14ac:dyDescent="0.25">
      <c r="B158" s="13">
        <f t="shared" si="28"/>
        <v>1</v>
      </c>
      <c r="C158" s="13">
        <f t="shared" si="29"/>
        <v>8</v>
      </c>
      <c r="D158" s="13">
        <f t="shared" si="30"/>
        <v>3</v>
      </c>
      <c r="E158" s="13">
        <f t="shared" si="31"/>
        <v>2018</v>
      </c>
      <c r="F158" s="13">
        <f t="shared" si="32"/>
        <v>1</v>
      </c>
      <c r="G158" s="13">
        <f t="shared" si="33"/>
        <v>9</v>
      </c>
      <c r="H158" s="13">
        <f t="shared" si="34"/>
        <v>3</v>
      </c>
      <c r="I158" s="13">
        <f t="shared" si="35"/>
        <v>2018</v>
      </c>
      <c r="J158" s="13">
        <f t="shared" si="36"/>
        <v>1</v>
      </c>
      <c r="K158" s="13">
        <f>IF(J158=1,MONTH(AK158),)</f>
        <v>10</v>
      </c>
      <c r="L158" s="13">
        <f t="shared" si="37"/>
        <v>4</v>
      </c>
      <c r="M158" s="13">
        <f t="shared" si="38"/>
        <v>2018</v>
      </c>
      <c r="N158" s="13">
        <f t="shared" si="39"/>
        <v>0</v>
      </c>
      <c r="O158" s="13">
        <f>IF(N158=1,MONTH(AN158),)</f>
        <v>0</v>
      </c>
      <c r="P158" s="13">
        <f t="shared" si="40"/>
        <v>0</v>
      </c>
      <c r="Q158" s="13">
        <f t="shared" si="41"/>
        <v>1900</v>
      </c>
      <c r="S158" s="38" t="s">
        <v>255</v>
      </c>
      <c r="T158" s="11" t="s">
        <v>57</v>
      </c>
      <c r="U158" s="11" t="s">
        <v>26</v>
      </c>
      <c r="V158" s="39" t="s">
        <v>38</v>
      </c>
      <c r="W158" s="39" t="s">
        <v>27</v>
      </c>
      <c r="X158" s="4" t="s">
        <v>256</v>
      </c>
      <c r="Y158" s="4" t="s">
        <v>29</v>
      </c>
      <c r="Z158" s="66">
        <v>43326</v>
      </c>
      <c r="AA158" s="67">
        <v>317000</v>
      </c>
      <c r="AD158" s="10"/>
      <c r="AF158" s="66">
        <v>43354</v>
      </c>
      <c r="AG158" s="67">
        <v>324800</v>
      </c>
      <c r="AH158" s="16">
        <f>AF158-Z158</f>
        <v>28</v>
      </c>
      <c r="AI158" s="16">
        <f>AG158-AA158</f>
        <v>7800</v>
      </c>
      <c r="AJ158" s="36">
        <f>AI158/AA158</f>
        <v>2.4605678233438486E-2</v>
      </c>
      <c r="AK158" s="66">
        <v>43376</v>
      </c>
      <c r="AL158" s="67">
        <v>324800</v>
      </c>
      <c r="AM158" s="6">
        <f>AK158-AF158</f>
        <v>22</v>
      </c>
      <c r="AN158" s="66"/>
      <c r="AT158" s="9"/>
      <c r="AU158" s="6" t="str">
        <f>IF(AND(AU$2&gt;$Z158,$Z158&gt;0,OR($AN158&gt;AU$2,ISBLANK($AN158))),AU$2-$Z158,"")</f>
        <v/>
      </c>
      <c r="AV158" s="6" t="str">
        <f>IF(AND(AV$2&gt;$Z158,$Z158&gt;0,OR($AN158&gt;AV$2,ISBLANK($AN158))),AV$2-$Z158,"")</f>
        <v/>
      </c>
      <c r="AW158" s="6" t="str">
        <f>IF(AND(AW$2&gt;$Z158,$Z158&gt;0,OR($AN158&gt;AW$2,ISBLANK($AN158))),AW$2-$Z158,"")</f>
        <v/>
      </c>
      <c r="AX158" s="6">
        <f>IF(AND(AX$2&gt;$Z158,$Z158&gt;0,OR($AN158&gt;AX$2,ISBLANK($AN158))),AX$2-$Z158,"")</f>
        <v>17</v>
      </c>
      <c r="AY158" s="6">
        <f>IF(AND(AY$2&gt;$Z158,$Z158&gt;0,OR($AN158&gt;AY$2,ISBLANK($AN158))),AY$2-$Z158,"")</f>
        <v>47</v>
      </c>
      <c r="AZ158" s="6">
        <f ca="1">IF(AND(AZ$2&gt;$Z158,$Z158&gt;0,OR($AN158&gt;AZ$2,ISBLANK($AN158))),AZ$2-$Z158,"")</f>
        <v>65.382289814813703</v>
      </c>
      <c r="BA158" s="6"/>
      <c r="BB158" s="6"/>
      <c r="BC158" s="6"/>
      <c r="BD158" s="6"/>
    </row>
    <row r="159" spans="2:56" x14ac:dyDescent="0.25">
      <c r="B159" s="13">
        <f t="shared" si="28"/>
        <v>1</v>
      </c>
      <c r="C159" s="13">
        <f t="shared" si="29"/>
        <v>9</v>
      </c>
      <c r="D159" s="13">
        <f t="shared" si="30"/>
        <v>3</v>
      </c>
      <c r="E159" s="13">
        <f t="shared" si="31"/>
        <v>2018</v>
      </c>
      <c r="F159" s="13">
        <f t="shared" si="32"/>
        <v>1</v>
      </c>
      <c r="G159" s="13">
        <f t="shared" si="33"/>
        <v>10</v>
      </c>
      <c r="H159" s="13">
        <f t="shared" si="34"/>
        <v>4</v>
      </c>
      <c r="I159" s="13">
        <f t="shared" si="35"/>
        <v>2018</v>
      </c>
      <c r="J159" s="13">
        <f t="shared" si="36"/>
        <v>0</v>
      </c>
      <c r="K159" s="13">
        <f>IF(J159=1,MONTH(AK159),)</f>
        <v>0</v>
      </c>
      <c r="L159" s="13">
        <f t="shared" si="37"/>
        <v>0</v>
      </c>
      <c r="M159" s="13">
        <f t="shared" si="38"/>
        <v>1900</v>
      </c>
      <c r="N159" s="13">
        <f t="shared" si="39"/>
        <v>0</v>
      </c>
      <c r="O159" s="13">
        <f>IF(N159=1,MONTH(AN159),)</f>
        <v>0</v>
      </c>
      <c r="P159" s="13">
        <f t="shared" si="40"/>
        <v>0</v>
      </c>
      <c r="Q159" s="13">
        <f t="shared" si="41"/>
        <v>1900</v>
      </c>
      <c r="S159" s="38" t="s">
        <v>257</v>
      </c>
      <c r="T159" s="11" t="s">
        <v>38</v>
      </c>
      <c r="U159" s="11" t="s">
        <v>26</v>
      </c>
      <c r="V159" s="39" t="s">
        <v>38</v>
      </c>
      <c r="W159" s="39" t="s">
        <v>27</v>
      </c>
      <c r="X159" s="4" t="s">
        <v>258</v>
      </c>
      <c r="Y159" s="4" t="s">
        <v>29</v>
      </c>
      <c r="Z159" s="66">
        <v>43357</v>
      </c>
      <c r="AA159" s="67">
        <v>255000</v>
      </c>
      <c r="AD159" s="10"/>
      <c r="AF159" s="66">
        <v>43385</v>
      </c>
      <c r="AG159" s="67">
        <v>255000</v>
      </c>
      <c r="AH159" s="16">
        <f>AF159-Z159</f>
        <v>28</v>
      </c>
      <c r="AI159" s="16">
        <f>AG159-AA159</f>
        <v>0</v>
      </c>
      <c r="AJ159" s="36">
        <f>AI159/AA159</f>
        <v>0</v>
      </c>
      <c r="AN159" s="66"/>
      <c r="AT159" s="9"/>
      <c r="AU159" s="6" t="str">
        <f>IF(AND(AU$2&gt;$Z159,$Z159&gt;0,OR($AN159&gt;AU$2,ISBLANK($AN159))),AU$2-$Z159,"")</f>
        <v/>
      </c>
      <c r="AV159" s="6" t="str">
        <f>IF(AND(AV$2&gt;$Z159,$Z159&gt;0,OR($AN159&gt;AV$2,ISBLANK($AN159))),AV$2-$Z159,"")</f>
        <v/>
      </c>
      <c r="AW159" s="6" t="str">
        <f>IF(AND(AW$2&gt;$Z159,$Z159&gt;0,OR($AN159&gt;AW$2,ISBLANK($AN159))),AW$2-$Z159,"")</f>
        <v/>
      </c>
      <c r="AX159" s="6" t="str">
        <f>IF(AND(AX$2&gt;$Z159,$Z159&gt;0,OR($AN159&gt;AX$2,ISBLANK($AN159))),AX$2-$Z159,"")</f>
        <v/>
      </c>
      <c r="AY159" s="6">
        <f>IF(AND(AY$2&gt;$Z159,$Z159&gt;0,OR($AN159&gt;AY$2,ISBLANK($AN159))),AY$2-$Z159,"")</f>
        <v>16</v>
      </c>
      <c r="AZ159" s="6">
        <f ca="1">IF(AND(AZ$2&gt;$Z159,$Z159&gt;0,OR($AN159&gt;AZ$2,ISBLANK($AN159))),AZ$2-$Z159,"")</f>
        <v>34.382289814813703</v>
      </c>
      <c r="BA159" s="6"/>
      <c r="BB159" s="6"/>
      <c r="BC159" s="6"/>
      <c r="BD159" s="6"/>
    </row>
    <row r="160" spans="2:56" x14ac:dyDescent="0.25">
      <c r="B160" s="13">
        <f t="shared" si="28"/>
        <v>1</v>
      </c>
      <c r="C160" s="13">
        <f t="shared" si="29"/>
        <v>8</v>
      </c>
      <c r="D160" s="13">
        <f t="shared" si="30"/>
        <v>3</v>
      </c>
      <c r="E160" s="13">
        <f t="shared" si="31"/>
        <v>2018</v>
      </c>
      <c r="F160" s="13">
        <f t="shared" si="32"/>
        <v>1</v>
      </c>
      <c r="G160" s="13">
        <f t="shared" si="33"/>
        <v>9</v>
      </c>
      <c r="H160" s="13">
        <f t="shared" si="34"/>
        <v>3</v>
      </c>
      <c r="I160" s="13">
        <f t="shared" si="35"/>
        <v>2018</v>
      </c>
      <c r="J160" s="13">
        <f t="shared" si="36"/>
        <v>1</v>
      </c>
      <c r="K160" s="13">
        <f>IF(J160=1,MONTH(AK160),)</f>
        <v>10</v>
      </c>
      <c r="L160" s="13">
        <f t="shared" si="37"/>
        <v>4</v>
      </c>
      <c r="M160" s="13">
        <f t="shared" si="38"/>
        <v>2018</v>
      </c>
      <c r="N160" s="13">
        <f t="shared" si="39"/>
        <v>0</v>
      </c>
      <c r="O160" s="13">
        <f>IF(N160=1,MONTH(AN160),)</f>
        <v>0</v>
      </c>
      <c r="P160" s="13">
        <f t="shared" si="40"/>
        <v>0</v>
      </c>
      <c r="Q160" s="13">
        <f t="shared" si="41"/>
        <v>1900</v>
      </c>
      <c r="S160" s="38" t="s">
        <v>259</v>
      </c>
      <c r="T160" s="11" t="s">
        <v>38</v>
      </c>
      <c r="U160" s="11" t="s">
        <v>26</v>
      </c>
      <c r="V160" s="39" t="s">
        <v>38</v>
      </c>
      <c r="W160" s="39" t="s">
        <v>27</v>
      </c>
      <c r="X160" s="4" t="s">
        <v>260</v>
      </c>
      <c r="Y160" s="4" t="s">
        <v>29</v>
      </c>
      <c r="Z160" s="66">
        <v>43342</v>
      </c>
      <c r="AA160" s="67">
        <v>417000</v>
      </c>
      <c r="AD160" s="10"/>
      <c r="AF160" s="66">
        <v>43362</v>
      </c>
      <c r="AG160" s="67">
        <v>436700</v>
      </c>
      <c r="AH160" s="16">
        <f>AF160-Z160</f>
        <v>20</v>
      </c>
      <c r="AI160" s="16">
        <f>AG160-AA160</f>
        <v>19700</v>
      </c>
      <c r="AJ160" s="36">
        <f>AI160/AA160</f>
        <v>4.7242206235011991E-2</v>
      </c>
      <c r="AK160" s="66">
        <v>43376</v>
      </c>
      <c r="AL160" s="67">
        <v>436700</v>
      </c>
      <c r="AM160" s="6">
        <f>AK160-AF160</f>
        <v>14</v>
      </c>
      <c r="AN160" s="66"/>
      <c r="AT160" s="9"/>
      <c r="AU160" s="6" t="str">
        <f>IF(AND(AU$2&gt;$Z160,$Z160&gt;0,OR($AN160&gt;AU$2,ISBLANK($AN160))),AU$2-$Z160,"")</f>
        <v/>
      </c>
      <c r="AV160" s="6" t="str">
        <f>IF(AND(AV$2&gt;$Z160,$Z160&gt;0,OR($AN160&gt;AV$2,ISBLANK($AN160))),AV$2-$Z160,"")</f>
        <v/>
      </c>
      <c r="AW160" s="6" t="str">
        <f>IF(AND(AW$2&gt;$Z160,$Z160&gt;0,OR($AN160&gt;AW$2,ISBLANK($AN160))),AW$2-$Z160,"")</f>
        <v/>
      </c>
      <c r="AX160" s="6">
        <f>IF(AND(AX$2&gt;$Z160,$Z160&gt;0,OR($AN160&gt;AX$2,ISBLANK($AN160))),AX$2-$Z160,"")</f>
        <v>1</v>
      </c>
      <c r="AY160" s="6">
        <f>IF(AND(AY$2&gt;$Z160,$Z160&gt;0,OR($AN160&gt;AY$2,ISBLANK($AN160))),AY$2-$Z160,"")</f>
        <v>31</v>
      </c>
      <c r="AZ160" s="6">
        <f ca="1">IF(AND(AZ$2&gt;$Z160,$Z160&gt;0,OR($AN160&gt;AZ$2,ISBLANK($AN160))),AZ$2-$Z160,"")</f>
        <v>49.382289814813703</v>
      </c>
      <c r="BA160" s="6"/>
      <c r="BB160" s="6"/>
      <c r="BC160" s="6"/>
      <c r="BD160" s="6"/>
    </row>
    <row r="161" spans="2:56" x14ac:dyDescent="0.25">
      <c r="B161" s="13">
        <f t="shared" si="28"/>
        <v>1</v>
      </c>
      <c r="C161" s="13">
        <f t="shared" si="29"/>
        <v>9</v>
      </c>
      <c r="D161" s="13">
        <f t="shared" si="30"/>
        <v>3</v>
      </c>
      <c r="E161" s="13">
        <f t="shared" si="31"/>
        <v>2018</v>
      </c>
      <c r="F161" s="13">
        <f t="shared" si="32"/>
        <v>1</v>
      </c>
      <c r="G161" s="13">
        <f t="shared" si="33"/>
        <v>10</v>
      </c>
      <c r="H161" s="13">
        <f t="shared" si="34"/>
        <v>4</v>
      </c>
      <c r="I161" s="13">
        <f t="shared" si="35"/>
        <v>2018</v>
      </c>
      <c r="J161" s="13">
        <f t="shared" si="36"/>
        <v>0</v>
      </c>
      <c r="K161" s="13">
        <f>IF(J161=1,MONTH(AK161),)</f>
        <v>0</v>
      </c>
      <c r="L161" s="13">
        <f t="shared" si="37"/>
        <v>0</v>
      </c>
      <c r="M161" s="13">
        <f t="shared" si="38"/>
        <v>1900</v>
      </c>
      <c r="N161" s="13">
        <f t="shared" si="39"/>
        <v>0</v>
      </c>
      <c r="O161" s="13">
        <f>IF(N161=1,MONTH(AN161),)</f>
        <v>0</v>
      </c>
      <c r="P161" s="13">
        <f t="shared" si="40"/>
        <v>0</v>
      </c>
      <c r="Q161" s="13">
        <f t="shared" si="41"/>
        <v>1900</v>
      </c>
      <c r="S161" s="38" t="s">
        <v>261</v>
      </c>
      <c r="T161" s="11" t="s">
        <v>38</v>
      </c>
      <c r="U161" s="11" t="s">
        <v>26</v>
      </c>
      <c r="V161" s="39" t="s">
        <v>38</v>
      </c>
      <c r="W161" s="39" t="s">
        <v>27</v>
      </c>
      <c r="X161" s="13" t="s">
        <v>262</v>
      </c>
      <c r="Y161" s="4" t="s">
        <v>29</v>
      </c>
      <c r="Z161" s="66">
        <v>43363</v>
      </c>
      <c r="AA161" s="67">
        <v>238000</v>
      </c>
      <c r="AD161" s="10"/>
      <c r="AF161" s="66">
        <v>43386</v>
      </c>
      <c r="AG161" s="67">
        <v>248900</v>
      </c>
      <c r="AH161" s="16">
        <f>AF161-Z161</f>
        <v>23</v>
      </c>
      <c r="AI161" s="16">
        <f>AG161-AA161</f>
        <v>10900</v>
      </c>
      <c r="AJ161" s="36">
        <f>AI161/AA161</f>
        <v>4.5798319327731089E-2</v>
      </c>
      <c r="AN161" s="66"/>
      <c r="AT161" s="9"/>
      <c r="AU161" s="6" t="str">
        <f>IF(AND(AU$2&gt;$Z161,$Z161&gt;0,OR($AN161&gt;AU$2,ISBLANK($AN161))),AU$2-$Z161,"")</f>
        <v/>
      </c>
      <c r="AV161" s="6" t="str">
        <f>IF(AND(AV$2&gt;$Z161,$Z161&gt;0,OR($AN161&gt;AV$2,ISBLANK($AN161))),AV$2-$Z161,"")</f>
        <v/>
      </c>
      <c r="AW161" s="6" t="str">
        <f>IF(AND(AW$2&gt;$Z161,$Z161&gt;0,OR($AN161&gt;AW$2,ISBLANK($AN161))),AW$2-$Z161,"")</f>
        <v/>
      </c>
      <c r="AX161" s="6" t="str">
        <f>IF(AND(AX$2&gt;$Z161,$Z161&gt;0,OR($AN161&gt;AX$2,ISBLANK($AN161))),AX$2-$Z161,"")</f>
        <v/>
      </c>
      <c r="AY161" s="6">
        <f>IF(AND(AY$2&gt;$Z161,$Z161&gt;0,OR($AN161&gt;AY$2,ISBLANK($AN161))),AY$2-$Z161,"")</f>
        <v>10</v>
      </c>
      <c r="AZ161" s="6">
        <f ca="1">IF(AND(AZ$2&gt;$Z161,$Z161&gt;0,OR($AN161&gt;AZ$2,ISBLANK($AN161))),AZ$2-$Z161,"")</f>
        <v>28.382289814813703</v>
      </c>
      <c r="BA161" s="6"/>
      <c r="BB161" s="6"/>
      <c r="BC161" s="6"/>
      <c r="BD161" s="6"/>
    </row>
    <row r="162" spans="2:56" x14ac:dyDescent="0.25">
      <c r="B162" s="13">
        <f t="shared" si="28"/>
        <v>1</v>
      </c>
      <c r="C162" s="13">
        <f t="shared" si="29"/>
        <v>7</v>
      </c>
      <c r="D162" s="13">
        <f t="shared" si="30"/>
        <v>3</v>
      </c>
      <c r="E162" s="13">
        <f t="shared" si="31"/>
        <v>2018</v>
      </c>
      <c r="F162" s="13">
        <f t="shared" si="32"/>
        <v>1</v>
      </c>
      <c r="G162" s="13">
        <f t="shared" si="33"/>
        <v>8</v>
      </c>
      <c r="H162" s="13">
        <f t="shared" si="34"/>
        <v>3</v>
      </c>
      <c r="I162" s="13">
        <f t="shared" si="35"/>
        <v>2018</v>
      </c>
      <c r="J162" s="13">
        <f t="shared" si="36"/>
        <v>1</v>
      </c>
      <c r="K162" s="13">
        <f>IF(J162=1,MONTH(AK162),)</f>
        <v>8</v>
      </c>
      <c r="L162" s="13">
        <f t="shared" si="37"/>
        <v>3</v>
      </c>
      <c r="M162" s="13">
        <f t="shared" si="38"/>
        <v>2018</v>
      </c>
      <c r="N162" s="13">
        <f t="shared" si="39"/>
        <v>1</v>
      </c>
      <c r="O162" s="13">
        <f>IF(N162=1,MONTH(AN162),)</f>
        <v>8</v>
      </c>
      <c r="P162" s="13">
        <f t="shared" si="40"/>
        <v>3</v>
      </c>
      <c r="Q162" s="13">
        <f t="shared" si="41"/>
        <v>2018</v>
      </c>
      <c r="S162" s="38" t="s">
        <v>488</v>
      </c>
      <c r="T162" s="11" t="s">
        <v>68</v>
      </c>
      <c r="U162" s="11" t="s">
        <v>26</v>
      </c>
      <c r="V162" s="39" t="s">
        <v>38</v>
      </c>
      <c r="W162" s="39" t="s">
        <v>27</v>
      </c>
      <c r="Y162" s="4" t="s">
        <v>29</v>
      </c>
      <c r="Z162" s="66">
        <v>43300</v>
      </c>
      <c r="AA162" s="67">
        <v>292000</v>
      </c>
      <c r="AD162" s="10"/>
      <c r="AF162" s="66">
        <v>43320</v>
      </c>
      <c r="AG162" s="67">
        <v>304000</v>
      </c>
      <c r="AH162" s="16">
        <f>AF162-Z162</f>
        <v>20</v>
      </c>
      <c r="AI162" s="16">
        <f>AG162-AA162</f>
        <v>12000</v>
      </c>
      <c r="AJ162" s="36">
        <f>AI162/AA162</f>
        <v>4.1095890410958902E-2</v>
      </c>
      <c r="AK162" s="66">
        <v>43325</v>
      </c>
      <c r="AL162" s="67">
        <v>304000</v>
      </c>
      <c r="AM162" s="6">
        <f>AK162-AF162</f>
        <v>5</v>
      </c>
      <c r="AN162" s="66">
        <v>43340</v>
      </c>
      <c r="AO162" s="67">
        <v>305000</v>
      </c>
      <c r="AP162" s="6">
        <f>AN162-AK162</f>
        <v>15</v>
      </c>
      <c r="AQ162" s="6">
        <f>AH162+AM162+AP162</f>
        <v>40</v>
      </c>
      <c r="AR162" s="6">
        <f>AO162-AA162</f>
        <v>13000</v>
      </c>
      <c r="AS162" s="8">
        <f>AR162/AA162</f>
        <v>4.4520547945205477E-2</v>
      </c>
      <c r="AT162" s="9"/>
      <c r="AU162" s="6" t="str">
        <f>IF(AND(AU$2&gt;$Z162,$Z162&gt;0,OR($AN162&gt;AU$2,ISBLANK($AN162))),AU$2-$Z162,"")</f>
        <v/>
      </c>
      <c r="AV162" s="6" t="str">
        <f>IF(AND(AV$2&gt;$Z162,$Z162&gt;0,OR($AN162&gt;AV$2,ISBLANK($AN162))),AV$2-$Z162,"")</f>
        <v/>
      </c>
      <c r="AW162" s="6">
        <f>IF(AND(AW$2&gt;$Z162,$Z162&gt;0,OR($AN162&gt;AW$2,ISBLANK($AN162))),AW$2-$Z162,"")</f>
        <v>12</v>
      </c>
      <c r="AX162" s="6" t="str">
        <f>IF(AND(AX$2&gt;$Z162,$Z162&gt;0,OR($AN162&gt;AX$2,ISBLANK($AN162))),AX$2-$Z162,"")</f>
        <v/>
      </c>
      <c r="AY162" s="6" t="str">
        <f>IF(AND(AY$2&gt;$Z162,$Z162&gt;0,OR($AN162&gt;AY$2,ISBLANK($AN162))),AY$2-$Z162,"")</f>
        <v/>
      </c>
      <c r="AZ162" s="6" t="str">
        <f ca="1">IF(AND(AZ$2&gt;$Z162,$Z162&gt;0,OR($AN162&gt;AZ$2,ISBLANK($AN162))),AZ$2-$Z162,"")</f>
        <v/>
      </c>
      <c r="BA162" s="6"/>
      <c r="BB162" s="6"/>
      <c r="BC162" s="6"/>
      <c r="BD162" s="6"/>
    </row>
    <row r="163" spans="2:56" x14ac:dyDescent="0.25">
      <c r="B163" s="13">
        <f t="shared" si="28"/>
        <v>1</v>
      </c>
      <c r="C163" s="13">
        <f t="shared" si="29"/>
        <v>10</v>
      </c>
      <c r="D163" s="13">
        <f t="shared" si="30"/>
        <v>4</v>
      </c>
      <c r="E163" s="13">
        <f t="shared" si="31"/>
        <v>2018</v>
      </c>
      <c r="F163" s="13">
        <f t="shared" si="32"/>
        <v>0</v>
      </c>
      <c r="G163" s="13">
        <f t="shared" si="33"/>
        <v>1</v>
      </c>
      <c r="H163" s="13">
        <f t="shared" si="34"/>
        <v>1</v>
      </c>
      <c r="I163" s="13">
        <f t="shared" si="35"/>
        <v>1900</v>
      </c>
      <c r="J163" s="13">
        <f t="shared" si="36"/>
        <v>0</v>
      </c>
      <c r="K163" s="13">
        <f>IF(J163=1,MONTH(AK163),)</f>
        <v>0</v>
      </c>
      <c r="L163" s="13">
        <f t="shared" si="37"/>
        <v>0</v>
      </c>
      <c r="M163" s="13">
        <f t="shared" si="38"/>
        <v>1900</v>
      </c>
      <c r="N163" s="13">
        <f t="shared" si="39"/>
        <v>0</v>
      </c>
      <c r="O163" s="13">
        <f>IF(N163=1,MONTH(AN163),)</f>
        <v>0</v>
      </c>
      <c r="P163" s="13">
        <f t="shared" si="40"/>
        <v>0</v>
      </c>
      <c r="Q163" s="13">
        <f t="shared" si="41"/>
        <v>1900</v>
      </c>
      <c r="S163" s="38" t="s">
        <v>553</v>
      </c>
      <c r="T163" s="11" t="s">
        <v>62</v>
      </c>
      <c r="U163" s="11" t="s">
        <v>26</v>
      </c>
      <c r="V163" s="39" t="s">
        <v>38</v>
      </c>
      <c r="W163" s="39" t="s">
        <v>27</v>
      </c>
      <c r="X163" s="13" t="s">
        <v>550</v>
      </c>
      <c r="Y163" s="13" t="s">
        <v>29</v>
      </c>
      <c r="Z163" s="66">
        <v>43382</v>
      </c>
      <c r="AA163" s="67">
        <v>402300</v>
      </c>
      <c r="AD163" s="10"/>
      <c r="AG163" s="67">
        <v>409900</v>
      </c>
      <c r="AH163" s="16"/>
      <c r="AI163" s="16">
        <f>AG163-AA163</f>
        <v>7600</v>
      </c>
      <c r="AJ163" s="36">
        <f>AI163/AA163</f>
        <v>1.8891374596072583E-2</v>
      </c>
      <c r="AN163" s="66"/>
      <c r="AT163" s="9"/>
      <c r="AU163" s="6" t="str">
        <f>IF(AND(AU$2&gt;$Z163,$Z163&gt;0,OR($AN163&gt;AU$2,ISBLANK($AN163))),AU$2-$Z163,"")</f>
        <v/>
      </c>
      <c r="AV163" s="6" t="str">
        <f>IF(AND(AV$2&gt;$Z163,$Z163&gt;0,OR($AN163&gt;AV$2,ISBLANK($AN163))),AV$2-$Z163,"")</f>
        <v/>
      </c>
      <c r="AW163" s="6" t="str">
        <f>IF(AND(AW$2&gt;$Z163,$Z163&gt;0,OR($AN163&gt;AW$2,ISBLANK($AN163))),AW$2-$Z163,"")</f>
        <v/>
      </c>
      <c r="AX163" s="6" t="str">
        <f>IF(AND(AX$2&gt;$Z163,$Z163&gt;0,OR($AN163&gt;AX$2,ISBLANK($AN163))),AX$2-$Z163,"")</f>
        <v/>
      </c>
      <c r="AY163" s="6" t="str">
        <f>IF(AND(AY$2&gt;$Z163,$Z163&gt;0,OR($AN163&gt;AY$2,ISBLANK($AN163))),AY$2-$Z163,"")</f>
        <v/>
      </c>
      <c r="AZ163" s="6">
        <f ca="1">IF(AND(AZ$2&gt;$Z163,$Z163&gt;0,OR($AN163&gt;AZ$2,ISBLANK($AN163))),AZ$2-$Z163,"")</f>
        <v>9.3822898148137028</v>
      </c>
      <c r="BA163" s="6"/>
      <c r="BB163" s="6"/>
      <c r="BC163" s="6"/>
      <c r="BD163" s="6"/>
    </row>
    <row r="164" spans="2:56" x14ac:dyDescent="0.25">
      <c r="B164" s="13">
        <f t="shared" si="28"/>
        <v>1</v>
      </c>
      <c r="C164" s="13">
        <f t="shared" si="29"/>
        <v>10</v>
      </c>
      <c r="D164" s="13">
        <f t="shared" si="30"/>
        <v>4</v>
      </c>
      <c r="E164" s="13">
        <f t="shared" si="31"/>
        <v>2018</v>
      </c>
      <c r="F164" s="13">
        <f t="shared" si="32"/>
        <v>0</v>
      </c>
      <c r="G164" s="13">
        <f t="shared" si="33"/>
        <v>1</v>
      </c>
      <c r="H164" s="13">
        <f t="shared" si="34"/>
        <v>1</v>
      </c>
      <c r="I164" s="13">
        <f t="shared" si="35"/>
        <v>1900</v>
      </c>
      <c r="J164" s="13">
        <f t="shared" si="36"/>
        <v>0</v>
      </c>
      <c r="K164" s="13">
        <f>IF(J164=1,MONTH(AK164),)</f>
        <v>0</v>
      </c>
      <c r="L164" s="13">
        <f t="shared" si="37"/>
        <v>0</v>
      </c>
      <c r="M164" s="13">
        <f t="shared" si="38"/>
        <v>1900</v>
      </c>
      <c r="N164" s="13">
        <f t="shared" si="39"/>
        <v>0</v>
      </c>
      <c r="O164" s="13">
        <f>IF(N164=1,MONTH(AN164),)</f>
        <v>0</v>
      </c>
      <c r="P164" s="13">
        <f t="shared" si="40"/>
        <v>0</v>
      </c>
      <c r="Q164" s="13">
        <f t="shared" si="41"/>
        <v>1900</v>
      </c>
      <c r="S164" s="38" t="s">
        <v>263</v>
      </c>
      <c r="T164" s="11" t="s">
        <v>57</v>
      </c>
      <c r="U164" s="11" t="s">
        <v>26</v>
      </c>
      <c r="V164" s="39" t="s">
        <v>38</v>
      </c>
      <c r="W164" s="39" t="s">
        <v>27</v>
      </c>
      <c r="X164" s="13"/>
      <c r="Y164" s="13"/>
      <c r="Z164" s="66">
        <v>43377</v>
      </c>
      <c r="AA164" s="67">
        <v>361000</v>
      </c>
      <c r="AD164" s="10"/>
      <c r="AG164" s="67">
        <v>366900</v>
      </c>
      <c r="AH164" s="16"/>
      <c r="AI164" s="16">
        <f>AG164-AA164</f>
        <v>5900</v>
      </c>
      <c r="AJ164" s="36">
        <f>AI164/AA164</f>
        <v>1.6343490304709142E-2</v>
      </c>
      <c r="AN164" s="66"/>
      <c r="AT164" s="9"/>
      <c r="AU164" s="6" t="str">
        <f>IF(AND(AU$2&gt;$Z164,$Z164&gt;0,OR($AN164&gt;AU$2,ISBLANK($AN164))),AU$2-$Z164,"")</f>
        <v/>
      </c>
      <c r="AV164" s="6" t="str">
        <f>IF(AND(AV$2&gt;$Z164,$Z164&gt;0,OR($AN164&gt;AV$2,ISBLANK($AN164))),AV$2-$Z164,"")</f>
        <v/>
      </c>
      <c r="AW164" s="6" t="str">
        <f>IF(AND(AW$2&gt;$Z164,$Z164&gt;0,OR($AN164&gt;AW$2,ISBLANK($AN164))),AW$2-$Z164,"")</f>
        <v/>
      </c>
      <c r="AX164" s="6" t="str">
        <f>IF(AND(AX$2&gt;$Z164,$Z164&gt;0,OR($AN164&gt;AX$2,ISBLANK($AN164))),AX$2-$Z164,"")</f>
        <v/>
      </c>
      <c r="AY164" s="6" t="str">
        <f>IF(AND(AY$2&gt;$Z164,$Z164&gt;0,OR($AN164&gt;AY$2,ISBLANK($AN164))),AY$2-$Z164,"")</f>
        <v/>
      </c>
      <c r="AZ164" s="6">
        <f ca="1">IF(AND(AZ$2&gt;$Z164,$Z164&gt;0,OR($AN164&gt;AZ$2,ISBLANK($AN164))),AZ$2-$Z164,"")</f>
        <v>14.382289814813703</v>
      </c>
      <c r="BA164" s="6"/>
      <c r="BB164" s="6"/>
      <c r="BC164" s="6"/>
      <c r="BD164" s="6"/>
    </row>
    <row r="165" spans="2:56" x14ac:dyDescent="0.25">
      <c r="B165" s="13">
        <f t="shared" si="28"/>
        <v>1</v>
      </c>
      <c r="C165" s="13">
        <f t="shared" si="29"/>
        <v>9</v>
      </c>
      <c r="D165" s="13">
        <f t="shared" si="30"/>
        <v>3</v>
      </c>
      <c r="E165" s="13">
        <f t="shared" si="31"/>
        <v>2018</v>
      </c>
      <c r="F165" s="13">
        <f t="shared" si="32"/>
        <v>1</v>
      </c>
      <c r="G165" s="13">
        <f t="shared" si="33"/>
        <v>10</v>
      </c>
      <c r="H165" s="13">
        <f t="shared" si="34"/>
        <v>4</v>
      </c>
      <c r="I165" s="13">
        <f t="shared" si="35"/>
        <v>2018</v>
      </c>
      <c r="J165" s="13">
        <f t="shared" si="36"/>
        <v>0</v>
      </c>
      <c r="K165" s="13">
        <f>IF(J165=1,MONTH(AK165),)</f>
        <v>0</v>
      </c>
      <c r="L165" s="13">
        <f t="shared" si="37"/>
        <v>0</v>
      </c>
      <c r="M165" s="13">
        <f t="shared" si="38"/>
        <v>1900</v>
      </c>
      <c r="N165" s="13">
        <f t="shared" si="39"/>
        <v>0</v>
      </c>
      <c r="O165" s="13">
        <f>IF(N165=1,MONTH(AN165),)</f>
        <v>0</v>
      </c>
      <c r="P165" s="13">
        <f t="shared" si="40"/>
        <v>0</v>
      </c>
      <c r="Q165" s="13">
        <f t="shared" si="41"/>
        <v>1900</v>
      </c>
      <c r="S165" s="38" t="s">
        <v>264</v>
      </c>
      <c r="T165" s="11" t="s">
        <v>57</v>
      </c>
      <c r="U165" s="11" t="s">
        <v>26</v>
      </c>
      <c r="V165" s="39" t="s">
        <v>38</v>
      </c>
      <c r="W165" s="39" t="s">
        <v>27</v>
      </c>
      <c r="X165" s="4" t="s">
        <v>265</v>
      </c>
      <c r="Y165" s="4" t="s">
        <v>29</v>
      </c>
      <c r="Z165" s="66">
        <v>43367</v>
      </c>
      <c r="AA165" s="67">
        <v>169000</v>
      </c>
      <c r="AD165" s="10"/>
      <c r="AF165" s="66">
        <v>43380</v>
      </c>
      <c r="AG165" s="67">
        <v>176800</v>
      </c>
      <c r="AH165" s="16">
        <f>AF165-Z165</f>
        <v>13</v>
      </c>
      <c r="AI165" s="16">
        <f>AG165-AA165</f>
        <v>7800</v>
      </c>
      <c r="AJ165" s="36">
        <f>AI165/AA165</f>
        <v>4.6153846153846156E-2</v>
      </c>
      <c r="AN165" s="66"/>
      <c r="AT165" s="9"/>
      <c r="AU165" s="6" t="str">
        <f>IF(AND(AU$2&gt;$Z165,$Z165&gt;0,OR($AN165&gt;AU$2,ISBLANK($AN165))),AU$2-$Z165,"")</f>
        <v/>
      </c>
      <c r="AV165" s="6" t="str">
        <f>IF(AND(AV$2&gt;$Z165,$Z165&gt;0,OR($AN165&gt;AV$2,ISBLANK($AN165))),AV$2-$Z165,"")</f>
        <v/>
      </c>
      <c r="AW165" s="6" t="str">
        <f>IF(AND(AW$2&gt;$Z165,$Z165&gt;0,OR($AN165&gt;AW$2,ISBLANK($AN165))),AW$2-$Z165,"")</f>
        <v/>
      </c>
      <c r="AX165" s="6" t="str">
        <f>IF(AND(AX$2&gt;$Z165,$Z165&gt;0,OR($AN165&gt;AX$2,ISBLANK($AN165))),AX$2-$Z165,"")</f>
        <v/>
      </c>
      <c r="AY165" s="6">
        <f>IF(AND(AY$2&gt;$Z165,$Z165&gt;0,OR($AN165&gt;AY$2,ISBLANK($AN165))),AY$2-$Z165,"")</f>
        <v>6</v>
      </c>
      <c r="AZ165" s="6">
        <f ca="1">IF(AND(AZ$2&gt;$Z165,$Z165&gt;0,OR($AN165&gt;AZ$2,ISBLANK($AN165))),AZ$2-$Z165,"")</f>
        <v>24.382289814813703</v>
      </c>
      <c r="BA165" s="6"/>
      <c r="BB165" s="6"/>
      <c r="BC165" s="6"/>
      <c r="BD165" s="6"/>
    </row>
    <row r="166" spans="2:56" x14ac:dyDescent="0.25">
      <c r="B166" s="13">
        <f t="shared" si="28"/>
        <v>1</v>
      </c>
      <c r="C166" s="13">
        <f t="shared" si="29"/>
        <v>7</v>
      </c>
      <c r="D166" s="13">
        <f t="shared" si="30"/>
        <v>3</v>
      </c>
      <c r="E166" s="13">
        <f t="shared" si="31"/>
        <v>2018</v>
      </c>
      <c r="F166" s="13">
        <f t="shared" si="32"/>
        <v>1</v>
      </c>
      <c r="G166" s="13">
        <f t="shared" si="33"/>
        <v>8</v>
      </c>
      <c r="H166" s="13">
        <f t="shared" si="34"/>
        <v>3</v>
      </c>
      <c r="I166" s="13">
        <f t="shared" si="35"/>
        <v>2018</v>
      </c>
      <c r="J166" s="13">
        <f t="shared" si="36"/>
        <v>0</v>
      </c>
      <c r="K166" s="13">
        <f>IF(J166=1,MONTH(AK166),)</f>
        <v>0</v>
      </c>
      <c r="L166" s="13">
        <f t="shared" si="37"/>
        <v>0</v>
      </c>
      <c r="M166" s="13">
        <f t="shared" si="38"/>
        <v>1900</v>
      </c>
      <c r="N166" s="13">
        <f t="shared" si="39"/>
        <v>0</v>
      </c>
      <c r="O166" s="13">
        <f>IF(N166=1,MONTH(AN166),)</f>
        <v>0</v>
      </c>
      <c r="P166" s="13">
        <f t="shared" si="40"/>
        <v>0</v>
      </c>
      <c r="Q166" s="13">
        <f t="shared" si="41"/>
        <v>1900</v>
      </c>
      <c r="S166" s="38" t="s">
        <v>266</v>
      </c>
      <c r="T166" s="11" t="s">
        <v>57</v>
      </c>
      <c r="U166" s="11" t="s">
        <v>26</v>
      </c>
      <c r="V166" s="39" t="s">
        <v>38</v>
      </c>
      <c r="W166" s="39" t="s">
        <v>27</v>
      </c>
      <c r="X166" s="4" t="s">
        <v>267</v>
      </c>
      <c r="Y166" s="4" t="s">
        <v>29</v>
      </c>
      <c r="Z166" s="66">
        <v>43299</v>
      </c>
      <c r="AA166" s="67">
        <v>191000</v>
      </c>
      <c r="AD166" s="10"/>
      <c r="AF166" s="66">
        <v>43316</v>
      </c>
      <c r="AG166" s="67">
        <v>203500</v>
      </c>
      <c r="AH166" s="16">
        <f>AF166-Z166</f>
        <v>17</v>
      </c>
      <c r="AI166" s="16">
        <f>AG166-AA166</f>
        <v>12500</v>
      </c>
      <c r="AJ166" s="36">
        <f>AI166/AA166</f>
        <v>6.5445026178010471E-2</v>
      </c>
      <c r="AN166" s="66"/>
      <c r="AT166" s="9"/>
      <c r="AU166" s="6" t="str">
        <f>IF(AND(AU$2&gt;$Z166,$Z166&gt;0,OR($AN166&gt;AU$2,ISBLANK($AN166))),AU$2-$Z166,"")</f>
        <v/>
      </c>
      <c r="AV166" s="6" t="str">
        <f>IF(AND(AV$2&gt;$Z166,$Z166&gt;0,OR($AN166&gt;AV$2,ISBLANK($AN166))),AV$2-$Z166,"")</f>
        <v/>
      </c>
      <c r="AW166" s="6">
        <f>IF(AND(AW$2&gt;$Z166,$Z166&gt;0,OR($AN166&gt;AW$2,ISBLANK($AN166))),AW$2-$Z166,"")</f>
        <v>13</v>
      </c>
      <c r="AX166" s="6">
        <f>IF(AND(AX$2&gt;$Z166,$Z166&gt;0,OR($AN166&gt;AX$2,ISBLANK($AN166))),AX$2-$Z166,"")</f>
        <v>44</v>
      </c>
      <c r="AY166" s="6">
        <f>IF(AND(AY$2&gt;$Z166,$Z166&gt;0,OR($AN166&gt;AY$2,ISBLANK($AN166))),AY$2-$Z166,"")</f>
        <v>74</v>
      </c>
      <c r="AZ166" s="6">
        <f ca="1">IF(AND(AZ$2&gt;$Z166,$Z166&gt;0,OR($AN166&gt;AZ$2,ISBLANK($AN166))),AZ$2-$Z166,"")</f>
        <v>92.382289814813703</v>
      </c>
      <c r="BA166" s="6"/>
      <c r="BB166" s="6"/>
      <c r="BC166" s="6"/>
      <c r="BD166" s="6"/>
    </row>
    <row r="167" spans="2:56" x14ac:dyDescent="0.25">
      <c r="B167" s="13">
        <f t="shared" si="28"/>
        <v>1</v>
      </c>
      <c r="C167" s="13">
        <f t="shared" si="29"/>
        <v>9</v>
      </c>
      <c r="D167" s="13">
        <f t="shared" si="30"/>
        <v>3</v>
      </c>
      <c r="E167" s="13">
        <f t="shared" si="31"/>
        <v>2018</v>
      </c>
      <c r="F167" s="13">
        <f t="shared" si="32"/>
        <v>0</v>
      </c>
      <c r="G167" s="13">
        <f t="shared" si="33"/>
        <v>1</v>
      </c>
      <c r="H167" s="13">
        <f t="shared" si="34"/>
        <v>1</v>
      </c>
      <c r="I167" s="13">
        <f t="shared" si="35"/>
        <v>1900</v>
      </c>
      <c r="J167" s="13">
        <f t="shared" si="36"/>
        <v>0</v>
      </c>
      <c r="K167" s="13">
        <f>IF(J167=1,MONTH(AK167),)</f>
        <v>0</v>
      </c>
      <c r="L167" s="13">
        <f t="shared" si="37"/>
        <v>0</v>
      </c>
      <c r="M167" s="13">
        <f t="shared" si="38"/>
        <v>1900</v>
      </c>
      <c r="N167" s="13">
        <f t="shared" si="39"/>
        <v>0</v>
      </c>
      <c r="O167" s="13">
        <f>IF(N167=1,MONTH(AN167),)</f>
        <v>0</v>
      </c>
      <c r="P167" s="13">
        <f t="shared" si="40"/>
        <v>0</v>
      </c>
      <c r="Q167" s="13">
        <f t="shared" si="41"/>
        <v>1900</v>
      </c>
      <c r="S167" s="38" t="s">
        <v>268</v>
      </c>
      <c r="T167" s="11" t="s">
        <v>62</v>
      </c>
      <c r="U167" s="11" t="s">
        <v>26</v>
      </c>
      <c r="V167" s="39" t="s">
        <v>38</v>
      </c>
      <c r="W167" s="39" t="s">
        <v>27</v>
      </c>
      <c r="X167" s="4" t="s">
        <v>269</v>
      </c>
      <c r="Y167" s="4" t="s">
        <v>29</v>
      </c>
      <c r="Z167" s="66">
        <v>43370</v>
      </c>
      <c r="AA167" s="67">
        <v>368000</v>
      </c>
      <c r="AD167" s="10"/>
      <c r="AG167" s="67">
        <v>377900</v>
      </c>
      <c r="AH167" s="16"/>
      <c r="AI167" s="16">
        <f>AG167-AA167</f>
        <v>9900</v>
      </c>
      <c r="AJ167" s="36">
        <f>AI167/AA167</f>
        <v>2.6902173913043479E-2</v>
      </c>
      <c r="AN167" s="66"/>
      <c r="AT167" s="9"/>
      <c r="AU167" s="6" t="str">
        <f>IF(AND(AU$2&gt;$Z167,$Z167&gt;0,OR($AN167&gt;AU$2,ISBLANK($AN167))),AU$2-$Z167,"")</f>
        <v/>
      </c>
      <c r="AV167" s="6" t="str">
        <f>IF(AND(AV$2&gt;$Z167,$Z167&gt;0,OR($AN167&gt;AV$2,ISBLANK($AN167))),AV$2-$Z167,"")</f>
        <v/>
      </c>
      <c r="AW167" s="6" t="str">
        <f>IF(AND(AW$2&gt;$Z167,$Z167&gt;0,OR($AN167&gt;AW$2,ISBLANK($AN167))),AW$2-$Z167,"")</f>
        <v/>
      </c>
      <c r="AX167" s="6" t="str">
        <f>IF(AND(AX$2&gt;$Z167,$Z167&gt;0,OR($AN167&gt;AX$2,ISBLANK($AN167))),AX$2-$Z167,"")</f>
        <v/>
      </c>
      <c r="AY167" s="6">
        <f>IF(AND(AY$2&gt;$Z167,$Z167&gt;0,OR($AN167&gt;AY$2,ISBLANK($AN167))),AY$2-$Z167,"")</f>
        <v>3</v>
      </c>
      <c r="AZ167" s="6">
        <f ca="1">IF(AND(AZ$2&gt;$Z167,$Z167&gt;0,OR($AN167&gt;AZ$2,ISBLANK($AN167))),AZ$2-$Z167,"")</f>
        <v>21.382289814813703</v>
      </c>
      <c r="BA167" s="6"/>
      <c r="BB167" s="6"/>
      <c r="BC167" s="6"/>
      <c r="BD167" s="6"/>
    </row>
    <row r="168" spans="2:56" x14ac:dyDescent="0.25">
      <c r="B168" s="13">
        <f t="shared" si="28"/>
        <v>1</v>
      </c>
      <c r="C168" s="13">
        <f t="shared" si="29"/>
        <v>7</v>
      </c>
      <c r="D168" s="13">
        <f t="shared" si="30"/>
        <v>3</v>
      </c>
      <c r="E168" s="13">
        <f t="shared" si="31"/>
        <v>2018</v>
      </c>
      <c r="F168" s="13">
        <f t="shared" si="32"/>
        <v>1</v>
      </c>
      <c r="G168" s="13">
        <f t="shared" si="33"/>
        <v>7</v>
      </c>
      <c r="H168" s="13">
        <f t="shared" si="34"/>
        <v>3</v>
      </c>
      <c r="I168" s="13">
        <f t="shared" si="35"/>
        <v>2018</v>
      </c>
      <c r="J168" s="13">
        <f t="shared" si="36"/>
        <v>1</v>
      </c>
      <c r="K168" s="13">
        <f>IF(J168=1,MONTH(AK168),)</f>
        <v>10</v>
      </c>
      <c r="L168" s="13">
        <f t="shared" si="37"/>
        <v>4</v>
      </c>
      <c r="M168" s="13">
        <f t="shared" si="38"/>
        <v>2018</v>
      </c>
      <c r="N168" s="13">
        <f t="shared" si="39"/>
        <v>0</v>
      </c>
      <c r="O168" s="13">
        <f>IF(N168=1,MONTH(AN168),)</f>
        <v>0</v>
      </c>
      <c r="P168" s="13">
        <f t="shared" si="40"/>
        <v>0</v>
      </c>
      <c r="Q168" s="13">
        <f t="shared" si="41"/>
        <v>1900</v>
      </c>
      <c r="S168" s="38" t="s">
        <v>270</v>
      </c>
      <c r="T168" s="11" t="s">
        <v>62</v>
      </c>
      <c r="U168" s="11" t="s">
        <v>26</v>
      </c>
      <c r="V168" s="39" t="s">
        <v>38</v>
      </c>
      <c r="W168" s="39" t="s">
        <v>27</v>
      </c>
      <c r="X168" s="4" t="s">
        <v>271</v>
      </c>
      <c r="Y168" s="4" t="s">
        <v>29</v>
      </c>
      <c r="Z168" s="66">
        <v>43284</v>
      </c>
      <c r="AA168" s="67">
        <v>260000</v>
      </c>
      <c r="AD168" s="10"/>
      <c r="AF168" s="66">
        <v>43301</v>
      </c>
      <c r="AG168" s="67">
        <v>264900</v>
      </c>
      <c r="AH168" s="16">
        <f>AF168-Z168</f>
        <v>17</v>
      </c>
      <c r="AI168" s="16">
        <f>AG168-AA168</f>
        <v>4900</v>
      </c>
      <c r="AJ168" s="36">
        <f>AI168/AA168</f>
        <v>1.8846153846153846E-2</v>
      </c>
      <c r="AK168" s="66">
        <v>43382</v>
      </c>
      <c r="AL168" s="67">
        <v>260900</v>
      </c>
      <c r="AM168" s="6">
        <f>AK168-AF168</f>
        <v>81</v>
      </c>
      <c r="AN168" s="66"/>
      <c r="AT168" s="9"/>
      <c r="AU168" s="6" t="str">
        <f>IF(AND(AU$2&gt;$Z168,$Z168&gt;0,OR($AN168&gt;AU$2,ISBLANK($AN168))),AU$2-$Z168,"")</f>
        <v/>
      </c>
      <c r="AV168" s="6" t="str">
        <f>IF(AND(AV$2&gt;$Z168,$Z168&gt;0,OR($AN168&gt;AV$2,ISBLANK($AN168))),AV$2-$Z168,"")</f>
        <v/>
      </c>
      <c r="AW168" s="6">
        <f>IF(AND(AW$2&gt;$Z168,$Z168&gt;0,OR($AN168&gt;AW$2,ISBLANK($AN168))),AW$2-$Z168,"")</f>
        <v>28</v>
      </c>
      <c r="AX168" s="6">
        <f>IF(AND(AX$2&gt;$Z168,$Z168&gt;0,OR($AN168&gt;AX$2,ISBLANK($AN168))),AX$2-$Z168,"")</f>
        <v>59</v>
      </c>
      <c r="AY168" s="6">
        <f>IF(AND(AY$2&gt;$Z168,$Z168&gt;0,OR($AN168&gt;AY$2,ISBLANK($AN168))),AY$2-$Z168,"")</f>
        <v>89</v>
      </c>
      <c r="AZ168" s="6">
        <f ca="1">IF(AND(AZ$2&gt;$Z168,$Z168&gt;0,OR($AN168&gt;AZ$2,ISBLANK($AN168))),AZ$2-$Z168,"")</f>
        <v>107.3822898148137</v>
      </c>
      <c r="BA168" s="6"/>
      <c r="BB168" s="6"/>
      <c r="BC168" s="6"/>
      <c r="BD168" s="6"/>
    </row>
    <row r="169" spans="2:56" x14ac:dyDescent="0.25">
      <c r="B169" s="13">
        <f t="shared" si="28"/>
        <v>1</v>
      </c>
      <c r="C169" s="13">
        <f t="shared" si="29"/>
        <v>7</v>
      </c>
      <c r="D169" s="13">
        <f t="shared" si="30"/>
        <v>3</v>
      </c>
      <c r="E169" s="13">
        <f t="shared" si="31"/>
        <v>2018</v>
      </c>
      <c r="F169" s="13">
        <f t="shared" si="32"/>
        <v>1</v>
      </c>
      <c r="G169" s="13">
        <f t="shared" si="33"/>
        <v>7</v>
      </c>
      <c r="H169" s="13">
        <f t="shared" si="34"/>
        <v>3</v>
      </c>
      <c r="I169" s="13">
        <f t="shared" si="35"/>
        <v>2018</v>
      </c>
      <c r="J169" s="13">
        <f t="shared" si="36"/>
        <v>1</v>
      </c>
      <c r="K169" s="13">
        <f>IF(J169=1,MONTH(AK169),)</f>
        <v>10</v>
      </c>
      <c r="L169" s="13">
        <f t="shared" si="37"/>
        <v>4</v>
      </c>
      <c r="M169" s="13">
        <f t="shared" si="38"/>
        <v>2018</v>
      </c>
      <c r="N169" s="13">
        <f t="shared" si="39"/>
        <v>0</v>
      </c>
      <c r="O169" s="13">
        <f>IF(N169=1,MONTH(AN169),)</f>
        <v>0</v>
      </c>
      <c r="P169" s="13">
        <f t="shared" si="40"/>
        <v>0</v>
      </c>
      <c r="Q169" s="13">
        <f t="shared" si="41"/>
        <v>1900</v>
      </c>
      <c r="S169" s="38" t="s">
        <v>272</v>
      </c>
      <c r="T169" s="11" t="s">
        <v>62</v>
      </c>
      <c r="U169" s="11" t="s">
        <v>26</v>
      </c>
      <c r="V169" s="39" t="s">
        <v>38</v>
      </c>
      <c r="W169" s="39" t="s">
        <v>27</v>
      </c>
      <c r="X169" s="4" t="s">
        <v>273</v>
      </c>
      <c r="Y169" s="4" t="s">
        <v>29</v>
      </c>
      <c r="Z169" s="66">
        <v>43290</v>
      </c>
      <c r="AA169" s="67">
        <v>315000</v>
      </c>
      <c r="AD169" s="10"/>
      <c r="AF169" s="66">
        <v>43303</v>
      </c>
      <c r="AG169" s="67">
        <v>320000</v>
      </c>
      <c r="AH169" s="16">
        <f>AF169-Z169</f>
        <v>13</v>
      </c>
      <c r="AI169" s="16">
        <f>AG169-AA169</f>
        <v>5000</v>
      </c>
      <c r="AJ169" s="36">
        <f>AI169/AA169</f>
        <v>1.5873015873015872E-2</v>
      </c>
      <c r="AK169" s="66">
        <v>43377</v>
      </c>
      <c r="AL169" s="67">
        <v>315000</v>
      </c>
      <c r="AM169" s="6">
        <f>AK169-AF169</f>
        <v>74</v>
      </c>
      <c r="AN169" s="66"/>
      <c r="AT169" s="9"/>
      <c r="AU169" s="6" t="str">
        <f>IF(AND(AU$2&gt;$Z169,$Z169&gt;0,OR($AN169&gt;AU$2,ISBLANK($AN169))),AU$2-$Z169,"")</f>
        <v/>
      </c>
      <c r="AV169" s="6" t="str">
        <f>IF(AND(AV$2&gt;$Z169,$Z169&gt;0,OR($AN169&gt;AV$2,ISBLANK($AN169))),AV$2-$Z169,"")</f>
        <v/>
      </c>
      <c r="AW169" s="6">
        <f>IF(AND(AW$2&gt;$Z169,$Z169&gt;0,OR($AN169&gt;AW$2,ISBLANK($AN169))),AW$2-$Z169,"")</f>
        <v>22</v>
      </c>
      <c r="AX169" s="6">
        <f>IF(AND(AX$2&gt;$Z169,$Z169&gt;0,OR($AN169&gt;AX$2,ISBLANK($AN169))),AX$2-$Z169,"")</f>
        <v>53</v>
      </c>
      <c r="AY169" s="6">
        <f>IF(AND(AY$2&gt;$Z169,$Z169&gt;0,OR($AN169&gt;AY$2,ISBLANK($AN169))),AY$2-$Z169,"")</f>
        <v>83</v>
      </c>
      <c r="AZ169" s="6">
        <f ca="1">IF(AND(AZ$2&gt;$Z169,$Z169&gt;0,OR($AN169&gt;AZ$2,ISBLANK($AN169))),AZ$2-$Z169,"")</f>
        <v>101.3822898148137</v>
      </c>
      <c r="BA169" s="6"/>
      <c r="BB169" s="6"/>
      <c r="BC169" s="6"/>
      <c r="BD169" s="6"/>
    </row>
    <row r="170" spans="2:56" x14ac:dyDescent="0.25">
      <c r="B170" s="13">
        <f t="shared" si="28"/>
        <v>1</v>
      </c>
      <c r="C170" s="13">
        <f t="shared" si="29"/>
        <v>6</v>
      </c>
      <c r="D170" s="13">
        <f t="shared" si="30"/>
        <v>2</v>
      </c>
      <c r="E170" s="13">
        <f t="shared" si="31"/>
        <v>2018</v>
      </c>
      <c r="F170" s="13">
        <f t="shared" si="32"/>
        <v>1</v>
      </c>
      <c r="G170" s="13">
        <f t="shared" si="33"/>
        <v>6</v>
      </c>
      <c r="H170" s="13">
        <f t="shared" si="34"/>
        <v>2</v>
      </c>
      <c r="I170" s="13">
        <f t="shared" si="35"/>
        <v>2018</v>
      </c>
      <c r="J170" s="13">
        <f t="shared" si="36"/>
        <v>1</v>
      </c>
      <c r="K170" s="13">
        <f>IF(J170=1,MONTH(AK170),)</f>
        <v>8</v>
      </c>
      <c r="L170" s="13">
        <f t="shared" si="37"/>
        <v>3</v>
      </c>
      <c r="M170" s="13">
        <f t="shared" si="38"/>
        <v>2018</v>
      </c>
      <c r="N170" s="13">
        <f t="shared" si="39"/>
        <v>1</v>
      </c>
      <c r="O170" s="13">
        <f>IF(N170=1,MONTH(AN170),)</f>
        <v>8</v>
      </c>
      <c r="P170" s="13">
        <f t="shared" si="40"/>
        <v>3</v>
      </c>
      <c r="Q170" s="13">
        <f t="shared" si="41"/>
        <v>2018</v>
      </c>
      <c r="S170" s="38" t="s">
        <v>413</v>
      </c>
      <c r="T170" s="11" t="s">
        <v>62</v>
      </c>
      <c r="U170" s="11" t="s">
        <v>26</v>
      </c>
      <c r="V170" s="39" t="s">
        <v>38</v>
      </c>
      <c r="W170" s="39" t="s">
        <v>27</v>
      </c>
      <c r="X170" s="4" t="s">
        <v>422</v>
      </c>
      <c r="Y170" s="4" t="s">
        <v>322</v>
      </c>
      <c r="Z170" s="66">
        <v>43276</v>
      </c>
      <c r="AA170" s="67">
        <v>465000</v>
      </c>
      <c r="AD170" s="10"/>
      <c r="AF170" s="66">
        <v>43281</v>
      </c>
      <c r="AG170" s="67">
        <v>469000</v>
      </c>
      <c r="AH170" s="16">
        <f>AF170-Z170</f>
        <v>5</v>
      </c>
      <c r="AI170" s="16">
        <f>AG170-AA170</f>
        <v>4000</v>
      </c>
      <c r="AJ170" s="36">
        <f>AI170/AA170</f>
        <v>8.6021505376344086E-3</v>
      </c>
      <c r="AK170" s="66">
        <v>43320</v>
      </c>
      <c r="AL170" s="67">
        <v>469000</v>
      </c>
      <c r="AM170" s="6">
        <f>AK170-AF170</f>
        <v>39</v>
      </c>
      <c r="AN170" s="66">
        <v>43320</v>
      </c>
      <c r="AO170" s="67">
        <v>469000</v>
      </c>
      <c r="AP170" s="6">
        <f>AN170-AK170</f>
        <v>0</v>
      </c>
      <c r="AQ170" s="6">
        <f>AH170+AM170+AP170</f>
        <v>44</v>
      </c>
      <c r="AR170" s="6">
        <f>AO170-AA170</f>
        <v>4000</v>
      </c>
      <c r="AS170" s="8">
        <f>AR170/AA170</f>
        <v>8.6021505376344086E-3</v>
      </c>
      <c r="AT170" s="9"/>
      <c r="AU170" s="6" t="str">
        <f>IF(AND(AU$2&gt;$Z170,$Z170&gt;0,OR($AN170&gt;AU$2,ISBLANK($AN170))),AU$2-$Z170,"")</f>
        <v/>
      </c>
      <c r="AV170" s="6">
        <f>IF(AND(AV$2&gt;$Z170,$Z170&gt;0,OR($AN170&gt;AV$2,ISBLANK($AN170))),AV$2-$Z170,"")</f>
        <v>5</v>
      </c>
      <c r="AW170" s="6">
        <f>IF(AND(AW$2&gt;$Z170,$Z170&gt;0,OR($AN170&gt;AW$2,ISBLANK($AN170))),AW$2-$Z170,"")</f>
        <v>36</v>
      </c>
      <c r="AX170" s="6" t="str">
        <f>IF(AND(AX$2&gt;$Z170,$Z170&gt;0,OR($AN170&gt;AX$2,ISBLANK($AN170))),AX$2-$Z170,"")</f>
        <v/>
      </c>
      <c r="AY170" s="6" t="str">
        <f>IF(AND(AY$2&gt;$Z170,$Z170&gt;0,OR($AN170&gt;AY$2,ISBLANK($AN170))),AY$2-$Z170,"")</f>
        <v/>
      </c>
      <c r="AZ170" s="6" t="str">
        <f ca="1">IF(AND(AZ$2&gt;$Z170,$Z170&gt;0,OR($AN170&gt;AZ$2,ISBLANK($AN170))),AZ$2-$Z170,"")</f>
        <v/>
      </c>
      <c r="BA170" s="6"/>
      <c r="BB170" s="6"/>
      <c r="BC170" s="6"/>
      <c r="BD170" s="6"/>
    </row>
    <row r="171" spans="2:56" x14ac:dyDescent="0.25">
      <c r="B171" s="13">
        <f t="shared" si="28"/>
        <v>1</v>
      </c>
      <c r="C171" s="13">
        <f t="shared" si="29"/>
        <v>10</v>
      </c>
      <c r="D171" s="13">
        <f t="shared" si="30"/>
        <v>4</v>
      </c>
      <c r="E171" s="13">
        <f t="shared" si="31"/>
        <v>2018</v>
      </c>
      <c r="F171" s="13">
        <f t="shared" si="32"/>
        <v>0</v>
      </c>
      <c r="G171" s="13">
        <f t="shared" si="33"/>
        <v>1</v>
      </c>
      <c r="H171" s="13">
        <f t="shared" si="34"/>
        <v>1</v>
      </c>
      <c r="I171" s="13">
        <f t="shared" si="35"/>
        <v>1900</v>
      </c>
      <c r="J171" s="13">
        <f t="shared" si="36"/>
        <v>0</v>
      </c>
      <c r="K171" s="13">
        <f>IF(J171=1,MONTH(AK171),)</f>
        <v>0</v>
      </c>
      <c r="L171" s="13">
        <f t="shared" si="37"/>
        <v>0</v>
      </c>
      <c r="M171" s="13">
        <f t="shared" si="38"/>
        <v>1900</v>
      </c>
      <c r="N171" s="13">
        <f t="shared" si="39"/>
        <v>0</v>
      </c>
      <c r="O171" s="13">
        <f>IF(N171=1,MONTH(AN171),)</f>
        <v>0</v>
      </c>
      <c r="P171" s="13">
        <f t="shared" si="40"/>
        <v>0</v>
      </c>
      <c r="Q171" s="13">
        <f t="shared" si="41"/>
        <v>1900</v>
      </c>
      <c r="S171" s="38" t="s">
        <v>274</v>
      </c>
      <c r="T171" s="11" t="s">
        <v>275</v>
      </c>
      <c r="U171" s="11" t="s">
        <v>26</v>
      </c>
      <c r="V171" s="39" t="s">
        <v>38</v>
      </c>
      <c r="W171" s="39" t="s">
        <v>27</v>
      </c>
      <c r="X171" s="13"/>
      <c r="Z171" s="66">
        <v>43378</v>
      </c>
      <c r="AA171" s="67">
        <v>210300</v>
      </c>
      <c r="AD171" s="10"/>
      <c r="AG171" s="67">
        <v>216300</v>
      </c>
      <c r="AH171" s="16"/>
      <c r="AI171" s="16">
        <f>AG171-AA171</f>
        <v>6000</v>
      </c>
      <c r="AJ171" s="36">
        <f>AI171/AA171</f>
        <v>2.8530670470756064E-2</v>
      </c>
      <c r="AN171" s="66"/>
      <c r="AT171" s="9"/>
      <c r="AU171" s="6" t="str">
        <f>IF(AND(AU$2&gt;$Z171,$Z171&gt;0,OR($AN171&gt;AU$2,ISBLANK($AN171))),AU$2-$Z171,"")</f>
        <v/>
      </c>
      <c r="AV171" s="6" t="str">
        <f>IF(AND(AV$2&gt;$Z171,$Z171&gt;0,OR($AN171&gt;AV$2,ISBLANK($AN171))),AV$2-$Z171,"")</f>
        <v/>
      </c>
      <c r="AW171" s="6" t="str">
        <f>IF(AND(AW$2&gt;$Z171,$Z171&gt;0,OR($AN171&gt;AW$2,ISBLANK($AN171))),AW$2-$Z171,"")</f>
        <v/>
      </c>
      <c r="AX171" s="6" t="str">
        <f>IF(AND(AX$2&gt;$Z171,$Z171&gt;0,OR($AN171&gt;AX$2,ISBLANK($AN171))),AX$2-$Z171,"")</f>
        <v/>
      </c>
      <c r="AY171" s="6" t="str">
        <f>IF(AND(AY$2&gt;$Z171,$Z171&gt;0,OR($AN171&gt;AY$2,ISBLANK($AN171))),AY$2-$Z171,"")</f>
        <v/>
      </c>
      <c r="AZ171" s="6">
        <f ca="1">IF(AND(AZ$2&gt;$Z171,$Z171&gt;0,OR($AN171&gt;AZ$2,ISBLANK($AN171))),AZ$2-$Z171,"")</f>
        <v>13.382289814813703</v>
      </c>
      <c r="BA171" s="6"/>
      <c r="BB171" s="6"/>
      <c r="BC171" s="6"/>
      <c r="BD171" s="6"/>
    </row>
    <row r="172" spans="2:56" x14ac:dyDescent="0.25">
      <c r="B172" s="13">
        <f t="shared" si="28"/>
        <v>1</v>
      </c>
      <c r="C172" s="13">
        <f t="shared" si="29"/>
        <v>10</v>
      </c>
      <c r="D172" s="13">
        <f t="shared" si="30"/>
        <v>4</v>
      </c>
      <c r="E172" s="13">
        <f t="shared" si="31"/>
        <v>2018</v>
      </c>
      <c r="F172" s="13">
        <f t="shared" si="32"/>
        <v>0</v>
      </c>
      <c r="G172" s="13">
        <f t="shared" si="33"/>
        <v>1</v>
      </c>
      <c r="H172" s="13">
        <f t="shared" si="34"/>
        <v>1</v>
      </c>
      <c r="I172" s="13">
        <f t="shared" si="35"/>
        <v>1900</v>
      </c>
      <c r="J172" s="13">
        <f t="shared" si="36"/>
        <v>0</v>
      </c>
      <c r="K172" s="13">
        <f>IF(J172=1,MONTH(AK172),)</f>
        <v>0</v>
      </c>
      <c r="L172" s="13">
        <f t="shared" si="37"/>
        <v>0</v>
      </c>
      <c r="M172" s="13">
        <f t="shared" si="38"/>
        <v>1900</v>
      </c>
      <c r="N172" s="13">
        <f t="shared" si="39"/>
        <v>0</v>
      </c>
      <c r="O172" s="13">
        <f>IF(N172=1,MONTH(AN172),)</f>
        <v>0</v>
      </c>
      <c r="P172" s="13">
        <f t="shared" si="40"/>
        <v>0</v>
      </c>
      <c r="Q172" s="13">
        <f t="shared" si="41"/>
        <v>1900</v>
      </c>
      <c r="S172" s="38" t="s">
        <v>570</v>
      </c>
      <c r="T172" s="11" t="s">
        <v>62</v>
      </c>
      <c r="U172" s="11" t="s">
        <v>26</v>
      </c>
      <c r="V172" s="39" t="s">
        <v>38</v>
      </c>
      <c r="W172" s="39" t="s">
        <v>27</v>
      </c>
      <c r="X172" s="13"/>
      <c r="Y172" s="13"/>
      <c r="Z172" s="66">
        <v>43385</v>
      </c>
      <c r="AA172" s="67">
        <v>485000</v>
      </c>
      <c r="AD172" s="10"/>
      <c r="AG172" s="67">
        <v>491900</v>
      </c>
      <c r="AH172" s="16"/>
      <c r="AI172" s="16">
        <f>AG172-AA172</f>
        <v>6900</v>
      </c>
      <c r="AJ172" s="36">
        <f>AI172/AA172</f>
        <v>1.4226804123711341E-2</v>
      </c>
      <c r="AN172" s="66"/>
      <c r="AT172" s="9"/>
      <c r="AU172" s="6" t="str">
        <f>IF(AND(AU$2&gt;$Z172,$Z172&gt;0,OR($AN172&gt;AU$2,ISBLANK($AN172))),AU$2-$Z172,"")</f>
        <v/>
      </c>
      <c r="AV172" s="6" t="str">
        <f>IF(AND(AV$2&gt;$Z172,$Z172&gt;0,OR($AN172&gt;AV$2,ISBLANK($AN172))),AV$2-$Z172,"")</f>
        <v/>
      </c>
      <c r="AW172" s="6" t="str">
        <f>IF(AND(AW$2&gt;$Z172,$Z172&gt;0,OR($AN172&gt;AW$2,ISBLANK($AN172))),AW$2-$Z172,"")</f>
        <v/>
      </c>
      <c r="AX172" s="6" t="str">
        <f>IF(AND(AX$2&gt;$Z172,$Z172&gt;0,OR($AN172&gt;AX$2,ISBLANK($AN172))),AX$2-$Z172,"")</f>
        <v/>
      </c>
      <c r="AY172" s="6" t="str">
        <f>IF(AND(AY$2&gt;$Z172,$Z172&gt;0,OR($AN172&gt;AY$2,ISBLANK($AN172))),AY$2-$Z172,"")</f>
        <v/>
      </c>
      <c r="AZ172" s="6">
        <f ca="1">IF(AND(AZ$2&gt;$Z172,$Z172&gt;0,OR($AN172&gt;AZ$2,ISBLANK($AN172))),AZ$2-$Z172,"")</f>
        <v>6.3822898148137028</v>
      </c>
      <c r="BA172" s="6"/>
      <c r="BB172" s="6"/>
      <c r="BC172" s="6"/>
      <c r="BD172" s="6"/>
    </row>
    <row r="173" spans="2:56" x14ac:dyDescent="0.25">
      <c r="B173" s="13">
        <f t="shared" si="28"/>
        <v>1</v>
      </c>
      <c r="C173" s="13">
        <f t="shared" si="29"/>
        <v>9</v>
      </c>
      <c r="D173" s="13">
        <f t="shared" si="30"/>
        <v>3</v>
      </c>
      <c r="E173" s="13">
        <f t="shared" si="31"/>
        <v>2018</v>
      </c>
      <c r="F173" s="13">
        <f t="shared" si="32"/>
        <v>1</v>
      </c>
      <c r="G173" s="13">
        <f t="shared" si="33"/>
        <v>10</v>
      </c>
      <c r="H173" s="13">
        <f t="shared" si="34"/>
        <v>4</v>
      </c>
      <c r="I173" s="13">
        <f t="shared" si="35"/>
        <v>2018</v>
      </c>
      <c r="J173" s="13">
        <f t="shared" si="36"/>
        <v>0</v>
      </c>
      <c r="K173" s="13">
        <f>IF(J173=1,MONTH(AK173),)</f>
        <v>0</v>
      </c>
      <c r="L173" s="13">
        <f t="shared" si="37"/>
        <v>0</v>
      </c>
      <c r="M173" s="13">
        <f t="shared" si="38"/>
        <v>1900</v>
      </c>
      <c r="N173" s="13">
        <f t="shared" si="39"/>
        <v>0</v>
      </c>
      <c r="O173" s="13">
        <f>IF(N173=1,MONTH(AN173),)</f>
        <v>0</v>
      </c>
      <c r="P173" s="13">
        <f t="shared" si="40"/>
        <v>0</v>
      </c>
      <c r="Q173" s="13">
        <f t="shared" si="41"/>
        <v>1900</v>
      </c>
      <c r="S173" s="38" t="s">
        <v>276</v>
      </c>
      <c r="T173" s="11" t="s">
        <v>40</v>
      </c>
      <c r="U173" s="11" t="s">
        <v>26</v>
      </c>
      <c r="V173" s="39" t="s">
        <v>38</v>
      </c>
      <c r="W173" s="39" t="s">
        <v>27</v>
      </c>
      <c r="X173" s="4" t="s">
        <v>277</v>
      </c>
      <c r="Y173" s="4" t="s">
        <v>29</v>
      </c>
      <c r="Z173" s="66">
        <v>43371</v>
      </c>
      <c r="AA173" s="67">
        <v>344300</v>
      </c>
      <c r="AD173" s="10"/>
      <c r="AF173" s="66">
        <v>43384</v>
      </c>
      <c r="AG173" s="67">
        <v>360500</v>
      </c>
      <c r="AH173" s="16">
        <f>AF173-Z173</f>
        <v>13</v>
      </c>
      <c r="AI173" s="16">
        <f>AG173-AA173</f>
        <v>16200</v>
      </c>
      <c r="AJ173" s="36">
        <f>AI173/AA173</f>
        <v>4.7051989544002325E-2</v>
      </c>
      <c r="AN173" s="66"/>
      <c r="AT173" s="9"/>
      <c r="AU173" s="6" t="str">
        <f>IF(AND(AU$2&gt;$Z173,$Z173&gt;0,OR($AN173&gt;AU$2,ISBLANK($AN173))),AU$2-$Z173,"")</f>
        <v/>
      </c>
      <c r="AV173" s="6" t="str">
        <f>IF(AND(AV$2&gt;$Z173,$Z173&gt;0,OR($AN173&gt;AV$2,ISBLANK($AN173))),AV$2-$Z173,"")</f>
        <v/>
      </c>
      <c r="AW173" s="6" t="str">
        <f>IF(AND(AW$2&gt;$Z173,$Z173&gt;0,OR($AN173&gt;AW$2,ISBLANK($AN173))),AW$2-$Z173,"")</f>
        <v/>
      </c>
      <c r="AX173" s="6" t="str">
        <f>IF(AND(AX$2&gt;$Z173,$Z173&gt;0,OR($AN173&gt;AX$2,ISBLANK($AN173))),AX$2-$Z173,"")</f>
        <v/>
      </c>
      <c r="AY173" s="6">
        <f>IF(AND(AY$2&gt;$Z173,$Z173&gt;0,OR($AN173&gt;AY$2,ISBLANK($AN173))),AY$2-$Z173,"")</f>
        <v>2</v>
      </c>
      <c r="AZ173" s="6">
        <f ca="1">IF(AND(AZ$2&gt;$Z173,$Z173&gt;0,OR($AN173&gt;AZ$2,ISBLANK($AN173))),AZ$2-$Z173,"")</f>
        <v>20.382289814813703</v>
      </c>
      <c r="BA173" s="6"/>
      <c r="BB173" s="6"/>
      <c r="BC173" s="6"/>
      <c r="BD173" s="6"/>
    </row>
    <row r="174" spans="2:56" x14ac:dyDescent="0.25">
      <c r="B174" s="13">
        <f t="shared" si="28"/>
        <v>1</v>
      </c>
      <c r="C174" s="13">
        <f t="shared" si="29"/>
        <v>9</v>
      </c>
      <c r="D174" s="13">
        <f t="shared" si="30"/>
        <v>3</v>
      </c>
      <c r="E174" s="13">
        <f t="shared" si="31"/>
        <v>2018</v>
      </c>
      <c r="F174" s="13">
        <f t="shared" si="32"/>
        <v>1</v>
      </c>
      <c r="G174" s="13">
        <f t="shared" si="33"/>
        <v>9</v>
      </c>
      <c r="H174" s="13">
        <f t="shared" si="34"/>
        <v>3</v>
      </c>
      <c r="I174" s="13">
        <f t="shared" si="35"/>
        <v>2018</v>
      </c>
      <c r="J174" s="13">
        <f t="shared" si="36"/>
        <v>0</v>
      </c>
      <c r="K174" s="13">
        <f>IF(J174=1,MONTH(AK174),)</f>
        <v>0</v>
      </c>
      <c r="L174" s="13">
        <f t="shared" si="37"/>
        <v>0</v>
      </c>
      <c r="M174" s="13">
        <f t="shared" si="38"/>
        <v>1900</v>
      </c>
      <c r="N174" s="13">
        <f t="shared" si="39"/>
        <v>0</v>
      </c>
      <c r="O174" s="13">
        <f>IF(N174=1,MONTH(AN174),)</f>
        <v>0</v>
      </c>
      <c r="P174" s="13">
        <f t="shared" si="40"/>
        <v>0</v>
      </c>
      <c r="Q174" s="13">
        <f t="shared" si="41"/>
        <v>1900</v>
      </c>
      <c r="S174" s="38" t="s">
        <v>278</v>
      </c>
      <c r="T174" s="11" t="s">
        <v>57</v>
      </c>
      <c r="U174" s="11" t="s">
        <v>26</v>
      </c>
      <c r="V174" s="39" t="s">
        <v>38</v>
      </c>
      <c r="W174" s="39" t="s">
        <v>27</v>
      </c>
      <c r="X174" s="4" t="s">
        <v>279</v>
      </c>
      <c r="Y174" s="4" t="s">
        <v>29</v>
      </c>
      <c r="Z174" s="66">
        <v>43350</v>
      </c>
      <c r="AA174" s="67">
        <v>250000</v>
      </c>
      <c r="AD174" s="10"/>
      <c r="AF174" s="66">
        <v>43369</v>
      </c>
      <c r="AG174" s="67">
        <v>262000</v>
      </c>
      <c r="AH174" s="16">
        <f>AF174-Z174</f>
        <v>19</v>
      </c>
      <c r="AI174" s="16">
        <f>AG174-AA174</f>
        <v>12000</v>
      </c>
      <c r="AJ174" s="36">
        <f>AI174/AA174</f>
        <v>4.8000000000000001E-2</v>
      </c>
      <c r="AN174" s="66"/>
      <c r="AT174" s="9"/>
      <c r="AU174" s="6" t="str">
        <f>IF(AND(AU$2&gt;$Z174,$Z174&gt;0,OR($AN174&gt;AU$2,ISBLANK($AN174))),AU$2-$Z174,"")</f>
        <v/>
      </c>
      <c r="AV174" s="6" t="str">
        <f>IF(AND(AV$2&gt;$Z174,$Z174&gt;0,OR($AN174&gt;AV$2,ISBLANK($AN174))),AV$2-$Z174,"")</f>
        <v/>
      </c>
      <c r="AW174" s="6" t="str">
        <f>IF(AND(AW$2&gt;$Z174,$Z174&gt;0,OR($AN174&gt;AW$2,ISBLANK($AN174))),AW$2-$Z174,"")</f>
        <v/>
      </c>
      <c r="AX174" s="6" t="str">
        <f>IF(AND(AX$2&gt;$Z174,$Z174&gt;0,OR($AN174&gt;AX$2,ISBLANK($AN174))),AX$2-$Z174,"")</f>
        <v/>
      </c>
      <c r="AY174" s="6">
        <f>IF(AND(AY$2&gt;$Z174,$Z174&gt;0,OR($AN174&gt;AY$2,ISBLANK($AN174))),AY$2-$Z174,"")</f>
        <v>23</v>
      </c>
      <c r="AZ174" s="6">
        <f ca="1">IF(AND(AZ$2&gt;$Z174,$Z174&gt;0,OR($AN174&gt;AZ$2,ISBLANK($AN174))),AZ$2-$Z174,"")</f>
        <v>41.382289814813703</v>
      </c>
      <c r="BA174" s="6"/>
      <c r="BB174" s="6"/>
      <c r="BC174" s="6"/>
      <c r="BD174" s="6"/>
    </row>
    <row r="175" spans="2:56" x14ac:dyDescent="0.25">
      <c r="B175" s="13">
        <f t="shared" si="28"/>
        <v>1</v>
      </c>
      <c r="C175" s="13">
        <f t="shared" si="29"/>
        <v>6</v>
      </c>
      <c r="D175" s="13">
        <f t="shared" si="30"/>
        <v>2</v>
      </c>
      <c r="E175" s="13">
        <f t="shared" si="31"/>
        <v>2018</v>
      </c>
      <c r="F175" s="13">
        <f t="shared" si="32"/>
        <v>1</v>
      </c>
      <c r="G175" s="13">
        <f t="shared" si="33"/>
        <v>6</v>
      </c>
      <c r="H175" s="13">
        <f t="shared" si="34"/>
        <v>2</v>
      </c>
      <c r="I175" s="13">
        <f t="shared" si="35"/>
        <v>2018</v>
      </c>
      <c r="J175" s="13">
        <f t="shared" si="36"/>
        <v>1</v>
      </c>
      <c r="K175" s="13">
        <f>IF(J175=1,MONTH(AK175),)</f>
        <v>6</v>
      </c>
      <c r="L175" s="13">
        <f t="shared" si="37"/>
        <v>2</v>
      </c>
      <c r="M175" s="13">
        <f t="shared" si="38"/>
        <v>2018</v>
      </c>
      <c r="N175" s="13">
        <f t="shared" si="39"/>
        <v>1</v>
      </c>
      <c r="O175" s="13">
        <f>IF(N175=1,MONTH(AN175),)</f>
        <v>7</v>
      </c>
      <c r="P175" s="13">
        <f t="shared" si="40"/>
        <v>3</v>
      </c>
      <c r="Q175" s="13">
        <f t="shared" si="41"/>
        <v>2018</v>
      </c>
      <c r="S175" s="38" t="s">
        <v>489</v>
      </c>
      <c r="T175" s="11" t="s">
        <v>57</v>
      </c>
      <c r="U175" s="11" t="s">
        <v>26</v>
      </c>
      <c r="V175" s="39" t="s">
        <v>38</v>
      </c>
      <c r="W175" s="39" t="s">
        <v>27</v>
      </c>
      <c r="Y175" s="4" t="s">
        <v>322</v>
      </c>
      <c r="Z175" s="66">
        <v>43255</v>
      </c>
      <c r="AA175" s="67">
        <v>180000</v>
      </c>
      <c r="AD175" s="10"/>
      <c r="AF175" s="66">
        <v>43265</v>
      </c>
      <c r="AG175" s="67">
        <v>195000</v>
      </c>
      <c r="AH175" s="16">
        <f>AF175-Z175</f>
        <v>10</v>
      </c>
      <c r="AI175" s="16">
        <f>AG175-AA175</f>
        <v>15000</v>
      </c>
      <c r="AJ175" s="36">
        <f>AI175/AA175</f>
        <v>8.3333333333333329E-2</v>
      </c>
      <c r="AK175" s="66">
        <v>43277</v>
      </c>
      <c r="AL175" s="67">
        <v>195000</v>
      </c>
      <c r="AM175" s="6">
        <f>AK175-AF175</f>
        <v>12</v>
      </c>
      <c r="AN175" s="66">
        <v>43294</v>
      </c>
      <c r="AO175" s="67">
        <v>188000</v>
      </c>
      <c r="AP175" s="6">
        <f>AN175-AK175</f>
        <v>17</v>
      </c>
      <c r="AQ175" s="6">
        <f>AH175+AM175+AP175</f>
        <v>39</v>
      </c>
      <c r="AR175" s="6">
        <f>AO175-AA175</f>
        <v>8000</v>
      </c>
      <c r="AS175" s="8">
        <f>AR175/AA175</f>
        <v>4.4444444444444446E-2</v>
      </c>
      <c r="AT175" s="9"/>
      <c r="AU175" s="6" t="str">
        <f>IF(AND(AU$2&gt;$Z175,$Z175&gt;0,OR($AN175&gt;AU$2,ISBLANK($AN175))),AU$2-$Z175,"")</f>
        <v/>
      </c>
      <c r="AV175" s="6">
        <f>IF(AND(AV$2&gt;$Z175,$Z175&gt;0,OR($AN175&gt;AV$2,ISBLANK($AN175))),AV$2-$Z175,"")</f>
        <v>26</v>
      </c>
      <c r="AW175" s="6" t="str">
        <f>IF(AND(AW$2&gt;$Z175,$Z175&gt;0,OR($AN175&gt;AW$2,ISBLANK($AN175))),AW$2-$Z175,"")</f>
        <v/>
      </c>
      <c r="AX175" s="6" t="str">
        <f>IF(AND(AX$2&gt;$Z175,$Z175&gt;0,OR($AN175&gt;AX$2,ISBLANK($AN175))),AX$2-$Z175,"")</f>
        <v/>
      </c>
      <c r="AY175" s="6" t="str">
        <f>IF(AND(AY$2&gt;$Z175,$Z175&gt;0,OR($AN175&gt;AY$2,ISBLANK($AN175))),AY$2-$Z175,"")</f>
        <v/>
      </c>
      <c r="AZ175" s="6" t="str">
        <f ca="1">IF(AND(AZ$2&gt;$Z175,$Z175&gt;0,OR($AN175&gt;AZ$2,ISBLANK($AN175))),AZ$2-$Z175,"")</f>
        <v/>
      </c>
      <c r="BA175" s="6"/>
      <c r="BB175" s="6"/>
      <c r="BC175" s="6"/>
      <c r="BD175" s="6"/>
    </row>
    <row r="176" spans="2:56" x14ac:dyDescent="0.25">
      <c r="B176" s="13">
        <f t="shared" si="28"/>
        <v>1</v>
      </c>
      <c r="C176" s="13">
        <f t="shared" si="29"/>
        <v>10</v>
      </c>
      <c r="D176" s="13">
        <f t="shared" si="30"/>
        <v>4</v>
      </c>
      <c r="E176" s="13">
        <f t="shared" si="31"/>
        <v>2018</v>
      </c>
      <c r="F176" s="13">
        <f t="shared" si="32"/>
        <v>0</v>
      </c>
      <c r="G176" s="13">
        <f t="shared" si="33"/>
        <v>1</v>
      </c>
      <c r="H176" s="13">
        <f t="shared" si="34"/>
        <v>1</v>
      </c>
      <c r="I176" s="13">
        <f t="shared" si="35"/>
        <v>1900</v>
      </c>
      <c r="J176" s="13">
        <f t="shared" si="36"/>
        <v>0</v>
      </c>
      <c r="K176" s="13">
        <f>IF(J176=1,MONTH(AK176),)</f>
        <v>0</v>
      </c>
      <c r="L176" s="13">
        <f t="shared" si="37"/>
        <v>0</v>
      </c>
      <c r="M176" s="13">
        <f t="shared" si="38"/>
        <v>1900</v>
      </c>
      <c r="N176" s="13">
        <f t="shared" si="39"/>
        <v>0</v>
      </c>
      <c r="O176" s="13">
        <f>IF(N176=1,MONTH(AN176),)</f>
        <v>0</v>
      </c>
      <c r="P176" s="13">
        <f t="shared" si="40"/>
        <v>0</v>
      </c>
      <c r="Q176" s="13">
        <f t="shared" si="41"/>
        <v>1900</v>
      </c>
      <c r="S176" s="38" t="s">
        <v>504</v>
      </c>
      <c r="T176" s="11" t="s">
        <v>38</v>
      </c>
      <c r="U176" s="11" t="s">
        <v>26</v>
      </c>
      <c r="V176" s="39" t="s">
        <v>38</v>
      </c>
      <c r="W176" s="39" t="s">
        <v>27</v>
      </c>
      <c r="X176" s="13"/>
      <c r="Y176" s="13"/>
      <c r="Z176" s="66">
        <v>43381</v>
      </c>
      <c r="AA176" s="67">
        <v>186000</v>
      </c>
      <c r="AD176" s="10"/>
      <c r="AG176" s="67">
        <v>197700</v>
      </c>
      <c r="AH176" s="16"/>
      <c r="AI176" s="16">
        <f>AG176-AA176</f>
        <v>11700</v>
      </c>
      <c r="AJ176" s="36">
        <f>AI176/AA176</f>
        <v>6.2903225806451607E-2</v>
      </c>
      <c r="AN176" s="66"/>
      <c r="AT176" s="9"/>
      <c r="AU176" s="6" t="str">
        <f>IF(AND(AU$2&gt;$Z176,$Z176&gt;0,OR($AN176&gt;AU$2,ISBLANK($AN176))),AU$2-$Z176,"")</f>
        <v/>
      </c>
      <c r="AV176" s="6" t="str">
        <f>IF(AND(AV$2&gt;$Z176,$Z176&gt;0,OR($AN176&gt;AV$2,ISBLANK($AN176))),AV$2-$Z176,"")</f>
        <v/>
      </c>
      <c r="AW176" s="6" t="str">
        <f>IF(AND(AW$2&gt;$Z176,$Z176&gt;0,OR($AN176&gt;AW$2,ISBLANK($AN176))),AW$2-$Z176,"")</f>
        <v/>
      </c>
      <c r="AX176" s="6" t="str">
        <f>IF(AND(AX$2&gt;$Z176,$Z176&gt;0,OR($AN176&gt;AX$2,ISBLANK($AN176))),AX$2-$Z176,"")</f>
        <v/>
      </c>
      <c r="AY176" s="6" t="str">
        <f>IF(AND(AY$2&gt;$Z176,$Z176&gt;0,OR($AN176&gt;AY$2,ISBLANK($AN176))),AY$2-$Z176,"")</f>
        <v/>
      </c>
      <c r="AZ176" s="6">
        <f ca="1">IF(AND(AZ$2&gt;$Z176,$Z176&gt;0,OR($AN176&gt;AZ$2,ISBLANK($AN176))),AZ$2-$Z176,"")</f>
        <v>10.382289814813703</v>
      </c>
      <c r="BA176" s="6"/>
      <c r="BB176" s="6"/>
      <c r="BC176" s="6"/>
      <c r="BD176" s="6"/>
    </row>
    <row r="177" spans="2:56" x14ac:dyDescent="0.25">
      <c r="B177" s="13">
        <f t="shared" si="28"/>
        <v>1</v>
      </c>
      <c r="C177" s="13">
        <f t="shared" si="29"/>
        <v>5</v>
      </c>
      <c r="D177" s="13">
        <f t="shared" si="30"/>
        <v>2</v>
      </c>
      <c r="E177" s="13">
        <f t="shared" si="31"/>
        <v>2018</v>
      </c>
      <c r="F177" s="13">
        <f t="shared" si="32"/>
        <v>1</v>
      </c>
      <c r="G177" s="13">
        <f t="shared" si="33"/>
        <v>5</v>
      </c>
      <c r="H177" s="13">
        <f t="shared" si="34"/>
        <v>2</v>
      </c>
      <c r="I177" s="13">
        <f t="shared" si="35"/>
        <v>2018</v>
      </c>
      <c r="J177" s="13">
        <f t="shared" si="36"/>
        <v>1</v>
      </c>
      <c r="K177" s="13">
        <f>IF(J177=1,MONTH(AK177),)</f>
        <v>8</v>
      </c>
      <c r="L177" s="13">
        <f t="shared" si="37"/>
        <v>3</v>
      </c>
      <c r="M177" s="13">
        <f t="shared" si="38"/>
        <v>2018</v>
      </c>
      <c r="N177" s="13">
        <f t="shared" si="39"/>
        <v>1</v>
      </c>
      <c r="O177" s="13">
        <f>IF(N177=1,MONTH(AN177),)</f>
        <v>9</v>
      </c>
      <c r="P177" s="13">
        <f t="shared" si="40"/>
        <v>3</v>
      </c>
      <c r="Q177" s="13">
        <f t="shared" si="41"/>
        <v>2018</v>
      </c>
      <c r="S177" s="38" t="s">
        <v>408</v>
      </c>
      <c r="T177" s="11" t="s">
        <v>62</v>
      </c>
      <c r="U177" s="11" t="s">
        <v>26</v>
      </c>
      <c r="V177" s="39" t="s">
        <v>38</v>
      </c>
      <c r="W177" s="39" t="s">
        <v>27</v>
      </c>
      <c r="X177" s="13" t="s">
        <v>427</v>
      </c>
      <c r="Y177" s="13" t="s">
        <v>322</v>
      </c>
      <c r="Z177" s="66">
        <v>43238</v>
      </c>
      <c r="AA177" s="67">
        <v>410000</v>
      </c>
      <c r="AD177" s="10"/>
      <c r="AF177" s="66">
        <v>43249</v>
      </c>
      <c r="AG177" s="67">
        <v>425000</v>
      </c>
      <c r="AH177" s="16">
        <f>AF177-Z177</f>
        <v>11</v>
      </c>
      <c r="AI177" s="16">
        <f>AG177-AA177</f>
        <v>15000</v>
      </c>
      <c r="AJ177" s="36">
        <f>AI177/AA177</f>
        <v>3.6585365853658534E-2</v>
      </c>
      <c r="AK177" s="66">
        <v>43343</v>
      </c>
      <c r="AL177" s="67">
        <v>410000</v>
      </c>
      <c r="AM177" s="6">
        <f>AK177-AF177</f>
        <v>94</v>
      </c>
      <c r="AN177" s="66">
        <v>43370</v>
      </c>
      <c r="AO177" s="67">
        <v>403000</v>
      </c>
      <c r="AP177" s="6">
        <f>AN177-AK177</f>
        <v>27</v>
      </c>
      <c r="AQ177" s="6">
        <f>AH177+AM177+AP177</f>
        <v>132</v>
      </c>
      <c r="AR177" s="6">
        <f>AO177-AA177</f>
        <v>-7000</v>
      </c>
      <c r="AS177" s="8">
        <f>AR177/AA177</f>
        <v>-1.7073170731707318E-2</v>
      </c>
      <c r="AT177" s="9"/>
      <c r="AU177" s="6">
        <f>IF(AND(AU$2&gt;$Z177,$Z177&gt;0,OR($AN177&gt;AU$2,ISBLANK($AN177))),AU$2-$Z177,"")</f>
        <v>13</v>
      </c>
      <c r="AV177" s="6">
        <f>IF(AND(AV$2&gt;$Z177,$Z177&gt;0,OR($AN177&gt;AV$2,ISBLANK($AN177))),AV$2-$Z177,"")</f>
        <v>43</v>
      </c>
      <c r="AW177" s="6">
        <f>IF(AND(AW$2&gt;$Z177,$Z177&gt;0,OR($AN177&gt;AW$2,ISBLANK($AN177))),AW$2-$Z177,"")</f>
        <v>74</v>
      </c>
      <c r="AX177" s="6">
        <f>IF(AND(AX$2&gt;$Z177,$Z177&gt;0,OR($AN177&gt;AX$2,ISBLANK($AN177))),AX$2-$Z177,"")</f>
        <v>105</v>
      </c>
      <c r="AY177" s="6" t="str">
        <f>IF(AND(AY$2&gt;$Z177,$Z177&gt;0,OR($AN177&gt;AY$2,ISBLANK($AN177))),AY$2-$Z177,"")</f>
        <v/>
      </c>
      <c r="AZ177" s="6" t="str">
        <f ca="1">IF(AND(AZ$2&gt;$Z177,$Z177&gt;0,OR($AN177&gt;AZ$2,ISBLANK($AN177))),AZ$2-$Z177,"")</f>
        <v/>
      </c>
      <c r="BA177" s="6"/>
      <c r="BB177" s="6"/>
      <c r="BC177" s="6"/>
      <c r="BD177" s="6"/>
    </row>
    <row r="178" spans="2:56" x14ac:dyDescent="0.25">
      <c r="B178" s="13">
        <f t="shared" si="28"/>
        <v>1</v>
      </c>
      <c r="C178" s="13">
        <f t="shared" si="29"/>
        <v>7</v>
      </c>
      <c r="D178" s="13">
        <f t="shared" si="30"/>
        <v>3</v>
      </c>
      <c r="E178" s="13">
        <f t="shared" si="31"/>
        <v>2018</v>
      </c>
      <c r="F178" s="13">
        <f t="shared" si="32"/>
        <v>1</v>
      </c>
      <c r="G178" s="13">
        <f t="shared" si="33"/>
        <v>7</v>
      </c>
      <c r="H178" s="13">
        <f t="shared" si="34"/>
        <v>3</v>
      </c>
      <c r="I178" s="13">
        <f t="shared" si="35"/>
        <v>2018</v>
      </c>
      <c r="J178" s="13">
        <f t="shared" si="36"/>
        <v>1</v>
      </c>
      <c r="K178" s="13">
        <f>IF(J178=1,MONTH(AK178),)</f>
        <v>10</v>
      </c>
      <c r="L178" s="13">
        <f t="shared" si="37"/>
        <v>4</v>
      </c>
      <c r="M178" s="13">
        <f t="shared" si="38"/>
        <v>2018</v>
      </c>
      <c r="N178" s="13">
        <f t="shared" si="39"/>
        <v>0</v>
      </c>
      <c r="O178" s="13">
        <f>IF(N178=1,MONTH(AN178),)</f>
        <v>0</v>
      </c>
      <c r="P178" s="13">
        <f t="shared" si="40"/>
        <v>0</v>
      </c>
      <c r="Q178" s="13">
        <f t="shared" si="41"/>
        <v>1900</v>
      </c>
      <c r="S178" s="38" t="s">
        <v>280</v>
      </c>
      <c r="T178" s="11" t="s">
        <v>40</v>
      </c>
      <c r="U178" s="11" t="s">
        <v>26</v>
      </c>
      <c r="V178" s="39" t="s">
        <v>38</v>
      </c>
      <c r="W178" s="39" t="s">
        <v>27</v>
      </c>
      <c r="X178" s="4" t="s">
        <v>281</v>
      </c>
      <c r="Y178" s="4" t="s">
        <v>29</v>
      </c>
      <c r="Z178" s="66">
        <v>43283</v>
      </c>
      <c r="AA178" s="67">
        <v>310000</v>
      </c>
      <c r="AD178" s="10"/>
      <c r="AF178" s="66">
        <v>43296</v>
      </c>
      <c r="AG178" s="67">
        <v>319000</v>
      </c>
      <c r="AH178" s="16">
        <f>AF178-Z178</f>
        <v>13</v>
      </c>
      <c r="AI178" s="16">
        <f>AG178-AA178</f>
        <v>9000</v>
      </c>
      <c r="AJ178" s="36">
        <f>AI178/AA178</f>
        <v>2.903225806451613E-2</v>
      </c>
      <c r="AK178" s="66">
        <v>43376</v>
      </c>
      <c r="AL178" s="67">
        <v>314400</v>
      </c>
      <c r="AM178" s="6">
        <f>AK178-AF178</f>
        <v>80</v>
      </c>
      <c r="AN178" s="66"/>
      <c r="AT178" s="9"/>
      <c r="AU178" s="6" t="str">
        <f>IF(AND(AU$2&gt;$Z178,$Z178&gt;0,OR($AN178&gt;AU$2,ISBLANK($AN178))),AU$2-$Z178,"")</f>
        <v/>
      </c>
      <c r="AV178" s="6" t="str">
        <f>IF(AND(AV$2&gt;$Z178,$Z178&gt;0,OR($AN178&gt;AV$2,ISBLANK($AN178))),AV$2-$Z178,"")</f>
        <v/>
      </c>
      <c r="AW178" s="6">
        <f>IF(AND(AW$2&gt;$Z178,$Z178&gt;0,OR($AN178&gt;AW$2,ISBLANK($AN178))),AW$2-$Z178,"")</f>
        <v>29</v>
      </c>
      <c r="AX178" s="6">
        <f>IF(AND(AX$2&gt;$Z178,$Z178&gt;0,OR($AN178&gt;AX$2,ISBLANK($AN178))),AX$2-$Z178,"")</f>
        <v>60</v>
      </c>
      <c r="AY178" s="6">
        <f>IF(AND(AY$2&gt;$Z178,$Z178&gt;0,OR($AN178&gt;AY$2,ISBLANK($AN178))),AY$2-$Z178,"")</f>
        <v>90</v>
      </c>
      <c r="AZ178" s="6">
        <f ca="1">IF(AND(AZ$2&gt;$Z178,$Z178&gt;0,OR($AN178&gt;AZ$2,ISBLANK($AN178))),AZ$2-$Z178,"")</f>
        <v>108.3822898148137</v>
      </c>
      <c r="BA178" s="6"/>
      <c r="BB178" s="6"/>
      <c r="BC178" s="6"/>
      <c r="BD178" s="6"/>
    </row>
    <row r="179" spans="2:56" x14ac:dyDescent="0.25">
      <c r="B179" s="13">
        <f t="shared" si="28"/>
        <v>1</v>
      </c>
      <c r="C179" s="13">
        <f t="shared" si="29"/>
        <v>9</v>
      </c>
      <c r="D179" s="13">
        <f t="shared" si="30"/>
        <v>3</v>
      </c>
      <c r="E179" s="13">
        <f t="shared" si="31"/>
        <v>2018</v>
      </c>
      <c r="F179" s="13">
        <f t="shared" si="32"/>
        <v>1</v>
      </c>
      <c r="G179" s="13">
        <f t="shared" si="33"/>
        <v>10</v>
      </c>
      <c r="H179" s="13">
        <f t="shared" si="34"/>
        <v>4</v>
      </c>
      <c r="I179" s="13">
        <f t="shared" si="35"/>
        <v>2018</v>
      </c>
      <c r="J179" s="13">
        <f t="shared" si="36"/>
        <v>0</v>
      </c>
      <c r="K179" s="13">
        <f>IF(J179=1,MONTH(AK179),)</f>
        <v>0</v>
      </c>
      <c r="L179" s="13">
        <f t="shared" si="37"/>
        <v>0</v>
      </c>
      <c r="M179" s="13">
        <f t="shared" si="38"/>
        <v>1900</v>
      </c>
      <c r="N179" s="13">
        <f t="shared" si="39"/>
        <v>0</v>
      </c>
      <c r="O179" s="13">
        <f>IF(N179=1,MONTH(AN179),)</f>
        <v>0</v>
      </c>
      <c r="P179" s="13">
        <f t="shared" si="40"/>
        <v>0</v>
      </c>
      <c r="Q179" s="13">
        <f t="shared" si="41"/>
        <v>1900</v>
      </c>
      <c r="S179" s="38" t="s">
        <v>282</v>
      </c>
      <c r="T179" s="11" t="s">
        <v>68</v>
      </c>
      <c r="U179" s="11" t="s">
        <v>26</v>
      </c>
      <c r="V179" s="39" t="s">
        <v>38</v>
      </c>
      <c r="W179" s="39" t="s">
        <v>27</v>
      </c>
      <c r="X179" s="4" t="s">
        <v>283</v>
      </c>
      <c r="Y179" s="4" t="s">
        <v>29</v>
      </c>
      <c r="Z179" s="66">
        <v>43368</v>
      </c>
      <c r="AA179" s="67">
        <v>297000</v>
      </c>
      <c r="AD179" s="10"/>
      <c r="AF179" s="66">
        <v>43383</v>
      </c>
      <c r="AG179" s="67">
        <v>303900</v>
      </c>
      <c r="AH179" s="16">
        <f>AF179-Z179</f>
        <v>15</v>
      </c>
      <c r="AI179" s="16">
        <f>AG179-AA179</f>
        <v>6900</v>
      </c>
      <c r="AJ179" s="36">
        <f>AI179/AA179</f>
        <v>2.3232323232323233E-2</v>
      </c>
      <c r="AN179" s="66"/>
      <c r="AT179" s="9"/>
      <c r="AU179" s="6" t="str">
        <f>IF(AND(AU$2&gt;$Z179,$Z179&gt;0,OR($AN179&gt;AU$2,ISBLANK($AN179))),AU$2-$Z179,"")</f>
        <v/>
      </c>
      <c r="AV179" s="6" t="str">
        <f>IF(AND(AV$2&gt;$Z179,$Z179&gt;0,OR($AN179&gt;AV$2,ISBLANK($AN179))),AV$2-$Z179,"")</f>
        <v/>
      </c>
      <c r="AW179" s="6" t="str">
        <f>IF(AND(AW$2&gt;$Z179,$Z179&gt;0,OR($AN179&gt;AW$2,ISBLANK($AN179))),AW$2-$Z179,"")</f>
        <v/>
      </c>
      <c r="AX179" s="6" t="str">
        <f>IF(AND(AX$2&gt;$Z179,$Z179&gt;0,OR($AN179&gt;AX$2,ISBLANK($AN179))),AX$2-$Z179,"")</f>
        <v/>
      </c>
      <c r="AY179" s="6">
        <f>IF(AND(AY$2&gt;$Z179,$Z179&gt;0,OR($AN179&gt;AY$2,ISBLANK($AN179))),AY$2-$Z179,"")</f>
        <v>5</v>
      </c>
      <c r="AZ179" s="6">
        <f ca="1">IF(AND(AZ$2&gt;$Z179,$Z179&gt;0,OR($AN179&gt;AZ$2,ISBLANK($AN179))),AZ$2-$Z179,"")</f>
        <v>23.382289814813703</v>
      </c>
      <c r="BA179" s="6"/>
      <c r="BB179" s="6"/>
      <c r="BC179" s="6"/>
      <c r="BD179" s="6"/>
    </row>
    <row r="180" spans="2:56" x14ac:dyDescent="0.25">
      <c r="B180" s="13">
        <f t="shared" si="28"/>
        <v>1</v>
      </c>
      <c r="C180" s="13">
        <f t="shared" si="29"/>
        <v>8</v>
      </c>
      <c r="D180" s="13">
        <f t="shared" si="30"/>
        <v>3</v>
      </c>
      <c r="E180" s="13">
        <f t="shared" si="31"/>
        <v>2018</v>
      </c>
      <c r="F180" s="13">
        <f t="shared" si="32"/>
        <v>1</v>
      </c>
      <c r="G180" s="13">
        <f t="shared" si="33"/>
        <v>8</v>
      </c>
      <c r="H180" s="13">
        <f t="shared" si="34"/>
        <v>3</v>
      </c>
      <c r="I180" s="13">
        <f t="shared" si="35"/>
        <v>2018</v>
      </c>
      <c r="J180" s="13">
        <f t="shared" si="36"/>
        <v>0</v>
      </c>
      <c r="K180" s="13">
        <f>IF(J180=1,MONTH(AK180),)</f>
        <v>0</v>
      </c>
      <c r="L180" s="13">
        <f t="shared" si="37"/>
        <v>0</v>
      </c>
      <c r="M180" s="13">
        <f t="shared" si="38"/>
        <v>1900</v>
      </c>
      <c r="N180" s="13">
        <f t="shared" si="39"/>
        <v>0</v>
      </c>
      <c r="O180" s="13">
        <f>IF(N180=1,MONTH(AN180),)</f>
        <v>0</v>
      </c>
      <c r="P180" s="13">
        <f t="shared" si="40"/>
        <v>0</v>
      </c>
      <c r="Q180" s="13">
        <f t="shared" si="41"/>
        <v>1900</v>
      </c>
      <c r="S180" s="38" t="s">
        <v>284</v>
      </c>
      <c r="T180" s="11" t="s">
        <v>62</v>
      </c>
      <c r="U180" s="11" t="s">
        <v>26</v>
      </c>
      <c r="V180" s="39" t="s">
        <v>38</v>
      </c>
      <c r="W180" s="39" t="s">
        <v>27</v>
      </c>
      <c r="X180" s="4" t="s">
        <v>285</v>
      </c>
      <c r="Y180" s="4" t="s">
        <v>29</v>
      </c>
      <c r="Z180" s="66">
        <v>43322</v>
      </c>
      <c r="AA180" s="67">
        <v>395355</v>
      </c>
      <c r="AD180" s="10"/>
      <c r="AF180" s="66">
        <v>43334</v>
      </c>
      <c r="AG180" s="67">
        <v>410000</v>
      </c>
      <c r="AH180" s="16">
        <f>AF180-Z180</f>
        <v>12</v>
      </c>
      <c r="AI180" s="16">
        <f>AG180-AA180</f>
        <v>14645</v>
      </c>
      <c r="AJ180" s="36">
        <f>AI180/AA180</f>
        <v>3.7042657864450934E-2</v>
      </c>
      <c r="AN180" s="66"/>
      <c r="AT180" s="9"/>
      <c r="AU180" s="6" t="str">
        <f>IF(AND(AU$2&gt;$Z180,$Z180&gt;0,OR($AN180&gt;AU$2,ISBLANK($AN180))),AU$2-$Z180,"")</f>
        <v/>
      </c>
      <c r="AV180" s="6" t="str">
        <f>IF(AND(AV$2&gt;$Z180,$Z180&gt;0,OR($AN180&gt;AV$2,ISBLANK($AN180))),AV$2-$Z180,"")</f>
        <v/>
      </c>
      <c r="AW180" s="6" t="str">
        <f>IF(AND(AW$2&gt;$Z180,$Z180&gt;0,OR($AN180&gt;AW$2,ISBLANK($AN180))),AW$2-$Z180,"")</f>
        <v/>
      </c>
      <c r="AX180" s="6">
        <f>IF(AND(AX$2&gt;$Z180,$Z180&gt;0,OR($AN180&gt;AX$2,ISBLANK($AN180))),AX$2-$Z180,"")</f>
        <v>21</v>
      </c>
      <c r="AY180" s="6">
        <f>IF(AND(AY$2&gt;$Z180,$Z180&gt;0,OR($AN180&gt;AY$2,ISBLANK($AN180))),AY$2-$Z180,"")</f>
        <v>51</v>
      </c>
      <c r="AZ180" s="6">
        <f ca="1">IF(AND(AZ$2&gt;$Z180,$Z180&gt;0,OR($AN180&gt;AZ$2,ISBLANK($AN180))),AZ$2-$Z180,"")</f>
        <v>69.382289814813703</v>
      </c>
      <c r="BA180" s="6"/>
      <c r="BB180" s="6"/>
      <c r="BC180" s="6"/>
      <c r="BD180" s="6"/>
    </row>
    <row r="181" spans="2:56" x14ac:dyDescent="0.25">
      <c r="B181" s="13">
        <f t="shared" si="28"/>
        <v>1</v>
      </c>
      <c r="C181" s="13">
        <f t="shared" si="29"/>
        <v>8</v>
      </c>
      <c r="D181" s="13">
        <f t="shared" si="30"/>
        <v>3</v>
      </c>
      <c r="E181" s="13">
        <f t="shared" si="31"/>
        <v>2018</v>
      </c>
      <c r="F181" s="13">
        <f t="shared" si="32"/>
        <v>1</v>
      </c>
      <c r="G181" s="13">
        <f t="shared" si="33"/>
        <v>8</v>
      </c>
      <c r="H181" s="13">
        <f t="shared" si="34"/>
        <v>3</v>
      </c>
      <c r="I181" s="13">
        <f t="shared" si="35"/>
        <v>2018</v>
      </c>
      <c r="J181" s="13">
        <f t="shared" si="36"/>
        <v>0</v>
      </c>
      <c r="K181" s="13">
        <f>IF(J181=1,MONTH(AK181),)</f>
        <v>0</v>
      </c>
      <c r="L181" s="13">
        <f t="shared" si="37"/>
        <v>0</v>
      </c>
      <c r="M181" s="13">
        <f t="shared" si="38"/>
        <v>1900</v>
      </c>
      <c r="N181" s="13">
        <f t="shared" si="39"/>
        <v>0</v>
      </c>
      <c r="O181" s="13">
        <f>IF(N181=1,MONTH(AN181),)</f>
        <v>0</v>
      </c>
      <c r="P181" s="13">
        <f t="shared" si="40"/>
        <v>0</v>
      </c>
      <c r="Q181" s="13">
        <f t="shared" si="41"/>
        <v>1900</v>
      </c>
      <c r="S181" s="38" t="s">
        <v>286</v>
      </c>
      <c r="T181" s="11" t="s">
        <v>31</v>
      </c>
      <c r="U181" s="11" t="s">
        <v>26</v>
      </c>
      <c r="V181" s="39" t="s">
        <v>38</v>
      </c>
      <c r="W181" s="39" t="s">
        <v>27</v>
      </c>
      <c r="X181" s="4" t="s">
        <v>287</v>
      </c>
      <c r="Y181" s="4" t="s">
        <v>29</v>
      </c>
      <c r="Z181" s="66">
        <v>43320</v>
      </c>
      <c r="AA181" s="67">
        <v>349755</v>
      </c>
      <c r="AD181" s="10"/>
      <c r="AF181" s="66">
        <v>43328</v>
      </c>
      <c r="AG181" s="67">
        <v>360000</v>
      </c>
      <c r="AH181" s="16">
        <f>AF181-Z181</f>
        <v>8</v>
      </c>
      <c r="AI181" s="16">
        <f>AG181-AA181</f>
        <v>10245</v>
      </c>
      <c r="AJ181" s="36">
        <f>AI181/AA181</f>
        <v>2.9291932924475704E-2</v>
      </c>
      <c r="AN181" s="66"/>
      <c r="AT181" s="9"/>
      <c r="AU181" s="6" t="str">
        <f>IF(AND(AU$2&gt;$Z181,$Z181&gt;0,OR($AN181&gt;AU$2,ISBLANK($AN181))),AU$2-$Z181,"")</f>
        <v/>
      </c>
      <c r="AV181" s="6" t="str">
        <f>IF(AND(AV$2&gt;$Z181,$Z181&gt;0,OR($AN181&gt;AV$2,ISBLANK($AN181))),AV$2-$Z181,"")</f>
        <v/>
      </c>
      <c r="AW181" s="6" t="str">
        <f>IF(AND(AW$2&gt;$Z181,$Z181&gt;0,OR($AN181&gt;AW$2,ISBLANK($AN181))),AW$2-$Z181,"")</f>
        <v/>
      </c>
      <c r="AX181" s="6">
        <f>IF(AND(AX$2&gt;$Z181,$Z181&gt;0,OR($AN181&gt;AX$2,ISBLANK($AN181))),AX$2-$Z181,"")</f>
        <v>23</v>
      </c>
      <c r="AY181" s="6">
        <f>IF(AND(AY$2&gt;$Z181,$Z181&gt;0,OR($AN181&gt;AY$2,ISBLANK($AN181))),AY$2-$Z181,"")</f>
        <v>53</v>
      </c>
      <c r="AZ181" s="6">
        <f ca="1">IF(AND(AZ$2&gt;$Z181,$Z181&gt;0,OR($AN181&gt;AZ$2,ISBLANK($AN181))),AZ$2-$Z181,"")</f>
        <v>71.382289814813703</v>
      </c>
      <c r="BA181" s="6"/>
      <c r="BB181" s="6"/>
      <c r="BC181" s="6"/>
      <c r="BD181" s="6"/>
    </row>
    <row r="182" spans="2:56" x14ac:dyDescent="0.25">
      <c r="B182" s="13">
        <f t="shared" si="28"/>
        <v>1</v>
      </c>
      <c r="C182" s="13">
        <f t="shared" si="29"/>
        <v>10</v>
      </c>
      <c r="D182" s="13">
        <f t="shared" si="30"/>
        <v>4</v>
      </c>
      <c r="E182" s="13">
        <f t="shared" si="31"/>
        <v>2018</v>
      </c>
      <c r="F182" s="13">
        <f t="shared" si="32"/>
        <v>0</v>
      </c>
      <c r="G182" s="13">
        <f t="shared" si="33"/>
        <v>1</v>
      </c>
      <c r="H182" s="13">
        <f t="shared" si="34"/>
        <v>1</v>
      </c>
      <c r="I182" s="13">
        <f t="shared" si="35"/>
        <v>1900</v>
      </c>
      <c r="J182" s="13">
        <f t="shared" si="36"/>
        <v>0</v>
      </c>
      <c r="K182" s="13">
        <f>IF(J182=1,MONTH(AK182),)</f>
        <v>0</v>
      </c>
      <c r="L182" s="13">
        <f t="shared" si="37"/>
        <v>0</v>
      </c>
      <c r="M182" s="13">
        <f t="shared" si="38"/>
        <v>1900</v>
      </c>
      <c r="N182" s="13">
        <f t="shared" si="39"/>
        <v>0</v>
      </c>
      <c r="O182" s="13">
        <f>IF(N182=1,MONTH(AN182),)</f>
        <v>0</v>
      </c>
      <c r="P182" s="13">
        <f t="shared" si="40"/>
        <v>0</v>
      </c>
      <c r="Q182" s="13">
        <f t="shared" si="41"/>
        <v>1900</v>
      </c>
      <c r="S182" s="38" t="s">
        <v>551</v>
      </c>
      <c r="T182" s="11" t="s">
        <v>40</v>
      </c>
      <c r="U182" s="11" t="s">
        <v>26</v>
      </c>
      <c r="V182" s="39" t="s">
        <v>38</v>
      </c>
      <c r="W182" s="39" t="s">
        <v>27</v>
      </c>
      <c r="X182" s="13" t="s">
        <v>552</v>
      </c>
      <c r="Y182" s="4" t="s">
        <v>29</v>
      </c>
      <c r="Z182" s="66">
        <v>43384</v>
      </c>
      <c r="AA182" s="67">
        <v>299800</v>
      </c>
      <c r="AD182" s="10"/>
      <c r="AG182" s="67">
        <v>310900</v>
      </c>
      <c r="AH182" s="16"/>
      <c r="AI182" s="16">
        <f>AG182-AA182</f>
        <v>11100</v>
      </c>
      <c r="AJ182" s="36">
        <f>AI182/AA182</f>
        <v>3.7024683122081389E-2</v>
      </c>
      <c r="AN182" s="66"/>
      <c r="AT182" s="9"/>
      <c r="AU182" s="6" t="str">
        <f>IF(AND(AU$2&gt;$Z182,$Z182&gt;0,OR($AN182&gt;AU$2,ISBLANK($AN182))),AU$2-$Z182,"")</f>
        <v/>
      </c>
      <c r="AV182" s="6" t="str">
        <f>IF(AND(AV$2&gt;$Z182,$Z182&gt;0,OR($AN182&gt;AV$2,ISBLANK($AN182))),AV$2-$Z182,"")</f>
        <v/>
      </c>
      <c r="AW182" s="6" t="str">
        <f>IF(AND(AW$2&gt;$Z182,$Z182&gt;0,OR($AN182&gt;AW$2,ISBLANK($AN182))),AW$2-$Z182,"")</f>
        <v/>
      </c>
      <c r="AX182" s="6" t="str">
        <f>IF(AND(AX$2&gt;$Z182,$Z182&gt;0,OR($AN182&gt;AX$2,ISBLANK($AN182))),AX$2-$Z182,"")</f>
        <v/>
      </c>
      <c r="AY182" s="6" t="str">
        <f>IF(AND(AY$2&gt;$Z182,$Z182&gt;0,OR($AN182&gt;AY$2,ISBLANK($AN182))),AY$2-$Z182,"")</f>
        <v/>
      </c>
      <c r="AZ182" s="6">
        <f ca="1">IF(AND(AZ$2&gt;$Z182,$Z182&gt;0,OR($AN182&gt;AZ$2,ISBLANK($AN182))),AZ$2-$Z182,"")</f>
        <v>7.3822898148137028</v>
      </c>
      <c r="BA182" s="6"/>
      <c r="BB182" s="6"/>
      <c r="BC182" s="6"/>
      <c r="BD182" s="6"/>
    </row>
    <row r="183" spans="2:56" x14ac:dyDescent="0.25">
      <c r="B183" s="13">
        <f t="shared" si="28"/>
        <v>1</v>
      </c>
      <c r="C183" s="13">
        <f t="shared" si="29"/>
        <v>9</v>
      </c>
      <c r="D183" s="13">
        <f t="shared" si="30"/>
        <v>3</v>
      </c>
      <c r="E183" s="13">
        <f t="shared" si="31"/>
        <v>2018</v>
      </c>
      <c r="F183" s="13">
        <f t="shared" si="32"/>
        <v>1</v>
      </c>
      <c r="G183" s="13">
        <f t="shared" si="33"/>
        <v>10</v>
      </c>
      <c r="H183" s="13">
        <f t="shared" si="34"/>
        <v>4</v>
      </c>
      <c r="I183" s="13">
        <f t="shared" si="35"/>
        <v>2018</v>
      </c>
      <c r="J183" s="13">
        <f t="shared" si="36"/>
        <v>1</v>
      </c>
      <c r="K183" s="13">
        <f>IF(J183=1,MONTH(AK183),)</f>
        <v>10</v>
      </c>
      <c r="L183" s="13">
        <f t="shared" si="37"/>
        <v>4</v>
      </c>
      <c r="M183" s="13">
        <f t="shared" si="38"/>
        <v>2018</v>
      </c>
      <c r="N183" s="13">
        <f t="shared" si="39"/>
        <v>0</v>
      </c>
      <c r="O183" s="13">
        <f>IF(N183=1,MONTH(AN183),)</f>
        <v>0</v>
      </c>
      <c r="P183" s="13">
        <f t="shared" si="40"/>
        <v>0</v>
      </c>
      <c r="Q183" s="13">
        <f t="shared" si="41"/>
        <v>1900</v>
      </c>
      <c r="S183" s="38" t="s">
        <v>288</v>
      </c>
      <c r="T183" s="11" t="s">
        <v>38</v>
      </c>
      <c r="U183" s="11" t="s">
        <v>26</v>
      </c>
      <c r="V183" s="39" t="s">
        <v>38</v>
      </c>
      <c r="W183" s="39" t="s">
        <v>27</v>
      </c>
      <c r="X183" s="13" t="s">
        <v>289</v>
      </c>
      <c r="Y183" s="13" t="s">
        <v>29</v>
      </c>
      <c r="Z183" s="66">
        <v>43349</v>
      </c>
      <c r="AA183" s="67">
        <v>208000</v>
      </c>
      <c r="AD183" s="10"/>
      <c r="AF183" s="66">
        <v>43377</v>
      </c>
      <c r="AG183" s="67">
        <v>223700</v>
      </c>
      <c r="AH183" s="16">
        <f>AF183-Z183</f>
        <v>28</v>
      </c>
      <c r="AI183" s="16">
        <f>AG183-AA183</f>
        <v>15700</v>
      </c>
      <c r="AJ183" s="36">
        <f>AI183/AA183</f>
        <v>7.5480769230769226E-2</v>
      </c>
      <c r="AK183" s="66">
        <v>43388</v>
      </c>
      <c r="AL183" s="67">
        <v>223700</v>
      </c>
      <c r="AM183" s="6">
        <f>AK183-AF183</f>
        <v>11</v>
      </c>
      <c r="AN183" s="66"/>
      <c r="AT183" s="9"/>
      <c r="AU183" s="6" t="str">
        <f>IF(AND(AU$2&gt;$Z183,$Z183&gt;0,OR($AN183&gt;AU$2,ISBLANK($AN183))),AU$2-$Z183,"")</f>
        <v/>
      </c>
      <c r="AV183" s="6" t="str">
        <f>IF(AND(AV$2&gt;$Z183,$Z183&gt;0,OR($AN183&gt;AV$2,ISBLANK($AN183))),AV$2-$Z183,"")</f>
        <v/>
      </c>
      <c r="AW183" s="6" t="str">
        <f>IF(AND(AW$2&gt;$Z183,$Z183&gt;0,OR($AN183&gt;AW$2,ISBLANK($AN183))),AW$2-$Z183,"")</f>
        <v/>
      </c>
      <c r="AX183" s="6" t="str">
        <f>IF(AND(AX$2&gt;$Z183,$Z183&gt;0,OR($AN183&gt;AX$2,ISBLANK($AN183))),AX$2-$Z183,"")</f>
        <v/>
      </c>
      <c r="AY183" s="6">
        <f>IF(AND(AY$2&gt;$Z183,$Z183&gt;0,OR($AN183&gt;AY$2,ISBLANK($AN183))),AY$2-$Z183,"")</f>
        <v>24</v>
      </c>
      <c r="AZ183" s="6">
        <f ca="1">IF(AND(AZ$2&gt;$Z183,$Z183&gt;0,OR($AN183&gt;AZ$2,ISBLANK($AN183))),AZ$2-$Z183,"")</f>
        <v>42.382289814813703</v>
      </c>
      <c r="BA183" s="6"/>
      <c r="BB183" s="6"/>
      <c r="BC183" s="6"/>
      <c r="BD183" s="6"/>
    </row>
    <row r="184" spans="2:56" x14ac:dyDescent="0.25">
      <c r="B184" s="13">
        <f t="shared" si="28"/>
        <v>1</v>
      </c>
      <c r="C184" s="13">
        <f t="shared" si="29"/>
        <v>9</v>
      </c>
      <c r="D184" s="13">
        <f t="shared" si="30"/>
        <v>3</v>
      </c>
      <c r="E184" s="13">
        <f t="shared" si="31"/>
        <v>2018</v>
      </c>
      <c r="F184" s="13">
        <f t="shared" si="32"/>
        <v>1</v>
      </c>
      <c r="G184" s="13">
        <f t="shared" si="33"/>
        <v>10</v>
      </c>
      <c r="H184" s="13">
        <f t="shared" si="34"/>
        <v>4</v>
      </c>
      <c r="I184" s="13">
        <f t="shared" si="35"/>
        <v>2018</v>
      </c>
      <c r="J184" s="13">
        <f t="shared" si="36"/>
        <v>0</v>
      </c>
      <c r="K184" s="13">
        <f>IF(J184=1,MONTH(AK184),)</f>
        <v>0</v>
      </c>
      <c r="L184" s="13">
        <f t="shared" si="37"/>
        <v>0</v>
      </c>
      <c r="M184" s="13">
        <f t="shared" si="38"/>
        <v>1900</v>
      </c>
      <c r="N184" s="13">
        <f t="shared" si="39"/>
        <v>0</v>
      </c>
      <c r="O184" s="13">
        <f>IF(N184=1,MONTH(AN184),)</f>
        <v>0</v>
      </c>
      <c r="P184" s="13">
        <f t="shared" si="40"/>
        <v>0</v>
      </c>
      <c r="Q184" s="13">
        <f t="shared" si="41"/>
        <v>1900</v>
      </c>
      <c r="S184" s="38" t="s">
        <v>290</v>
      </c>
      <c r="T184" s="11" t="s">
        <v>31</v>
      </c>
      <c r="U184" s="11" t="s">
        <v>26</v>
      </c>
      <c r="V184" s="39" t="s">
        <v>38</v>
      </c>
      <c r="W184" s="39" t="s">
        <v>27</v>
      </c>
      <c r="X184" s="4" t="s">
        <v>291</v>
      </c>
      <c r="Y184" s="4" t="s">
        <v>29</v>
      </c>
      <c r="Z184" s="66">
        <v>43364</v>
      </c>
      <c r="AA184" s="67">
        <v>361300</v>
      </c>
      <c r="AD184" s="10"/>
      <c r="AF184" s="66">
        <v>43383</v>
      </c>
      <c r="AG184" s="67">
        <v>370900</v>
      </c>
      <c r="AH184" s="16">
        <f>AF184-Z184</f>
        <v>19</v>
      </c>
      <c r="AI184" s="16">
        <f>AG184-AA184</f>
        <v>9600</v>
      </c>
      <c r="AJ184" s="36">
        <f>AI184/AA184</f>
        <v>2.6570716855798506E-2</v>
      </c>
      <c r="AN184" s="66"/>
      <c r="AT184" s="9"/>
      <c r="AU184" s="6" t="str">
        <f>IF(AND(AU$2&gt;$Z184,$Z184&gt;0,OR($AN184&gt;AU$2,ISBLANK($AN184))),AU$2-$Z184,"")</f>
        <v/>
      </c>
      <c r="AV184" s="6" t="str">
        <f>IF(AND(AV$2&gt;$Z184,$Z184&gt;0,OR($AN184&gt;AV$2,ISBLANK($AN184))),AV$2-$Z184,"")</f>
        <v/>
      </c>
      <c r="AW184" s="6" t="str">
        <f>IF(AND(AW$2&gt;$Z184,$Z184&gt;0,OR($AN184&gt;AW$2,ISBLANK($AN184))),AW$2-$Z184,"")</f>
        <v/>
      </c>
      <c r="AX184" s="6" t="str">
        <f>IF(AND(AX$2&gt;$Z184,$Z184&gt;0,OR($AN184&gt;AX$2,ISBLANK($AN184))),AX$2-$Z184,"")</f>
        <v/>
      </c>
      <c r="AY184" s="6">
        <f>IF(AND(AY$2&gt;$Z184,$Z184&gt;0,OR($AN184&gt;AY$2,ISBLANK($AN184))),AY$2-$Z184,"")</f>
        <v>9</v>
      </c>
      <c r="AZ184" s="6">
        <f ca="1">IF(AND(AZ$2&gt;$Z184,$Z184&gt;0,OR($AN184&gt;AZ$2,ISBLANK($AN184))),AZ$2-$Z184,"")</f>
        <v>27.382289814813703</v>
      </c>
      <c r="BA184" s="6"/>
      <c r="BB184" s="6"/>
      <c r="BC184" s="6"/>
      <c r="BD184" s="6"/>
    </row>
    <row r="185" spans="2:56" x14ac:dyDescent="0.25">
      <c r="B185" s="13">
        <f t="shared" si="28"/>
        <v>1</v>
      </c>
      <c r="C185" s="13">
        <f t="shared" si="29"/>
        <v>10</v>
      </c>
      <c r="D185" s="13">
        <f t="shared" si="30"/>
        <v>4</v>
      </c>
      <c r="E185" s="13">
        <f t="shared" si="31"/>
        <v>2018</v>
      </c>
      <c r="F185" s="13">
        <f t="shared" si="32"/>
        <v>0</v>
      </c>
      <c r="G185" s="13">
        <f t="shared" si="33"/>
        <v>1</v>
      </c>
      <c r="H185" s="13">
        <f t="shared" si="34"/>
        <v>1</v>
      </c>
      <c r="I185" s="13">
        <f t="shared" si="35"/>
        <v>1900</v>
      </c>
      <c r="J185" s="13">
        <f t="shared" si="36"/>
        <v>0</v>
      </c>
      <c r="K185" s="13">
        <f>IF(J185=1,MONTH(AK185),)</f>
        <v>0</v>
      </c>
      <c r="L185" s="13">
        <f t="shared" si="37"/>
        <v>0</v>
      </c>
      <c r="M185" s="13">
        <f t="shared" si="38"/>
        <v>1900</v>
      </c>
      <c r="N185" s="13">
        <f t="shared" si="39"/>
        <v>0</v>
      </c>
      <c r="O185" s="13">
        <f>IF(N185=1,MONTH(AN185),)</f>
        <v>0</v>
      </c>
      <c r="P185" s="13">
        <f t="shared" si="40"/>
        <v>0</v>
      </c>
      <c r="Q185" s="13">
        <f t="shared" si="41"/>
        <v>1900</v>
      </c>
      <c r="S185" s="38" t="s">
        <v>522</v>
      </c>
      <c r="T185" s="11" t="s">
        <v>62</v>
      </c>
      <c r="U185" s="11" t="s">
        <v>26</v>
      </c>
      <c r="V185" s="39" t="s">
        <v>38</v>
      </c>
      <c r="W185" s="39" t="s">
        <v>27</v>
      </c>
      <c r="Z185" s="66">
        <v>43388</v>
      </c>
      <c r="AA185" s="67">
        <v>298800</v>
      </c>
      <c r="AD185" s="10"/>
      <c r="AG185" s="67">
        <v>307900</v>
      </c>
      <c r="AH185" s="16"/>
      <c r="AI185" s="16">
        <f>AG185-AA185</f>
        <v>9100</v>
      </c>
      <c r="AJ185" s="36">
        <f>AI185/AA185</f>
        <v>3.0455153949129853E-2</v>
      </c>
      <c r="AN185" s="66"/>
      <c r="AT185" s="9"/>
      <c r="AU185" s="6" t="str">
        <f>IF(AND(AU$2&gt;$Z185,$Z185&gt;0,OR($AN185&gt;AU$2,ISBLANK($AN185))),AU$2-$Z185,"")</f>
        <v/>
      </c>
      <c r="AV185" s="6" t="str">
        <f>IF(AND(AV$2&gt;$Z185,$Z185&gt;0,OR($AN185&gt;AV$2,ISBLANK($AN185))),AV$2-$Z185,"")</f>
        <v/>
      </c>
      <c r="AW185" s="6" t="str">
        <f>IF(AND(AW$2&gt;$Z185,$Z185&gt;0,OR($AN185&gt;AW$2,ISBLANK($AN185))),AW$2-$Z185,"")</f>
        <v/>
      </c>
      <c r="AX185" s="6" t="str">
        <f>IF(AND(AX$2&gt;$Z185,$Z185&gt;0,OR($AN185&gt;AX$2,ISBLANK($AN185))),AX$2-$Z185,"")</f>
        <v/>
      </c>
      <c r="AY185" s="6" t="str">
        <f>IF(AND(AY$2&gt;$Z185,$Z185&gt;0,OR($AN185&gt;AY$2,ISBLANK($AN185))),AY$2-$Z185,"")</f>
        <v/>
      </c>
      <c r="AZ185" s="6">
        <f ca="1">IF(AND(AZ$2&gt;$Z185,$Z185&gt;0,OR($AN185&gt;AZ$2,ISBLANK($AN185))),AZ$2-$Z185,"")</f>
        <v>3.3822898148137028</v>
      </c>
      <c r="BA185" s="6"/>
      <c r="BB185" s="6"/>
      <c r="BC185" s="6"/>
      <c r="BD185" s="6"/>
    </row>
    <row r="186" spans="2:56" x14ac:dyDescent="0.25">
      <c r="B186" s="13">
        <f t="shared" si="28"/>
        <v>1</v>
      </c>
      <c r="C186" s="13">
        <f t="shared" si="29"/>
        <v>9</v>
      </c>
      <c r="D186" s="13">
        <f t="shared" si="30"/>
        <v>3</v>
      </c>
      <c r="E186" s="13">
        <f t="shared" si="31"/>
        <v>2018</v>
      </c>
      <c r="F186" s="13">
        <f t="shared" si="32"/>
        <v>1</v>
      </c>
      <c r="G186" s="13">
        <f t="shared" si="33"/>
        <v>10</v>
      </c>
      <c r="H186" s="13">
        <f t="shared" si="34"/>
        <v>4</v>
      </c>
      <c r="I186" s="13">
        <f t="shared" si="35"/>
        <v>2018</v>
      </c>
      <c r="J186" s="13">
        <f t="shared" si="36"/>
        <v>0</v>
      </c>
      <c r="K186" s="13">
        <f>IF(J186=1,MONTH(AK186),)</f>
        <v>0</v>
      </c>
      <c r="L186" s="13">
        <f t="shared" si="37"/>
        <v>0</v>
      </c>
      <c r="M186" s="13">
        <f t="shared" si="38"/>
        <v>1900</v>
      </c>
      <c r="N186" s="13">
        <f t="shared" si="39"/>
        <v>0</v>
      </c>
      <c r="O186" s="13">
        <f>IF(N186=1,MONTH(AN186),)</f>
        <v>0</v>
      </c>
      <c r="P186" s="13">
        <f t="shared" si="40"/>
        <v>0</v>
      </c>
      <c r="Q186" s="13">
        <f t="shared" si="41"/>
        <v>1900</v>
      </c>
      <c r="S186" s="38" t="s">
        <v>292</v>
      </c>
      <c r="T186" s="11" t="s">
        <v>25</v>
      </c>
      <c r="U186" s="11" t="s">
        <v>26</v>
      </c>
      <c r="V186" s="39" t="s">
        <v>38</v>
      </c>
      <c r="W186" s="39" t="s">
        <v>27</v>
      </c>
      <c r="X186" s="13" t="s">
        <v>293</v>
      </c>
      <c r="Y186" s="13" t="s">
        <v>29</v>
      </c>
      <c r="Z186" s="66">
        <v>43360</v>
      </c>
      <c r="AA186" s="67">
        <v>274300</v>
      </c>
      <c r="AD186" s="10"/>
      <c r="AF186" s="66">
        <v>43387</v>
      </c>
      <c r="AG186" s="67">
        <v>283900</v>
      </c>
      <c r="AH186" s="16">
        <f>AF186-Z186</f>
        <v>27</v>
      </c>
      <c r="AI186" s="16">
        <f>AG186-AA186</f>
        <v>9600</v>
      </c>
      <c r="AJ186" s="36">
        <f>AI186/AA186</f>
        <v>3.4998177178271965E-2</v>
      </c>
      <c r="AN186" s="66"/>
      <c r="AT186" s="9"/>
      <c r="AU186" s="6" t="str">
        <f>IF(AND(AU$2&gt;$Z186,$Z186&gt;0,OR($AN186&gt;AU$2,ISBLANK($AN186))),AU$2-$Z186,"")</f>
        <v/>
      </c>
      <c r="AV186" s="6" t="str">
        <f>IF(AND(AV$2&gt;$Z186,$Z186&gt;0,OR($AN186&gt;AV$2,ISBLANK($AN186))),AV$2-$Z186,"")</f>
        <v/>
      </c>
      <c r="AW186" s="6" t="str">
        <f>IF(AND(AW$2&gt;$Z186,$Z186&gt;0,OR($AN186&gt;AW$2,ISBLANK($AN186))),AW$2-$Z186,"")</f>
        <v/>
      </c>
      <c r="AX186" s="6" t="str">
        <f>IF(AND(AX$2&gt;$Z186,$Z186&gt;0,OR($AN186&gt;AX$2,ISBLANK($AN186))),AX$2-$Z186,"")</f>
        <v/>
      </c>
      <c r="AY186" s="6">
        <f>IF(AND(AY$2&gt;$Z186,$Z186&gt;0,OR($AN186&gt;AY$2,ISBLANK($AN186))),AY$2-$Z186,"")</f>
        <v>13</v>
      </c>
      <c r="AZ186" s="6">
        <f ca="1">IF(AND(AZ$2&gt;$Z186,$Z186&gt;0,OR($AN186&gt;AZ$2,ISBLANK($AN186))),AZ$2-$Z186,"")</f>
        <v>31.382289814813703</v>
      </c>
      <c r="BA186" s="6"/>
      <c r="BB186" s="6"/>
      <c r="BC186" s="6"/>
      <c r="BD186" s="6"/>
    </row>
    <row r="187" spans="2:56" x14ac:dyDescent="0.25">
      <c r="B187" s="13">
        <f t="shared" si="28"/>
        <v>1</v>
      </c>
      <c r="C187" s="13">
        <f t="shared" si="29"/>
        <v>6</v>
      </c>
      <c r="D187" s="13">
        <f t="shared" si="30"/>
        <v>2</v>
      </c>
      <c r="E187" s="13">
        <f t="shared" si="31"/>
        <v>2018</v>
      </c>
      <c r="F187" s="13">
        <f t="shared" si="32"/>
        <v>1</v>
      </c>
      <c r="G187" s="13">
        <f t="shared" si="33"/>
        <v>6</v>
      </c>
      <c r="H187" s="13">
        <f t="shared" si="34"/>
        <v>2</v>
      </c>
      <c r="I187" s="13">
        <f t="shared" si="35"/>
        <v>2018</v>
      </c>
      <c r="J187" s="13">
        <f t="shared" si="36"/>
        <v>1</v>
      </c>
      <c r="K187" s="13">
        <f>IF(J187=1,MONTH(AK187),)</f>
        <v>7</v>
      </c>
      <c r="L187" s="13">
        <f t="shared" si="37"/>
        <v>3</v>
      </c>
      <c r="M187" s="13">
        <f t="shared" si="38"/>
        <v>2018</v>
      </c>
      <c r="N187" s="13">
        <f t="shared" si="39"/>
        <v>1</v>
      </c>
      <c r="O187" s="13">
        <f>IF(N187=1,MONTH(AN187),)</f>
        <v>8</v>
      </c>
      <c r="P187" s="13">
        <f t="shared" si="40"/>
        <v>3</v>
      </c>
      <c r="Q187" s="13">
        <f t="shared" si="41"/>
        <v>2018</v>
      </c>
      <c r="S187" s="38" t="s">
        <v>490</v>
      </c>
      <c r="T187" s="11" t="s">
        <v>57</v>
      </c>
      <c r="U187" s="11" t="s">
        <v>26</v>
      </c>
      <c r="V187" s="39" t="s">
        <v>38</v>
      </c>
      <c r="W187" s="39" t="s">
        <v>27</v>
      </c>
      <c r="X187" s="13"/>
      <c r="Y187" s="4" t="s">
        <v>322</v>
      </c>
      <c r="Z187" s="66">
        <v>43263</v>
      </c>
      <c r="AA187" s="67">
        <v>282000</v>
      </c>
      <c r="AD187" s="10"/>
      <c r="AF187" s="66">
        <v>43277</v>
      </c>
      <c r="AG187" s="67">
        <v>294900</v>
      </c>
      <c r="AH187" s="16">
        <f>AF187-Z187</f>
        <v>14</v>
      </c>
      <c r="AI187" s="16">
        <f>AG187-AA187</f>
        <v>12900</v>
      </c>
      <c r="AJ187" s="36">
        <f>AI187/AA187</f>
        <v>4.5744680851063826E-2</v>
      </c>
      <c r="AK187" s="66">
        <v>43284</v>
      </c>
      <c r="AL187" s="67">
        <v>294900</v>
      </c>
      <c r="AM187" s="6">
        <f>AK187-AF187</f>
        <v>7</v>
      </c>
      <c r="AN187" s="66">
        <v>43313</v>
      </c>
      <c r="AO187" s="67">
        <v>297000</v>
      </c>
      <c r="AP187" s="6">
        <f>AN187-AK187</f>
        <v>29</v>
      </c>
      <c r="AQ187" s="6">
        <f>AH187+AM187+AP187</f>
        <v>50</v>
      </c>
      <c r="AR187" s="6">
        <f>AO187-AA187</f>
        <v>15000</v>
      </c>
      <c r="AS187" s="8">
        <f>AR187/AA187</f>
        <v>5.3191489361702128E-2</v>
      </c>
      <c r="AT187" s="9"/>
      <c r="AU187" s="6" t="str">
        <f>IF(AND(AU$2&gt;$Z187,$Z187&gt;0,OR($AN187&gt;AU$2,ISBLANK($AN187))),AU$2-$Z187,"")</f>
        <v/>
      </c>
      <c r="AV187" s="6">
        <f>IF(AND(AV$2&gt;$Z187,$Z187&gt;0,OR($AN187&gt;AV$2,ISBLANK($AN187))),AV$2-$Z187,"")</f>
        <v>18</v>
      </c>
      <c r="AW187" s="6">
        <f>IF(AND(AW$2&gt;$Z187,$Z187&gt;0,OR($AN187&gt;AW$2,ISBLANK($AN187))),AW$2-$Z187,"")</f>
        <v>49</v>
      </c>
      <c r="AX187" s="6" t="str">
        <f>IF(AND(AX$2&gt;$Z187,$Z187&gt;0,OR($AN187&gt;AX$2,ISBLANK($AN187))),AX$2-$Z187,"")</f>
        <v/>
      </c>
      <c r="AY187" s="6" t="str">
        <f>IF(AND(AY$2&gt;$Z187,$Z187&gt;0,OR($AN187&gt;AY$2,ISBLANK($AN187))),AY$2-$Z187,"")</f>
        <v/>
      </c>
      <c r="AZ187" s="6" t="str">
        <f ca="1">IF(AND(AZ$2&gt;$Z187,$Z187&gt;0,OR($AN187&gt;AZ$2,ISBLANK($AN187))),AZ$2-$Z187,"")</f>
        <v/>
      </c>
      <c r="BA187" s="6"/>
      <c r="BB187" s="6"/>
      <c r="BC187" s="6"/>
      <c r="BD187" s="6"/>
    </row>
    <row r="188" spans="2:56" x14ac:dyDescent="0.25">
      <c r="B188" s="13">
        <f t="shared" si="28"/>
        <v>1</v>
      </c>
      <c r="C188" s="13">
        <f t="shared" si="29"/>
        <v>10</v>
      </c>
      <c r="D188" s="13">
        <f t="shared" si="30"/>
        <v>4</v>
      </c>
      <c r="E188" s="13">
        <f t="shared" si="31"/>
        <v>2018</v>
      </c>
      <c r="F188" s="13">
        <f t="shared" si="32"/>
        <v>0</v>
      </c>
      <c r="G188" s="13">
        <f t="shared" si="33"/>
        <v>1</v>
      </c>
      <c r="H188" s="13">
        <f t="shared" si="34"/>
        <v>1</v>
      </c>
      <c r="I188" s="13">
        <f t="shared" si="35"/>
        <v>1900</v>
      </c>
      <c r="J188" s="13">
        <f t="shared" si="36"/>
        <v>0</v>
      </c>
      <c r="K188" s="13">
        <f>IF(J188=1,MONTH(AK188),)</f>
        <v>0</v>
      </c>
      <c r="L188" s="13">
        <f t="shared" si="37"/>
        <v>0</v>
      </c>
      <c r="M188" s="13">
        <f t="shared" si="38"/>
        <v>1900</v>
      </c>
      <c r="N188" s="13">
        <f t="shared" si="39"/>
        <v>0</v>
      </c>
      <c r="O188" s="13">
        <f>IF(N188=1,MONTH(AN188),)</f>
        <v>0</v>
      </c>
      <c r="P188" s="13">
        <f t="shared" si="40"/>
        <v>0</v>
      </c>
      <c r="Q188" s="13">
        <f t="shared" si="41"/>
        <v>1900</v>
      </c>
      <c r="S188" s="38" t="s">
        <v>294</v>
      </c>
      <c r="T188" s="11" t="s">
        <v>38</v>
      </c>
      <c r="U188" s="11" t="s">
        <v>26</v>
      </c>
      <c r="V188" s="39" t="s">
        <v>38</v>
      </c>
      <c r="W188" s="39" t="s">
        <v>27</v>
      </c>
      <c r="X188" s="13" t="s">
        <v>295</v>
      </c>
      <c r="Y188" s="13" t="s">
        <v>29</v>
      </c>
      <c r="Z188" s="66">
        <v>43376</v>
      </c>
      <c r="AA188" s="67">
        <v>153000</v>
      </c>
      <c r="AD188" s="10"/>
      <c r="AG188" s="67">
        <v>162900</v>
      </c>
      <c r="AH188" s="16"/>
      <c r="AI188" s="16">
        <f>AG188-AA188</f>
        <v>9900</v>
      </c>
      <c r="AJ188" s="36">
        <f>AI188/AA188</f>
        <v>6.4705882352941183E-2</v>
      </c>
      <c r="AN188" s="66"/>
      <c r="AT188" s="9"/>
      <c r="AU188" s="6" t="str">
        <f>IF(AND(AU$2&gt;$Z188,$Z188&gt;0,OR($AN188&gt;AU$2,ISBLANK($AN188))),AU$2-$Z188,"")</f>
        <v/>
      </c>
      <c r="AV188" s="6" t="str">
        <f>IF(AND(AV$2&gt;$Z188,$Z188&gt;0,OR($AN188&gt;AV$2,ISBLANK($AN188))),AV$2-$Z188,"")</f>
        <v/>
      </c>
      <c r="AW188" s="6" t="str">
        <f>IF(AND(AW$2&gt;$Z188,$Z188&gt;0,OR($AN188&gt;AW$2,ISBLANK($AN188))),AW$2-$Z188,"")</f>
        <v/>
      </c>
      <c r="AX188" s="6" t="str">
        <f>IF(AND(AX$2&gt;$Z188,$Z188&gt;0,OR($AN188&gt;AX$2,ISBLANK($AN188))),AX$2-$Z188,"")</f>
        <v/>
      </c>
      <c r="AY188" s="6" t="str">
        <f>IF(AND(AY$2&gt;$Z188,$Z188&gt;0,OR($AN188&gt;AY$2,ISBLANK($AN188))),AY$2-$Z188,"")</f>
        <v/>
      </c>
      <c r="AZ188" s="6">
        <f ca="1">IF(AND(AZ$2&gt;$Z188,$Z188&gt;0,OR($AN188&gt;AZ$2,ISBLANK($AN188))),AZ$2-$Z188,"")</f>
        <v>15.382289814813703</v>
      </c>
      <c r="BA188" s="6"/>
      <c r="BB188" s="6"/>
      <c r="BC188" s="6"/>
      <c r="BD188" s="6"/>
    </row>
    <row r="189" spans="2:56" x14ac:dyDescent="0.25">
      <c r="B189" s="13">
        <f t="shared" si="28"/>
        <v>1</v>
      </c>
      <c r="C189" s="13">
        <f t="shared" si="29"/>
        <v>9</v>
      </c>
      <c r="D189" s="13">
        <f t="shared" si="30"/>
        <v>3</v>
      </c>
      <c r="E189" s="13">
        <f t="shared" si="31"/>
        <v>2018</v>
      </c>
      <c r="F189" s="13">
        <f t="shared" si="32"/>
        <v>1</v>
      </c>
      <c r="G189" s="13">
        <f t="shared" si="33"/>
        <v>10</v>
      </c>
      <c r="H189" s="13">
        <f t="shared" si="34"/>
        <v>4</v>
      </c>
      <c r="I189" s="13">
        <f t="shared" si="35"/>
        <v>2018</v>
      </c>
      <c r="J189" s="13">
        <f t="shared" si="36"/>
        <v>0</v>
      </c>
      <c r="K189" s="13">
        <f>IF(J189=1,MONTH(AK189),)</f>
        <v>0</v>
      </c>
      <c r="L189" s="13">
        <f t="shared" si="37"/>
        <v>0</v>
      </c>
      <c r="M189" s="13">
        <f t="shared" si="38"/>
        <v>1900</v>
      </c>
      <c r="N189" s="13">
        <f t="shared" si="39"/>
        <v>0</v>
      </c>
      <c r="O189" s="13">
        <f>IF(N189=1,MONTH(AN189),)</f>
        <v>0</v>
      </c>
      <c r="P189" s="13">
        <f t="shared" si="40"/>
        <v>0</v>
      </c>
      <c r="Q189" s="13">
        <f t="shared" si="41"/>
        <v>1900</v>
      </c>
      <c r="S189" s="38" t="s">
        <v>296</v>
      </c>
      <c r="T189" s="11" t="s">
        <v>38</v>
      </c>
      <c r="U189" s="11" t="s">
        <v>26</v>
      </c>
      <c r="V189" s="39" t="s">
        <v>38</v>
      </c>
      <c r="W189" s="39" t="s">
        <v>27</v>
      </c>
      <c r="X189" s="4" t="s">
        <v>297</v>
      </c>
      <c r="Y189" s="4" t="s">
        <v>29</v>
      </c>
      <c r="Z189" s="66">
        <v>43371</v>
      </c>
      <c r="AA189" s="67">
        <v>188800</v>
      </c>
      <c r="AD189" s="10"/>
      <c r="AF189" s="66">
        <v>43386</v>
      </c>
      <c r="AG189" s="67">
        <v>198900</v>
      </c>
      <c r="AH189" s="16">
        <f>AF189-Z189</f>
        <v>15</v>
      </c>
      <c r="AI189" s="16">
        <f>AG189-AA189</f>
        <v>10100</v>
      </c>
      <c r="AJ189" s="36">
        <f>AI189/AA189</f>
        <v>5.349576271186441E-2</v>
      </c>
      <c r="AN189" s="66"/>
      <c r="AT189" s="9"/>
      <c r="AU189" s="6" t="str">
        <f>IF(AND(AU$2&gt;$Z189,$Z189&gt;0,OR($AN189&gt;AU$2,ISBLANK($AN189))),AU$2-$Z189,"")</f>
        <v/>
      </c>
      <c r="AV189" s="6" t="str">
        <f>IF(AND(AV$2&gt;$Z189,$Z189&gt;0,OR($AN189&gt;AV$2,ISBLANK($AN189))),AV$2-$Z189,"")</f>
        <v/>
      </c>
      <c r="AW189" s="6" t="str">
        <f>IF(AND(AW$2&gt;$Z189,$Z189&gt;0,OR($AN189&gt;AW$2,ISBLANK($AN189))),AW$2-$Z189,"")</f>
        <v/>
      </c>
      <c r="AX189" s="6" t="str">
        <f>IF(AND(AX$2&gt;$Z189,$Z189&gt;0,OR($AN189&gt;AX$2,ISBLANK($AN189))),AX$2-$Z189,"")</f>
        <v/>
      </c>
      <c r="AY189" s="6">
        <f>IF(AND(AY$2&gt;$Z189,$Z189&gt;0,OR($AN189&gt;AY$2,ISBLANK($AN189))),AY$2-$Z189,"")</f>
        <v>2</v>
      </c>
      <c r="AZ189" s="6">
        <f ca="1">IF(AND(AZ$2&gt;$Z189,$Z189&gt;0,OR($AN189&gt;AZ$2,ISBLANK($AN189))),AZ$2-$Z189,"")</f>
        <v>20.382289814813703</v>
      </c>
      <c r="BA189" s="6"/>
      <c r="BB189" s="6"/>
      <c r="BC189" s="6"/>
      <c r="BD189" s="6"/>
    </row>
    <row r="190" spans="2:56" x14ac:dyDescent="0.25">
      <c r="B190" s="13">
        <f t="shared" si="28"/>
        <v>1</v>
      </c>
      <c r="C190" s="13">
        <f t="shared" si="29"/>
        <v>10</v>
      </c>
      <c r="D190" s="13">
        <f t="shared" si="30"/>
        <v>4</v>
      </c>
      <c r="E190" s="13">
        <f t="shared" si="31"/>
        <v>2018</v>
      </c>
      <c r="F190" s="13">
        <f t="shared" si="32"/>
        <v>0</v>
      </c>
      <c r="G190" s="13">
        <f t="shared" si="33"/>
        <v>1</v>
      </c>
      <c r="H190" s="13">
        <f t="shared" si="34"/>
        <v>1</v>
      </c>
      <c r="I190" s="13">
        <f t="shared" si="35"/>
        <v>1900</v>
      </c>
      <c r="J190" s="13">
        <f t="shared" si="36"/>
        <v>0</v>
      </c>
      <c r="K190" s="13">
        <f>IF(J190=1,MONTH(AK190),)</f>
        <v>0</v>
      </c>
      <c r="L190" s="13">
        <f t="shared" si="37"/>
        <v>0</v>
      </c>
      <c r="M190" s="13">
        <f t="shared" si="38"/>
        <v>1900</v>
      </c>
      <c r="N190" s="13">
        <f t="shared" si="39"/>
        <v>0</v>
      </c>
      <c r="O190" s="13">
        <f>IF(N190=1,MONTH(AN190),)</f>
        <v>0</v>
      </c>
      <c r="P190" s="13">
        <f t="shared" si="40"/>
        <v>0</v>
      </c>
      <c r="Q190" s="13">
        <f t="shared" si="41"/>
        <v>1900</v>
      </c>
      <c r="S190" s="38" t="s">
        <v>298</v>
      </c>
      <c r="T190" s="11" t="s">
        <v>38</v>
      </c>
      <c r="U190" s="11" t="s">
        <v>26</v>
      </c>
      <c r="V190" s="39" t="s">
        <v>38</v>
      </c>
      <c r="W190" s="39" t="s">
        <v>27</v>
      </c>
      <c r="X190" s="13" t="s">
        <v>299</v>
      </c>
      <c r="Y190" s="4" t="s">
        <v>29</v>
      </c>
      <c r="Z190" s="66">
        <v>43376</v>
      </c>
      <c r="AA190" s="67">
        <v>304000</v>
      </c>
      <c r="AD190" s="10"/>
      <c r="AG190" s="67">
        <v>311900</v>
      </c>
      <c r="AH190" s="16"/>
      <c r="AI190" s="16">
        <f>AG190-AA190</f>
        <v>7900</v>
      </c>
      <c r="AJ190" s="36">
        <f>AI190/AA190</f>
        <v>2.5986842105263159E-2</v>
      </c>
      <c r="AN190" s="66"/>
      <c r="AT190" s="9"/>
      <c r="AU190" s="6" t="str">
        <f>IF(AND(AU$2&gt;$Z190,$Z190&gt;0,OR($AN190&gt;AU$2,ISBLANK($AN190))),AU$2-$Z190,"")</f>
        <v/>
      </c>
      <c r="AV190" s="6" t="str">
        <f>IF(AND(AV$2&gt;$Z190,$Z190&gt;0,OR($AN190&gt;AV$2,ISBLANK($AN190))),AV$2-$Z190,"")</f>
        <v/>
      </c>
      <c r="AW190" s="6" t="str">
        <f>IF(AND(AW$2&gt;$Z190,$Z190&gt;0,OR($AN190&gt;AW$2,ISBLANK($AN190))),AW$2-$Z190,"")</f>
        <v/>
      </c>
      <c r="AX190" s="6" t="str">
        <f>IF(AND(AX$2&gt;$Z190,$Z190&gt;0,OR($AN190&gt;AX$2,ISBLANK($AN190))),AX$2-$Z190,"")</f>
        <v/>
      </c>
      <c r="AY190" s="6" t="str">
        <f>IF(AND(AY$2&gt;$Z190,$Z190&gt;0,OR($AN190&gt;AY$2,ISBLANK($AN190))),AY$2-$Z190,"")</f>
        <v/>
      </c>
      <c r="AZ190" s="6">
        <f ca="1">IF(AND(AZ$2&gt;$Z190,$Z190&gt;0,OR($AN190&gt;AZ$2,ISBLANK($AN190))),AZ$2-$Z190,"")</f>
        <v>15.382289814813703</v>
      </c>
      <c r="BA190" s="6"/>
      <c r="BB190" s="6"/>
      <c r="BC190" s="6"/>
      <c r="BD190" s="6"/>
    </row>
    <row r="191" spans="2:56" x14ac:dyDescent="0.25">
      <c r="B191" s="13">
        <f t="shared" si="28"/>
        <v>1</v>
      </c>
      <c r="C191" s="13">
        <f t="shared" si="29"/>
        <v>8</v>
      </c>
      <c r="D191" s="13">
        <f t="shared" si="30"/>
        <v>3</v>
      </c>
      <c r="E191" s="13">
        <f t="shared" si="31"/>
        <v>2018</v>
      </c>
      <c r="F191" s="13">
        <f t="shared" si="32"/>
        <v>0</v>
      </c>
      <c r="G191" s="13">
        <f t="shared" si="33"/>
        <v>1</v>
      </c>
      <c r="H191" s="13">
        <f t="shared" si="34"/>
        <v>1</v>
      </c>
      <c r="I191" s="13">
        <f t="shared" si="35"/>
        <v>1900</v>
      </c>
      <c r="J191" s="13">
        <f t="shared" si="36"/>
        <v>0</v>
      </c>
      <c r="K191" s="13">
        <f>IF(J191=1,MONTH(AK191),)</f>
        <v>0</v>
      </c>
      <c r="L191" s="13">
        <f t="shared" si="37"/>
        <v>0</v>
      </c>
      <c r="M191" s="13">
        <f t="shared" si="38"/>
        <v>1900</v>
      </c>
      <c r="N191" s="13">
        <f t="shared" si="39"/>
        <v>0</v>
      </c>
      <c r="O191" s="13">
        <f>IF(N191=1,MONTH(AN191),)</f>
        <v>0</v>
      </c>
      <c r="P191" s="13">
        <f t="shared" si="40"/>
        <v>0</v>
      </c>
      <c r="Q191" s="13">
        <f t="shared" si="41"/>
        <v>1900</v>
      </c>
      <c r="S191" s="38" t="s">
        <v>300</v>
      </c>
      <c r="T191" s="11" t="s">
        <v>31</v>
      </c>
      <c r="U191" s="11" t="s">
        <v>26</v>
      </c>
      <c r="V191" s="39" t="s">
        <v>38</v>
      </c>
      <c r="W191" s="39" t="s">
        <v>27</v>
      </c>
      <c r="X191" s="13" t="s">
        <v>301</v>
      </c>
      <c r="Y191" s="4" t="s">
        <v>29</v>
      </c>
      <c r="Z191" s="66">
        <v>43314</v>
      </c>
      <c r="AA191" s="67">
        <v>306303</v>
      </c>
      <c r="AD191" s="10"/>
      <c r="AH191" s="16"/>
      <c r="AI191" s="16"/>
      <c r="AJ191" s="36"/>
      <c r="AN191" s="66"/>
      <c r="AT191" s="9"/>
      <c r="AU191" s="6" t="str">
        <f>IF(AND(AU$2&gt;$Z191,$Z191&gt;0,OR($AN191&gt;AU$2,ISBLANK($AN191))),AU$2-$Z191,"")</f>
        <v/>
      </c>
      <c r="AV191" s="6" t="str">
        <f>IF(AND(AV$2&gt;$Z191,$Z191&gt;0,OR($AN191&gt;AV$2,ISBLANK($AN191))),AV$2-$Z191,"")</f>
        <v/>
      </c>
      <c r="AW191" s="6" t="str">
        <f>IF(AND(AW$2&gt;$Z191,$Z191&gt;0,OR($AN191&gt;AW$2,ISBLANK($AN191))),AW$2-$Z191,"")</f>
        <v/>
      </c>
      <c r="AX191" s="6">
        <f>IF(AND(AX$2&gt;$Z191,$Z191&gt;0,OR($AN191&gt;AX$2,ISBLANK($AN191))),AX$2-$Z191,"")</f>
        <v>29</v>
      </c>
      <c r="AY191" s="6">
        <f>IF(AND(AY$2&gt;$Z191,$Z191&gt;0,OR($AN191&gt;AY$2,ISBLANK($AN191))),AY$2-$Z191,"")</f>
        <v>59</v>
      </c>
      <c r="AZ191" s="6">
        <f ca="1">IF(AND(AZ$2&gt;$Z191,$Z191&gt;0,OR($AN191&gt;AZ$2,ISBLANK($AN191))),AZ$2-$Z191,"")</f>
        <v>77.382289814813703</v>
      </c>
      <c r="BA191" s="6"/>
      <c r="BB191" s="6"/>
      <c r="BC191" s="6"/>
      <c r="BD191" s="6"/>
    </row>
    <row r="192" spans="2:56" x14ac:dyDescent="0.25">
      <c r="B192" s="13">
        <f t="shared" si="28"/>
        <v>1</v>
      </c>
      <c r="C192" s="13">
        <f t="shared" si="29"/>
        <v>7</v>
      </c>
      <c r="D192" s="13">
        <f t="shared" si="30"/>
        <v>3</v>
      </c>
      <c r="E192" s="13">
        <f t="shared" si="31"/>
        <v>2018</v>
      </c>
      <c r="F192" s="13">
        <f t="shared" si="32"/>
        <v>1</v>
      </c>
      <c r="G192" s="13">
        <f t="shared" si="33"/>
        <v>7</v>
      </c>
      <c r="H192" s="13">
        <f t="shared" si="34"/>
        <v>3</v>
      </c>
      <c r="I192" s="13">
        <f t="shared" si="35"/>
        <v>2018</v>
      </c>
      <c r="J192" s="13">
        <f t="shared" si="36"/>
        <v>1</v>
      </c>
      <c r="K192" s="13">
        <f>IF(J192=1,MONTH(AK192),)</f>
        <v>7</v>
      </c>
      <c r="L192" s="13">
        <f t="shared" si="37"/>
        <v>3</v>
      </c>
      <c r="M192" s="13">
        <f t="shared" si="38"/>
        <v>2018</v>
      </c>
      <c r="N192" s="13">
        <f t="shared" si="39"/>
        <v>1</v>
      </c>
      <c r="O192" s="13">
        <f>IF(N192=1,MONTH(AN192),)</f>
        <v>8</v>
      </c>
      <c r="P192" s="13">
        <f t="shared" si="40"/>
        <v>3</v>
      </c>
      <c r="Q192" s="13">
        <f t="shared" si="41"/>
        <v>2018</v>
      </c>
      <c r="S192" s="38" t="s">
        <v>441</v>
      </c>
      <c r="T192" s="11" t="s">
        <v>62</v>
      </c>
      <c r="U192" s="11" t="s">
        <v>26</v>
      </c>
      <c r="V192" s="39" t="s">
        <v>38</v>
      </c>
      <c r="W192" s="39" t="s">
        <v>27</v>
      </c>
      <c r="X192" s="4" t="s">
        <v>442</v>
      </c>
      <c r="Y192" s="4" t="s">
        <v>322</v>
      </c>
      <c r="Z192" s="66">
        <v>43290</v>
      </c>
      <c r="AA192" s="67">
        <v>399000</v>
      </c>
      <c r="AD192" s="10"/>
      <c r="AF192" s="66">
        <v>43306</v>
      </c>
      <c r="AG192" s="67">
        <v>407900</v>
      </c>
      <c r="AH192" s="16">
        <f>AF192-Z192</f>
        <v>16</v>
      </c>
      <c r="AI192" s="16">
        <f>AG192-AA192</f>
        <v>8900</v>
      </c>
      <c r="AJ192" s="36">
        <f>AI192/AA192</f>
        <v>2.2305764411027568E-2</v>
      </c>
      <c r="AK192" s="66">
        <v>43312</v>
      </c>
      <c r="AL192" s="67">
        <v>407900</v>
      </c>
      <c r="AM192" s="6">
        <f>AK192-AF192</f>
        <v>6</v>
      </c>
      <c r="AN192" s="66">
        <v>43343</v>
      </c>
      <c r="AO192" s="67">
        <v>407900</v>
      </c>
      <c r="AP192" s="6">
        <f>AN192-AK192</f>
        <v>31</v>
      </c>
      <c r="AQ192" s="6">
        <f>AH192+AM192+AP192</f>
        <v>53</v>
      </c>
      <c r="AR192" s="6">
        <f>AO192-AA192</f>
        <v>8900</v>
      </c>
      <c r="AS192" s="8">
        <f>AR192/AA192</f>
        <v>2.2305764411027568E-2</v>
      </c>
      <c r="AT192" s="9"/>
      <c r="AU192" s="6" t="str">
        <f>IF(AND(AU$2&gt;$Z192,$Z192&gt;0,OR($AN192&gt;AU$2,ISBLANK($AN192))),AU$2-$Z192,"")</f>
        <v/>
      </c>
      <c r="AV192" s="6" t="str">
        <f>IF(AND(AV$2&gt;$Z192,$Z192&gt;0,OR($AN192&gt;AV$2,ISBLANK($AN192))),AV$2-$Z192,"")</f>
        <v/>
      </c>
      <c r="AW192" s="6">
        <f>IF(AND(AW$2&gt;$Z192,$Z192&gt;0,OR($AN192&gt;AW$2,ISBLANK($AN192))),AW$2-$Z192,"")</f>
        <v>22</v>
      </c>
      <c r="AX192" s="6" t="str">
        <f>IF(AND(AX$2&gt;$Z192,$Z192&gt;0,OR($AN192&gt;AX$2,ISBLANK($AN192))),AX$2-$Z192,"")</f>
        <v/>
      </c>
      <c r="AY192" s="6" t="str">
        <f>IF(AND(AY$2&gt;$Z192,$Z192&gt;0,OR($AN192&gt;AY$2,ISBLANK($AN192))),AY$2-$Z192,"")</f>
        <v/>
      </c>
      <c r="AZ192" s="6" t="str">
        <f ca="1">IF(AND(AZ$2&gt;$Z192,$Z192&gt;0,OR($AN192&gt;AZ$2,ISBLANK($AN192))),AZ$2-$Z192,"")</f>
        <v/>
      </c>
      <c r="BA192" s="6"/>
      <c r="BB192" s="6"/>
      <c r="BC192" s="6"/>
      <c r="BD192" s="6"/>
    </row>
    <row r="193" spans="2:56" x14ac:dyDescent="0.25">
      <c r="B193" s="13">
        <f t="shared" si="28"/>
        <v>1</v>
      </c>
      <c r="C193" s="13">
        <f t="shared" si="29"/>
        <v>8</v>
      </c>
      <c r="D193" s="13">
        <f t="shared" si="30"/>
        <v>3</v>
      </c>
      <c r="E193" s="13">
        <f t="shared" si="31"/>
        <v>2018</v>
      </c>
      <c r="F193" s="13">
        <f t="shared" si="32"/>
        <v>1</v>
      </c>
      <c r="G193" s="13">
        <f t="shared" si="33"/>
        <v>8</v>
      </c>
      <c r="H193" s="13">
        <f t="shared" si="34"/>
        <v>3</v>
      </c>
      <c r="I193" s="13">
        <f t="shared" si="35"/>
        <v>2018</v>
      </c>
      <c r="J193" s="13">
        <f t="shared" si="36"/>
        <v>1</v>
      </c>
      <c r="K193" s="13">
        <f>IF(J193=1,MONTH(AK193),)</f>
        <v>9</v>
      </c>
      <c r="L193" s="13">
        <f t="shared" si="37"/>
        <v>3</v>
      </c>
      <c r="M193" s="13">
        <f t="shared" si="38"/>
        <v>2018</v>
      </c>
      <c r="N193" s="13">
        <f t="shared" si="39"/>
        <v>1</v>
      </c>
      <c r="O193" s="13">
        <f>IF(N193=1,MONTH(AN193),)</f>
        <v>10</v>
      </c>
      <c r="P193" s="13">
        <f t="shared" si="40"/>
        <v>4</v>
      </c>
      <c r="Q193" s="13">
        <f t="shared" si="41"/>
        <v>2018</v>
      </c>
      <c r="S193" s="38" t="s">
        <v>302</v>
      </c>
      <c r="T193" s="11" t="s">
        <v>31</v>
      </c>
      <c r="U193" s="11" t="s">
        <v>26</v>
      </c>
      <c r="V193" s="39" t="s">
        <v>38</v>
      </c>
      <c r="W193" s="39" t="s">
        <v>27</v>
      </c>
      <c r="X193" s="4" t="s">
        <v>303</v>
      </c>
      <c r="Y193" s="4" t="s">
        <v>29</v>
      </c>
      <c r="Z193" s="66">
        <v>43327</v>
      </c>
      <c r="AA193" s="67">
        <v>449000</v>
      </c>
      <c r="AD193" s="10"/>
      <c r="AF193" s="66">
        <v>43342</v>
      </c>
      <c r="AG193" s="67">
        <v>452000</v>
      </c>
      <c r="AH193" s="16">
        <f>AF193-Z193</f>
        <v>15</v>
      </c>
      <c r="AI193" s="16">
        <f>AG193-AA193</f>
        <v>3000</v>
      </c>
      <c r="AJ193" s="36">
        <f>AI193/AA193</f>
        <v>6.6815144766146995E-3</v>
      </c>
      <c r="AK193" s="66">
        <v>43357</v>
      </c>
      <c r="AL193" s="67">
        <v>452000</v>
      </c>
      <c r="AM193" s="6">
        <f>AK193-AF193</f>
        <v>15</v>
      </c>
      <c r="AN193" s="66">
        <v>43377</v>
      </c>
      <c r="AO193" s="67">
        <v>444000</v>
      </c>
      <c r="AP193" s="6">
        <f>AN193-AK193</f>
        <v>20</v>
      </c>
      <c r="AQ193" s="6">
        <f>AH193+AM193+AP193</f>
        <v>50</v>
      </c>
      <c r="AR193" s="6">
        <f>AO193-AA193</f>
        <v>-5000</v>
      </c>
      <c r="AS193" s="8">
        <f>AR193/AA193</f>
        <v>-1.1135857461024499E-2</v>
      </c>
      <c r="AT193" s="9"/>
      <c r="AU193" s="6" t="str">
        <f>IF(AND(AU$2&gt;$Z193,$Z193&gt;0,OR($AN193&gt;AU$2,ISBLANK($AN193))),AU$2-$Z193,"")</f>
        <v/>
      </c>
      <c r="AV193" s="6" t="str">
        <f>IF(AND(AV$2&gt;$Z193,$Z193&gt;0,OR($AN193&gt;AV$2,ISBLANK($AN193))),AV$2-$Z193,"")</f>
        <v/>
      </c>
      <c r="AW193" s="6" t="str">
        <f>IF(AND(AW$2&gt;$Z193,$Z193&gt;0,OR($AN193&gt;AW$2,ISBLANK($AN193))),AW$2-$Z193,"")</f>
        <v/>
      </c>
      <c r="AX193" s="6">
        <f>IF(AND(AX$2&gt;$Z193,$Z193&gt;0,OR($AN193&gt;AX$2,ISBLANK($AN193))),AX$2-$Z193,"")</f>
        <v>16</v>
      </c>
      <c r="AY193" s="6">
        <f>IF(AND(AY$2&gt;$Z193,$Z193&gt;0,OR($AN193&gt;AY$2,ISBLANK($AN193))),AY$2-$Z193,"")</f>
        <v>46</v>
      </c>
      <c r="AZ193" s="6" t="str">
        <f ca="1">IF(AND(AZ$2&gt;$Z193,$Z193&gt;0,OR($AN193&gt;AZ$2,ISBLANK($AN193))),AZ$2-$Z193,"")</f>
        <v/>
      </c>
      <c r="BA193" s="6"/>
      <c r="BB193" s="6"/>
      <c r="BC193" s="6"/>
      <c r="BD193" s="6"/>
    </row>
    <row r="194" spans="2:56" x14ac:dyDescent="0.25">
      <c r="B194" s="13">
        <f t="shared" si="28"/>
        <v>1</v>
      </c>
      <c r="C194" s="13">
        <f t="shared" si="29"/>
        <v>8</v>
      </c>
      <c r="D194" s="13">
        <f t="shared" si="30"/>
        <v>3</v>
      </c>
      <c r="E194" s="13">
        <f t="shared" si="31"/>
        <v>2018</v>
      </c>
      <c r="F194" s="13">
        <f t="shared" si="32"/>
        <v>1</v>
      </c>
      <c r="G194" s="13">
        <f t="shared" si="33"/>
        <v>9</v>
      </c>
      <c r="H194" s="13">
        <f t="shared" si="34"/>
        <v>3</v>
      </c>
      <c r="I194" s="13">
        <f t="shared" si="35"/>
        <v>2018</v>
      </c>
      <c r="J194" s="13">
        <f t="shared" si="36"/>
        <v>0</v>
      </c>
      <c r="K194" s="13">
        <f>IF(J194=1,MONTH(AK194),)</f>
        <v>0</v>
      </c>
      <c r="L194" s="13">
        <f t="shared" si="37"/>
        <v>0</v>
      </c>
      <c r="M194" s="13">
        <f t="shared" si="38"/>
        <v>1900</v>
      </c>
      <c r="N194" s="13">
        <f t="shared" si="39"/>
        <v>0</v>
      </c>
      <c r="O194" s="13">
        <f>IF(N194=1,MONTH(AN194),)</f>
        <v>0</v>
      </c>
      <c r="P194" s="13">
        <f t="shared" si="40"/>
        <v>0</v>
      </c>
      <c r="Q194" s="13">
        <f t="shared" si="41"/>
        <v>1900</v>
      </c>
      <c r="S194" s="38" t="s">
        <v>304</v>
      </c>
      <c r="T194" s="11" t="s">
        <v>31</v>
      </c>
      <c r="U194" s="11" t="s">
        <v>26</v>
      </c>
      <c r="V194" s="39" t="s">
        <v>38</v>
      </c>
      <c r="W194" s="39" t="s">
        <v>27</v>
      </c>
      <c r="X194" s="13" t="s">
        <v>305</v>
      </c>
      <c r="Y194" s="4" t="s">
        <v>29</v>
      </c>
      <c r="Z194" s="66">
        <v>43343</v>
      </c>
      <c r="AA194" s="67">
        <v>295706</v>
      </c>
      <c r="AD194" s="10"/>
      <c r="AF194" s="66">
        <v>43364</v>
      </c>
      <c r="AG194" s="67">
        <v>312300</v>
      </c>
      <c r="AH194" s="16">
        <f>AF194-Z194</f>
        <v>21</v>
      </c>
      <c r="AI194" s="16">
        <f>AG194-AA194</f>
        <v>16594</v>
      </c>
      <c r="AJ194" s="36">
        <f>AI194/AA194</f>
        <v>5.6116548193137779E-2</v>
      </c>
      <c r="AN194" s="66"/>
      <c r="AT194" s="9"/>
      <c r="AU194" s="6" t="str">
        <f>IF(AND(AU$2&gt;$Z194,$Z194&gt;0,OR($AN194&gt;AU$2,ISBLANK($AN194))),AU$2-$Z194,"")</f>
        <v/>
      </c>
      <c r="AV194" s="6" t="str">
        <f>IF(AND(AV$2&gt;$Z194,$Z194&gt;0,OR($AN194&gt;AV$2,ISBLANK($AN194))),AV$2-$Z194,"")</f>
        <v/>
      </c>
      <c r="AW194" s="6" t="str">
        <f>IF(AND(AW$2&gt;$Z194,$Z194&gt;0,OR($AN194&gt;AW$2,ISBLANK($AN194))),AW$2-$Z194,"")</f>
        <v/>
      </c>
      <c r="AX194" s="6" t="str">
        <f>IF(AND(AX$2&gt;$Z194,$Z194&gt;0,OR($AN194&gt;AX$2,ISBLANK($AN194))),AX$2-$Z194,"")</f>
        <v/>
      </c>
      <c r="AY194" s="6">
        <f>IF(AND(AY$2&gt;$Z194,$Z194&gt;0,OR($AN194&gt;AY$2,ISBLANK($AN194))),AY$2-$Z194,"")</f>
        <v>30</v>
      </c>
      <c r="AZ194" s="6">
        <f ca="1">IF(AND(AZ$2&gt;$Z194,$Z194&gt;0,OR($AN194&gt;AZ$2,ISBLANK($AN194))),AZ$2-$Z194,"")</f>
        <v>48.382289814813703</v>
      </c>
      <c r="BA194" s="6"/>
      <c r="BB194" s="6"/>
      <c r="BC194" s="6"/>
      <c r="BD194" s="6"/>
    </row>
    <row r="195" spans="2:56" x14ac:dyDescent="0.25">
      <c r="B195" s="13">
        <f t="shared" si="28"/>
        <v>1</v>
      </c>
      <c r="C195" s="13">
        <f t="shared" si="29"/>
        <v>9</v>
      </c>
      <c r="D195" s="13">
        <f t="shared" si="30"/>
        <v>3</v>
      </c>
      <c r="E195" s="13">
        <f t="shared" si="31"/>
        <v>2018</v>
      </c>
      <c r="F195" s="13">
        <f t="shared" si="32"/>
        <v>1</v>
      </c>
      <c r="G195" s="13">
        <f t="shared" si="33"/>
        <v>9</v>
      </c>
      <c r="H195" s="13">
        <f t="shared" si="34"/>
        <v>3</v>
      </c>
      <c r="I195" s="13">
        <f t="shared" si="35"/>
        <v>2018</v>
      </c>
      <c r="J195" s="13">
        <f t="shared" si="36"/>
        <v>1</v>
      </c>
      <c r="K195" s="13">
        <f>IF(J195=1,MONTH(AK195),)</f>
        <v>10</v>
      </c>
      <c r="L195" s="13">
        <f t="shared" si="37"/>
        <v>4</v>
      </c>
      <c r="M195" s="13">
        <f t="shared" si="38"/>
        <v>2018</v>
      </c>
      <c r="N195" s="13">
        <f t="shared" si="39"/>
        <v>0</v>
      </c>
      <c r="O195" s="13">
        <f>IF(N195=1,MONTH(AN195),)</f>
        <v>0</v>
      </c>
      <c r="P195" s="13">
        <f t="shared" si="40"/>
        <v>0</v>
      </c>
      <c r="Q195" s="13">
        <f t="shared" si="41"/>
        <v>1900</v>
      </c>
      <c r="S195" s="38" t="s">
        <v>306</v>
      </c>
      <c r="T195" s="11" t="s">
        <v>25</v>
      </c>
      <c r="U195" s="11" t="s">
        <v>26</v>
      </c>
      <c r="V195" s="39" t="s">
        <v>38</v>
      </c>
      <c r="W195" s="39" t="s">
        <v>27</v>
      </c>
      <c r="X195" s="13" t="s">
        <v>307</v>
      </c>
      <c r="Y195" s="4" t="s">
        <v>29</v>
      </c>
      <c r="Z195" s="66">
        <v>43350</v>
      </c>
      <c r="AA195" s="67">
        <v>302000</v>
      </c>
      <c r="AD195" s="10"/>
      <c r="AF195" s="66">
        <v>43368</v>
      </c>
      <c r="AG195" s="67">
        <v>336600</v>
      </c>
      <c r="AH195" s="16">
        <f>AF195-Z195</f>
        <v>18</v>
      </c>
      <c r="AI195" s="16">
        <f>AG195-AA195</f>
        <v>34600</v>
      </c>
      <c r="AJ195" s="36">
        <f>AI195/AA195</f>
        <v>0.11456953642384106</v>
      </c>
      <c r="AK195" s="66">
        <v>43383</v>
      </c>
      <c r="AL195" s="67">
        <v>336600</v>
      </c>
      <c r="AM195" s="6">
        <f>AK195-AF195</f>
        <v>15</v>
      </c>
      <c r="AN195" s="66"/>
      <c r="AT195" s="9"/>
      <c r="AU195" s="6" t="str">
        <f>IF(AND(AU$2&gt;$Z195,$Z195&gt;0,OR($AN195&gt;AU$2,ISBLANK($AN195))),AU$2-$Z195,"")</f>
        <v/>
      </c>
      <c r="AV195" s="6" t="str">
        <f>IF(AND(AV$2&gt;$Z195,$Z195&gt;0,OR($AN195&gt;AV$2,ISBLANK($AN195))),AV$2-$Z195,"")</f>
        <v/>
      </c>
      <c r="AW195" s="6" t="str">
        <f>IF(AND(AW$2&gt;$Z195,$Z195&gt;0,OR($AN195&gt;AW$2,ISBLANK($AN195))),AW$2-$Z195,"")</f>
        <v/>
      </c>
      <c r="AX195" s="6" t="str">
        <f>IF(AND(AX$2&gt;$Z195,$Z195&gt;0,OR($AN195&gt;AX$2,ISBLANK($AN195))),AX$2-$Z195,"")</f>
        <v/>
      </c>
      <c r="AY195" s="6">
        <f>IF(AND(AY$2&gt;$Z195,$Z195&gt;0,OR($AN195&gt;AY$2,ISBLANK($AN195))),AY$2-$Z195,"")</f>
        <v>23</v>
      </c>
      <c r="AZ195" s="6">
        <f ca="1">IF(AND(AZ$2&gt;$Z195,$Z195&gt;0,OR($AN195&gt;AZ$2,ISBLANK($AN195))),AZ$2-$Z195,"")</f>
        <v>41.382289814813703</v>
      </c>
      <c r="BA195" s="6"/>
      <c r="BB195" s="6"/>
      <c r="BC195" s="6"/>
      <c r="BD195" s="6"/>
    </row>
    <row r="196" spans="2:56" x14ac:dyDescent="0.25">
      <c r="B196" s="13">
        <f t="shared" ref="B196:B249" si="42">IF(Z196&lt;&gt;0,1,)</f>
        <v>1</v>
      </c>
      <c r="C196" s="13">
        <f t="shared" ref="C196:C249" si="43">MONTH(Z196)</f>
        <v>9</v>
      </c>
      <c r="D196" s="13">
        <f t="shared" ref="D196:D249" si="44">IF(C196=1,1,IF(C196=2,1,IF(C196=3,1,IF(C196=4,2,IF(C196=5,2,IF(C196=6,2,IF(C196=7,3,IF(C196=8,3,IF(C196=9,3,IF(C196=10,4,IF(C196=11,4,IF(C196=12,4,))))))))))))</f>
        <v>3</v>
      </c>
      <c r="E196" s="13">
        <f t="shared" ref="E196:E249" si="45">YEAR(Z196)</f>
        <v>2018</v>
      </c>
      <c r="F196" s="13">
        <f t="shared" ref="F196:F249" si="46">IF(AF196&lt;&gt;0,1,)</f>
        <v>1</v>
      </c>
      <c r="G196" s="13">
        <f t="shared" ref="G196:G249" si="47">MONTH(AF196)</f>
        <v>10</v>
      </c>
      <c r="H196" s="13">
        <f t="shared" ref="H196:H249" si="48">IF(G196=1,1,IF(G196=2,1,IF(G196=3,1,IF(G196=4,2,IF(G196=5,2,IF(G196=6,2,IF(G196=7,3,IF(G196=8,3,IF(G196=9,3,IF(G196=10,4,IF(G196=11,4,IF(G196=12,4,))))))))))))</f>
        <v>4</v>
      </c>
      <c r="I196" s="13">
        <f t="shared" ref="I196:I249" si="49">YEAR(AF196)</f>
        <v>2018</v>
      </c>
      <c r="J196" s="13">
        <f t="shared" ref="J196:J249" si="50">IF(AK196&lt;&gt;0,1,)</f>
        <v>0</v>
      </c>
      <c r="K196" s="13">
        <f>IF(J196=1,MONTH(AK196),)</f>
        <v>0</v>
      </c>
      <c r="L196" s="13">
        <f t="shared" ref="L196:L249" si="51">IF(K196=1,1,IF(K196=2,1,IF(K196=3,1,IF(K196=4,2,IF(K196=5,2,IF(K196=6,2,IF(K196=7,3,IF(K196=8,3,IF(K196=9,3,IF(K196=10,4,IF(K196=11,4,IF(K196=12,4,))))))))))))</f>
        <v>0</v>
      </c>
      <c r="M196" s="13">
        <f t="shared" ref="M196:M249" si="52">YEAR(AK196)</f>
        <v>1900</v>
      </c>
      <c r="N196" s="13">
        <f t="shared" ref="N196:N249" si="53">IF(AN196&lt;&gt;0,1,)</f>
        <v>0</v>
      </c>
      <c r="O196" s="13">
        <f>IF(N196=1,MONTH(AN196),)</f>
        <v>0</v>
      </c>
      <c r="P196" s="13">
        <f t="shared" ref="P196:P249" si="54">IF(O196=1,1,IF(O196=2,1,IF(O196=3,1,IF(O196=4,2,IF(O196=5,2,IF(O196=6,2,IF(O196=7,3,IF(O196=8,3,IF(O196=9,3,IF(O196=10,4,IF(O196=11,4,IF(O196=12,4,))))))))))))</f>
        <v>0</v>
      </c>
      <c r="Q196" s="13">
        <f t="shared" ref="Q196:Q249" si="55">YEAR(AN196)</f>
        <v>1900</v>
      </c>
      <c r="S196" s="38" t="s">
        <v>308</v>
      </c>
      <c r="T196" s="11" t="s">
        <v>80</v>
      </c>
      <c r="U196" s="11" t="s">
        <v>26</v>
      </c>
      <c r="V196" s="39" t="s">
        <v>38</v>
      </c>
      <c r="W196" s="39" t="s">
        <v>27</v>
      </c>
      <c r="X196" s="4" t="s">
        <v>309</v>
      </c>
      <c r="Y196" s="4" t="s">
        <v>29</v>
      </c>
      <c r="Z196" s="66">
        <v>43362</v>
      </c>
      <c r="AA196" s="67">
        <v>275000</v>
      </c>
      <c r="AD196" s="10"/>
      <c r="AF196" s="66">
        <v>43376</v>
      </c>
      <c r="AG196" s="67">
        <v>283900</v>
      </c>
      <c r="AH196" s="16">
        <f>AF196-Z196</f>
        <v>14</v>
      </c>
      <c r="AI196" s="16">
        <f>AG196-AA196</f>
        <v>8900</v>
      </c>
      <c r="AJ196" s="36">
        <f>AI196/AA196</f>
        <v>3.2363636363636365E-2</v>
      </c>
      <c r="AN196" s="66"/>
      <c r="AT196" s="9"/>
      <c r="AU196" s="6" t="str">
        <f>IF(AND(AU$2&gt;$Z196,$Z196&gt;0,OR($AN196&gt;AU$2,ISBLANK($AN196))),AU$2-$Z196,"")</f>
        <v/>
      </c>
      <c r="AV196" s="6" t="str">
        <f>IF(AND(AV$2&gt;$Z196,$Z196&gt;0,OR($AN196&gt;AV$2,ISBLANK($AN196))),AV$2-$Z196,"")</f>
        <v/>
      </c>
      <c r="AW196" s="6" t="str">
        <f>IF(AND(AW$2&gt;$Z196,$Z196&gt;0,OR($AN196&gt;AW$2,ISBLANK($AN196))),AW$2-$Z196,"")</f>
        <v/>
      </c>
      <c r="AX196" s="6" t="str">
        <f>IF(AND(AX$2&gt;$Z196,$Z196&gt;0,OR($AN196&gt;AX$2,ISBLANK($AN196))),AX$2-$Z196,"")</f>
        <v/>
      </c>
      <c r="AY196" s="6">
        <f>IF(AND(AY$2&gt;$Z196,$Z196&gt;0,OR($AN196&gt;AY$2,ISBLANK($AN196))),AY$2-$Z196,"")</f>
        <v>11</v>
      </c>
      <c r="AZ196" s="6">
        <f ca="1">IF(AND(AZ$2&gt;$Z196,$Z196&gt;0,OR($AN196&gt;AZ$2,ISBLANK($AN196))),AZ$2-$Z196,"")</f>
        <v>29.382289814813703</v>
      </c>
      <c r="BA196" s="6"/>
      <c r="BB196" s="6"/>
      <c r="BC196" s="6"/>
      <c r="BD196" s="6"/>
    </row>
    <row r="197" spans="2:56" x14ac:dyDescent="0.25">
      <c r="B197" s="13">
        <f t="shared" si="42"/>
        <v>1</v>
      </c>
      <c r="C197" s="13">
        <f t="shared" si="43"/>
        <v>8</v>
      </c>
      <c r="D197" s="13">
        <f t="shared" si="44"/>
        <v>3</v>
      </c>
      <c r="E197" s="13">
        <f t="shared" si="45"/>
        <v>2018</v>
      </c>
      <c r="F197" s="13">
        <f t="shared" si="46"/>
        <v>1</v>
      </c>
      <c r="G197" s="13">
        <f t="shared" si="47"/>
        <v>9</v>
      </c>
      <c r="H197" s="13">
        <f t="shared" si="48"/>
        <v>3</v>
      </c>
      <c r="I197" s="13">
        <f t="shared" si="49"/>
        <v>2018</v>
      </c>
      <c r="J197" s="13">
        <f t="shared" si="50"/>
        <v>1</v>
      </c>
      <c r="K197" s="13">
        <f>IF(J197=1,MONTH(AK197),)</f>
        <v>10</v>
      </c>
      <c r="L197" s="13">
        <f t="shared" si="51"/>
        <v>4</v>
      </c>
      <c r="M197" s="13">
        <f t="shared" si="52"/>
        <v>2018</v>
      </c>
      <c r="N197" s="13">
        <f t="shared" si="53"/>
        <v>0</v>
      </c>
      <c r="O197" s="13">
        <f>IF(N197=1,MONTH(AN197),)</f>
        <v>0</v>
      </c>
      <c r="P197" s="13">
        <f t="shared" si="54"/>
        <v>0</v>
      </c>
      <c r="Q197" s="13">
        <f t="shared" si="55"/>
        <v>1900</v>
      </c>
      <c r="S197" s="38" t="s">
        <v>310</v>
      </c>
      <c r="T197" s="11" t="s">
        <v>68</v>
      </c>
      <c r="U197" s="11" t="s">
        <v>26</v>
      </c>
      <c r="V197" s="39" t="s">
        <v>38</v>
      </c>
      <c r="W197" s="39" t="s">
        <v>27</v>
      </c>
      <c r="X197" s="4" t="s">
        <v>311</v>
      </c>
      <c r="Y197" s="4" t="s">
        <v>29</v>
      </c>
      <c r="Z197" s="66">
        <v>43343</v>
      </c>
      <c r="AA197" s="67">
        <v>218400</v>
      </c>
      <c r="AD197" s="10"/>
      <c r="AF197" s="66">
        <v>43360</v>
      </c>
      <c r="AG197" s="67">
        <v>233300</v>
      </c>
      <c r="AH197" s="16">
        <f>AF197-Z197</f>
        <v>17</v>
      </c>
      <c r="AI197" s="16">
        <f>AG197-AA197</f>
        <v>14900</v>
      </c>
      <c r="AJ197" s="36">
        <f>AI197/AA197</f>
        <v>6.8223443223443217E-2</v>
      </c>
      <c r="AK197" s="66">
        <v>43376</v>
      </c>
      <c r="AL197" s="67">
        <v>233300</v>
      </c>
      <c r="AM197" s="6">
        <f>AK197-AF197</f>
        <v>16</v>
      </c>
      <c r="AN197" s="66"/>
      <c r="AT197" s="9"/>
      <c r="AU197" s="6" t="str">
        <f>IF(AND(AU$2&gt;$Z197,$Z197&gt;0,OR($AN197&gt;AU$2,ISBLANK($AN197))),AU$2-$Z197,"")</f>
        <v/>
      </c>
      <c r="AV197" s="6" t="str">
        <f>IF(AND(AV$2&gt;$Z197,$Z197&gt;0,OR($AN197&gt;AV$2,ISBLANK($AN197))),AV$2-$Z197,"")</f>
        <v/>
      </c>
      <c r="AW197" s="6" t="str">
        <f>IF(AND(AW$2&gt;$Z197,$Z197&gt;0,OR($AN197&gt;AW$2,ISBLANK($AN197))),AW$2-$Z197,"")</f>
        <v/>
      </c>
      <c r="AX197" s="6" t="str">
        <f>IF(AND(AX$2&gt;$Z197,$Z197&gt;0,OR($AN197&gt;AX$2,ISBLANK($AN197))),AX$2-$Z197,"")</f>
        <v/>
      </c>
      <c r="AY197" s="6">
        <f>IF(AND(AY$2&gt;$Z197,$Z197&gt;0,OR($AN197&gt;AY$2,ISBLANK($AN197))),AY$2-$Z197,"")</f>
        <v>30</v>
      </c>
      <c r="AZ197" s="6">
        <f ca="1">IF(AND(AZ$2&gt;$Z197,$Z197&gt;0,OR($AN197&gt;AZ$2,ISBLANK($AN197))),AZ$2-$Z197,"")</f>
        <v>48.382289814813703</v>
      </c>
      <c r="BA197" s="6"/>
      <c r="BB197" s="6"/>
      <c r="BC197" s="6"/>
      <c r="BD197" s="6"/>
    </row>
    <row r="198" spans="2:56" x14ac:dyDescent="0.25">
      <c r="B198" s="13">
        <f t="shared" si="42"/>
        <v>1</v>
      </c>
      <c r="C198" s="13">
        <f t="shared" si="43"/>
        <v>7</v>
      </c>
      <c r="D198" s="13">
        <f t="shared" si="44"/>
        <v>3</v>
      </c>
      <c r="E198" s="13">
        <f t="shared" si="45"/>
        <v>2018</v>
      </c>
      <c r="F198" s="13">
        <f t="shared" si="46"/>
        <v>1</v>
      </c>
      <c r="G198" s="13">
        <f t="shared" si="47"/>
        <v>7</v>
      </c>
      <c r="H198" s="13">
        <f t="shared" si="48"/>
        <v>3</v>
      </c>
      <c r="I198" s="13">
        <f t="shared" si="49"/>
        <v>2018</v>
      </c>
      <c r="J198" s="13">
        <f t="shared" si="50"/>
        <v>1</v>
      </c>
      <c r="K198" s="13">
        <f>IF(J198=1,MONTH(AK198),)</f>
        <v>8</v>
      </c>
      <c r="L198" s="13">
        <f t="shared" si="51"/>
        <v>3</v>
      </c>
      <c r="M198" s="13">
        <f t="shared" si="52"/>
        <v>2018</v>
      </c>
      <c r="N198" s="13">
        <f t="shared" si="53"/>
        <v>1</v>
      </c>
      <c r="O198" s="13">
        <f>IF(N198=1,MONTH(AN198),)</f>
        <v>8</v>
      </c>
      <c r="P198" s="13">
        <f t="shared" si="54"/>
        <v>3</v>
      </c>
      <c r="Q198" s="13">
        <f t="shared" si="55"/>
        <v>2018</v>
      </c>
      <c r="S198" s="38" t="s">
        <v>443</v>
      </c>
      <c r="T198" s="11" t="s">
        <v>275</v>
      </c>
      <c r="U198" s="11" t="s">
        <v>26</v>
      </c>
      <c r="V198" s="39" t="s">
        <v>38</v>
      </c>
      <c r="W198" s="39" t="s">
        <v>27</v>
      </c>
      <c r="X198" s="4" t="s">
        <v>444</v>
      </c>
      <c r="Y198" s="4" t="s">
        <v>322</v>
      </c>
      <c r="Z198" s="66">
        <v>43290</v>
      </c>
      <c r="AA198" s="67">
        <v>246000</v>
      </c>
      <c r="AD198" s="10"/>
      <c r="AF198" s="66">
        <v>43307</v>
      </c>
      <c r="AG198" s="67">
        <v>254000</v>
      </c>
      <c r="AH198" s="16">
        <f>AF198-Z198</f>
        <v>17</v>
      </c>
      <c r="AI198" s="16">
        <f>AG198-AA198</f>
        <v>8000</v>
      </c>
      <c r="AJ198" s="36">
        <f>AI198/AA198</f>
        <v>3.2520325203252036E-2</v>
      </c>
      <c r="AK198" s="66">
        <v>43318</v>
      </c>
      <c r="AL198" s="67">
        <v>254000</v>
      </c>
      <c r="AM198" s="6">
        <f>AK198-AF198</f>
        <v>11</v>
      </c>
      <c r="AN198" s="66">
        <v>43343</v>
      </c>
      <c r="AO198" s="67">
        <v>254000</v>
      </c>
      <c r="AP198" s="6">
        <f>AN198-AK198</f>
        <v>25</v>
      </c>
      <c r="AQ198" s="6">
        <f>AH198+AM198+AP198</f>
        <v>53</v>
      </c>
      <c r="AR198" s="6">
        <f>AO198-AA198</f>
        <v>8000</v>
      </c>
      <c r="AS198" s="8">
        <f>AR198/AA198</f>
        <v>3.2520325203252036E-2</v>
      </c>
      <c r="AT198" s="9"/>
      <c r="AU198" s="6" t="str">
        <f>IF(AND(AU$2&gt;$Z198,$Z198&gt;0,OR($AN198&gt;AU$2,ISBLANK($AN198))),AU$2-$Z198,"")</f>
        <v/>
      </c>
      <c r="AV198" s="6" t="str">
        <f>IF(AND(AV$2&gt;$Z198,$Z198&gt;0,OR($AN198&gt;AV$2,ISBLANK($AN198))),AV$2-$Z198,"")</f>
        <v/>
      </c>
      <c r="AW198" s="6">
        <f>IF(AND(AW$2&gt;$Z198,$Z198&gt;0,OR($AN198&gt;AW$2,ISBLANK($AN198))),AW$2-$Z198,"")</f>
        <v>22</v>
      </c>
      <c r="AX198" s="6" t="str">
        <f>IF(AND(AX$2&gt;$Z198,$Z198&gt;0,OR($AN198&gt;AX$2,ISBLANK($AN198))),AX$2-$Z198,"")</f>
        <v/>
      </c>
      <c r="AY198" s="6" t="str">
        <f>IF(AND(AY$2&gt;$Z198,$Z198&gt;0,OR($AN198&gt;AY$2,ISBLANK($AN198))),AY$2-$Z198,"")</f>
        <v/>
      </c>
      <c r="AZ198" s="6" t="str">
        <f ca="1">IF(AND(AZ$2&gt;$Z198,$Z198&gt;0,OR($AN198&gt;AZ$2,ISBLANK($AN198))),AZ$2-$Z198,"")</f>
        <v/>
      </c>
      <c r="BA198" s="6"/>
      <c r="BB198" s="6"/>
      <c r="BC198" s="6"/>
      <c r="BD198" s="6"/>
    </row>
    <row r="199" spans="2:56" x14ac:dyDescent="0.25">
      <c r="B199" s="13">
        <f t="shared" si="42"/>
        <v>1</v>
      </c>
      <c r="C199" s="13">
        <f t="shared" si="43"/>
        <v>10</v>
      </c>
      <c r="D199" s="13">
        <f t="shared" si="44"/>
        <v>4</v>
      </c>
      <c r="E199" s="13">
        <f t="shared" si="45"/>
        <v>2018</v>
      </c>
      <c r="F199" s="13">
        <f t="shared" si="46"/>
        <v>0</v>
      </c>
      <c r="G199" s="13">
        <f t="shared" si="47"/>
        <v>1</v>
      </c>
      <c r="H199" s="13">
        <f t="shared" si="48"/>
        <v>1</v>
      </c>
      <c r="I199" s="13">
        <f t="shared" si="49"/>
        <v>1900</v>
      </c>
      <c r="J199" s="13">
        <f t="shared" si="50"/>
        <v>0</v>
      </c>
      <c r="K199" s="13">
        <f>IF(J199=1,MONTH(AK199),)</f>
        <v>0</v>
      </c>
      <c r="L199" s="13">
        <f t="shared" si="51"/>
        <v>0</v>
      </c>
      <c r="M199" s="13">
        <f t="shared" si="52"/>
        <v>1900</v>
      </c>
      <c r="N199" s="13">
        <f t="shared" si="53"/>
        <v>0</v>
      </c>
      <c r="O199" s="13">
        <f>IF(N199=1,MONTH(AN199),)</f>
        <v>0</v>
      </c>
      <c r="P199" s="13">
        <f t="shared" si="54"/>
        <v>0</v>
      </c>
      <c r="Q199" s="13">
        <f t="shared" si="55"/>
        <v>1900</v>
      </c>
      <c r="S199" s="38" t="s">
        <v>477</v>
      </c>
      <c r="T199" s="11" t="s">
        <v>38</v>
      </c>
      <c r="U199" s="11" t="s">
        <v>26</v>
      </c>
      <c r="V199" s="39" t="s">
        <v>38</v>
      </c>
      <c r="W199" s="39" t="s">
        <v>27</v>
      </c>
      <c r="X199" s="4" t="s">
        <v>471</v>
      </c>
      <c r="Y199" s="4" t="s">
        <v>29</v>
      </c>
      <c r="Z199" s="66">
        <v>43378</v>
      </c>
      <c r="AA199" s="67">
        <v>194800</v>
      </c>
      <c r="AD199" s="10"/>
      <c r="AG199" s="67">
        <v>205900</v>
      </c>
      <c r="AH199" s="16"/>
      <c r="AI199" s="16">
        <f>AG199-AA199</f>
        <v>11100</v>
      </c>
      <c r="AJ199" s="36">
        <f>AI199/AA199</f>
        <v>5.6981519507186856E-2</v>
      </c>
      <c r="AN199" s="66"/>
      <c r="AT199" s="9"/>
      <c r="AU199" s="6" t="str">
        <f>IF(AND(AU$2&gt;$Z199,$Z199&gt;0,OR($AN199&gt;AU$2,ISBLANK($AN199))),AU$2-$Z199,"")</f>
        <v/>
      </c>
      <c r="AV199" s="6" t="str">
        <f>IF(AND(AV$2&gt;$Z199,$Z199&gt;0,OR($AN199&gt;AV$2,ISBLANK($AN199))),AV$2-$Z199,"")</f>
        <v/>
      </c>
      <c r="AW199" s="6" t="str">
        <f>IF(AND(AW$2&gt;$Z199,$Z199&gt;0,OR($AN199&gt;AW$2,ISBLANK($AN199))),AW$2-$Z199,"")</f>
        <v/>
      </c>
      <c r="AX199" s="6" t="str">
        <f>IF(AND(AX$2&gt;$Z199,$Z199&gt;0,OR($AN199&gt;AX$2,ISBLANK($AN199))),AX$2-$Z199,"")</f>
        <v/>
      </c>
      <c r="AY199" s="6" t="str">
        <f>IF(AND(AY$2&gt;$Z199,$Z199&gt;0,OR($AN199&gt;AY$2,ISBLANK($AN199))),AY$2-$Z199,"")</f>
        <v/>
      </c>
      <c r="AZ199" s="6">
        <f ca="1">IF(AND(AZ$2&gt;$Z199,$Z199&gt;0,OR($AN199&gt;AZ$2,ISBLANK($AN199))),AZ$2-$Z199,"")</f>
        <v>13.382289814813703</v>
      </c>
      <c r="BA199" s="6"/>
      <c r="BB199" s="6"/>
      <c r="BC199" s="6"/>
      <c r="BD199" s="6"/>
    </row>
    <row r="200" spans="2:56" x14ac:dyDescent="0.25">
      <c r="B200" s="13">
        <f t="shared" si="42"/>
        <v>1</v>
      </c>
      <c r="C200" s="13">
        <f t="shared" si="43"/>
        <v>5</v>
      </c>
      <c r="D200" s="13">
        <f t="shared" si="44"/>
        <v>2</v>
      </c>
      <c r="E200" s="13">
        <f t="shared" si="45"/>
        <v>2018</v>
      </c>
      <c r="F200" s="13">
        <f t="shared" si="46"/>
        <v>1</v>
      </c>
      <c r="G200" s="13">
        <f t="shared" si="47"/>
        <v>6</v>
      </c>
      <c r="H200" s="13">
        <f t="shared" si="48"/>
        <v>2</v>
      </c>
      <c r="I200" s="13">
        <f t="shared" si="49"/>
        <v>2018</v>
      </c>
      <c r="J200" s="13">
        <f t="shared" si="50"/>
        <v>1</v>
      </c>
      <c r="K200" s="13">
        <f>IF(J200=1,MONTH(AK200),)</f>
        <v>6</v>
      </c>
      <c r="L200" s="13">
        <f t="shared" si="51"/>
        <v>2</v>
      </c>
      <c r="M200" s="13">
        <f t="shared" si="52"/>
        <v>2018</v>
      </c>
      <c r="N200" s="13">
        <f t="shared" si="53"/>
        <v>1</v>
      </c>
      <c r="O200" s="13">
        <f>IF(N200=1,MONTH(AN200),)</f>
        <v>7</v>
      </c>
      <c r="P200" s="13">
        <f t="shared" si="54"/>
        <v>3</v>
      </c>
      <c r="Q200" s="13">
        <f t="shared" si="55"/>
        <v>2018</v>
      </c>
      <c r="S200" s="38" t="s">
        <v>492</v>
      </c>
      <c r="T200" s="11" t="s">
        <v>68</v>
      </c>
      <c r="U200" s="11" t="s">
        <v>26</v>
      </c>
      <c r="V200" s="39" t="s">
        <v>38</v>
      </c>
      <c r="W200" s="39" t="s">
        <v>27</v>
      </c>
      <c r="Y200" s="4" t="s">
        <v>322</v>
      </c>
      <c r="Z200" s="66">
        <v>43251</v>
      </c>
      <c r="AA200" s="67">
        <v>220000</v>
      </c>
      <c r="AD200" s="10"/>
      <c r="AF200" s="66">
        <v>43265</v>
      </c>
      <c r="AG200" s="67">
        <v>230000</v>
      </c>
      <c r="AH200" s="16">
        <f>AF200-Z200</f>
        <v>14</v>
      </c>
      <c r="AI200" s="16">
        <f>AG200-AA200</f>
        <v>10000</v>
      </c>
      <c r="AJ200" s="36">
        <f>AI200/AA200</f>
        <v>4.5454545454545456E-2</v>
      </c>
      <c r="AK200" s="66">
        <v>43272</v>
      </c>
      <c r="AL200" s="67">
        <v>230000</v>
      </c>
      <c r="AM200" s="6">
        <f>AK200-AF200</f>
        <v>7</v>
      </c>
      <c r="AN200" s="66">
        <v>43299</v>
      </c>
      <c r="AO200" s="67">
        <v>236000</v>
      </c>
      <c r="AP200" s="6">
        <f>AN200-AK200</f>
        <v>27</v>
      </c>
      <c r="AQ200" s="6">
        <f>AH200+AM200+AP200</f>
        <v>48</v>
      </c>
      <c r="AR200" s="6">
        <f>AO200-AA200</f>
        <v>16000</v>
      </c>
      <c r="AS200" s="8">
        <f>AR200/AA200</f>
        <v>7.2727272727272724E-2</v>
      </c>
      <c r="AT200" s="9"/>
      <c r="AU200" s="6" t="str">
        <f>IF(AND(AU$2&gt;$Z200,$Z200&gt;0,OR($AN200&gt;AU$2,ISBLANK($AN200))),AU$2-$Z200,"")</f>
        <v/>
      </c>
      <c r="AV200" s="6">
        <f>IF(AND(AV$2&gt;$Z200,$Z200&gt;0,OR($AN200&gt;AV$2,ISBLANK($AN200))),AV$2-$Z200,"")</f>
        <v>30</v>
      </c>
      <c r="AW200" s="6" t="str">
        <f>IF(AND(AW$2&gt;$Z200,$Z200&gt;0,OR($AN200&gt;AW$2,ISBLANK($AN200))),AW$2-$Z200,"")</f>
        <v/>
      </c>
      <c r="AX200" s="6" t="str">
        <f>IF(AND(AX$2&gt;$Z200,$Z200&gt;0,OR($AN200&gt;AX$2,ISBLANK($AN200))),AX$2-$Z200,"")</f>
        <v/>
      </c>
      <c r="AY200" s="6" t="str">
        <f>IF(AND(AY$2&gt;$Z200,$Z200&gt;0,OR($AN200&gt;AY$2,ISBLANK($AN200))),AY$2-$Z200,"")</f>
        <v/>
      </c>
      <c r="AZ200" s="6" t="str">
        <f ca="1">IF(AND(AZ$2&gt;$Z200,$Z200&gt;0,OR($AN200&gt;AZ$2,ISBLANK($AN200))),AZ$2-$Z200,"")</f>
        <v/>
      </c>
      <c r="BA200" s="6"/>
      <c r="BB200" s="6"/>
      <c r="BC200" s="6"/>
      <c r="BD200" s="6"/>
    </row>
    <row r="201" spans="2:56" x14ac:dyDescent="0.25">
      <c r="B201" s="13">
        <f t="shared" si="42"/>
        <v>1</v>
      </c>
      <c r="C201" s="13">
        <f t="shared" si="43"/>
        <v>10</v>
      </c>
      <c r="D201" s="13">
        <f t="shared" si="44"/>
        <v>4</v>
      </c>
      <c r="E201" s="13">
        <f t="shared" si="45"/>
        <v>2018</v>
      </c>
      <c r="F201" s="13">
        <f t="shared" si="46"/>
        <v>0</v>
      </c>
      <c r="G201" s="13">
        <f t="shared" si="47"/>
        <v>1</v>
      </c>
      <c r="H201" s="13">
        <f t="shared" si="48"/>
        <v>1</v>
      </c>
      <c r="I201" s="13">
        <f t="shared" si="49"/>
        <v>1900</v>
      </c>
      <c r="J201" s="13">
        <f t="shared" si="50"/>
        <v>0</v>
      </c>
      <c r="K201" s="13">
        <f>IF(J201=1,MONTH(AK201),)</f>
        <v>0</v>
      </c>
      <c r="L201" s="13">
        <f t="shared" si="51"/>
        <v>0</v>
      </c>
      <c r="M201" s="13">
        <f t="shared" si="52"/>
        <v>1900</v>
      </c>
      <c r="N201" s="13">
        <f t="shared" si="53"/>
        <v>0</v>
      </c>
      <c r="O201" s="13">
        <f>IF(N201=1,MONTH(AN201),)</f>
        <v>0</v>
      </c>
      <c r="P201" s="13">
        <f t="shared" si="54"/>
        <v>0</v>
      </c>
      <c r="Q201" s="13">
        <f t="shared" si="55"/>
        <v>1900</v>
      </c>
      <c r="S201" s="38" t="s">
        <v>478</v>
      </c>
      <c r="T201" s="11" t="s">
        <v>57</v>
      </c>
      <c r="U201" s="11" t="s">
        <v>26</v>
      </c>
      <c r="V201" s="39" t="s">
        <v>38</v>
      </c>
      <c r="W201" s="39" t="s">
        <v>27</v>
      </c>
      <c r="X201" s="13" t="s">
        <v>472</v>
      </c>
      <c r="Y201" s="13" t="s">
        <v>29</v>
      </c>
      <c r="Z201" s="66">
        <v>43377</v>
      </c>
      <c r="AA201" s="67">
        <v>250730</v>
      </c>
      <c r="AD201" s="10"/>
      <c r="AG201" s="67">
        <v>262500</v>
      </c>
      <c r="AH201" s="16"/>
      <c r="AI201" s="16">
        <f>AG201-AA201</f>
        <v>11770</v>
      </c>
      <c r="AJ201" s="36">
        <f>AI201/AA201</f>
        <v>4.6942926654169825E-2</v>
      </c>
      <c r="AN201" s="66"/>
      <c r="AT201" s="9"/>
      <c r="AU201" s="6" t="str">
        <f>IF(AND(AU$2&gt;$Z201,$Z201&gt;0,OR($AN201&gt;AU$2,ISBLANK($AN201))),AU$2-$Z201,"")</f>
        <v/>
      </c>
      <c r="AV201" s="6" t="str">
        <f>IF(AND(AV$2&gt;$Z201,$Z201&gt;0,OR($AN201&gt;AV$2,ISBLANK($AN201))),AV$2-$Z201,"")</f>
        <v/>
      </c>
      <c r="AW201" s="6" t="str">
        <f>IF(AND(AW$2&gt;$Z201,$Z201&gt;0,OR($AN201&gt;AW$2,ISBLANK($AN201))),AW$2-$Z201,"")</f>
        <v/>
      </c>
      <c r="AX201" s="6" t="str">
        <f>IF(AND(AX$2&gt;$Z201,$Z201&gt;0,OR($AN201&gt;AX$2,ISBLANK($AN201))),AX$2-$Z201,"")</f>
        <v/>
      </c>
      <c r="AY201" s="6" t="str">
        <f>IF(AND(AY$2&gt;$Z201,$Z201&gt;0,OR($AN201&gt;AY$2,ISBLANK($AN201))),AY$2-$Z201,"")</f>
        <v/>
      </c>
      <c r="AZ201" s="6">
        <f ca="1">IF(AND(AZ$2&gt;$Z201,$Z201&gt;0,OR($AN201&gt;AZ$2,ISBLANK($AN201))),AZ$2-$Z201,"")</f>
        <v>14.382289814813703</v>
      </c>
      <c r="BA201" s="6"/>
      <c r="BB201" s="6"/>
      <c r="BC201" s="6"/>
      <c r="BD201" s="6"/>
    </row>
    <row r="202" spans="2:56" x14ac:dyDescent="0.25">
      <c r="B202" s="13">
        <f t="shared" si="42"/>
        <v>1</v>
      </c>
      <c r="C202" s="13">
        <f t="shared" si="43"/>
        <v>7</v>
      </c>
      <c r="D202" s="13">
        <f t="shared" si="44"/>
        <v>3</v>
      </c>
      <c r="E202" s="13">
        <f t="shared" si="45"/>
        <v>2018</v>
      </c>
      <c r="F202" s="13">
        <f t="shared" si="46"/>
        <v>1</v>
      </c>
      <c r="G202" s="13">
        <f t="shared" si="47"/>
        <v>8</v>
      </c>
      <c r="H202" s="13">
        <f t="shared" si="48"/>
        <v>3</v>
      </c>
      <c r="I202" s="13">
        <f t="shared" si="49"/>
        <v>2018</v>
      </c>
      <c r="J202" s="13">
        <f t="shared" si="50"/>
        <v>1</v>
      </c>
      <c r="K202" s="13">
        <f>IF(J202=1,MONTH(AK202),)</f>
        <v>8</v>
      </c>
      <c r="L202" s="13">
        <f t="shared" si="51"/>
        <v>3</v>
      </c>
      <c r="M202" s="13">
        <f t="shared" si="52"/>
        <v>2018</v>
      </c>
      <c r="N202" s="13">
        <f t="shared" si="53"/>
        <v>1</v>
      </c>
      <c r="O202" s="13">
        <f>IF(N202=1,MONTH(AN202),)</f>
        <v>8</v>
      </c>
      <c r="P202" s="13">
        <f t="shared" si="54"/>
        <v>3</v>
      </c>
      <c r="Q202" s="13">
        <f t="shared" si="55"/>
        <v>2018</v>
      </c>
      <c r="S202" s="38" t="s">
        <v>493</v>
      </c>
      <c r="T202" s="11" t="s">
        <v>38</v>
      </c>
      <c r="U202" s="11" t="s">
        <v>26</v>
      </c>
      <c r="V202" s="39" t="s">
        <v>38</v>
      </c>
      <c r="W202" s="39" t="s">
        <v>27</v>
      </c>
      <c r="X202" s="13"/>
      <c r="Y202" s="4" t="s">
        <v>29</v>
      </c>
      <c r="Z202" s="66">
        <v>43294</v>
      </c>
      <c r="AA202" s="67">
        <v>211180</v>
      </c>
      <c r="AD202" s="10"/>
      <c r="AF202" s="66">
        <v>43313</v>
      </c>
      <c r="AG202" s="67">
        <v>229900</v>
      </c>
      <c r="AH202" s="16">
        <f>AF202-Z202</f>
        <v>19</v>
      </c>
      <c r="AI202" s="16">
        <f>AG202-AA202</f>
        <v>18720</v>
      </c>
      <c r="AJ202" s="36">
        <f>AI202/AA202</f>
        <v>8.8644758026328249E-2</v>
      </c>
      <c r="AK202" s="66">
        <v>43316</v>
      </c>
      <c r="AL202" s="67">
        <v>229900</v>
      </c>
      <c r="AM202" s="6">
        <f>AK202-AF202</f>
        <v>3</v>
      </c>
      <c r="AN202" s="66">
        <v>43333</v>
      </c>
      <c r="AO202" s="67">
        <v>230000</v>
      </c>
      <c r="AP202" s="6">
        <f>AN202-AK202</f>
        <v>17</v>
      </c>
      <c r="AQ202" s="6">
        <f>AH202+AM202+AP202</f>
        <v>39</v>
      </c>
      <c r="AR202" s="6">
        <f>AO202-AA202</f>
        <v>18820</v>
      </c>
      <c r="AS202" s="8">
        <f>AR202/AA202</f>
        <v>8.9118287716639835E-2</v>
      </c>
      <c r="AT202" s="9"/>
      <c r="AU202" s="6" t="str">
        <f>IF(AND(AU$2&gt;$Z202,$Z202&gt;0,OR($AN202&gt;AU$2,ISBLANK($AN202))),AU$2-$Z202,"")</f>
        <v/>
      </c>
      <c r="AV202" s="6" t="str">
        <f>IF(AND(AV$2&gt;$Z202,$Z202&gt;0,OR($AN202&gt;AV$2,ISBLANK($AN202))),AV$2-$Z202,"")</f>
        <v/>
      </c>
      <c r="AW202" s="6">
        <f>IF(AND(AW$2&gt;$Z202,$Z202&gt;0,OR($AN202&gt;AW$2,ISBLANK($AN202))),AW$2-$Z202,"")</f>
        <v>18</v>
      </c>
      <c r="AX202" s="6" t="str">
        <f>IF(AND(AX$2&gt;$Z202,$Z202&gt;0,OR($AN202&gt;AX$2,ISBLANK($AN202))),AX$2-$Z202,"")</f>
        <v/>
      </c>
      <c r="AY202" s="6" t="str">
        <f>IF(AND(AY$2&gt;$Z202,$Z202&gt;0,OR($AN202&gt;AY$2,ISBLANK($AN202))),AY$2-$Z202,"")</f>
        <v/>
      </c>
      <c r="AZ202" s="6" t="str">
        <f ca="1">IF(AND(AZ$2&gt;$Z202,$Z202&gt;0,OR($AN202&gt;AZ$2,ISBLANK($AN202))),AZ$2-$Z202,"")</f>
        <v/>
      </c>
      <c r="BA202" s="6"/>
      <c r="BB202" s="6"/>
      <c r="BC202" s="6"/>
      <c r="BD202" s="6"/>
    </row>
    <row r="203" spans="2:56" x14ac:dyDescent="0.25">
      <c r="B203" s="13">
        <f t="shared" si="42"/>
        <v>1</v>
      </c>
      <c r="C203" s="13">
        <f t="shared" si="43"/>
        <v>8</v>
      </c>
      <c r="D203" s="13">
        <f t="shared" si="44"/>
        <v>3</v>
      </c>
      <c r="E203" s="13">
        <f t="shared" si="45"/>
        <v>2018</v>
      </c>
      <c r="F203" s="13">
        <f t="shared" si="46"/>
        <v>1</v>
      </c>
      <c r="G203" s="13">
        <f t="shared" si="47"/>
        <v>8</v>
      </c>
      <c r="H203" s="13">
        <f t="shared" si="48"/>
        <v>3</v>
      </c>
      <c r="I203" s="13">
        <f t="shared" si="49"/>
        <v>2018</v>
      </c>
      <c r="J203" s="13">
        <f t="shared" si="50"/>
        <v>0</v>
      </c>
      <c r="K203" s="13">
        <f>IF(J203=1,MONTH(AK203),)</f>
        <v>0</v>
      </c>
      <c r="L203" s="13">
        <f t="shared" si="51"/>
        <v>0</v>
      </c>
      <c r="M203" s="13">
        <f t="shared" si="52"/>
        <v>1900</v>
      </c>
      <c r="N203" s="13">
        <f t="shared" si="53"/>
        <v>0</v>
      </c>
      <c r="O203" s="13">
        <f>IF(N203=1,MONTH(AN203),)</f>
        <v>0</v>
      </c>
      <c r="P203" s="13">
        <f t="shared" si="54"/>
        <v>0</v>
      </c>
      <c r="Q203" s="13">
        <f t="shared" si="55"/>
        <v>1900</v>
      </c>
      <c r="S203" s="38" t="s">
        <v>312</v>
      </c>
      <c r="T203" s="11" t="s">
        <v>151</v>
      </c>
      <c r="U203" s="11" t="s">
        <v>26</v>
      </c>
      <c r="V203" s="39" t="s">
        <v>38</v>
      </c>
      <c r="W203" s="39" t="s">
        <v>27</v>
      </c>
      <c r="X203" s="13" t="s">
        <v>313</v>
      </c>
      <c r="Y203" s="13" t="s">
        <v>29</v>
      </c>
      <c r="Z203" s="66">
        <v>43314</v>
      </c>
      <c r="AA203" s="67">
        <v>221280</v>
      </c>
      <c r="AD203" s="10"/>
      <c r="AF203" s="66">
        <v>43327</v>
      </c>
      <c r="AG203" s="67">
        <v>229000</v>
      </c>
      <c r="AH203" s="16">
        <f>AF203-Z203</f>
        <v>13</v>
      </c>
      <c r="AI203" s="16">
        <f>AG203-AA203</f>
        <v>7720</v>
      </c>
      <c r="AJ203" s="36">
        <f>AI203/AA203</f>
        <v>3.4887924801156905E-2</v>
      </c>
      <c r="AN203" s="66"/>
      <c r="AT203" s="9"/>
      <c r="AU203" s="6" t="str">
        <f>IF(AND(AU$2&gt;$Z203,$Z203&gt;0,OR($AN203&gt;AU$2,ISBLANK($AN203))),AU$2-$Z203,"")</f>
        <v/>
      </c>
      <c r="AV203" s="6" t="str">
        <f>IF(AND(AV$2&gt;$Z203,$Z203&gt;0,OR($AN203&gt;AV$2,ISBLANK($AN203))),AV$2-$Z203,"")</f>
        <v/>
      </c>
      <c r="AW203" s="6" t="str">
        <f>IF(AND(AW$2&gt;$Z203,$Z203&gt;0,OR($AN203&gt;AW$2,ISBLANK($AN203))),AW$2-$Z203,"")</f>
        <v/>
      </c>
      <c r="AX203" s="6">
        <f>IF(AND(AX$2&gt;$Z203,$Z203&gt;0,OR($AN203&gt;AX$2,ISBLANK($AN203))),AX$2-$Z203,"")</f>
        <v>29</v>
      </c>
      <c r="AY203" s="6">
        <f>IF(AND(AY$2&gt;$Z203,$Z203&gt;0,OR($AN203&gt;AY$2,ISBLANK($AN203))),AY$2-$Z203,"")</f>
        <v>59</v>
      </c>
      <c r="AZ203" s="6">
        <f ca="1">IF(AND(AZ$2&gt;$Z203,$Z203&gt;0,OR($AN203&gt;AZ$2,ISBLANK($AN203))),AZ$2-$Z203,"")</f>
        <v>77.382289814813703</v>
      </c>
      <c r="BA203" s="6"/>
      <c r="BB203" s="6"/>
      <c r="BC203" s="6"/>
      <c r="BD203" s="6"/>
    </row>
    <row r="204" spans="2:56" x14ac:dyDescent="0.25">
      <c r="B204" s="13">
        <f t="shared" si="42"/>
        <v>1</v>
      </c>
      <c r="C204" s="13">
        <f t="shared" si="43"/>
        <v>7</v>
      </c>
      <c r="D204" s="13">
        <f t="shared" si="44"/>
        <v>3</v>
      </c>
      <c r="E204" s="13">
        <f t="shared" si="45"/>
        <v>2018</v>
      </c>
      <c r="F204" s="13">
        <f t="shared" si="46"/>
        <v>1</v>
      </c>
      <c r="G204" s="13">
        <f t="shared" si="47"/>
        <v>7</v>
      </c>
      <c r="H204" s="13">
        <f t="shared" si="48"/>
        <v>3</v>
      </c>
      <c r="I204" s="13">
        <f t="shared" si="49"/>
        <v>2018</v>
      </c>
      <c r="J204" s="13">
        <f t="shared" si="50"/>
        <v>1</v>
      </c>
      <c r="K204" s="13">
        <f>IF(J204=1,MONTH(AK204),)</f>
        <v>7</v>
      </c>
      <c r="L204" s="13">
        <f t="shared" si="51"/>
        <v>3</v>
      </c>
      <c r="M204" s="13">
        <f t="shared" si="52"/>
        <v>2018</v>
      </c>
      <c r="N204" s="13">
        <f t="shared" si="53"/>
        <v>1</v>
      </c>
      <c r="O204" s="13">
        <f>IF(N204=1,MONTH(AN204),)</f>
        <v>7</v>
      </c>
      <c r="P204" s="13">
        <f t="shared" si="54"/>
        <v>3</v>
      </c>
      <c r="Q204" s="13">
        <f t="shared" si="55"/>
        <v>2018</v>
      </c>
      <c r="S204" s="38" t="s">
        <v>418</v>
      </c>
      <c r="T204" s="11" t="s">
        <v>80</v>
      </c>
      <c r="U204" s="11" t="s">
        <v>26</v>
      </c>
      <c r="V204" s="39" t="s">
        <v>38</v>
      </c>
      <c r="W204" s="39" t="s">
        <v>27</v>
      </c>
      <c r="X204" s="4" t="s">
        <v>419</v>
      </c>
      <c r="Y204" s="4" t="s">
        <v>322</v>
      </c>
      <c r="Z204" s="66">
        <v>43283</v>
      </c>
      <c r="AA204" s="67">
        <v>268000</v>
      </c>
      <c r="AD204" s="10"/>
      <c r="AF204" s="66">
        <v>43295</v>
      </c>
      <c r="AG204" s="67">
        <v>279900</v>
      </c>
      <c r="AH204" s="16">
        <f>AF204-Z204</f>
        <v>12</v>
      </c>
      <c r="AI204" s="16">
        <f>AG204-AA204</f>
        <v>11900</v>
      </c>
      <c r="AJ204" s="36">
        <f>AI204/AA204</f>
        <v>4.4402985074626866E-2</v>
      </c>
      <c r="AK204" s="66">
        <v>43298</v>
      </c>
      <c r="AL204" s="67">
        <v>279900</v>
      </c>
      <c r="AM204" s="6">
        <f>AK204-AF204</f>
        <v>3</v>
      </c>
      <c r="AN204" s="66">
        <v>43308</v>
      </c>
      <c r="AO204" s="67">
        <v>279900</v>
      </c>
      <c r="AP204" s="6">
        <f>AN204-AK204</f>
        <v>10</v>
      </c>
      <c r="AQ204" s="6">
        <f>AH204+AM204+AP204</f>
        <v>25</v>
      </c>
      <c r="AR204" s="6">
        <f>AO204-AA204</f>
        <v>11900</v>
      </c>
      <c r="AS204" s="8">
        <f>AR204/AA204</f>
        <v>4.4402985074626866E-2</v>
      </c>
      <c r="AT204" s="9"/>
      <c r="AU204" s="6" t="str">
        <f>IF(AND(AU$2&gt;$Z204,$Z204&gt;0,OR($AN204&gt;AU$2,ISBLANK($AN204))),AU$2-$Z204,"")</f>
        <v/>
      </c>
      <c r="AV204" s="6" t="str">
        <f>IF(AND(AV$2&gt;$Z204,$Z204&gt;0,OR($AN204&gt;AV$2,ISBLANK($AN204))),AV$2-$Z204,"")</f>
        <v/>
      </c>
      <c r="AW204" s="6" t="str">
        <f>IF(AND(AW$2&gt;$Z204,$Z204&gt;0,OR($AN204&gt;AW$2,ISBLANK($AN204))),AW$2-$Z204,"")</f>
        <v/>
      </c>
      <c r="AX204" s="6" t="str">
        <f>IF(AND(AX$2&gt;$Z204,$Z204&gt;0,OR($AN204&gt;AX$2,ISBLANK($AN204))),AX$2-$Z204,"")</f>
        <v/>
      </c>
      <c r="AY204" s="6" t="str">
        <f>IF(AND(AY$2&gt;$Z204,$Z204&gt;0,OR($AN204&gt;AY$2,ISBLANK($AN204))),AY$2-$Z204,"")</f>
        <v/>
      </c>
      <c r="AZ204" s="6" t="str">
        <f ca="1">IF(AND(AZ$2&gt;$Z204,$Z204&gt;0,OR($AN204&gt;AZ$2,ISBLANK($AN204))),AZ$2-$Z204,"")</f>
        <v/>
      </c>
      <c r="BA204" s="6"/>
      <c r="BB204" s="6"/>
      <c r="BC204" s="6"/>
      <c r="BD204" s="6"/>
    </row>
    <row r="205" spans="2:56" x14ac:dyDescent="0.25">
      <c r="B205" s="13">
        <f t="shared" si="42"/>
        <v>1</v>
      </c>
      <c r="C205" s="13">
        <f t="shared" si="43"/>
        <v>9</v>
      </c>
      <c r="D205" s="13">
        <f t="shared" si="44"/>
        <v>3</v>
      </c>
      <c r="E205" s="13">
        <f t="shared" si="45"/>
        <v>2018</v>
      </c>
      <c r="F205" s="13">
        <f t="shared" si="46"/>
        <v>1</v>
      </c>
      <c r="G205" s="13">
        <f t="shared" si="47"/>
        <v>10</v>
      </c>
      <c r="H205" s="13">
        <f t="shared" si="48"/>
        <v>4</v>
      </c>
      <c r="I205" s="13">
        <f t="shared" si="49"/>
        <v>2018</v>
      </c>
      <c r="J205" s="13">
        <f t="shared" si="50"/>
        <v>0</v>
      </c>
      <c r="K205" s="13">
        <f>IF(J205=1,MONTH(AK205),)</f>
        <v>0</v>
      </c>
      <c r="L205" s="13">
        <f t="shared" si="51"/>
        <v>0</v>
      </c>
      <c r="M205" s="13">
        <f t="shared" si="52"/>
        <v>1900</v>
      </c>
      <c r="N205" s="13">
        <f t="shared" si="53"/>
        <v>0</v>
      </c>
      <c r="O205" s="13">
        <f>IF(N205=1,MONTH(AN205),)</f>
        <v>0</v>
      </c>
      <c r="P205" s="13">
        <f t="shared" si="54"/>
        <v>0</v>
      </c>
      <c r="Q205" s="13">
        <f t="shared" si="55"/>
        <v>1900</v>
      </c>
      <c r="S205" s="38" t="s">
        <v>314</v>
      </c>
      <c r="T205" s="11" t="s">
        <v>315</v>
      </c>
      <c r="U205" s="11" t="s">
        <v>26</v>
      </c>
      <c r="V205" s="39" t="s">
        <v>38</v>
      </c>
      <c r="W205" s="39" t="s">
        <v>27</v>
      </c>
      <c r="X205" s="4" t="s">
        <v>316</v>
      </c>
      <c r="Y205" s="4" t="s">
        <v>29</v>
      </c>
      <c r="Z205" s="66">
        <v>43369</v>
      </c>
      <c r="AA205" s="67">
        <v>150000</v>
      </c>
      <c r="AD205" s="10"/>
      <c r="AF205" s="66">
        <v>43383</v>
      </c>
      <c r="AG205" s="67">
        <v>164000</v>
      </c>
      <c r="AH205" s="16">
        <f>AF205-Z205</f>
        <v>14</v>
      </c>
      <c r="AI205" s="16">
        <f>AG205-AA205</f>
        <v>14000</v>
      </c>
      <c r="AJ205" s="36">
        <f>AI205/AA205</f>
        <v>9.3333333333333338E-2</v>
      </c>
      <c r="AN205" s="66"/>
      <c r="AT205" s="9"/>
      <c r="AU205" s="6" t="str">
        <f>IF(AND(AU$2&gt;$Z205,$Z205&gt;0,OR($AN205&gt;AU$2,ISBLANK($AN205))),AU$2-$Z205,"")</f>
        <v/>
      </c>
      <c r="AV205" s="6" t="str">
        <f>IF(AND(AV$2&gt;$Z205,$Z205&gt;0,OR($AN205&gt;AV$2,ISBLANK($AN205))),AV$2-$Z205,"")</f>
        <v/>
      </c>
      <c r="AW205" s="6" t="str">
        <f>IF(AND(AW$2&gt;$Z205,$Z205&gt;0,OR($AN205&gt;AW$2,ISBLANK($AN205))),AW$2-$Z205,"")</f>
        <v/>
      </c>
      <c r="AX205" s="6" t="str">
        <f>IF(AND(AX$2&gt;$Z205,$Z205&gt;0,OR($AN205&gt;AX$2,ISBLANK($AN205))),AX$2-$Z205,"")</f>
        <v/>
      </c>
      <c r="AY205" s="6">
        <f>IF(AND(AY$2&gt;$Z205,$Z205&gt;0,OR($AN205&gt;AY$2,ISBLANK($AN205))),AY$2-$Z205,"")</f>
        <v>4</v>
      </c>
      <c r="AZ205" s="6">
        <f ca="1">IF(AND(AZ$2&gt;$Z205,$Z205&gt;0,OR($AN205&gt;AZ$2,ISBLANK($AN205))),AZ$2-$Z205,"")</f>
        <v>22.382289814813703</v>
      </c>
      <c r="BA205" s="6"/>
      <c r="BB205" s="6"/>
      <c r="BC205" s="6"/>
      <c r="BD205" s="6"/>
    </row>
    <row r="206" spans="2:56" x14ac:dyDescent="0.25">
      <c r="B206" s="13">
        <f t="shared" si="42"/>
        <v>1</v>
      </c>
      <c r="C206" s="13">
        <f t="shared" si="43"/>
        <v>10</v>
      </c>
      <c r="D206" s="13">
        <f t="shared" si="44"/>
        <v>4</v>
      </c>
      <c r="E206" s="13">
        <f t="shared" si="45"/>
        <v>2018</v>
      </c>
      <c r="F206" s="13">
        <f t="shared" si="46"/>
        <v>0</v>
      </c>
      <c r="G206" s="13">
        <f t="shared" si="47"/>
        <v>1</v>
      </c>
      <c r="H206" s="13">
        <f t="shared" si="48"/>
        <v>1</v>
      </c>
      <c r="I206" s="13">
        <f t="shared" si="49"/>
        <v>1900</v>
      </c>
      <c r="J206" s="13">
        <f t="shared" si="50"/>
        <v>0</v>
      </c>
      <c r="K206" s="13">
        <f>IF(J206=1,MONTH(AK206),)</f>
        <v>0</v>
      </c>
      <c r="L206" s="13">
        <f t="shared" si="51"/>
        <v>0</v>
      </c>
      <c r="M206" s="13">
        <f t="shared" si="52"/>
        <v>1900</v>
      </c>
      <c r="N206" s="13">
        <f t="shared" si="53"/>
        <v>0</v>
      </c>
      <c r="O206" s="13">
        <f>IF(N206=1,MONTH(AN206),)</f>
        <v>0</v>
      </c>
      <c r="P206" s="13">
        <f t="shared" si="54"/>
        <v>0</v>
      </c>
      <c r="Q206" s="13">
        <f t="shared" si="55"/>
        <v>1900</v>
      </c>
      <c r="S206" s="38" t="s">
        <v>571</v>
      </c>
      <c r="T206" s="11" t="s">
        <v>572</v>
      </c>
      <c r="U206" s="11" t="s">
        <v>513</v>
      </c>
      <c r="V206" s="39" t="s">
        <v>514</v>
      </c>
      <c r="W206" s="39" t="s">
        <v>515</v>
      </c>
      <c r="X206" s="39"/>
      <c r="Z206" s="66">
        <v>43384</v>
      </c>
      <c r="AA206" s="67">
        <v>244000</v>
      </c>
      <c r="AD206" s="10"/>
      <c r="AG206" s="67">
        <v>249900</v>
      </c>
      <c r="AH206" s="16"/>
      <c r="AI206" s="16">
        <f>AG206-AA206</f>
        <v>5900</v>
      </c>
      <c r="AJ206" s="36">
        <f>AI206/AA206</f>
        <v>2.418032786885246E-2</v>
      </c>
      <c r="AN206" s="66"/>
      <c r="AT206" s="9"/>
      <c r="AU206" s="6" t="str">
        <f>IF(AND(AU$2&gt;$Z206,$Z206&gt;0,OR($AN206&gt;AU$2,ISBLANK($AN206))),AU$2-$Z206,"")</f>
        <v/>
      </c>
      <c r="AV206" s="6" t="str">
        <f>IF(AND(AV$2&gt;$Z206,$Z206&gt;0,OR($AN206&gt;AV$2,ISBLANK($AN206))),AV$2-$Z206,"")</f>
        <v/>
      </c>
      <c r="AW206" s="6" t="str">
        <f>IF(AND(AW$2&gt;$Z206,$Z206&gt;0,OR($AN206&gt;AW$2,ISBLANK($AN206))),AW$2-$Z206,"")</f>
        <v/>
      </c>
      <c r="AX206" s="6" t="str">
        <f>IF(AND(AX$2&gt;$Z206,$Z206&gt;0,OR($AN206&gt;AX$2,ISBLANK($AN206))),AX$2-$Z206,"")</f>
        <v/>
      </c>
      <c r="AY206" s="6" t="str">
        <f>IF(AND(AY$2&gt;$Z206,$Z206&gt;0,OR($AN206&gt;AY$2,ISBLANK($AN206))),AY$2-$Z206,"")</f>
        <v/>
      </c>
      <c r="AZ206" s="6">
        <f ca="1">IF(AND(AZ$2&gt;$Z206,$Z206&gt;0,OR($AN206&gt;AZ$2,ISBLANK($AN206))),AZ$2-$Z206,"")</f>
        <v>7.3822898148137028</v>
      </c>
      <c r="BA206" s="6"/>
      <c r="BB206" s="6"/>
      <c r="BC206" s="6"/>
      <c r="BD206" s="6"/>
    </row>
    <row r="207" spans="2:56" x14ac:dyDescent="0.25">
      <c r="B207" s="13">
        <f t="shared" si="42"/>
        <v>1</v>
      </c>
      <c r="C207" s="13">
        <f t="shared" si="43"/>
        <v>10</v>
      </c>
      <c r="D207" s="13">
        <f t="shared" si="44"/>
        <v>4</v>
      </c>
      <c r="E207" s="13">
        <f t="shared" si="45"/>
        <v>2018</v>
      </c>
      <c r="F207" s="13">
        <f t="shared" si="46"/>
        <v>0</v>
      </c>
      <c r="G207" s="13">
        <f t="shared" si="47"/>
        <v>1</v>
      </c>
      <c r="H207" s="13">
        <f t="shared" si="48"/>
        <v>1</v>
      </c>
      <c r="I207" s="13">
        <f t="shared" si="49"/>
        <v>1900</v>
      </c>
      <c r="J207" s="13">
        <f t="shared" si="50"/>
        <v>0</v>
      </c>
      <c r="K207" s="13">
        <f>IF(J207=1,MONTH(AK207),)</f>
        <v>0</v>
      </c>
      <c r="L207" s="13">
        <f t="shared" si="51"/>
        <v>0</v>
      </c>
      <c r="M207" s="13">
        <f t="shared" si="52"/>
        <v>1900</v>
      </c>
      <c r="N207" s="13">
        <f t="shared" si="53"/>
        <v>0</v>
      </c>
      <c r="O207" s="13">
        <f>IF(N207=1,MONTH(AN207),)</f>
        <v>0</v>
      </c>
      <c r="P207" s="13">
        <f t="shared" si="54"/>
        <v>0</v>
      </c>
      <c r="Q207" s="13">
        <f t="shared" si="55"/>
        <v>1900</v>
      </c>
      <c r="S207" s="38" t="s">
        <v>511</v>
      </c>
      <c r="T207" s="11" t="s">
        <v>512</v>
      </c>
      <c r="U207" s="11" t="s">
        <v>513</v>
      </c>
      <c r="V207" s="39" t="s">
        <v>514</v>
      </c>
      <c r="W207" s="39" t="s">
        <v>515</v>
      </c>
      <c r="X207" s="13"/>
      <c r="Z207" s="66">
        <v>43385</v>
      </c>
      <c r="AA207" s="67">
        <v>188800</v>
      </c>
      <c r="AG207" s="67">
        <v>193900</v>
      </c>
      <c r="AI207" s="6">
        <f>AG207-AA207</f>
        <v>5100</v>
      </c>
      <c r="AJ207" s="8">
        <f>AI207/AA207</f>
        <v>2.7012711864406781E-2</v>
      </c>
      <c r="AU207" s="6" t="str">
        <f>IF(AND(AU$2&gt;$Z207,$Z207&gt;0,OR($AN207&gt;AU$2,ISBLANK($AN207))),AU$2-$Z207,"")</f>
        <v/>
      </c>
      <c r="AV207" s="6" t="str">
        <f>IF(AND(AV$2&gt;$Z207,$Z207&gt;0,OR($AN207&gt;AV$2,ISBLANK($AN207))),AV$2-$Z207,"")</f>
        <v/>
      </c>
      <c r="AW207" s="6" t="str">
        <f>IF(AND(AW$2&gt;$Z207,$Z207&gt;0,OR($AN207&gt;AW$2,ISBLANK($AN207))),AW$2-$Z207,"")</f>
        <v/>
      </c>
      <c r="AX207" s="6" t="str">
        <f>IF(AND(AX$2&gt;$Z207,$Z207&gt;0,OR($AN207&gt;AX$2,ISBLANK($AN207))),AX$2-$Z207,"")</f>
        <v/>
      </c>
      <c r="AY207" s="6" t="str">
        <f>IF(AND(AY$2&gt;$Z207,$Z207&gt;0,OR($AN207&gt;AY$2,ISBLANK($AN207))),AY$2-$Z207,"")</f>
        <v/>
      </c>
      <c r="AZ207" s="6">
        <f ca="1">IF(AND(AZ$2&gt;$Z207,$Z207&gt;0,OR($AN207&gt;AZ$2,ISBLANK($AN207))),AZ$2-$Z207,"")</f>
        <v>6.3822898148137028</v>
      </c>
    </row>
    <row r="208" spans="2:56" x14ac:dyDescent="0.25">
      <c r="B208" s="13">
        <f t="shared" si="42"/>
        <v>1</v>
      </c>
      <c r="C208" s="13">
        <f t="shared" si="43"/>
        <v>10</v>
      </c>
      <c r="D208" s="13">
        <f t="shared" si="44"/>
        <v>4</v>
      </c>
      <c r="E208" s="13">
        <f t="shared" si="45"/>
        <v>2018</v>
      </c>
      <c r="F208" s="13">
        <f t="shared" si="46"/>
        <v>0</v>
      </c>
      <c r="G208" s="13">
        <f t="shared" si="47"/>
        <v>1</v>
      </c>
      <c r="H208" s="13">
        <f t="shared" si="48"/>
        <v>1</v>
      </c>
      <c r="I208" s="13">
        <f t="shared" si="49"/>
        <v>1900</v>
      </c>
      <c r="J208" s="13">
        <f t="shared" si="50"/>
        <v>0</v>
      </c>
      <c r="K208" s="13">
        <f>IF(J208=1,MONTH(AK208),)</f>
        <v>0</v>
      </c>
      <c r="L208" s="13">
        <f t="shared" si="51"/>
        <v>0</v>
      </c>
      <c r="M208" s="13">
        <f t="shared" si="52"/>
        <v>1900</v>
      </c>
      <c r="N208" s="13">
        <f t="shared" si="53"/>
        <v>0</v>
      </c>
      <c r="O208" s="13">
        <f>IF(N208=1,MONTH(AN208),)</f>
        <v>0</v>
      </c>
      <c r="P208" s="13">
        <f t="shared" si="54"/>
        <v>0</v>
      </c>
      <c r="Q208" s="13">
        <f t="shared" si="55"/>
        <v>1900</v>
      </c>
      <c r="S208" s="38" t="s">
        <v>575</v>
      </c>
      <c r="T208" s="11" t="s">
        <v>576</v>
      </c>
      <c r="U208" s="11" t="s">
        <v>513</v>
      </c>
      <c r="V208" s="39" t="s">
        <v>514</v>
      </c>
      <c r="W208" s="39" t="s">
        <v>577</v>
      </c>
      <c r="X208" s="39"/>
      <c r="Z208" s="66">
        <v>43382</v>
      </c>
      <c r="AA208" s="67">
        <v>490000</v>
      </c>
      <c r="AD208" s="10"/>
      <c r="AG208" s="67">
        <v>494900</v>
      </c>
      <c r="AH208" s="16"/>
      <c r="AI208" s="16">
        <f>AG208-AA208</f>
        <v>4900</v>
      </c>
      <c r="AJ208" s="36">
        <f>AI208/AA208</f>
        <v>0.01</v>
      </c>
      <c r="AN208" s="66"/>
      <c r="AT208" s="9"/>
      <c r="AU208" s="6" t="str">
        <f>IF(AND(AU$2&gt;$Z208,$Z208&gt;0,OR($AN208&gt;AU$2,ISBLANK($AN208))),AU$2-$Z208,"")</f>
        <v/>
      </c>
      <c r="AV208" s="6" t="str">
        <f>IF(AND(AV$2&gt;$Z208,$Z208&gt;0,OR($AN208&gt;AV$2,ISBLANK($AN208))),AV$2-$Z208,"")</f>
        <v/>
      </c>
      <c r="AW208" s="6" t="str">
        <f>IF(AND(AW$2&gt;$Z208,$Z208&gt;0,OR($AN208&gt;AW$2,ISBLANK($AN208))),AW$2-$Z208,"")</f>
        <v/>
      </c>
      <c r="AX208" s="6" t="str">
        <f>IF(AND(AX$2&gt;$Z208,$Z208&gt;0,OR($AN208&gt;AX$2,ISBLANK($AN208))),AX$2-$Z208,"")</f>
        <v/>
      </c>
      <c r="AY208" s="6" t="str">
        <f>IF(AND(AY$2&gt;$Z208,$Z208&gt;0,OR($AN208&gt;AY$2,ISBLANK($AN208))),AY$2-$Z208,"")</f>
        <v/>
      </c>
      <c r="AZ208" s="6">
        <f ca="1">IF(AND(AZ$2&gt;$Z208,$Z208&gt;0,OR($AN208&gt;AZ$2,ISBLANK($AN208))),AZ$2-$Z208,"")</f>
        <v>9.3822898148137028</v>
      </c>
      <c r="BA208" s="6"/>
      <c r="BB208" s="6"/>
      <c r="BC208" s="6"/>
      <c r="BD208" s="6"/>
    </row>
    <row r="209" spans="2:56" x14ac:dyDescent="0.25">
      <c r="B209" s="13">
        <f t="shared" si="42"/>
        <v>1</v>
      </c>
      <c r="C209" s="13">
        <f t="shared" si="43"/>
        <v>10</v>
      </c>
      <c r="D209" s="13">
        <f t="shared" si="44"/>
        <v>4</v>
      </c>
      <c r="E209" s="13">
        <f t="shared" si="45"/>
        <v>2018</v>
      </c>
      <c r="F209" s="13">
        <f t="shared" si="46"/>
        <v>0</v>
      </c>
      <c r="G209" s="13">
        <f t="shared" si="47"/>
        <v>1</v>
      </c>
      <c r="H209" s="13">
        <f t="shared" si="48"/>
        <v>1</v>
      </c>
      <c r="I209" s="13">
        <f t="shared" si="49"/>
        <v>1900</v>
      </c>
      <c r="J209" s="13">
        <f t="shared" si="50"/>
        <v>0</v>
      </c>
      <c r="K209" s="13">
        <f>IF(J209=1,MONTH(AK209),)</f>
        <v>0</v>
      </c>
      <c r="L209" s="13">
        <f t="shared" si="51"/>
        <v>0</v>
      </c>
      <c r="M209" s="13">
        <f t="shared" si="52"/>
        <v>1900</v>
      </c>
      <c r="N209" s="13">
        <f t="shared" si="53"/>
        <v>0</v>
      </c>
      <c r="O209" s="13">
        <f>IF(N209=1,MONTH(AN209),)</f>
        <v>0</v>
      </c>
      <c r="P209" s="13">
        <f t="shared" si="54"/>
        <v>0</v>
      </c>
      <c r="Q209" s="13">
        <f t="shared" si="55"/>
        <v>1900</v>
      </c>
      <c r="S209" s="38" t="s">
        <v>573</v>
      </c>
      <c r="T209" s="11" t="s">
        <v>574</v>
      </c>
      <c r="U209" s="11" t="s">
        <v>513</v>
      </c>
      <c r="V209" s="39" t="s">
        <v>514</v>
      </c>
      <c r="W209" s="39" t="s">
        <v>515</v>
      </c>
      <c r="X209" s="39"/>
      <c r="Z209" s="66">
        <v>43384</v>
      </c>
      <c r="AA209" s="67">
        <v>225800</v>
      </c>
      <c r="AD209" s="10"/>
      <c r="AG209" s="67">
        <v>229900</v>
      </c>
      <c r="AH209" s="16"/>
      <c r="AI209" s="16">
        <f>AG209-AA209</f>
        <v>4100</v>
      </c>
      <c r="AJ209" s="36">
        <f>AI209/AA209</f>
        <v>1.8157661647475641E-2</v>
      </c>
      <c r="AN209" s="66"/>
      <c r="AT209" s="9"/>
      <c r="AU209" s="6" t="str">
        <f>IF(AND(AU$2&gt;$Z209,$Z209&gt;0,OR($AN209&gt;AU$2,ISBLANK($AN209))),AU$2-$Z209,"")</f>
        <v/>
      </c>
      <c r="AV209" s="6" t="str">
        <f>IF(AND(AV$2&gt;$Z209,$Z209&gt;0,OR($AN209&gt;AV$2,ISBLANK($AN209))),AV$2-$Z209,"")</f>
        <v/>
      </c>
      <c r="AW209" s="6" t="str">
        <f>IF(AND(AW$2&gt;$Z209,$Z209&gt;0,OR($AN209&gt;AW$2,ISBLANK($AN209))),AW$2-$Z209,"")</f>
        <v/>
      </c>
      <c r="AX209" s="6" t="str">
        <f>IF(AND(AX$2&gt;$Z209,$Z209&gt;0,OR($AN209&gt;AX$2,ISBLANK($AN209))),AX$2-$Z209,"")</f>
        <v/>
      </c>
      <c r="AY209" s="6" t="str">
        <f>IF(AND(AY$2&gt;$Z209,$Z209&gt;0,OR($AN209&gt;AY$2,ISBLANK($AN209))),AY$2-$Z209,"")</f>
        <v/>
      </c>
      <c r="AZ209" s="6">
        <f ca="1">IF(AND(AZ$2&gt;$Z209,$Z209&gt;0,OR($AN209&gt;AZ$2,ISBLANK($AN209))),AZ$2-$Z209,"")</f>
        <v>7.3822898148137028</v>
      </c>
      <c r="BA209" s="6"/>
      <c r="BB209" s="6"/>
      <c r="BC209" s="6"/>
      <c r="BD209" s="6"/>
    </row>
    <row r="210" spans="2:56" x14ac:dyDescent="0.25">
      <c r="B210" s="13">
        <f t="shared" si="42"/>
        <v>1</v>
      </c>
      <c r="C210" s="13">
        <f t="shared" si="43"/>
        <v>10</v>
      </c>
      <c r="D210" s="13">
        <f t="shared" si="44"/>
        <v>4</v>
      </c>
      <c r="E210" s="13">
        <f t="shared" si="45"/>
        <v>2018</v>
      </c>
      <c r="F210" s="13">
        <f t="shared" si="46"/>
        <v>0</v>
      </c>
      <c r="G210" s="13">
        <f t="shared" si="47"/>
        <v>1</v>
      </c>
      <c r="H210" s="13">
        <f t="shared" si="48"/>
        <v>1</v>
      </c>
      <c r="I210" s="13">
        <f t="shared" si="49"/>
        <v>1900</v>
      </c>
      <c r="J210" s="13">
        <f t="shared" si="50"/>
        <v>0</v>
      </c>
      <c r="K210" s="13">
        <f>IF(J210=1,MONTH(AK210),)</f>
        <v>0</v>
      </c>
      <c r="L210" s="13">
        <f t="shared" si="51"/>
        <v>0</v>
      </c>
      <c r="M210" s="13">
        <f t="shared" si="52"/>
        <v>1900</v>
      </c>
      <c r="N210" s="13">
        <f t="shared" si="53"/>
        <v>0</v>
      </c>
      <c r="O210" s="13">
        <f>IF(N210=1,MONTH(AN210),)</f>
        <v>0</v>
      </c>
      <c r="P210" s="13">
        <f t="shared" si="54"/>
        <v>0</v>
      </c>
      <c r="Q210" s="13">
        <f t="shared" si="55"/>
        <v>1900</v>
      </c>
      <c r="S210" s="38" t="s">
        <v>578</v>
      </c>
      <c r="T210" s="11" t="s">
        <v>579</v>
      </c>
      <c r="U210" s="11" t="s">
        <v>513</v>
      </c>
      <c r="V210" s="39" t="s">
        <v>514</v>
      </c>
      <c r="W210" s="39" t="s">
        <v>515</v>
      </c>
      <c r="X210" s="39"/>
      <c r="Y210" s="13"/>
      <c r="Z210" s="66">
        <v>43388</v>
      </c>
      <c r="AA210" s="67">
        <v>352800</v>
      </c>
      <c r="AD210" s="10"/>
      <c r="AG210" s="67">
        <v>363900</v>
      </c>
      <c r="AH210" s="16"/>
      <c r="AI210" s="16">
        <f>AG210-AA210</f>
        <v>11100</v>
      </c>
      <c r="AJ210" s="36">
        <f>AI210/AA210</f>
        <v>3.1462585034013606E-2</v>
      </c>
      <c r="AN210" s="66"/>
      <c r="AT210" s="9"/>
      <c r="AU210" s="6" t="str">
        <f>IF(AND(AU$2&gt;$Z210,$Z210&gt;0,OR($AN210&gt;AU$2,ISBLANK($AN210))),AU$2-$Z210,"")</f>
        <v/>
      </c>
      <c r="AV210" s="6" t="str">
        <f>IF(AND(AV$2&gt;$Z210,$Z210&gt;0,OR($AN210&gt;AV$2,ISBLANK($AN210))),AV$2-$Z210,"")</f>
        <v/>
      </c>
      <c r="AW210" s="6" t="str">
        <f>IF(AND(AW$2&gt;$Z210,$Z210&gt;0,OR($AN210&gt;AW$2,ISBLANK($AN210))),AW$2-$Z210,"")</f>
        <v/>
      </c>
      <c r="AX210" s="6" t="str">
        <f>IF(AND(AX$2&gt;$Z210,$Z210&gt;0,OR($AN210&gt;AX$2,ISBLANK($AN210))),AX$2-$Z210,"")</f>
        <v/>
      </c>
      <c r="AY210" s="6" t="str">
        <f>IF(AND(AY$2&gt;$Z210,$Z210&gt;0,OR($AN210&gt;AY$2,ISBLANK($AN210))),AY$2-$Z210,"")</f>
        <v/>
      </c>
      <c r="AZ210" s="6">
        <f ca="1">IF(AND(AZ$2&gt;$Z210,$Z210&gt;0,OR($AN210&gt;AZ$2,ISBLANK($AN210))),AZ$2-$Z210,"")</f>
        <v>3.3822898148137028</v>
      </c>
      <c r="BA210" s="6"/>
      <c r="BB210" s="6"/>
      <c r="BC210" s="6"/>
      <c r="BD210" s="6"/>
    </row>
    <row r="211" spans="2:56" x14ac:dyDescent="0.25">
      <c r="B211" s="13">
        <f t="shared" si="42"/>
        <v>1</v>
      </c>
      <c r="C211" s="13">
        <f t="shared" si="43"/>
        <v>9</v>
      </c>
      <c r="D211" s="13">
        <f t="shared" si="44"/>
        <v>3</v>
      </c>
      <c r="E211" s="13">
        <f t="shared" si="45"/>
        <v>2018</v>
      </c>
      <c r="F211" s="13">
        <f t="shared" si="46"/>
        <v>0</v>
      </c>
      <c r="G211" s="13">
        <f t="shared" si="47"/>
        <v>1</v>
      </c>
      <c r="H211" s="13">
        <f t="shared" si="48"/>
        <v>1</v>
      </c>
      <c r="I211" s="13">
        <f t="shared" si="49"/>
        <v>1900</v>
      </c>
      <c r="J211" s="13">
        <f t="shared" si="50"/>
        <v>0</v>
      </c>
      <c r="K211" s="13">
        <f>IF(J211=1,MONTH(AK211),)</f>
        <v>0</v>
      </c>
      <c r="L211" s="13">
        <f t="shared" si="51"/>
        <v>0</v>
      </c>
      <c r="M211" s="13">
        <f t="shared" si="52"/>
        <v>1900</v>
      </c>
      <c r="N211" s="13">
        <f t="shared" si="53"/>
        <v>0</v>
      </c>
      <c r="O211" s="13">
        <f>IF(N211=1,MONTH(AN211),)</f>
        <v>0</v>
      </c>
      <c r="P211" s="13">
        <f t="shared" si="54"/>
        <v>0</v>
      </c>
      <c r="Q211" s="13">
        <f t="shared" si="55"/>
        <v>1900</v>
      </c>
      <c r="S211" s="38" t="s">
        <v>370</v>
      </c>
      <c r="T211" s="11" t="s">
        <v>42</v>
      </c>
      <c r="U211" s="11" t="s">
        <v>319</v>
      </c>
      <c r="V211" s="39" t="s">
        <v>42</v>
      </c>
      <c r="W211" s="39" t="s">
        <v>320</v>
      </c>
      <c r="X211" s="39" t="s">
        <v>371</v>
      </c>
      <c r="Y211" s="4" t="s">
        <v>328</v>
      </c>
      <c r="Z211" s="66">
        <v>43371</v>
      </c>
      <c r="AA211" s="67">
        <v>393300</v>
      </c>
      <c r="AB211" s="6">
        <v>40</v>
      </c>
      <c r="AC211" s="6">
        <f>AA211*0.51%</f>
        <v>2005.8300000000002</v>
      </c>
      <c r="AD211" s="10">
        <f>AC211/AA211</f>
        <v>5.1000000000000004E-3</v>
      </c>
      <c r="AE211" s="7" t="s">
        <v>323</v>
      </c>
      <c r="AG211" s="67">
        <v>412000</v>
      </c>
      <c r="AH211" s="16"/>
      <c r="AI211" s="16">
        <f>AG211-AA211</f>
        <v>18700</v>
      </c>
      <c r="AJ211" s="36">
        <f>AI211/AA211</f>
        <v>4.7546402237477754E-2</v>
      </c>
      <c r="AN211" s="66"/>
      <c r="AT211" s="9"/>
      <c r="AU211" s="6" t="str">
        <f>IF(AND(AU$2&gt;$Z211,$Z211&gt;0,OR($AN211&gt;AU$2,ISBLANK($AN211))),AU$2-$Z211,"")</f>
        <v/>
      </c>
      <c r="AV211" s="6" t="str">
        <f>IF(AND(AV$2&gt;$Z211,$Z211&gt;0,OR($AN211&gt;AV$2,ISBLANK($AN211))),AV$2-$Z211,"")</f>
        <v/>
      </c>
      <c r="AW211" s="6" t="str">
        <f>IF(AND(AW$2&gt;$Z211,$Z211&gt;0,OR($AN211&gt;AW$2,ISBLANK($AN211))),AW$2-$Z211,"")</f>
        <v/>
      </c>
      <c r="AX211" s="6" t="str">
        <f>IF(AND(AX$2&gt;$Z211,$Z211&gt;0,OR($AN211&gt;AX$2,ISBLANK($AN211))),AX$2-$Z211,"")</f>
        <v/>
      </c>
      <c r="AY211" s="6">
        <f>IF(AND(AY$2&gt;$Z211,$Z211&gt;0,OR($AN211&gt;AY$2,ISBLANK($AN211))),AY$2-$Z211,"")</f>
        <v>2</v>
      </c>
      <c r="AZ211" s="6">
        <f ca="1">IF(AND(AZ$2&gt;$Z211,$Z211&gt;0,OR($AN211&gt;AZ$2,ISBLANK($AN211))),AZ$2-$Z211,"")</f>
        <v>20.382289814813703</v>
      </c>
      <c r="BA211" s="6"/>
      <c r="BB211" s="6"/>
      <c r="BC211" s="6"/>
      <c r="BD211" s="6"/>
    </row>
    <row r="212" spans="2:56" x14ac:dyDescent="0.25">
      <c r="B212" s="13">
        <f t="shared" si="42"/>
        <v>1</v>
      </c>
      <c r="C212" s="13">
        <f t="shared" si="43"/>
        <v>7</v>
      </c>
      <c r="D212" s="13">
        <f t="shared" si="44"/>
        <v>3</v>
      </c>
      <c r="E212" s="13">
        <f t="shared" si="45"/>
        <v>2018</v>
      </c>
      <c r="F212" s="13">
        <f t="shared" si="46"/>
        <v>1</v>
      </c>
      <c r="G212" s="13">
        <f t="shared" si="47"/>
        <v>8</v>
      </c>
      <c r="H212" s="13">
        <f t="shared" si="48"/>
        <v>3</v>
      </c>
      <c r="I212" s="13">
        <f t="shared" si="49"/>
        <v>2018</v>
      </c>
      <c r="J212" s="13">
        <f t="shared" si="50"/>
        <v>1</v>
      </c>
      <c r="K212" s="13">
        <f>IF(J212=1,MONTH(AK212),)</f>
        <v>10</v>
      </c>
      <c r="L212" s="13">
        <f t="shared" si="51"/>
        <v>4</v>
      </c>
      <c r="M212" s="13">
        <f t="shared" si="52"/>
        <v>2018</v>
      </c>
      <c r="N212" s="13">
        <f t="shared" si="53"/>
        <v>0</v>
      </c>
      <c r="O212" s="13">
        <f>IF(N212=1,MONTH(AN212),)</f>
        <v>0</v>
      </c>
      <c r="P212" s="13">
        <f t="shared" si="54"/>
        <v>0</v>
      </c>
      <c r="Q212" s="13">
        <f t="shared" si="55"/>
        <v>1900</v>
      </c>
      <c r="S212" s="38" t="s">
        <v>324</v>
      </c>
      <c r="T212" s="11" t="s">
        <v>325</v>
      </c>
      <c r="U212" s="11" t="s">
        <v>319</v>
      </c>
      <c r="V212" s="39" t="s">
        <v>42</v>
      </c>
      <c r="W212" s="39" t="s">
        <v>320</v>
      </c>
      <c r="X212" s="39" t="s">
        <v>381</v>
      </c>
      <c r="Y212" s="4" t="s">
        <v>328</v>
      </c>
      <c r="Z212" s="66">
        <v>43304</v>
      </c>
      <c r="AA212" s="67">
        <v>296000</v>
      </c>
      <c r="AB212" s="6">
        <v>40</v>
      </c>
      <c r="AC212" s="6">
        <f>AA212*0.51%</f>
        <v>1509.6000000000001</v>
      </c>
      <c r="AD212" s="10">
        <f>AC212/AA212</f>
        <v>5.1000000000000004E-3</v>
      </c>
      <c r="AE212" s="7" t="s">
        <v>323</v>
      </c>
      <c r="AF212" s="66">
        <v>43321</v>
      </c>
      <c r="AG212" s="67">
        <v>304900</v>
      </c>
      <c r="AH212" s="16">
        <f>AF212-Z212</f>
        <v>17</v>
      </c>
      <c r="AI212" s="16">
        <f>AG212-AA212</f>
        <v>8900</v>
      </c>
      <c r="AJ212" s="36">
        <f>AI212/AA212</f>
        <v>3.0067567567567569E-2</v>
      </c>
      <c r="AK212" s="66">
        <v>43382</v>
      </c>
      <c r="AL212" s="67">
        <v>304900</v>
      </c>
      <c r="AM212" s="6">
        <f>AK212-AF212</f>
        <v>61</v>
      </c>
      <c r="AN212" s="66"/>
      <c r="AT212" s="9"/>
      <c r="AU212" s="6" t="str">
        <f>IF(AND(AU$2&gt;$Z212,$Z212&gt;0,OR($AN212&gt;AU$2,ISBLANK($AN212))),AU$2-$Z212,"")</f>
        <v/>
      </c>
      <c r="AV212" s="6" t="str">
        <f>IF(AND(AV$2&gt;$Z212,$Z212&gt;0,OR($AN212&gt;AV$2,ISBLANK($AN212))),AV$2-$Z212,"")</f>
        <v/>
      </c>
      <c r="AW212" s="6">
        <f>IF(AND(AW$2&gt;$Z212,$Z212&gt;0,OR($AN212&gt;AW$2,ISBLANK($AN212))),AW$2-$Z212,"")</f>
        <v>8</v>
      </c>
      <c r="AX212" s="6">
        <f>IF(AND(AX$2&gt;$Z212,$Z212&gt;0,OR($AN212&gt;AX$2,ISBLANK($AN212))),AX$2-$Z212,"")</f>
        <v>39</v>
      </c>
      <c r="AY212" s="6">
        <f>IF(AND(AY$2&gt;$Z212,$Z212&gt;0,OR($AN212&gt;AY$2,ISBLANK($AN212))),AY$2-$Z212,"")</f>
        <v>69</v>
      </c>
      <c r="AZ212" s="6">
        <f ca="1">IF(AND(AZ$2&gt;$Z212,$Z212&gt;0,OR($AN212&gt;AZ$2,ISBLANK($AN212))),AZ$2-$Z212,"")</f>
        <v>87.382289814813703</v>
      </c>
      <c r="BA212" s="6"/>
      <c r="BB212" s="6"/>
      <c r="BC212" s="6"/>
      <c r="BD212" s="6"/>
    </row>
    <row r="213" spans="2:56" x14ac:dyDescent="0.25">
      <c r="B213" s="13">
        <f t="shared" si="42"/>
        <v>1</v>
      </c>
      <c r="C213" s="13">
        <f t="shared" si="43"/>
        <v>8</v>
      </c>
      <c r="D213" s="13">
        <f t="shared" si="44"/>
        <v>3</v>
      </c>
      <c r="E213" s="13">
        <f t="shared" si="45"/>
        <v>2018</v>
      </c>
      <c r="F213" s="13">
        <f t="shared" si="46"/>
        <v>1</v>
      </c>
      <c r="G213" s="13">
        <f t="shared" si="47"/>
        <v>9</v>
      </c>
      <c r="H213" s="13">
        <f t="shared" si="48"/>
        <v>3</v>
      </c>
      <c r="I213" s="13">
        <f t="shared" si="49"/>
        <v>2018</v>
      </c>
      <c r="J213" s="13">
        <f t="shared" si="50"/>
        <v>1</v>
      </c>
      <c r="K213" s="13">
        <f>IF(J213=1,MONTH(AK213),)</f>
        <v>9</v>
      </c>
      <c r="L213" s="13">
        <f t="shared" si="51"/>
        <v>3</v>
      </c>
      <c r="M213" s="13">
        <f t="shared" si="52"/>
        <v>2018</v>
      </c>
      <c r="N213" s="13">
        <f t="shared" si="53"/>
        <v>1</v>
      </c>
      <c r="O213" s="13">
        <f>IF(N213=1,MONTH(AN213),)</f>
        <v>10</v>
      </c>
      <c r="P213" s="13">
        <f t="shared" si="54"/>
        <v>4</v>
      </c>
      <c r="Q213" s="13">
        <f t="shared" si="55"/>
        <v>2018</v>
      </c>
      <c r="S213" s="38" t="s">
        <v>329</v>
      </c>
      <c r="T213" s="11" t="s">
        <v>325</v>
      </c>
      <c r="U213" s="11" t="s">
        <v>319</v>
      </c>
      <c r="V213" s="39" t="s">
        <v>42</v>
      </c>
      <c r="W213" s="39" t="s">
        <v>320</v>
      </c>
      <c r="X213" s="39" t="s">
        <v>330</v>
      </c>
      <c r="Y213" s="4" t="s">
        <v>328</v>
      </c>
      <c r="Z213" s="66">
        <v>43325</v>
      </c>
      <c r="AA213" s="67">
        <v>234280</v>
      </c>
      <c r="AB213" s="6">
        <v>40</v>
      </c>
      <c r="AC213" s="6">
        <v>1195.95</v>
      </c>
      <c r="AD213" s="10">
        <f>AC213/AA213</f>
        <v>5.1047891411985661E-3</v>
      </c>
      <c r="AE213" s="7" t="s">
        <v>323</v>
      </c>
      <c r="AF213" s="66">
        <v>43354</v>
      </c>
      <c r="AG213" s="67">
        <v>262300</v>
      </c>
      <c r="AH213" s="16">
        <f>AF213-Z213</f>
        <v>29</v>
      </c>
      <c r="AI213" s="16">
        <f>AG213-AA213</f>
        <v>28020</v>
      </c>
      <c r="AJ213" s="36">
        <f>AI213/AA213</f>
        <v>0.1196004780604405</v>
      </c>
      <c r="AK213" s="66">
        <v>43370</v>
      </c>
      <c r="AL213" s="67">
        <v>262300</v>
      </c>
      <c r="AM213" s="6">
        <f>AK213-AF213</f>
        <v>16</v>
      </c>
      <c r="AN213" s="66">
        <v>43378</v>
      </c>
      <c r="AO213" s="67">
        <v>265000</v>
      </c>
      <c r="AP213" s="6">
        <f>AN213-AK213</f>
        <v>8</v>
      </c>
      <c r="AQ213" s="6">
        <f>AH213+AM213+AP213</f>
        <v>53</v>
      </c>
      <c r="AR213" s="6">
        <f>AO213-AA213</f>
        <v>30720</v>
      </c>
      <c r="AS213" s="8">
        <f>AR213/AA213</f>
        <v>0.13112514939388767</v>
      </c>
      <c r="AT213" s="9"/>
      <c r="AU213" s="6" t="str">
        <f>IF(AND(AU$2&gt;$Z213,$Z213&gt;0,OR($AN213&gt;AU$2,ISBLANK($AN213))),AU$2-$Z213,"")</f>
        <v/>
      </c>
      <c r="AV213" s="6" t="str">
        <f>IF(AND(AV$2&gt;$Z213,$Z213&gt;0,OR($AN213&gt;AV$2,ISBLANK($AN213))),AV$2-$Z213,"")</f>
        <v/>
      </c>
      <c r="AW213" s="6" t="str">
        <f>IF(AND(AW$2&gt;$Z213,$Z213&gt;0,OR($AN213&gt;AW$2,ISBLANK($AN213))),AW$2-$Z213,"")</f>
        <v/>
      </c>
      <c r="AX213" s="6">
        <f>IF(AND(AX$2&gt;$Z213,$Z213&gt;0,OR($AN213&gt;AX$2,ISBLANK($AN213))),AX$2-$Z213,"")</f>
        <v>18</v>
      </c>
      <c r="AY213" s="6">
        <f>IF(AND(AY$2&gt;$Z213,$Z213&gt;0,OR($AN213&gt;AY$2,ISBLANK($AN213))),AY$2-$Z213,"")</f>
        <v>48</v>
      </c>
      <c r="AZ213" s="6" t="str">
        <f ca="1">IF(AND(AZ$2&gt;$Z213,$Z213&gt;0,OR($AN213&gt;AZ$2,ISBLANK($AN213))),AZ$2-$Z213,"")</f>
        <v/>
      </c>
      <c r="BA213" s="6"/>
      <c r="BB213" s="6"/>
      <c r="BC213" s="6"/>
      <c r="BD213" s="6"/>
    </row>
    <row r="214" spans="2:56" x14ac:dyDescent="0.25">
      <c r="B214" s="13">
        <f t="shared" si="42"/>
        <v>1</v>
      </c>
      <c r="C214" s="13">
        <f t="shared" si="43"/>
        <v>9</v>
      </c>
      <c r="D214" s="13">
        <f t="shared" si="44"/>
        <v>3</v>
      </c>
      <c r="E214" s="13">
        <f t="shared" si="45"/>
        <v>2018</v>
      </c>
      <c r="F214" s="13">
        <f t="shared" si="46"/>
        <v>0</v>
      </c>
      <c r="G214" s="13">
        <f t="shared" si="47"/>
        <v>1</v>
      </c>
      <c r="H214" s="13">
        <f t="shared" si="48"/>
        <v>1</v>
      </c>
      <c r="I214" s="13">
        <f t="shared" si="49"/>
        <v>1900</v>
      </c>
      <c r="J214" s="13">
        <f t="shared" si="50"/>
        <v>0</v>
      </c>
      <c r="K214" s="13">
        <f>IF(J214=1,MONTH(AK214),)</f>
        <v>0</v>
      </c>
      <c r="L214" s="13">
        <f t="shared" si="51"/>
        <v>0</v>
      </c>
      <c r="M214" s="13">
        <f t="shared" si="52"/>
        <v>1900</v>
      </c>
      <c r="N214" s="13">
        <f t="shared" si="53"/>
        <v>0</v>
      </c>
      <c r="O214" s="13">
        <f>IF(N214=1,MONTH(AN214),)</f>
        <v>0</v>
      </c>
      <c r="P214" s="13">
        <f t="shared" si="54"/>
        <v>0</v>
      </c>
      <c r="Q214" s="13">
        <f t="shared" si="55"/>
        <v>1900</v>
      </c>
      <c r="S214" s="38" t="s">
        <v>364</v>
      </c>
      <c r="T214" s="11" t="s">
        <v>42</v>
      </c>
      <c r="U214" s="11" t="s">
        <v>319</v>
      </c>
      <c r="V214" s="39" t="s">
        <v>42</v>
      </c>
      <c r="W214" s="39" t="s">
        <v>320</v>
      </c>
      <c r="X214" s="39" t="s">
        <v>365</v>
      </c>
      <c r="Y214" s="4" t="s">
        <v>328</v>
      </c>
      <c r="Z214" s="66">
        <v>43367</v>
      </c>
      <c r="AA214" s="67">
        <v>460300</v>
      </c>
      <c r="AB214" s="6">
        <v>40</v>
      </c>
      <c r="AC214" s="6">
        <v>2348.5500000000002</v>
      </c>
      <c r="AD214" s="10">
        <f>AC214/AA214</f>
        <v>5.102215946122095E-3</v>
      </c>
      <c r="AE214" s="7" t="s">
        <v>323</v>
      </c>
      <c r="AG214" s="67">
        <v>478400</v>
      </c>
      <c r="AH214" s="16"/>
      <c r="AI214" s="16">
        <f>AG214-AA214</f>
        <v>18100</v>
      </c>
      <c r="AJ214" s="36">
        <f>AI214/AA214</f>
        <v>3.9322181186182921E-2</v>
      </c>
      <c r="AN214" s="66"/>
      <c r="AT214" s="9"/>
      <c r="AU214" s="6" t="str">
        <f>IF(AND(AU$2&gt;$Z214,$Z214&gt;0,OR($AN214&gt;AU$2,ISBLANK($AN214))),AU$2-$Z214,"")</f>
        <v/>
      </c>
      <c r="AV214" s="6" t="str">
        <f>IF(AND(AV$2&gt;$Z214,$Z214&gt;0,OR($AN214&gt;AV$2,ISBLANK($AN214))),AV$2-$Z214,"")</f>
        <v/>
      </c>
      <c r="AW214" s="6" t="str">
        <f>IF(AND(AW$2&gt;$Z214,$Z214&gt;0,OR($AN214&gt;AW$2,ISBLANK($AN214))),AW$2-$Z214,"")</f>
        <v/>
      </c>
      <c r="AX214" s="6" t="str">
        <f>IF(AND(AX$2&gt;$Z214,$Z214&gt;0,OR($AN214&gt;AX$2,ISBLANK($AN214))),AX$2-$Z214,"")</f>
        <v/>
      </c>
      <c r="AY214" s="6">
        <f>IF(AND(AY$2&gt;$Z214,$Z214&gt;0,OR($AN214&gt;AY$2,ISBLANK($AN214))),AY$2-$Z214,"")</f>
        <v>6</v>
      </c>
      <c r="AZ214" s="6">
        <f ca="1">IF(AND(AZ$2&gt;$Z214,$Z214&gt;0,OR($AN214&gt;AZ$2,ISBLANK($AN214))),AZ$2-$Z214,"")</f>
        <v>24.382289814813703</v>
      </c>
      <c r="BA214" s="6"/>
      <c r="BB214" s="6"/>
      <c r="BC214" s="6"/>
      <c r="BD214" s="6"/>
    </row>
    <row r="215" spans="2:56" x14ac:dyDescent="0.25">
      <c r="B215" s="13">
        <f t="shared" si="42"/>
        <v>1</v>
      </c>
      <c r="C215" s="13">
        <f t="shared" si="43"/>
        <v>10</v>
      </c>
      <c r="D215" s="13">
        <f t="shared" si="44"/>
        <v>4</v>
      </c>
      <c r="E215" s="13">
        <f t="shared" si="45"/>
        <v>2018</v>
      </c>
      <c r="F215" s="13">
        <f t="shared" si="46"/>
        <v>0</v>
      </c>
      <c r="G215" s="13">
        <f t="shared" si="47"/>
        <v>1</v>
      </c>
      <c r="H215" s="13">
        <f t="shared" si="48"/>
        <v>1</v>
      </c>
      <c r="I215" s="13">
        <f t="shared" si="49"/>
        <v>1900</v>
      </c>
      <c r="J215" s="13">
        <f t="shared" si="50"/>
        <v>0</v>
      </c>
      <c r="K215" s="13">
        <f>IF(J215=1,MONTH(AK215),)</f>
        <v>0</v>
      </c>
      <c r="L215" s="13">
        <f t="shared" si="51"/>
        <v>0</v>
      </c>
      <c r="M215" s="13">
        <f t="shared" si="52"/>
        <v>1900</v>
      </c>
      <c r="N215" s="13">
        <f t="shared" si="53"/>
        <v>0</v>
      </c>
      <c r="O215" s="13">
        <f>IF(N215=1,MONTH(AN215),)</f>
        <v>0</v>
      </c>
      <c r="P215" s="13">
        <f t="shared" si="54"/>
        <v>0</v>
      </c>
      <c r="Q215" s="13">
        <f t="shared" si="55"/>
        <v>1900</v>
      </c>
      <c r="S215" s="38" t="s">
        <v>374</v>
      </c>
      <c r="T215" s="11" t="s">
        <v>334</v>
      </c>
      <c r="U215" s="11" t="s">
        <v>319</v>
      </c>
      <c r="V215" s="39" t="s">
        <v>42</v>
      </c>
      <c r="W215" s="39" t="s">
        <v>320</v>
      </c>
      <c r="X215" s="39" t="s">
        <v>375</v>
      </c>
      <c r="Y215" s="4" t="s">
        <v>328</v>
      </c>
      <c r="Z215" s="66">
        <v>43374</v>
      </c>
      <c r="AA215" s="67">
        <v>330000</v>
      </c>
      <c r="AB215" s="6">
        <v>40</v>
      </c>
      <c r="AC215" s="6">
        <f>AA215*0.51%</f>
        <v>1683.0000000000002</v>
      </c>
      <c r="AD215" s="10">
        <f>AC215/AA215</f>
        <v>5.1000000000000004E-3</v>
      </c>
      <c r="AE215" s="7" t="s">
        <v>323</v>
      </c>
      <c r="AH215" s="16"/>
      <c r="AI215" s="16"/>
      <c r="AJ215" s="36"/>
      <c r="AN215" s="66"/>
      <c r="AT215" s="9"/>
      <c r="AU215" s="6" t="str">
        <f>IF(AND(AU$2&gt;$Z215,$Z215&gt;0,OR($AN215&gt;AU$2,ISBLANK($AN215))),AU$2-$Z215,"")</f>
        <v/>
      </c>
      <c r="AV215" s="6" t="str">
        <f>IF(AND(AV$2&gt;$Z215,$Z215&gt;0,OR($AN215&gt;AV$2,ISBLANK($AN215))),AV$2-$Z215,"")</f>
        <v/>
      </c>
      <c r="AW215" s="6" t="str">
        <f>IF(AND(AW$2&gt;$Z215,$Z215&gt;0,OR($AN215&gt;AW$2,ISBLANK($AN215))),AW$2-$Z215,"")</f>
        <v/>
      </c>
      <c r="AX215" s="6" t="str">
        <f>IF(AND(AX$2&gt;$Z215,$Z215&gt;0,OR($AN215&gt;AX$2,ISBLANK($AN215))),AX$2-$Z215,"")</f>
        <v/>
      </c>
      <c r="AY215" s="6" t="str">
        <f>IF(AND(AY$2&gt;$Z215,$Z215&gt;0,OR($AN215&gt;AY$2,ISBLANK($AN215))),AY$2-$Z215,"")</f>
        <v/>
      </c>
      <c r="AZ215" s="6">
        <f ca="1">IF(AND(AZ$2&gt;$Z215,$Z215&gt;0,OR($AN215&gt;AZ$2,ISBLANK($AN215))),AZ$2-$Z215,"")</f>
        <v>17.382289814813703</v>
      </c>
      <c r="BA215" s="6"/>
      <c r="BB215" s="6"/>
      <c r="BC215" s="6"/>
      <c r="BD215" s="6"/>
    </row>
    <row r="216" spans="2:56" x14ac:dyDescent="0.25">
      <c r="B216" s="13">
        <f t="shared" si="42"/>
        <v>1</v>
      </c>
      <c r="C216" s="13">
        <f t="shared" si="43"/>
        <v>9</v>
      </c>
      <c r="D216" s="13">
        <f t="shared" si="44"/>
        <v>3</v>
      </c>
      <c r="E216" s="13">
        <f t="shared" si="45"/>
        <v>2018</v>
      </c>
      <c r="F216" s="13">
        <f t="shared" si="46"/>
        <v>1</v>
      </c>
      <c r="G216" s="13">
        <f t="shared" si="47"/>
        <v>9</v>
      </c>
      <c r="H216" s="13">
        <f t="shared" si="48"/>
        <v>3</v>
      </c>
      <c r="I216" s="13">
        <f t="shared" si="49"/>
        <v>2018</v>
      </c>
      <c r="J216" s="13">
        <f t="shared" si="50"/>
        <v>0</v>
      </c>
      <c r="K216" s="13">
        <f>IF(J216=1,MONTH(AK216),)</f>
        <v>0</v>
      </c>
      <c r="L216" s="13">
        <f t="shared" si="51"/>
        <v>0</v>
      </c>
      <c r="M216" s="13">
        <f t="shared" si="52"/>
        <v>1900</v>
      </c>
      <c r="N216" s="13">
        <f t="shared" si="53"/>
        <v>0</v>
      </c>
      <c r="O216" s="13">
        <f>IF(N216=1,MONTH(AN216),)</f>
        <v>0</v>
      </c>
      <c r="P216" s="13">
        <f t="shared" si="54"/>
        <v>0</v>
      </c>
      <c r="Q216" s="13">
        <f t="shared" si="55"/>
        <v>1900</v>
      </c>
      <c r="S216" s="38" t="s">
        <v>346</v>
      </c>
      <c r="T216" s="11" t="s">
        <v>42</v>
      </c>
      <c r="U216" s="11" t="s">
        <v>319</v>
      </c>
      <c r="V216" s="39" t="s">
        <v>42</v>
      </c>
      <c r="W216" s="39" t="s">
        <v>320</v>
      </c>
      <c r="X216" s="39" t="s">
        <v>347</v>
      </c>
      <c r="Y216" s="4" t="s">
        <v>328</v>
      </c>
      <c r="Z216" s="66">
        <v>43347</v>
      </c>
      <c r="AA216" s="67">
        <f>AC216/0.51%</f>
        <v>294000</v>
      </c>
      <c r="AB216" s="6">
        <v>40</v>
      </c>
      <c r="AC216" s="6">
        <v>1499.4</v>
      </c>
      <c r="AD216" s="10">
        <f>AC216/AA216</f>
        <v>5.1000000000000004E-3</v>
      </c>
      <c r="AE216" s="7" t="s">
        <v>323</v>
      </c>
      <c r="AF216" s="66">
        <v>43370</v>
      </c>
      <c r="AG216" s="67">
        <v>310300</v>
      </c>
      <c r="AH216" s="16">
        <f>AF216-Z216</f>
        <v>23</v>
      </c>
      <c r="AI216" s="16">
        <f>AG216-AA216</f>
        <v>16300</v>
      </c>
      <c r="AJ216" s="36">
        <f>AI216/AA216</f>
        <v>5.5442176870748303E-2</v>
      </c>
      <c r="AN216" s="66"/>
      <c r="AT216" s="9"/>
      <c r="AU216" s="6" t="str">
        <f>IF(AND(AU$2&gt;$Z216,$Z216&gt;0,OR($AN216&gt;AU$2,ISBLANK($AN216))),AU$2-$Z216,"")</f>
        <v/>
      </c>
      <c r="AV216" s="6" t="str">
        <f>IF(AND(AV$2&gt;$Z216,$Z216&gt;0,OR($AN216&gt;AV$2,ISBLANK($AN216))),AV$2-$Z216,"")</f>
        <v/>
      </c>
      <c r="AW216" s="6" t="str">
        <f>IF(AND(AW$2&gt;$Z216,$Z216&gt;0,OR($AN216&gt;AW$2,ISBLANK($AN216))),AW$2-$Z216,"")</f>
        <v/>
      </c>
      <c r="AX216" s="6" t="str">
        <f>IF(AND(AX$2&gt;$Z216,$Z216&gt;0,OR($AN216&gt;AX$2,ISBLANK($AN216))),AX$2-$Z216,"")</f>
        <v/>
      </c>
      <c r="AY216" s="6">
        <f>IF(AND(AY$2&gt;$Z216,$Z216&gt;0,OR($AN216&gt;AY$2,ISBLANK($AN216))),AY$2-$Z216,"")</f>
        <v>26</v>
      </c>
      <c r="AZ216" s="6">
        <f ca="1">IF(AND(AZ$2&gt;$Z216,$Z216&gt;0,OR($AN216&gt;AZ$2,ISBLANK($AN216))),AZ$2-$Z216,"")</f>
        <v>44.382289814813703</v>
      </c>
      <c r="BA216" s="6"/>
      <c r="BB216" s="6"/>
      <c r="BC216" s="6"/>
      <c r="BD216" s="6"/>
    </row>
    <row r="217" spans="2:56" x14ac:dyDescent="0.25">
      <c r="B217" s="13">
        <f t="shared" si="42"/>
        <v>1</v>
      </c>
      <c r="C217" s="13">
        <f t="shared" si="43"/>
        <v>9</v>
      </c>
      <c r="D217" s="13">
        <f t="shared" si="44"/>
        <v>3</v>
      </c>
      <c r="E217" s="13">
        <f t="shared" si="45"/>
        <v>2018</v>
      </c>
      <c r="F217" s="13">
        <f t="shared" si="46"/>
        <v>1</v>
      </c>
      <c r="G217" s="13">
        <f t="shared" si="47"/>
        <v>9</v>
      </c>
      <c r="H217" s="13">
        <f t="shared" si="48"/>
        <v>3</v>
      </c>
      <c r="I217" s="13">
        <f t="shared" si="49"/>
        <v>2018</v>
      </c>
      <c r="J217" s="13">
        <f t="shared" si="50"/>
        <v>0</v>
      </c>
      <c r="K217" s="13">
        <f>IF(J217=1,MONTH(AK217),)</f>
        <v>0</v>
      </c>
      <c r="L217" s="13">
        <f t="shared" si="51"/>
        <v>0</v>
      </c>
      <c r="M217" s="13">
        <f t="shared" si="52"/>
        <v>1900</v>
      </c>
      <c r="N217" s="13">
        <f t="shared" si="53"/>
        <v>0</v>
      </c>
      <c r="O217" s="13">
        <f>IF(N217=1,MONTH(AN217),)</f>
        <v>0</v>
      </c>
      <c r="P217" s="13">
        <f t="shared" si="54"/>
        <v>0</v>
      </c>
      <c r="Q217" s="13">
        <f t="shared" si="55"/>
        <v>1900</v>
      </c>
      <c r="S217" s="38" t="s">
        <v>352</v>
      </c>
      <c r="T217" s="11" t="s">
        <v>42</v>
      </c>
      <c r="U217" s="11" t="s">
        <v>319</v>
      </c>
      <c r="V217" s="39" t="s">
        <v>42</v>
      </c>
      <c r="W217" s="39" t="s">
        <v>320</v>
      </c>
      <c r="X217" s="39" t="s">
        <v>353</v>
      </c>
      <c r="Y217" s="4" t="s">
        <v>328</v>
      </c>
      <c r="Z217" s="66">
        <v>43353</v>
      </c>
      <c r="AA217" s="67">
        <f>AC217/0.51%</f>
        <v>375000</v>
      </c>
      <c r="AB217" s="6">
        <v>40</v>
      </c>
      <c r="AC217" s="6">
        <v>1912.5</v>
      </c>
      <c r="AD217" s="10">
        <f>AC217/AA217</f>
        <v>5.1000000000000004E-3</v>
      </c>
      <c r="AE217" s="7" t="s">
        <v>323</v>
      </c>
      <c r="AF217" s="66">
        <v>43367</v>
      </c>
      <c r="AG217" s="67">
        <v>391800</v>
      </c>
      <c r="AH217" s="16">
        <f>AF217-Z217</f>
        <v>14</v>
      </c>
      <c r="AI217" s="16">
        <f>AG217-AA217</f>
        <v>16800</v>
      </c>
      <c r="AJ217" s="36">
        <f>AI217/AA217</f>
        <v>4.48E-2</v>
      </c>
      <c r="AN217" s="66"/>
      <c r="AT217" s="9"/>
      <c r="AU217" s="6" t="str">
        <f>IF(AND(AU$2&gt;$Z217,$Z217&gt;0,OR($AN217&gt;AU$2,ISBLANK($AN217))),AU$2-$Z217,"")</f>
        <v/>
      </c>
      <c r="AV217" s="6" t="str">
        <f>IF(AND(AV$2&gt;$Z217,$Z217&gt;0,OR($AN217&gt;AV$2,ISBLANK($AN217))),AV$2-$Z217,"")</f>
        <v/>
      </c>
      <c r="AW217" s="6" t="str">
        <f>IF(AND(AW$2&gt;$Z217,$Z217&gt;0,OR($AN217&gt;AW$2,ISBLANK($AN217))),AW$2-$Z217,"")</f>
        <v/>
      </c>
      <c r="AX217" s="6" t="str">
        <f>IF(AND(AX$2&gt;$Z217,$Z217&gt;0,OR($AN217&gt;AX$2,ISBLANK($AN217))),AX$2-$Z217,"")</f>
        <v/>
      </c>
      <c r="AY217" s="6">
        <f>IF(AND(AY$2&gt;$Z217,$Z217&gt;0,OR($AN217&gt;AY$2,ISBLANK($AN217))),AY$2-$Z217,"")</f>
        <v>20</v>
      </c>
      <c r="AZ217" s="6">
        <f ca="1">IF(AND(AZ$2&gt;$Z217,$Z217&gt;0,OR($AN217&gt;AZ$2,ISBLANK($AN217))),AZ$2-$Z217,"")</f>
        <v>38.382289814813703</v>
      </c>
      <c r="BA217" s="6"/>
      <c r="BB217" s="6"/>
      <c r="BC217" s="6"/>
      <c r="BD217" s="6"/>
    </row>
    <row r="218" spans="2:56" x14ac:dyDescent="0.25">
      <c r="B218" s="13">
        <f t="shared" si="42"/>
        <v>1</v>
      </c>
      <c r="C218" s="13">
        <f t="shared" si="43"/>
        <v>9</v>
      </c>
      <c r="D218" s="13">
        <f t="shared" si="44"/>
        <v>3</v>
      </c>
      <c r="E218" s="13">
        <f t="shared" si="45"/>
        <v>2018</v>
      </c>
      <c r="F218" s="13">
        <f t="shared" si="46"/>
        <v>0</v>
      </c>
      <c r="G218" s="13">
        <f t="shared" si="47"/>
        <v>1</v>
      </c>
      <c r="H218" s="13">
        <f t="shared" si="48"/>
        <v>1</v>
      </c>
      <c r="I218" s="13">
        <f t="shared" si="49"/>
        <v>1900</v>
      </c>
      <c r="J218" s="13">
        <f t="shared" si="50"/>
        <v>0</v>
      </c>
      <c r="K218" s="13">
        <f>IF(J218=1,MONTH(AK218),)</f>
        <v>0</v>
      </c>
      <c r="L218" s="13">
        <f t="shared" si="51"/>
        <v>0</v>
      </c>
      <c r="M218" s="13">
        <f t="shared" si="52"/>
        <v>1900</v>
      </c>
      <c r="N218" s="13">
        <f t="shared" si="53"/>
        <v>0</v>
      </c>
      <c r="O218" s="13">
        <f>IF(N218=1,MONTH(AN218),)</f>
        <v>0</v>
      </c>
      <c r="P218" s="13">
        <f t="shared" si="54"/>
        <v>0</v>
      </c>
      <c r="Q218" s="13">
        <f t="shared" si="55"/>
        <v>1900</v>
      </c>
      <c r="S218" s="38" t="s">
        <v>366</v>
      </c>
      <c r="T218" s="11" t="s">
        <v>325</v>
      </c>
      <c r="U218" s="11" t="s">
        <v>319</v>
      </c>
      <c r="V218" s="39" t="s">
        <v>42</v>
      </c>
      <c r="W218" s="39" t="s">
        <v>320</v>
      </c>
      <c r="X218" s="39" t="s">
        <v>367</v>
      </c>
      <c r="Y218" s="4" t="s">
        <v>328</v>
      </c>
      <c r="Z218" s="66">
        <v>43369</v>
      </c>
      <c r="AA218" s="67">
        <v>303000</v>
      </c>
      <c r="AB218" s="6">
        <v>40</v>
      </c>
      <c r="AC218" s="6">
        <f>AA218*0.51%</f>
        <v>1545.3000000000002</v>
      </c>
      <c r="AD218" s="10">
        <f>AC218/AA218</f>
        <v>5.1000000000000004E-3</v>
      </c>
      <c r="AE218" s="7" t="s">
        <v>323</v>
      </c>
      <c r="AG218" s="67">
        <v>322900</v>
      </c>
      <c r="AH218" s="16"/>
      <c r="AI218" s="16">
        <f>AG218-AA218</f>
        <v>19900</v>
      </c>
      <c r="AJ218" s="36">
        <f>AI218/AA218</f>
        <v>6.5676567656765675E-2</v>
      </c>
      <c r="AN218" s="66"/>
      <c r="AT218" s="9"/>
      <c r="AU218" s="6" t="str">
        <f>IF(AND(AU$2&gt;$Z218,$Z218&gt;0,OR($AN218&gt;AU$2,ISBLANK($AN218))),AU$2-$Z218,"")</f>
        <v/>
      </c>
      <c r="AV218" s="6" t="str">
        <f>IF(AND(AV$2&gt;$Z218,$Z218&gt;0,OR($AN218&gt;AV$2,ISBLANK($AN218))),AV$2-$Z218,"")</f>
        <v/>
      </c>
      <c r="AW218" s="6" t="str">
        <f>IF(AND(AW$2&gt;$Z218,$Z218&gt;0,OR($AN218&gt;AW$2,ISBLANK($AN218))),AW$2-$Z218,"")</f>
        <v/>
      </c>
      <c r="AX218" s="6" t="str">
        <f>IF(AND(AX$2&gt;$Z218,$Z218&gt;0,OR($AN218&gt;AX$2,ISBLANK($AN218))),AX$2-$Z218,"")</f>
        <v/>
      </c>
      <c r="AY218" s="6">
        <f>IF(AND(AY$2&gt;$Z218,$Z218&gt;0,OR($AN218&gt;AY$2,ISBLANK($AN218))),AY$2-$Z218,"")</f>
        <v>4</v>
      </c>
      <c r="AZ218" s="6">
        <f ca="1">IF(AND(AZ$2&gt;$Z218,$Z218&gt;0,OR($AN218&gt;AZ$2,ISBLANK($AN218))),AZ$2-$Z218,"")</f>
        <v>22.382289814813703</v>
      </c>
      <c r="BA218" s="6"/>
      <c r="BB218" s="6"/>
      <c r="BC218" s="6"/>
      <c r="BD218" s="6"/>
    </row>
    <row r="219" spans="2:56" x14ac:dyDescent="0.25">
      <c r="B219" s="13">
        <f t="shared" si="42"/>
        <v>1</v>
      </c>
      <c r="C219" s="13">
        <f t="shared" si="43"/>
        <v>9</v>
      </c>
      <c r="D219" s="13">
        <f t="shared" si="44"/>
        <v>3</v>
      </c>
      <c r="E219" s="13">
        <f t="shared" si="45"/>
        <v>2018</v>
      </c>
      <c r="F219" s="13">
        <f t="shared" si="46"/>
        <v>1</v>
      </c>
      <c r="G219" s="13">
        <f t="shared" si="47"/>
        <v>9</v>
      </c>
      <c r="H219" s="13">
        <f t="shared" si="48"/>
        <v>3</v>
      </c>
      <c r="I219" s="13">
        <f t="shared" si="49"/>
        <v>2018</v>
      </c>
      <c r="J219" s="13">
        <f t="shared" si="50"/>
        <v>1</v>
      </c>
      <c r="K219" s="13">
        <f>IF(J219=1,MONTH(AK219),)</f>
        <v>9</v>
      </c>
      <c r="L219" s="13">
        <f t="shared" si="51"/>
        <v>3</v>
      </c>
      <c r="M219" s="13">
        <f t="shared" si="52"/>
        <v>2018</v>
      </c>
      <c r="N219" s="13">
        <f t="shared" si="53"/>
        <v>1</v>
      </c>
      <c r="O219" s="13">
        <f>IF(N219=1,MONTH(AN219),)</f>
        <v>10</v>
      </c>
      <c r="P219" s="13">
        <f t="shared" si="54"/>
        <v>4</v>
      </c>
      <c r="Q219" s="13">
        <f t="shared" si="55"/>
        <v>2018</v>
      </c>
      <c r="S219" s="38" t="s">
        <v>348</v>
      </c>
      <c r="T219" s="11" t="s">
        <v>334</v>
      </c>
      <c r="U219" s="11" t="s">
        <v>319</v>
      </c>
      <c r="V219" s="39" t="s">
        <v>42</v>
      </c>
      <c r="W219" s="39" t="s">
        <v>320</v>
      </c>
      <c r="X219" s="39" t="s">
        <v>349</v>
      </c>
      <c r="Y219" s="13" t="s">
        <v>328</v>
      </c>
      <c r="Z219" s="66">
        <v>43349</v>
      </c>
      <c r="AA219" s="67">
        <f>AC219/0.51%</f>
        <v>349000</v>
      </c>
      <c r="AB219" s="6">
        <v>40</v>
      </c>
      <c r="AC219" s="6">
        <v>1779.9</v>
      </c>
      <c r="AD219" s="10">
        <f>AC219/AA219</f>
        <v>5.1000000000000004E-3</v>
      </c>
      <c r="AE219" s="7" t="s">
        <v>323</v>
      </c>
      <c r="AF219" s="66">
        <v>43370</v>
      </c>
      <c r="AG219" s="67">
        <v>363300</v>
      </c>
      <c r="AH219" s="16">
        <f>AF219-Z219</f>
        <v>21</v>
      </c>
      <c r="AI219" s="16">
        <f>AG219-AA219</f>
        <v>14300</v>
      </c>
      <c r="AJ219" s="36">
        <f>AI219/AA219</f>
        <v>4.0974212034383957E-2</v>
      </c>
      <c r="AK219" s="66">
        <v>43370</v>
      </c>
      <c r="AL219" s="67">
        <v>363300</v>
      </c>
      <c r="AM219" s="6">
        <f>AK219-AF219</f>
        <v>0</v>
      </c>
      <c r="AN219" s="66">
        <v>43383</v>
      </c>
      <c r="AO219" s="67">
        <v>361000</v>
      </c>
      <c r="AP219" s="6">
        <f>AN219-AK219</f>
        <v>13</v>
      </c>
      <c r="AQ219" s="6">
        <f>AH219+AM219+AP219</f>
        <v>34</v>
      </c>
      <c r="AR219" s="6">
        <f>AO219-AA219</f>
        <v>12000</v>
      </c>
      <c r="AS219" s="8">
        <f>AR219/AA219</f>
        <v>3.4383954154727794E-2</v>
      </c>
      <c r="AT219" s="9"/>
      <c r="AU219" s="6" t="str">
        <f>IF(AND(AU$2&gt;$Z219,$Z219&gt;0,OR($AN219&gt;AU$2,ISBLANK($AN219))),AU$2-$Z219,"")</f>
        <v/>
      </c>
      <c r="AV219" s="6" t="str">
        <f>IF(AND(AV$2&gt;$Z219,$Z219&gt;0,OR($AN219&gt;AV$2,ISBLANK($AN219))),AV$2-$Z219,"")</f>
        <v/>
      </c>
      <c r="AW219" s="6" t="str">
        <f>IF(AND(AW$2&gt;$Z219,$Z219&gt;0,OR($AN219&gt;AW$2,ISBLANK($AN219))),AW$2-$Z219,"")</f>
        <v/>
      </c>
      <c r="AX219" s="6" t="str">
        <f>IF(AND(AX$2&gt;$Z219,$Z219&gt;0,OR($AN219&gt;AX$2,ISBLANK($AN219))),AX$2-$Z219,"")</f>
        <v/>
      </c>
      <c r="AY219" s="6">
        <f>IF(AND(AY$2&gt;$Z219,$Z219&gt;0,OR($AN219&gt;AY$2,ISBLANK($AN219))),AY$2-$Z219,"")</f>
        <v>24</v>
      </c>
      <c r="AZ219" s="6" t="str">
        <f ca="1">IF(AND(AZ$2&gt;$Z219,$Z219&gt;0,OR($AN219&gt;AZ$2,ISBLANK($AN219))),AZ$2-$Z219,"")</f>
        <v/>
      </c>
      <c r="BA219" s="6"/>
      <c r="BB219" s="6"/>
      <c r="BC219" s="6"/>
      <c r="BD219" s="6"/>
    </row>
    <row r="220" spans="2:56" x14ac:dyDescent="0.25">
      <c r="B220" s="13">
        <f t="shared" si="42"/>
        <v>1</v>
      </c>
      <c r="C220" s="13">
        <f t="shared" si="43"/>
        <v>10</v>
      </c>
      <c r="D220" s="13">
        <f t="shared" si="44"/>
        <v>4</v>
      </c>
      <c r="E220" s="13">
        <f t="shared" si="45"/>
        <v>2018</v>
      </c>
      <c r="F220" s="13">
        <f t="shared" si="46"/>
        <v>0</v>
      </c>
      <c r="G220" s="13">
        <f t="shared" si="47"/>
        <v>1</v>
      </c>
      <c r="H220" s="13">
        <f t="shared" si="48"/>
        <v>1</v>
      </c>
      <c r="I220" s="13">
        <f t="shared" si="49"/>
        <v>1900</v>
      </c>
      <c r="J220" s="13">
        <f t="shared" si="50"/>
        <v>0</v>
      </c>
      <c r="K220" s="13">
        <f>IF(J220=1,MONTH(AK220),)</f>
        <v>0</v>
      </c>
      <c r="L220" s="13">
        <f t="shared" si="51"/>
        <v>0</v>
      </c>
      <c r="M220" s="13">
        <f t="shared" si="52"/>
        <v>1900</v>
      </c>
      <c r="N220" s="13">
        <f t="shared" si="53"/>
        <v>0</v>
      </c>
      <c r="O220" s="13">
        <f>IF(N220=1,MONTH(AN220),)</f>
        <v>0</v>
      </c>
      <c r="P220" s="13">
        <f t="shared" si="54"/>
        <v>0</v>
      </c>
      <c r="Q220" s="13">
        <f t="shared" si="55"/>
        <v>1900</v>
      </c>
      <c r="S220" s="38" t="s">
        <v>376</v>
      </c>
      <c r="T220" s="11" t="s">
        <v>325</v>
      </c>
      <c r="U220" s="11" t="s">
        <v>319</v>
      </c>
      <c r="V220" s="39" t="s">
        <v>42</v>
      </c>
      <c r="W220" s="39" t="s">
        <v>320</v>
      </c>
      <c r="X220" s="39" t="s">
        <v>377</v>
      </c>
      <c r="Y220" s="13" t="s">
        <v>328</v>
      </c>
      <c r="Z220" s="66">
        <v>43376</v>
      </c>
      <c r="AA220" s="67">
        <v>232000</v>
      </c>
      <c r="AB220" s="6">
        <v>40</v>
      </c>
      <c r="AC220" s="6">
        <f>AA220*0.51%</f>
        <v>1183.2</v>
      </c>
      <c r="AD220" s="10">
        <f>AC220/AA220</f>
        <v>5.1000000000000004E-3</v>
      </c>
      <c r="AE220" s="7" t="s">
        <v>323</v>
      </c>
      <c r="AG220" s="67">
        <v>243300</v>
      </c>
      <c r="AH220" s="16"/>
      <c r="AI220" s="16">
        <f>AG220-AA220</f>
        <v>11300</v>
      </c>
      <c r="AJ220" s="36">
        <f>AI220/AA220</f>
        <v>4.8706896551724138E-2</v>
      </c>
      <c r="AN220" s="66"/>
      <c r="AT220" s="9"/>
      <c r="AU220" s="6" t="str">
        <f>IF(AND(AU$2&gt;$Z220,$Z220&gt;0,OR($AN220&gt;AU$2,ISBLANK($AN220))),AU$2-$Z220,"")</f>
        <v/>
      </c>
      <c r="AV220" s="6" t="str">
        <f>IF(AND(AV$2&gt;$Z220,$Z220&gt;0,OR($AN220&gt;AV$2,ISBLANK($AN220))),AV$2-$Z220,"")</f>
        <v/>
      </c>
      <c r="AW220" s="6" t="str">
        <f>IF(AND(AW$2&gt;$Z220,$Z220&gt;0,OR($AN220&gt;AW$2,ISBLANK($AN220))),AW$2-$Z220,"")</f>
        <v/>
      </c>
      <c r="AX220" s="6" t="str">
        <f>IF(AND(AX$2&gt;$Z220,$Z220&gt;0,OR($AN220&gt;AX$2,ISBLANK($AN220))),AX$2-$Z220,"")</f>
        <v/>
      </c>
      <c r="AY220" s="6" t="str">
        <f>IF(AND(AY$2&gt;$Z220,$Z220&gt;0,OR($AN220&gt;AY$2,ISBLANK($AN220))),AY$2-$Z220,"")</f>
        <v/>
      </c>
      <c r="AZ220" s="6">
        <f ca="1">IF(AND(AZ$2&gt;$Z220,$Z220&gt;0,OR($AN220&gt;AZ$2,ISBLANK($AN220))),AZ$2-$Z220,"")</f>
        <v>15.382289814813703</v>
      </c>
      <c r="BA220" s="6"/>
      <c r="BB220" s="6"/>
      <c r="BC220" s="6"/>
      <c r="BD220" s="6"/>
    </row>
    <row r="221" spans="2:56" x14ac:dyDescent="0.25">
      <c r="B221" s="13">
        <f t="shared" si="42"/>
        <v>1</v>
      </c>
      <c r="C221" s="13">
        <f t="shared" si="43"/>
        <v>8</v>
      </c>
      <c r="D221" s="13">
        <f t="shared" si="44"/>
        <v>3</v>
      </c>
      <c r="E221" s="13">
        <f t="shared" si="45"/>
        <v>2018</v>
      </c>
      <c r="F221" s="13">
        <f t="shared" si="46"/>
        <v>1</v>
      </c>
      <c r="G221" s="13">
        <f t="shared" si="47"/>
        <v>9</v>
      </c>
      <c r="H221" s="13">
        <f t="shared" si="48"/>
        <v>3</v>
      </c>
      <c r="I221" s="13">
        <f t="shared" si="49"/>
        <v>2018</v>
      </c>
      <c r="J221" s="13">
        <f t="shared" si="50"/>
        <v>1</v>
      </c>
      <c r="K221" s="13">
        <f>IF(J221=1,MONTH(AK221),)</f>
        <v>10</v>
      </c>
      <c r="L221" s="13">
        <f t="shared" si="51"/>
        <v>4</v>
      </c>
      <c r="M221" s="13">
        <f t="shared" si="52"/>
        <v>2018</v>
      </c>
      <c r="N221" s="13">
        <f t="shared" si="53"/>
        <v>0</v>
      </c>
      <c r="O221" s="13">
        <f>IF(N221=1,MONTH(AN221),)</f>
        <v>0</v>
      </c>
      <c r="P221" s="13">
        <f t="shared" si="54"/>
        <v>0</v>
      </c>
      <c r="Q221" s="13">
        <f t="shared" si="55"/>
        <v>1900</v>
      </c>
      <c r="S221" s="38" t="s">
        <v>340</v>
      </c>
      <c r="T221" s="11" t="s">
        <v>325</v>
      </c>
      <c r="U221" s="11" t="s">
        <v>319</v>
      </c>
      <c r="V221" s="39" t="s">
        <v>42</v>
      </c>
      <c r="W221" s="39" t="s">
        <v>320</v>
      </c>
      <c r="X221" s="39" t="s">
        <v>341</v>
      </c>
      <c r="Y221" s="4" t="s">
        <v>328</v>
      </c>
      <c r="Z221" s="66">
        <v>43342</v>
      </c>
      <c r="AA221" s="67">
        <f>AC221/0.51%</f>
        <v>220999.99999999997</v>
      </c>
      <c r="AB221" s="6">
        <v>40</v>
      </c>
      <c r="AC221" s="6">
        <v>1127.0999999999999</v>
      </c>
      <c r="AD221" s="10">
        <f>AC221/AA221</f>
        <v>5.1000000000000004E-3</v>
      </c>
      <c r="AE221" s="7" t="s">
        <v>323</v>
      </c>
      <c r="AF221" s="66">
        <v>43367</v>
      </c>
      <c r="AG221" s="67">
        <v>233800</v>
      </c>
      <c r="AH221" s="16">
        <f>AF221-Z221</f>
        <v>25</v>
      </c>
      <c r="AI221" s="16">
        <f>AG221-AA221</f>
        <v>12800.000000000029</v>
      </c>
      <c r="AJ221" s="36">
        <f>AI221/AA221</f>
        <v>5.7918552036199236E-2</v>
      </c>
      <c r="AK221" s="66">
        <v>43375</v>
      </c>
      <c r="AL221" s="67">
        <v>233800</v>
      </c>
      <c r="AM221" s="6">
        <f>AK221-AF221</f>
        <v>8</v>
      </c>
      <c r="AN221" s="66"/>
      <c r="AT221" s="9"/>
      <c r="AU221" s="6" t="str">
        <f>IF(AND(AU$2&gt;$Z221,$Z221&gt;0,OR($AN221&gt;AU$2,ISBLANK($AN221))),AU$2-$Z221,"")</f>
        <v/>
      </c>
      <c r="AV221" s="6" t="str">
        <f>IF(AND(AV$2&gt;$Z221,$Z221&gt;0,OR($AN221&gt;AV$2,ISBLANK($AN221))),AV$2-$Z221,"")</f>
        <v/>
      </c>
      <c r="AW221" s="6" t="str">
        <f>IF(AND(AW$2&gt;$Z221,$Z221&gt;0,OR($AN221&gt;AW$2,ISBLANK($AN221))),AW$2-$Z221,"")</f>
        <v/>
      </c>
      <c r="AX221" s="6">
        <f>IF(AND(AX$2&gt;$Z221,$Z221&gt;0,OR($AN221&gt;AX$2,ISBLANK($AN221))),AX$2-$Z221,"")</f>
        <v>1</v>
      </c>
      <c r="AY221" s="6">
        <f>IF(AND(AY$2&gt;$Z221,$Z221&gt;0,OR($AN221&gt;AY$2,ISBLANK($AN221))),AY$2-$Z221,"")</f>
        <v>31</v>
      </c>
      <c r="AZ221" s="6">
        <f ca="1">IF(AND(AZ$2&gt;$Z221,$Z221&gt;0,OR($AN221&gt;AZ$2,ISBLANK($AN221))),AZ$2-$Z221,"")</f>
        <v>49.382289814813703</v>
      </c>
      <c r="BA221" s="6"/>
      <c r="BB221" s="6"/>
      <c r="BC221" s="6"/>
      <c r="BD221" s="6"/>
    </row>
    <row r="222" spans="2:56" x14ac:dyDescent="0.25">
      <c r="B222" s="13">
        <f t="shared" si="42"/>
        <v>1</v>
      </c>
      <c r="C222" s="13">
        <f t="shared" si="43"/>
        <v>9</v>
      </c>
      <c r="D222" s="13">
        <f t="shared" si="44"/>
        <v>3</v>
      </c>
      <c r="E222" s="13">
        <f t="shared" si="45"/>
        <v>2018</v>
      </c>
      <c r="F222" s="13">
        <f t="shared" si="46"/>
        <v>1</v>
      </c>
      <c r="G222" s="13">
        <f t="shared" si="47"/>
        <v>10</v>
      </c>
      <c r="H222" s="13">
        <f t="shared" si="48"/>
        <v>4</v>
      </c>
      <c r="I222" s="13">
        <f t="shared" si="49"/>
        <v>2018</v>
      </c>
      <c r="J222" s="13">
        <f t="shared" si="50"/>
        <v>0</v>
      </c>
      <c r="K222" s="13">
        <f>IF(J222=1,MONTH(AK222),)</f>
        <v>0</v>
      </c>
      <c r="L222" s="13">
        <f t="shared" si="51"/>
        <v>0</v>
      </c>
      <c r="M222" s="13">
        <f t="shared" si="52"/>
        <v>1900</v>
      </c>
      <c r="N222" s="13">
        <f t="shared" si="53"/>
        <v>0</v>
      </c>
      <c r="O222" s="13">
        <f>IF(N222=1,MONTH(AN222),)</f>
        <v>0</v>
      </c>
      <c r="P222" s="13">
        <f t="shared" si="54"/>
        <v>0</v>
      </c>
      <c r="Q222" s="13">
        <f t="shared" si="55"/>
        <v>1900</v>
      </c>
      <c r="S222" s="38" t="s">
        <v>362</v>
      </c>
      <c r="T222" s="11" t="s">
        <v>42</v>
      </c>
      <c r="U222" s="11" t="s">
        <v>319</v>
      </c>
      <c r="V222" s="39" t="s">
        <v>42</v>
      </c>
      <c r="W222" s="39" t="s">
        <v>320</v>
      </c>
      <c r="X222" s="39" t="s">
        <v>363</v>
      </c>
      <c r="Y222" s="4" t="s">
        <v>328</v>
      </c>
      <c r="Z222" s="66">
        <v>43364</v>
      </c>
      <c r="AA222" s="67">
        <v>261800</v>
      </c>
      <c r="AB222" s="6">
        <v>40</v>
      </c>
      <c r="AC222" s="6">
        <v>1336.2</v>
      </c>
      <c r="AD222" s="10">
        <f>AC222/AA222</f>
        <v>5.1038961038961037E-3</v>
      </c>
      <c r="AE222" s="7" t="s">
        <v>323</v>
      </c>
      <c r="AF222" s="66">
        <v>43377</v>
      </c>
      <c r="AG222" s="67">
        <v>275000</v>
      </c>
      <c r="AH222" s="16">
        <f>AF222-Z222</f>
        <v>13</v>
      </c>
      <c r="AI222" s="16">
        <f>AG222-AA222</f>
        <v>13200</v>
      </c>
      <c r="AJ222" s="36">
        <f>AI222/AA222</f>
        <v>5.0420168067226892E-2</v>
      </c>
      <c r="AN222" s="66"/>
      <c r="AT222" s="9"/>
      <c r="AU222" s="6" t="str">
        <f>IF(AND(AU$2&gt;$Z222,$Z222&gt;0,OR($AN222&gt;AU$2,ISBLANK($AN222))),AU$2-$Z222,"")</f>
        <v/>
      </c>
      <c r="AV222" s="6" t="str">
        <f>IF(AND(AV$2&gt;$Z222,$Z222&gt;0,OR($AN222&gt;AV$2,ISBLANK($AN222))),AV$2-$Z222,"")</f>
        <v/>
      </c>
      <c r="AW222" s="6" t="str">
        <f>IF(AND(AW$2&gt;$Z222,$Z222&gt;0,OR($AN222&gt;AW$2,ISBLANK($AN222))),AW$2-$Z222,"")</f>
        <v/>
      </c>
      <c r="AX222" s="6" t="str">
        <f>IF(AND(AX$2&gt;$Z222,$Z222&gt;0,OR($AN222&gt;AX$2,ISBLANK($AN222))),AX$2-$Z222,"")</f>
        <v/>
      </c>
      <c r="AY222" s="6">
        <f>IF(AND(AY$2&gt;$Z222,$Z222&gt;0,OR($AN222&gt;AY$2,ISBLANK($AN222))),AY$2-$Z222,"")</f>
        <v>9</v>
      </c>
      <c r="AZ222" s="6">
        <f ca="1">IF(AND(AZ$2&gt;$Z222,$Z222&gt;0,OR($AN222&gt;AZ$2,ISBLANK($AN222))),AZ$2-$Z222,"")</f>
        <v>27.382289814813703</v>
      </c>
      <c r="BA222" s="6"/>
      <c r="BB222" s="6"/>
      <c r="BC222" s="6"/>
      <c r="BD222" s="6"/>
    </row>
    <row r="223" spans="2:56" x14ac:dyDescent="0.25">
      <c r="B223" s="13">
        <f t="shared" si="42"/>
        <v>1</v>
      </c>
      <c r="C223" s="13">
        <f t="shared" si="43"/>
        <v>10</v>
      </c>
      <c r="D223" s="13">
        <f t="shared" si="44"/>
        <v>4</v>
      </c>
      <c r="E223" s="13">
        <f t="shared" si="45"/>
        <v>2018</v>
      </c>
      <c r="F223" s="13">
        <f t="shared" si="46"/>
        <v>0</v>
      </c>
      <c r="G223" s="13">
        <f t="shared" si="47"/>
        <v>1</v>
      </c>
      <c r="H223" s="13">
        <f t="shared" si="48"/>
        <v>1</v>
      </c>
      <c r="I223" s="13">
        <f t="shared" si="49"/>
        <v>1900</v>
      </c>
      <c r="J223" s="13">
        <f t="shared" si="50"/>
        <v>0</v>
      </c>
      <c r="K223" s="13">
        <f>IF(J223=1,MONTH(AK223),)</f>
        <v>0</v>
      </c>
      <c r="L223" s="13">
        <f t="shared" si="51"/>
        <v>0</v>
      </c>
      <c r="M223" s="13">
        <f t="shared" si="52"/>
        <v>1900</v>
      </c>
      <c r="N223" s="13">
        <f t="shared" si="53"/>
        <v>0</v>
      </c>
      <c r="O223" s="13">
        <f>IF(N223=1,MONTH(AN223),)</f>
        <v>0</v>
      </c>
      <c r="P223" s="13">
        <f t="shared" si="54"/>
        <v>0</v>
      </c>
      <c r="Q223" s="13">
        <f t="shared" si="55"/>
        <v>1900</v>
      </c>
      <c r="S223" s="38" t="s">
        <v>372</v>
      </c>
      <c r="T223" s="11" t="s">
        <v>42</v>
      </c>
      <c r="U223" s="11" t="s">
        <v>319</v>
      </c>
      <c r="V223" s="39" t="s">
        <v>42</v>
      </c>
      <c r="W223" s="39" t="s">
        <v>320</v>
      </c>
      <c r="X223" s="39" t="s">
        <v>373</v>
      </c>
      <c r="Y223" s="13" t="s">
        <v>328</v>
      </c>
      <c r="Z223" s="66">
        <v>43374</v>
      </c>
      <c r="AA223" s="67">
        <v>240000</v>
      </c>
      <c r="AB223" s="6">
        <v>40</v>
      </c>
      <c r="AC223" s="6">
        <f>AA223*0.51%</f>
        <v>1224</v>
      </c>
      <c r="AD223" s="10">
        <f>AC223/AA223</f>
        <v>5.1000000000000004E-3</v>
      </c>
      <c r="AE223" s="7" t="s">
        <v>323</v>
      </c>
      <c r="AG223" s="67">
        <v>251300</v>
      </c>
      <c r="AH223" s="16"/>
      <c r="AI223" s="16">
        <f>AG223-AA223</f>
        <v>11300</v>
      </c>
      <c r="AJ223" s="36">
        <f>AI223/AA223</f>
        <v>4.7083333333333331E-2</v>
      </c>
      <c r="AN223" s="66"/>
      <c r="AT223" s="9"/>
      <c r="AU223" s="6" t="str">
        <f>IF(AND(AU$2&gt;$Z223,$Z223&gt;0,OR($AN223&gt;AU$2,ISBLANK($AN223))),AU$2-$Z223,"")</f>
        <v/>
      </c>
      <c r="AV223" s="6" t="str">
        <f>IF(AND(AV$2&gt;$Z223,$Z223&gt;0,OR($AN223&gt;AV$2,ISBLANK($AN223))),AV$2-$Z223,"")</f>
        <v/>
      </c>
      <c r="AW223" s="6" t="str">
        <f>IF(AND(AW$2&gt;$Z223,$Z223&gt;0,OR($AN223&gt;AW$2,ISBLANK($AN223))),AW$2-$Z223,"")</f>
        <v/>
      </c>
      <c r="AX223" s="6" t="str">
        <f>IF(AND(AX$2&gt;$Z223,$Z223&gt;0,OR($AN223&gt;AX$2,ISBLANK($AN223))),AX$2-$Z223,"")</f>
        <v/>
      </c>
      <c r="AY223" s="6" t="str">
        <f>IF(AND(AY$2&gt;$Z223,$Z223&gt;0,OR($AN223&gt;AY$2,ISBLANK($AN223))),AY$2-$Z223,"")</f>
        <v/>
      </c>
      <c r="AZ223" s="6">
        <f ca="1">IF(AND(AZ$2&gt;$Z223,$Z223&gt;0,OR($AN223&gt;AZ$2,ISBLANK($AN223))),AZ$2-$Z223,"")</f>
        <v>17.382289814813703</v>
      </c>
      <c r="BA223" s="6"/>
      <c r="BB223" s="6"/>
      <c r="BC223" s="6"/>
      <c r="BD223" s="6"/>
    </row>
    <row r="224" spans="2:56" x14ac:dyDescent="0.25">
      <c r="B224" s="13">
        <f t="shared" si="42"/>
        <v>1</v>
      </c>
      <c r="C224" s="13">
        <f t="shared" si="43"/>
        <v>8</v>
      </c>
      <c r="D224" s="13">
        <f t="shared" si="44"/>
        <v>3</v>
      </c>
      <c r="E224" s="13">
        <f t="shared" si="45"/>
        <v>2018</v>
      </c>
      <c r="F224" s="13">
        <f t="shared" si="46"/>
        <v>1</v>
      </c>
      <c r="G224" s="13">
        <f t="shared" si="47"/>
        <v>9</v>
      </c>
      <c r="H224" s="13">
        <f t="shared" si="48"/>
        <v>3</v>
      </c>
      <c r="I224" s="13">
        <f t="shared" si="49"/>
        <v>2018</v>
      </c>
      <c r="J224" s="13">
        <f t="shared" si="50"/>
        <v>0</v>
      </c>
      <c r="K224" s="13">
        <f>IF(J224=1,MONTH(AK224),)</f>
        <v>0</v>
      </c>
      <c r="L224" s="13">
        <f t="shared" si="51"/>
        <v>0</v>
      </c>
      <c r="M224" s="13">
        <f t="shared" si="52"/>
        <v>1900</v>
      </c>
      <c r="N224" s="13">
        <f t="shared" si="53"/>
        <v>0</v>
      </c>
      <c r="O224" s="13">
        <f>IF(N224=1,MONTH(AN224),)</f>
        <v>0</v>
      </c>
      <c r="P224" s="13">
        <f t="shared" si="54"/>
        <v>0</v>
      </c>
      <c r="Q224" s="13">
        <f t="shared" si="55"/>
        <v>1900</v>
      </c>
      <c r="S224" s="38" t="s">
        <v>338</v>
      </c>
      <c r="T224" s="11" t="s">
        <v>42</v>
      </c>
      <c r="U224" s="11" t="s">
        <v>319</v>
      </c>
      <c r="V224" s="39" t="s">
        <v>42</v>
      </c>
      <c r="W224" s="39" t="s">
        <v>320</v>
      </c>
      <c r="X224" s="39" t="s">
        <v>339</v>
      </c>
      <c r="Y224" s="4" t="s">
        <v>328</v>
      </c>
      <c r="Z224" s="66">
        <v>43334</v>
      </c>
      <c r="AA224" s="67">
        <f>AC224/0.51%</f>
        <v>205999.99999999997</v>
      </c>
      <c r="AB224" s="6">
        <v>40</v>
      </c>
      <c r="AC224" s="6">
        <v>1050.5999999999999</v>
      </c>
      <c r="AD224" s="10">
        <f>AC224/AA224</f>
        <v>5.1000000000000004E-3</v>
      </c>
      <c r="AE224" s="7" t="s">
        <v>323</v>
      </c>
      <c r="AF224" s="66">
        <v>43360</v>
      </c>
      <c r="AG224" s="67">
        <v>219800</v>
      </c>
      <c r="AH224" s="16">
        <f>AF224-Z224</f>
        <v>26</v>
      </c>
      <c r="AI224" s="16">
        <f>AG224-AA224</f>
        <v>13800.000000000029</v>
      </c>
      <c r="AJ224" s="36">
        <f>AI224/AA224</f>
        <v>6.699029126213607E-2</v>
      </c>
      <c r="AN224" s="66"/>
      <c r="AT224" s="9"/>
      <c r="AU224" s="6" t="str">
        <f>IF(AND(AU$2&gt;$Z224,$Z224&gt;0,OR($AN224&gt;AU$2,ISBLANK($AN224))),AU$2-$Z224,"")</f>
        <v/>
      </c>
      <c r="AV224" s="6" t="str">
        <f>IF(AND(AV$2&gt;$Z224,$Z224&gt;0,OR($AN224&gt;AV$2,ISBLANK($AN224))),AV$2-$Z224,"")</f>
        <v/>
      </c>
      <c r="AW224" s="6" t="str">
        <f>IF(AND(AW$2&gt;$Z224,$Z224&gt;0,OR($AN224&gt;AW$2,ISBLANK($AN224))),AW$2-$Z224,"")</f>
        <v/>
      </c>
      <c r="AX224" s="6">
        <f>IF(AND(AX$2&gt;$Z224,$Z224&gt;0,OR($AN224&gt;AX$2,ISBLANK($AN224))),AX$2-$Z224,"")</f>
        <v>9</v>
      </c>
      <c r="AY224" s="6">
        <f>IF(AND(AY$2&gt;$Z224,$Z224&gt;0,OR($AN224&gt;AY$2,ISBLANK($AN224))),AY$2-$Z224,"")</f>
        <v>39</v>
      </c>
      <c r="AZ224" s="6">
        <f ca="1">IF(AND(AZ$2&gt;$Z224,$Z224&gt;0,OR($AN224&gt;AZ$2,ISBLANK($AN224))),AZ$2-$Z224,"")</f>
        <v>57.382289814813703</v>
      </c>
      <c r="BA224" s="6"/>
      <c r="BB224" s="6"/>
      <c r="BC224" s="6"/>
      <c r="BD224" s="6"/>
    </row>
    <row r="225" spans="2:56" x14ac:dyDescent="0.25">
      <c r="B225" s="13">
        <f t="shared" si="42"/>
        <v>1</v>
      </c>
      <c r="C225" s="13">
        <f t="shared" si="43"/>
        <v>8</v>
      </c>
      <c r="D225" s="13">
        <f t="shared" si="44"/>
        <v>3</v>
      </c>
      <c r="E225" s="13">
        <f t="shared" si="45"/>
        <v>2018</v>
      </c>
      <c r="F225" s="13">
        <f t="shared" si="46"/>
        <v>0</v>
      </c>
      <c r="G225" s="13">
        <f t="shared" si="47"/>
        <v>1</v>
      </c>
      <c r="H225" s="13">
        <f t="shared" si="48"/>
        <v>1</v>
      </c>
      <c r="I225" s="13">
        <f t="shared" si="49"/>
        <v>1900</v>
      </c>
      <c r="J225" s="13">
        <f t="shared" si="50"/>
        <v>0</v>
      </c>
      <c r="K225" s="13">
        <f>IF(J225=1,MONTH(AK225),)</f>
        <v>0</v>
      </c>
      <c r="L225" s="13">
        <f t="shared" si="51"/>
        <v>0</v>
      </c>
      <c r="M225" s="13">
        <f t="shared" si="52"/>
        <v>1900</v>
      </c>
      <c r="N225" s="13">
        <f t="shared" si="53"/>
        <v>1</v>
      </c>
      <c r="O225" s="13">
        <f>IF(N225=1,MONTH(AN225),)</f>
        <v>9</v>
      </c>
      <c r="P225" s="13">
        <f t="shared" si="54"/>
        <v>3</v>
      </c>
      <c r="Q225" s="13">
        <f t="shared" si="55"/>
        <v>2018</v>
      </c>
      <c r="S225" s="38" t="s">
        <v>495</v>
      </c>
      <c r="T225" s="11" t="s">
        <v>325</v>
      </c>
      <c r="U225" s="11" t="s">
        <v>319</v>
      </c>
      <c r="V225" s="39" t="s">
        <v>42</v>
      </c>
      <c r="W225" s="39" t="s">
        <v>320</v>
      </c>
      <c r="X225" s="39" t="s">
        <v>498</v>
      </c>
      <c r="Y225" s="4" t="s">
        <v>29</v>
      </c>
      <c r="Z225" s="66">
        <v>43329</v>
      </c>
      <c r="AA225" s="67">
        <v>241780</v>
      </c>
      <c r="AB225" s="6">
        <v>40</v>
      </c>
      <c r="AC225" s="6">
        <v>1234.2</v>
      </c>
      <c r="AD225" s="10">
        <v>5.1000000000000004E-3</v>
      </c>
      <c r="AE225" s="7" t="s">
        <v>323</v>
      </c>
      <c r="AH225" s="41"/>
      <c r="AI225" s="41"/>
      <c r="AJ225" s="42"/>
      <c r="AM225" s="41"/>
      <c r="AN225" s="66">
        <v>43364</v>
      </c>
      <c r="AO225" s="67">
        <f>1229.1/0.51%</f>
        <v>240999.99999999997</v>
      </c>
      <c r="AP225" s="41"/>
      <c r="AQ225" s="6">
        <f>AN225-Z225</f>
        <v>35</v>
      </c>
      <c r="AR225" s="6">
        <f>AO225-AA225</f>
        <v>-780.0000000000291</v>
      </c>
      <c r="AS225" s="8">
        <f>AR225/AA225</f>
        <v>-3.2260732897676776E-3</v>
      </c>
      <c r="AT225" s="9"/>
      <c r="AU225" s="6" t="str">
        <f>IF(AND(AU$2&gt;$Z225,$Z225&gt;0,OR($AN225&gt;AU$2,ISBLANK($AN225))),AU$2-$Z225,"")</f>
        <v/>
      </c>
      <c r="AV225" s="6" t="str">
        <f>IF(AND(AV$2&gt;$Z225,$Z225&gt;0,OR($AN225&gt;AV$2,ISBLANK($AN225))),AV$2-$Z225,"")</f>
        <v/>
      </c>
      <c r="AW225" s="6" t="str">
        <f>IF(AND(AW$2&gt;$Z225,$Z225&gt;0,OR($AN225&gt;AW$2,ISBLANK($AN225))),AW$2-$Z225,"")</f>
        <v/>
      </c>
      <c r="AX225" s="6">
        <f>IF(AND(AX$2&gt;$Z225,$Z225&gt;0,OR($AN225&gt;AX$2,ISBLANK($AN225))),AX$2-$Z225,"")</f>
        <v>14</v>
      </c>
      <c r="AY225" s="6" t="str">
        <f>IF(AND(AY$2&gt;$Z225,$Z225&gt;0,OR($AN225&gt;AY$2,ISBLANK($AN225))),AY$2-$Z225,"")</f>
        <v/>
      </c>
      <c r="AZ225" s="6" t="str">
        <f ca="1">IF(AND(AZ$2&gt;$Z225,$Z225&gt;0,OR($AN225&gt;AZ$2,ISBLANK($AN225))),AZ$2-$Z225,"")</f>
        <v/>
      </c>
      <c r="BA225" s="6"/>
      <c r="BB225" s="6"/>
      <c r="BC225" s="6"/>
      <c r="BD225" s="6"/>
    </row>
    <row r="226" spans="2:56" x14ac:dyDescent="0.25">
      <c r="B226" s="13">
        <f t="shared" si="42"/>
        <v>1</v>
      </c>
      <c r="C226" s="13">
        <f t="shared" si="43"/>
        <v>7</v>
      </c>
      <c r="D226" s="13">
        <f t="shared" si="44"/>
        <v>3</v>
      </c>
      <c r="E226" s="13">
        <f t="shared" si="45"/>
        <v>2018</v>
      </c>
      <c r="F226" s="13">
        <f t="shared" si="46"/>
        <v>1</v>
      </c>
      <c r="G226" s="13">
        <f t="shared" si="47"/>
        <v>8</v>
      </c>
      <c r="H226" s="13">
        <f t="shared" si="48"/>
        <v>3</v>
      </c>
      <c r="I226" s="13">
        <f t="shared" si="49"/>
        <v>2018</v>
      </c>
      <c r="J226" s="13">
        <f t="shared" si="50"/>
        <v>1</v>
      </c>
      <c r="K226" s="13">
        <f>IF(J226=1,MONTH(AK226),)</f>
        <v>9</v>
      </c>
      <c r="L226" s="13">
        <f t="shared" si="51"/>
        <v>3</v>
      </c>
      <c r="M226" s="13">
        <f t="shared" si="52"/>
        <v>2018</v>
      </c>
      <c r="N226" s="13">
        <f t="shared" si="53"/>
        <v>0</v>
      </c>
      <c r="O226" s="13">
        <f>IF(N226=1,MONTH(AN226),)</f>
        <v>0</v>
      </c>
      <c r="P226" s="13">
        <f t="shared" si="54"/>
        <v>0</v>
      </c>
      <c r="Q226" s="13">
        <f t="shared" si="55"/>
        <v>1900</v>
      </c>
      <c r="S226" s="38" t="s">
        <v>317</v>
      </c>
      <c r="T226" s="11" t="s">
        <v>318</v>
      </c>
      <c r="U226" s="11" t="s">
        <v>319</v>
      </c>
      <c r="V226" s="39" t="s">
        <v>42</v>
      </c>
      <c r="W226" s="39" t="s">
        <v>320</v>
      </c>
      <c r="X226" s="39" t="s">
        <v>321</v>
      </c>
      <c r="Y226" s="4" t="s">
        <v>322</v>
      </c>
      <c r="Z226" s="66">
        <v>43299</v>
      </c>
      <c r="AA226" s="67">
        <v>206000</v>
      </c>
      <c r="AB226" s="6">
        <v>40</v>
      </c>
      <c r="AC226" s="6">
        <v>1050.5999999999999</v>
      </c>
      <c r="AD226" s="10">
        <f>AC226/AA226</f>
        <v>5.0999999999999995E-3</v>
      </c>
      <c r="AE226" s="7" t="s">
        <v>323</v>
      </c>
      <c r="AF226" s="66">
        <v>43318</v>
      </c>
      <c r="AG226" s="67">
        <v>214900</v>
      </c>
      <c r="AH226" s="16">
        <f>AF226-Z226</f>
        <v>19</v>
      </c>
      <c r="AI226" s="16">
        <f>AG226-AA226</f>
        <v>8900</v>
      </c>
      <c r="AJ226" s="36">
        <f>AI226/AA226</f>
        <v>4.3203883495145631E-2</v>
      </c>
      <c r="AK226" s="66">
        <v>43364</v>
      </c>
      <c r="AL226" s="67">
        <v>214900</v>
      </c>
      <c r="AM226" s="6">
        <f>AK226-AF226</f>
        <v>46</v>
      </c>
      <c r="AN226" s="66"/>
      <c r="AT226" s="9"/>
      <c r="AU226" s="6" t="str">
        <f>IF(AND(AU$2&gt;$Z226,$Z226&gt;0,OR($AN226&gt;AU$2,ISBLANK($AN226))),AU$2-$Z226,"")</f>
        <v/>
      </c>
      <c r="AV226" s="6" t="str">
        <f>IF(AND(AV$2&gt;$Z226,$Z226&gt;0,OR($AN226&gt;AV$2,ISBLANK($AN226))),AV$2-$Z226,"")</f>
        <v/>
      </c>
      <c r="AW226" s="6">
        <f>IF(AND(AW$2&gt;$Z226,$Z226&gt;0,OR($AN226&gt;AW$2,ISBLANK($AN226))),AW$2-$Z226,"")</f>
        <v>13</v>
      </c>
      <c r="AX226" s="6">
        <f>IF(AND(AX$2&gt;$Z226,$Z226&gt;0,OR($AN226&gt;AX$2,ISBLANK($AN226))),AX$2-$Z226,"")</f>
        <v>44</v>
      </c>
      <c r="AY226" s="6">
        <f>IF(AND(AY$2&gt;$Z226,$Z226&gt;0,OR($AN226&gt;AY$2,ISBLANK($AN226))),AY$2-$Z226,"")</f>
        <v>74</v>
      </c>
      <c r="AZ226" s="6">
        <f ca="1">IF(AND(AZ$2&gt;$Z226,$Z226&gt;0,OR($AN226&gt;AZ$2,ISBLANK($AN226))),AZ$2-$Z226,"")</f>
        <v>92.382289814813703</v>
      </c>
      <c r="BA226" s="6"/>
      <c r="BB226" s="6"/>
      <c r="BC226" s="6"/>
      <c r="BD226" s="6"/>
    </row>
    <row r="227" spans="2:56" x14ac:dyDescent="0.25">
      <c r="B227" s="13">
        <f t="shared" si="42"/>
        <v>1</v>
      </c>
      <c r="C227" s="13">
        <f t="shared" si="43"/>
        <v>9</v>
      </c>
      <c r="D227" s="13">
        <f t="shared" si="44"/>
        <v>3</v>
      </c>
      <c r="E227" s="13">
        <f t="shared" si="45"/>
        <v>2018</v>
      </c>
      <c r="F227" s="13">
        <f t="shared" si="46"/>
        <v>1</v>
      </c>
      <c r="G227" s="13">
        <f t="shared" si="47"/>
        <v>10</v>
      </c>
      <c r="H227" s="13">
        <f t="shared" si="48"/>
        <v>4</v>
      </c>
      <c r="I227" s="13">
        <f t="shared" si="49"/>
        <v>2018</v>
      </c>
      <c r="J227" s="13">
        <f t="shared" si="50"/>
        <v>0</v>
      </c>
      <c r="K227" s="13">
        <f>IF(J227=1,MONTH(AK227),)</f>
        <v>0</v>
      </c>
      <c r="L227" s="13">
        <f t="shared" si="51"/>
        <v>0</v>
      </c>
      <c r="M227" s="13">
        <f t="shared" si="52"/>
        <v>1900</v>
      </c>
      <c r="N227" s="13">
        <f t="shared" si="53"/>
        <v>0</v>
      </c>
      <c r="O227" s="13">
        <f>IF(N227=1,MONTH(AN227),)</f>
        <v>0</v>
      </c>
      <c r="P227" s="13">
        <f t="shared" si="54"/>
        <v>0</v>
      </c>
      <c r="Q227" s="13">
        <f t="shared" si="55"/>
        <v>1900</v>
      </c>
      <c r="S227" s="38" t="s">
        <v>350</v>
      </c>
      <c r="T227" s="11" t="s">
        <v>42</v>
      </c>
      <c r="U227" s="11" t="s">
        <v>319</v>
      </c>
      <c r="V227" s="39" t="s">
        <v>42</v>
      </c>
      <c r="W227" s="39" t="s">
        <v>320</v>
      </c>
      <c r="X227" s="39" t="s">
        <v>351</v>
      </c>
      <c r="Y227" s="13" t="s">
        <v>328</v>
      </c>
      <c r="Z227" s="66">
        <v>43353</v>
      </c>
      <c r="AA227" s="67">
        <f>AC227/0.51%</f>
        <v>430999.99999999994</v>
      </c>
      <c r="AB227" s="6">
        <v>40</v>
      </c>
      <c r="AC227" s="6">
        <v>2198.1</v>
      </c>
      <c r="AD227" s="10">
        <f>AC227/AA227</f>
        <v>5.1000000000000004E-3</v>
      </c>
      <c r="AE227" s="7" t="s">
        <v>323</v>
      </c>
      <c r="AF227" s="66">
        <v>43375</v>
      </c>
      <c r="AG227" s="67">
        <v>448000</v>
      </c>
      <c r="AH227" s="16">
        <f>AF227-Z227</f>
        <v>22</v>
      </c>
      <c r="AI227" s="16">
        <f>AG227-AA227</f>
        <v>17000.000000000058</v>
      </c>
      <c r="AJ227" s="36">
        <f>AI227/AA227</f>
        <v>3.9443155452436332E-2</v>
      </c>
      <c r="AN227" s="66"/>
      <c r="AT227" s="9"/>
      <c r="AU227" s="6" t="str">
        <f>IF(AND(AU$2&gt;$Z227,$Z227&gt;0,OR($AN227&gt;AU$2,ISBLANK($AN227))),AU$2-$Z227,"")</f>
        <v/>
      </c>
      <c r="AV227" s="6" t="str">
        <f>IF(AND(AV$2&gt;$Z227,$Z227&gt;0,OR($AN227&gt;AV$2,ISBLANK($AN227))),AV$2-$Z227,"")</f>
        <v/>
      </c>
      <c r="AW227" s="6" t="str">
        <f>IF(AND(AW$2&gt;$Z227,$Z227&gt;0,OR($AN227&gt;AW$2,ISBLANK($AN227))),AW$2-$Z227,"")</f>
        <v/>
      </c>
      <c r="AX227" s="6" t="str">
        <f>IF(AND(AX$2&gt;$Z227,$Z227&gt;0,OR($AN227&gt;AX$2,ISBLANK($AN227))),AX$2-$Z227,"")</f>
        <v/>
      </c>
      <c r="AY227" s="6">
        <f>IF(AND(AY$2&gt;$Z227,$Z227&gt;0,OR($AN227&gt;AY$2,ISBLANK($AN227))),AY$2-$Z227,"")</f>
        <v>20</v>
      </c>
      <c r="AZ227" s="6">
        <f ca="1">IF(AND(AZ$2&gt;$Z227,$Z227&gt;0,OR($AN227&gt;AZ$2,ISBLANK($AN227))),AZ$2-$Z227,"")</f>
        <v>38.382289814813703</v>
      </c>
      <c r="BA227" s="6"/>
      <c r="BB227" s="6"/>
      <c r="BC227" s="6"/>
      <c r="BD227" s="6"/>
    </row>
    <row r="228" spans="2:56" x14ac:dyDescent="0.25">
      <c r="B228" s="13">
        <f t="shared" si="42"/>
        <v>1</v>
      </c>
      <c r="C228" s="13">
        <f t="shared" si="43"/>
        <v>10</v>
      </c>
      <c r="D228" s="13">
        <f t="shared" si="44"/>
        <v>4</v>
      </c>
      <c r="E228" s="13">
        <f t="shared" si="45"/>
        <v>2018</v>
      </c>
      <c r="F228" s="13">
        <f t="shared" si="46"/>
        <v>0</v>
      </c>
      <c r="G228" s="13">
        <f t="shared" si="47"/>
        <v>1</v>
      </c>
      <c r="H228" s="13">
        <f t="shared" si="48"/>
        <v>1</v>
      </c>
      <c r="I228" s="13">
        <f t="shared" si="49"/>
        <v>1900</v>
      </c>
      <c r="J228" s="13">
        <f t="shared" si="50"/>
        <v>0</v>
      </c>
      <c r="K228" s="13">
        <f>IF(J228=1,MONTH(AK228),)</f>
        <v>0</v>
      </c>
      <c r="L228" s="13">
        <f t="shared" si="51"/>
        <v>0</v>
      </c>
      <c r="M228" s="13">
        <f t="shared" si="52"/>
        <v>1900</v>
      </c>
      <c r="N228" s="13">
        <f t="shared" si="53"/>
        <v>0</v>
      </c>
      <c r="O228" s="13">
        <f>IF(N228=1,MONTH(AN228),)</f>
        <v>0</v>
      </c>
      <c r="P228" s="13">
        <f t="shared" si="54"/>
        <v>0</v>
      </c>
      <c r="Q228" s="13">
        <f t="shared" si="55"/>
        <v>1900</v>
      </c>
      <c r="S228" s="38" t="s">
        <v>502</v>
      </c>
      <c r="T228" s="11" t="s">
        <v>42</v>
      </c>
      <c r="U228" s="11" t="s">
        <v>319</v>
      </c>
      <c r="V228" s="39" t="s">
        <v>42</v>
      </c>
      <c r="W228" s="39" t="s">
        <v>320</v>
      </c>
      <c r="X228" s="39" t="s">
        <v>555</v>
      </c>
      <c r="Y228" s="13" t="s">
        <v>328</v>
      </c>
      <c r="Z228" s="66">
        <v>43388</v>
      </c>
      <c r="AA228" s="67">
        <v>229300</v>
      </c>
      <c r="AD228" s="10"/>
      <c r="AG228" s="67">
        <v>239900</v>
      </c>
      <c r="AH228" s="16"/>
      <c r="AI228" s="16">
        <f>AG228-AA228</f>
        <v>10600</v>
      </c>
      <c r="AJ228" s="36">
        <f>AI228/AA228</f>
        <v>4.6227649367640643E-2</v>
      </c>
      <c r="AN228" s="66"/>
      <c r="AT228" s="9"/>
      <c r="AU228" s="6" t="str">
        <f>IF(AND(AU$2&gt;$Z228,$Z228&gt;0,OR($AN228&gt;AU$2,ISBLANK($AN228))),AU$2-$Z228,"")</f>
        <v/>
      </c>
      <c r="AV228" s="6" t="str">
        <f>IF(AND(AV$2&gt;$Z228,$Z228&gt;0,OR($AN228&gt;AV$2,ISBLANK($AN228))),AV$2-$Z228,"")</f>
        <v/>
      </c>
      <c r="AW228" s="6" t="str">
        <f>IF(AND(AW$2&gt;$Z228,$Z228&gt;0,OR($AN228&gt;AW$2,ISBLANK($AN228))),AW$2-$Z228,"")</f>
        <v/>
      </c>
      <c r="AX228" s="6" t="str">
        <f>IF(AND(AX$2&gt;$Z228,$Z228&gt;0,OR($AN228&gt;AX$2,ISBLANK($AN228))),AX$2-$Z228,"")</f>
        <v/>
      </c>
      <c r="AY228" s="6" t="str">
        <f>IF(AND(AY$2&gt;$Z228,$Z228&gt;0,OR($AN228&gt;AY$2,ISBLANK($AN228))),AY$2-$Z228,"")</f>
        <v/>
      </c>
      <c r="AZ228" s="6">
        <f ca="1">IF(AND(AZ$2&gt;$Z228,$Z228&gt;0,OR($AN228&gt;AZ$2,ISBLANK($AN228))),AZ$2-$Z228,"")</f>
        <v>3.3822898148137028</v>
      </c>
      <c r="BA228" s="6"/>
      <c r="BB228" s="6"/>
      <c r="BC228" s="6"/>
      <c r="BD228" s="6"/>
    </row>
    <row r="229" spans="2:56" x14ac:dyDescent="0.25">
      <c r="B229" s="13">
        <f t="shared" si="42"/>
        <v>1</v>
      </c>
      <c r="C229" s="13">
        <f t="shared" si="43"/>
        <v>8</v>
      </c>
      <c r="D229" s="13">
        <f t="shared" si="44"/>
        <v>3</v>
      </c>
      <c r="E229" s="13">
        <f t="shared" si="45"/>
        <v>2018</v>
      </c>
      <c r="F229" s="13">
        <f t="shared" si="46"/>
        <v>1</v>
      </c>
      <c r="G229" s="13">
        <f t="shared" si="47"/>
        <v>9</v>
      </c>
      <c r="H229" s="13">
        <f t="shared" si="48"/>
        <v>3</v>
      </c>
      <c r="I229" s="13">
        <f t="shared" si="49"/>
        <v>2018</v>
      </c>
      <c r="J229" s="13">
        <f t="shared" si="50"/>
        <v>0</v>
      </c>
      <c r="K229" s="13">
        <f>IF(J229=1,MONTH(AK229),)</f>
        <v>0</v>
      </c>
      <c r="L229" s="13">
        <f t="shared" si="51"/>
        <v>0</v>
      </c>
      <c r="M229" s="13">
        <f t="shared" si="52"/>
        <v>1900</v>
      </c>
      <c r="N229" s="13">
        <f t="shared" si="53"/>
        <v>0</v>
      </c>
      <c r="O229" s="13">
        <f>IF(N229=1,MONTH(AN229),)</f>
        <v>0</v>
      </c>
      <c r="P229" s="13">
        <f t="shared" si="54"/>
        <v>0</v>
      </c>
      <c r="Q229" s="13">
        <f t="shared" si="55"/>
        <v>1900</v>
      </c>
      <c r="S229" s="38" t="s">
        <v>331</v>
      </c>
      <c r="T229" s="11" t="s">
        <v>42</v>
      </c>
      <c r="U229" s="11" t="s">
        <v>319</v>
      </c>
      <c r="V229" s="39" t="s">
        <v>42</v>
      </c>
      <c r="W229" s="39" t="s">
        <v>320</v>
      </c>
      <c r="X229" s="39" t="s">
        <v>332</v>
      </c>
      <c r="Y229" s="4" t="s">
        <v>328</v>
      </c>
      <c r="Z229" s="66">
        <v>43327</v>
      </c>
      <c r="AA229" s="67">
        <v>368129</v>
      </c>
      <c r="AB229" s="6">
        <v>40</v>
      </c>
      <c r="AC229" s="6">
        <v>1879.35</v>
      </c>
      <c r="AD229" s="10">
        <f>AC229/AA229</f>
        <v>5.1051397743725703E-3</v>
      </c>
      <c r="AE229" s="7" t="s">
        <v>323</v>
      </c>
      <c r="AF229" s="66">
        <v>43350</v>
      </c>
      <c r="AG229" s="67">
        <v>382300</v>
      </c>
      <c r="AH229" s="16">
        <f>AF229-Z229</f>
        <v>23</v>
      </c>
      <c r="AI229" s="16">
        <f>AG229-AA229</f>
        <v>14171</v>
      </c>
      <c r="AJ229" s="36">
        <f>AI229/AA229</f>
        <v>3.8494658122560296E-2</v>
      </c>
      <c r="AN229" s="66"/>
      <c r="AT229" s="9"/>
      <c r="AU229" s="6" t="str">
        <f>IF(AND(AU$2&gt;$Z229,$Z229&gt;0,OR($AN229&gt;AU$2,ISBLANK($AN229))),AU$2-$Z229,"")</f>
        <v/>
      </c>
      <c r="AV229" s="6" t="str">
        <f>IF(AND(AV$2&gt;$Z229,$Z229&gt;0,OR($AN229&gt;AV$2,ISBLANK($AN229))),AV$2-$Z229,"")</f>
        <v/>
      </c>
      <c r="AW229" s="6" t="str">
        <f>IF(AND(AW$2&gt;$Z229,$Z229&gt;0,OR($AN229&gt;AW$2,ISBLANK($AN229))),AW$2-$Z229,"")</f>
        <v/>
      </c>
      <c r="AX229" s="6">
        <f>IF(AND(AX$2&gt;$Z229,$Z229&gt;0,OR($AN229&gt;AX$2,ISBLANK($AN229))),AX$2-$Z229,"")</f>
        <v>16</v>
      </c>
      <c r="AY229" s="6">
        <f>IF(AND(AY$2&gt;$Z229,$Z229&gt;0,OR($AN229&gt;AY$2,ISBLANK($AN229))),AY$2-$Z229,"")</f>
        <v>46</v>
      </c>
      <c r="AZ229" s="6">
        <f ca="1">IF(AND(AZ$2&gt;$Z229,$Z229&gt;0,OR($AN229&gt;AZ$2,ISBLANK($AN229))),AZ$2-$Z229,"")</f>
        <v>64.382289814813703</v>
      </c>
      <c r="BA229" s="6"/>
      <c r="BB229" s="6"/>
      <c r="BC229" s="6"/>
      <c r="BD229" s="6"/>
    </row>
    <row r="230" spans="2:56" x14ac:dyDescent="0.25">
      <c r="B230" s="13">
        <f t="shared" si="42"/>
        <v>1</v>
      </c>
      <c r="C230" s="13">
        <f t="shared" si="43"/>
        <v>10</v>
      </c>
      <c r="D230" s="13">
        <f t="shared" si="44"/>
        <v>4</v>
      </c>
      <c r="E230" s="13">
        <f t="shared" si="45"/>
        <v>2018</v>
      </c>
      <c r="F230" s="13">
        <f t="shared" si="46"/>
        <v>0</v>
      </c>
      <c r="G230" s="13">
        <f t="shared" si="47"/>
        <v>1</v>
      </c>
      <c r="H230" s="13">
        <f t="shared" si="48"/>
        <v>1</v>
      </c>
      <c r="I230" s="13">
        <f t="shared" si="49"/>
        <v>1900</v>
      </c>
      <c r="J230" s="13">
        <f t="shared" si="50"/>
        <v>0</v>
      </c>
      <c r="K230" s="13">
        <f>IF(J230=1,MONTH(AK230),)</f>
        <v>0</v>
      </c>
      <c r="L230" s="13">
        <f t="shared" si="51"/>
        <v>0</v>
      </c>
      <c r="M230" s="13">
        <f t="shared" si="52"/>
        <v>1900</v>
      </c>
      <c r="N230" s="13">
        <f t="shared" si="53"/>
        <v>0</v>
      </c>
      <c r="O230" s="13">
        <f>IF(N230=1,MONTH(AN230),)</f>
        <v>0</v>
      </c>
      <c r="P230" s="13">
        <f t="shared" si="54"/>
        <v>0</v>
      </c>
      <c r="Q230" s="13">
        <f t="shared" si="55"/>
        <v>1900</v>
      </c>
      <c r="S230" s="38" t="s">
        <v>380</v>
      </c>
      <c r="T230" s="11" t="s">
        <v>42</v>
      </c>
      <c r="U230" s="11" t="s">
        <v>319</v>
      </c>
      <c r="V230" s="39" t="s">
        <v>42</v>
      </c>
      <c r="W230" s="39" t="s">
        <v>320</v>
      </c>
      <c r="X230" s="39" t="s">
        <v>382</v>
      </c>
      <c r="Y230" s="13"/>
      <c r="Z230" s="66">
        <v>43377</v>
      </c>
      <c r="AA230" s="67">
        <v>175000</v>
      </c>
      <c r="AB230" s="6">
        <v>40</v>
      </c>
      <c r="AC230" s="6">
        <f>AA230*0.51%</f>
        <v>892.50000000000011</v>
      </c>
      <c r="AD230" s="10">
        <f>AC230/AA230</f>
        <v>5.1000000000000004E-3</v>
      </c>
      <c r="AE230" s="7" t="s">
        <v>323</v>
      </c>
      <c r="AG230" s="67">
        <v>186900</v>
      </c>
      <c r="AH230" s="16"/>
      <c r="AI230" s="16">
        <f>AG230-AA230</f>
        <v>11900</v>
      </c>
      <c r="AJ230" s="36">
        <f>AI230/AA230</f>
        <v>6.8000000000000005E-2</v>
      </c>
      <c r="AN230" s="66"/>
      <c r="AT230" s="9"/>
      <c r="AU230" s="6" t="str">
        <f>IF(AND(AU$2&gt;$Z230,$Z230&gt;0,OR($AN230&gt;AU$2,ISBLANK($AN230))),AU$2-$Z230,"")</f>
        <v/>
      </c>
      <c r="AV230" s="6" t="str">
        <f>IF(AND(AV$2&gt;$Z230,$Z230&gt;0,OR($AN230&gt;AV$2,ISBLANK($AN230))),AV$2-$Z230,"")</f>
        <v/>
      </c>
      <c r="AW230" s="6" t="str">
        <f>IF(AND(AW$2&gt;$Z230,$Z230&gt;0,OR($AN230&gt;AW$2,ISBLANK($AN230))),AW$2-$Z230,"")</f>
        <v/>
      </c>
      <c r="AX230" s="6" t="str">
        <f>IF(AND(AX$2&gt;$Z230,$Z230&gt;0,OR($AN230&gt;AX$2,ISBLANK($AN230))),AX$2-$Z230,"")</f>
        <v/>
      </c>
      <c r="AY230" s="6" t="str">
        <f>IF(AND(AY$2&gt;$Z230,$Z230&gt;0,OR($AN230&gt;AY$2,ISBLANK($AN230))),AY$2-$Z230,"")</f>
        <v/>
      </c>
      <c r="AZ230" s="6">
        <f ca="1">IF(AND(AZ$2&gt;$Z230,$Z230&gt;0,OR($AN230&gt;AZ$2,ISBLANK($AN230))),AZ$2-$Z230,"")</f>
        <v>14.382289814813703</v>
      </c>
      <c r="BA230" s="6"/>
      <c r="BB230" s="6"/>
      <c r="BC230" s="6"/>
      <c r="BD230" s="6"/>
    </row>
    <row r="231" spans="2:56" x14ac:dyDescent="0.25">
      <c r="B231" s="13">
        <f t="shared" si="42"/>
        <v>1</v>
      </c>
      <c r="C231" s="13">
        <f t="shared" si="43"/>
        <v>9</v>
      </c>
      <c r="D231" s="13">
        <f t="shared" si="44"/>
        <v>3</v>
      </c>
      <c r="E231" s="13">
        <f t="shared" si="45"/>
        <v>2018</v>
      </c>
      <c r="F231" s="13">
        <f t="shared" si="46"/>
        <v>1</v>
      </c>
      <c r="G231" s="13">
        <f t="shared" si="47"/>
        <v>10</v>
      </c>
      <c r="H231" s="13">
        <f t="shared" si="48"/>
        <v>4</v>
      </c>
      <c r="I231" s="13">
        <f t="shared" si="49"/>
        <v>2018</v>
      </c>
      <c r="J231" s="13">
        <f t="shared" si="50"/>
        <v>0</v>
      </c>
      <c r="K231" s="13">
        <f>IF(J231=1,MONTH(AK231),)</f>
        <v>0</v>
      </c>
      <c r="L231" s="13">
        <f t="shared" si="51"/>
        <v>0</v>
      </c>
      <c r="M231" s="13">
        <f t="shared" si="52"/>
        <v>1900</v>
      </c>
      <c r="N231" s="13">
        <f t="shared" si="53"/>
        <v>0</v>
      </c>
      <c r="O231" s="13">
        <f>IF(N231=1,MONTH(AN231),)</f>
        <v>0</v>
      </c>
      <c r="P231" s="13">
        <f t="shared" si="54"/>
        <v>0</v>
      </c>
      <c r="Q231" s="13">
        <f t="shared" si="55"/>
        <v>1900</v>
      </c>
      <c r="S231" s="38" t="s">
        <v>358</v>
      </c>
      <c r="T231" s="11" t="s">
        <v>325</v>
      </c>
      <c r="U231" s="11" t="s">
        <v>319</v>
      </c>
      <c r="V231" s="39" t="s">
        <v>42</v>
      </c>
      <c r="W231" s="39" t="s">
        <v>320</v>
      </c>
      <c r="X231" s="39" t="s">
        <v>359</v>
      </c>
      <c r="Y231" s="4" t="s">
        <v>328</v>
      </c>
      <c r="Z231" s="66">
        <v>43357</v>
      </c>
      <c r="AA231" s="67">
        <f>AC231/0.51%</f>
        <v>264500</v>
      </c>
      <c r="AB231" s="6">
        <v>40</v>
      </c>
      <c r="AC231" s="6">
        <v>1348.95</v>
      </c>
      <c r="AD231" s="10">
        <f>AC231/AA231</f>
        <v>5.1000000000000004E-3</v>
      </c>
      <c r="AE231" s="7" t="s">
        <v>323</v>
      </c>
      <c r="AF231" s="66">
        <v>43386</v>
      </c>
      <c r="AG231" s="67">
        <v>278200</v>
      </c>
      <c r="AH231" s="16">
        <f>AF231-Z231</f>
        <v>29</v>
      </c>
      <c r="AI231" s="16">
        <f>AG231-AA231</f>
        <v>13700</v>
      </c>
      <c r="AJ231" s="36">
        <f>AI231/AA231</f>
        <v>5.1795841209829871E-2</v>
      </c>
      <c r="AN231" s="66"/>
      <c r="AT231" s="9"/>
      <c r="AU231" s="6" t="str">
        <f>IF(AND(AU$2&gt;$Z231,$Z231&gt;0,OR($AN231&gt;AU$2,ISBLANK($AN231))),AU$2-$Z231,"")</f>
        <v/>
      </c>
      <c r="AV231" s="6" t="str">
        <f>IF(AND(AV$2&gt;$Z231,$Z231&gt;0,OR($AN231&gt;AV$2,ISBLANK($AN231))),AV$2-$Z231,"")</f>
        <v/>
      </c>
      <c r="AW231" s="6" t="str">
        <f>IF(AND(AW$2&gt;$Z231,$Z231&gt;0,OR($AN231&gt;AW$2,ISBLANK($AN231))),AW$2-$Z231,"")</f>
        <v/>
      </c>
      <c r="AX231" s="6" t="str">
        <f>IF(AND(AX$2&gt;$Z231,$Z231&gt;0,OR($AN231&gt;AX$2,ISBLANK($AN231))),AX$2-$Z231,"")</f>
        <v/>
      </c>
      <c r="AY231" s="6">
        <f>IF(AND(AY$2&gt;$Z231,$Z231&gt;0,OR($AN231&gt;AY$2,ISBLANK($AN231))),AY$2-$Z231,"")</f>
        <v>16</v>
      </c>
      <c r="AZ231" s="6">
        <f ca="1">IF(AND(AZ$2&gt;$Z231,$Z231&gt;0,OR($AN231&gt;AZ$2,ISBLANK($AN231))),AZ$2-$Z231,"")</f>
        <v>34.382289814813703</v>
      </c>
      <c r="BA231" s="6"/>
      <c r="BB231" s="6"/>
      <c r="BC231" s="6"/>
      <c r="BD231" s="6"/>
    </row>
    <row r="232" spans="2:56" x14ac:dyDescent="0.25">
      <c r="B232" s="13">
        <f t="shared" si="42"/>
        <v>1</v>
      </c>
      <c r="C232" s="13">
        <f t="shared" si="43"/>
        <v>10</v>
      </c>
      <c r="D232" s="13">
        <f t="shared" si="44"/>
        <v>4</v>
      </c>
      <c r="E232" s="13">
        <f t="shared" si="45"/>
        <v>2018</v>
      </c>
      <c r="F232" s="13">
        <f t="shared" si="46"/>
        <v>0</v>
      </c>
      <c r="G232" s="13">
        <f t="shared" si="47"/>
        <v>1</v>
      </c>
      <c r="H232" s="13">
        <f t="shared" si="48"/>
        <v>1</v>
      </c>
      <c r="I232" s="13">
        <f t="shared" si="49"/>
        <v>1900</v>
      </c>
      <c r="J232" s="13">
        <f t="shared" si="50"/>
        <v>0</v>
      </c>
      <c r="K232" s="13">
        <f>IF(J232=1,MONTH(AK232),)</f>
        <v>0</v>
      </c>
      <c r="L232" s="13">
        <f t="shared" si="51"/>
        <v>0</v>
      </c>
      <c r="M232" s="13">
        <f t="shared" si="52"/>
        <v>1900</v>
      </c>
      <c r="N232" s="13">
        <f t="shared" si="53"/>
        <v>0</v>
      </c>
      <c r="O232" s="13">
        <f>IF(N232=1,MONTH(AN232),)</f>
        <v>0</v>
      </c>
      <c r="P232" s="13">
        <f t="shared" si="54"/>
        <v>0</v>
      </c>
      <c r="Q232" s="13">
        <f t="shared" si="55"/>
        <v>1900</v>
      </c>
      <c r="S232" s="38" t="s">
        <v>500</v>
      </c>
      <c r="T232" s="11" t="s">
        <v>42</v>
      </c>
      <c r="U232" s="11" t="s">
        <v>319</v>
      </c>
      <c r="V232" s="39" t="s">
        <v>42</v>
      </c>
      <c r="W232" s="39" t="s">
        <v>320</v>
      </c>
      <c r="X232" s="39" t="s">
        <v>561</v>
      </c>
      <c r="Y232" s="13" t="s">
        <v>328</v>
      </c>
      <c r="Z232" s="66">
        <v>43382</v>
      </c>
      <c r="AA232" s="67">
        <v>322800</v>
      </c>
      <c r="AD232" s="10"/>
      <c r="AG232" s="67">
        <v>331900</v>
      </c>
      <c r="AH232" s="16"/>
      <c r="AI232" s="16">
        <f>AG232-AA232</f>
        <v>9100</v>
      </c>
      <c r="AJ232" s="36">
        <f>AI232/AA232</f>
        <v>2.81908302354399E-2</v>
      </c>
      <c r="AN232" s="66"/>
      <c r="AT232" s="9"/>
      <c r="AU232" s="6" t="str">
        <f>IF(AND(AU$2&gt;$Z232,$Z232&gt;0,OR($AN232&gt;AU$2,ISBLANK($AN232))),AU$2-$Z232,"")</f>
        <v/>
      </c>
      <c r="AV232" s="6" t="str">
        <f>IF(AND(AV$2&gt;$Z232,$Z232&gt;0,OR($AN232&gt;AV$2,ISBLANK($AN232))),AV$2-$Z232,"")</f>
        <v/>
      </c>
      <c r="AW232" s="6" t="str">
        <f>IF(AND(AW$2&gt;$Z232,$Z232&gt;0,OR($AN232&gt;AW$2,ISBLANK($AN232))),AW$2-$Z232,"")</f>
        <v/>
      </c>
      <c r="AX232" s="6" t="str">
        <f>IF(AND(AX$2&gt;$Z232,$Z232&gt;0,OR($AN232&gt;AX$2,ISBLANK($AN232))),AX$2-$Z232,"")</f>
        <v/>
      </c>
      <c r="AY232" s="6" t="str">
        <f>IF(AND(AY$2&gt;$Z232,$Z232&gt;0,OR($AN232&gt;AY$2,ISBLANK($AN232))),AY$2-$Z232,"")</f>
        <v/>
      </c>
      <c r="AZ232" s="6">
        <f ca="1">IF(AND(AZ$2&gt;$Z232,$Z232&gt;0,OR($AN232&gt;AZ$2,ISBLANK($AN232))),AZ$2-$Z232,"")</f>
        <v>9.3822898148137028</v>
      </c>
      <c r="BA232" s="6"/>
      <c r="BB232" s="6"/>
      <c r="BC232" s="6"/>
      <c r="BD232" s="6"/>
    </row>
    <row r="233" spans="2:56" x14ac:dyDescent="0.25">
      <c r="B233" s="13">
        <f t="shared" si="42"/>
        <v>1</v>
      </c>
      <c r="C233" s="13">
        <f t="shared" si="43"/>
        <v>10</v>
      </c>
      <c r="D233" s="13">
        <f t="shared" si="44"/>
        <v>4</v>
      </c>
      <c r="E233" s="13">
        <f t="shared" si="45"/>
        <v>2018</v>
      </c>
      <c r="F233" s="13">
        <f t="shared" si="46"/>
        <v>0</v>
      </c>
      <c r="G233" s="13">
        <f t="shared" si="47"/>
        <v>1</v>
      </c>
      <c r="H233" s="13">
        <f t="shared" si="48"/>
        <v>1</v>
      </c>
      <c r="I233" s="13">
        <f t="shared" si="49"/>
        <v>1900</v>
      </c>
      <c r="J233" s="13">
        <f t="shared" si="50"/>
        <v>0</v>
      </c>
      <c r="K233" s="13">
        <f>IF(J233=1,MONTH(AK233),)</f>
        <v>0</v>
      </c>
      <c r="L233" s="13">
        <f t="shared" si="51"/>
        <v>0</v>
      </c>
      <c r="M233" s="13">
        <f t="shared" si="52"/>
        <v>1900</v>
      </c>
      <c r="N233" s="13">
        <f t="shared" si="53"/>
        <v>0</v>
      </c>
      <c r="O233" s="13">
        <f>IF(N233=1,MONTH(AN233),)</f>
        <v>0</v>
      </c>
      <c r="P233" s="13">
        <f t="shared" si="54"/>
        <v>0</v>
      </c>
      <c r="Q233" s="13">
        <f t="shared" si="55"/>
        <v>1900</v>
      </c>
      <c r="S233" s="38" t="s">
        <v>503</v>
      </c>
      <c r="T233" s="11" t="s">
        <v>42</v>
      </c>
      <c r="U233" s="11" t="s">
        <v>319</v>
      </c>
      <c r="V233" s="39" t="s">
        <v>42</v>
      </c>
      <c r="W233" s="39" t="s">
        <v>320</v>
      </c>
      <c r="X233" s="39" t="s">
        <v>560</v>
      </c>
      <c r="Y233" s="13" t="s">
        <v>328</v>
      </c>
      <c r="Z233" s="66">
        <v>43383</v>
      </c>
      <c r="AA233" s="67">
        <v>303000</v>
      </c>
      <c r="AD233" s="10"/>
      <c r="AG233" s="67">
        <v>325000</v>
      </c>
      <c r="AH233" s="16"/>
      <c r="AI233" s="16">
        <f>AG233-AA233</f>
        <v>22000</v>
      </c>
      <c r="AJ233" s="36">
        <f>AI233/AA233</f>
        <v>7.2607260726072612E-2</v>
      </c>
      <c r="AN233" s="66"/>
      <c r="AT233" s="9"/>
      <c r="AU233" s="6" t="str">
        <f>IF(AND(AU$2&gt;$Z233,$Z233&gt;0,OR($AN233&gt;AU$2,ISBLANK($AN233))),AU$2-$Z233,"")</f>
        <v/>
      </c>
      <c r="AV233" s="6" t="str">
        <f>IF(AND(AV$2&gt;$Z233,$Z233&gt;0,OR($AN233&gt;AV$2,ISBLANK($AN233))),AV$2-$Z233,"")</f>
        <v/>
      </c>
      <c r="AW233" s="6" t="str">
        <f>IF(AND(AW$2&gt;$Z233,$Z233&gt;0,OR($AN233&gt;AW$2,ISBLANK($AN233))),AW$2-$Z233,"")</f>
        <v/>
      </c>
      <c r="AX233" s="6" t="str">
        <f>IF(AND(AX$2&gt;$Z233,$Z233&gt;0,OR($AN233&gt;AX$2,ISBLANK($AN233))),AX$2-$Z233,"")</f>
        <v/>
      </c>
      <c r="AY233" s="6" t="str">
        <f>IF(AND(AY$2&gt;$Z233,$Z233&gt;0,OR($AN233&gt;AY$2,ISBLANK($AN233))),AY$2-$Z233,"")</f>
        <v/>
      </c>
      <c r="AZ233" s="6">
        <f ca="1">IF(AND(AZ$2&gt;$Z233,$Z233&gt;0,OR($AN233&gt;AZ$2,ISBLANK($AN233))),AZ$2-$Z233,"")</f>
        <v>8.3822898148137028</v>
      </c>
      <c r="BA233" s="6"/>
      <c r="BB233" s="6"/>
      <c r="BC233" s="6"/>
      <c r="BD233" s="6"/>
    </row>
    <row r="234" spans="2:56" x14ac:dyDescent="0.25">
      <c r="B234" s="13">
        <f t="shared" si="42"/>
        <v>1</v>
      </c>
      <c r="C234" s="13">
        <f t="shared" si="43"/>
        <v>8</v>
      </c>
      <c r="D234" s="13">
        <f t="shared" si="44"/>
        <v>3</v>
      </c>
      <c r="E234" s="13">
        <f t="shared" si="45"/>
        <v>2018</v>
      </c>
      <c r="F234" s="13">
        <f t="shared" si="46"/>
        <v>1</v>
      </c>
      <c r="G234" s="13">
        <f t="shared" si="47"/>
        <v>8</v>
      </c>
      <c r="H234" s="13">
        <f t="shared" si="48"/>
        <v>3</v>
      </c>
      <c r="I234" s="13">
        <f t="shared" si="49"/>
        <v>2018</v>
      </c>
      <c r="J234" s="13">
        <f t="shared" si="50"/>
        <v>0</v>
      </c>
      <c r="K234" s="13">
        <f>IF(J234=1,MONTH(AK234),)</f>
        <v>0</v>
      </c>
      <c r="L234" s="13">
        <f t="shared" si="51"/>
        <v>0</v>
      </c>
      <c r="M234" s="13">
        <f t="shared" si="52"/>
        <v>1900</v>
      </c>
      <c r="N234" s="13">
        <f t="shared" si="53"/>
        <v>0</v>
      </c>
      <c r="O234" s="13">
        <f>IF(N234=1,MONTH(AN234),)</f>
        <v>0</v>
      </c>
      <c r="P234" s="13">
        <f t="shared" si="54"/>
        <v>0</v>
      </c>
      <c r="Q234" s="13">
        <f t="shared" si="55"/>
        <v>1900</v>
      </c>
      <c r="S234" s="38" t="s">
        <v>333</v>
      </c>
      <c r="T234" s="11" t="s">
        <v>334</v>
      </c>
      <c r="U234" s="11" t="s">
        <v>319</v>
      </c>
      <c r="V234" s="39" t="s">
        <v>42</v>
      </c>
      <c r="W234" s="39" t="s">
        <v>320</v>
      </c>
      <c r="X234" s="39" t="s">
        <v>335</v>
      </c>
      <c r="Y234" s="13" t="s">
        <v>328</v>
      </c>
      <c r="Z234" s="66">
        <v>43328</v>
      </c>
      <c r="AA234" s="67">
        <f>AC234/0.51%</f>
        <v>390999.99999999994</v>
      </c>
      <c r="AB234" s="6">
        <v>40</v>
      </c>
      <c r="AC234" s="6">
        <v>1994.1</v>
      </c>
      <c r="AD234" s="10">
        <f>AC234/AA234</f>
        <v>5.1000000000000004E-3</v>
      </c>
      <c r="AE234" s="7" t="s">
        <v>323</v>
      </c>
      <c r="AF234" s="66">
        <v>43340</v>
      </c>
      <c r="AG234" s="67">
        <v>399000</v>
      </c>
      <c r="AH234" s="16">
        <f>AF234-Z234</f>
        <v>12</v>
      </c>
      <c r="AI234" s="16">
        <f>AG234-AA234</f>
        <v>8000.0000000000582</v>
      </c>
      <c r="AJ234" s="36">
        <f>AI234/AA234</f>
        <v>2.0460358056266136E-2</v>
      </c>
      <c r="AN234" s="66"/>
      <c r="AT234" s="9"/>
      <c r="AU234" s="6" t="str">
        <f>IF(AND(AU$2&gt;$Z234,$Z234&gt;0,OR($AN234&gt;AU$2,ISBLANK($AN234))),AU$2-$Z234,"")</f>
        <v/>
      </c>
      <c r="AV234" s="6" t="str">
        <f>IF(AND(AV$2&gt;$Z234,$Z234&gt;0,OR($AN234&gt;AV$2,ISBLANK($AN234))),AV$2-$Z234,"")</f>
        <v/>
      </c>
      <c r="AW234" s="6" t="str">
        <f>IF(AND(AW$2&gt;$Z234,$Z234&gt;0,OR($AN234&gt;AW$2,ISBLANK($AN234))),AW$2-$Z234,"")</f>
        <v/>
      </c>
      <c r="AX234" s="6">
        <f>IF(AND(AX$2&gt;$Z234,$Z234&gt;0,OR($AN234&gt;AX$2,ISBLANK($AN234))),AX$2-$Z234,"")</f>
        <v>15</v>
      </c>
      <c r="AY234" s="6">
        <f>IF(AND(AY$2&gt;$Z234,$Z234&gt;0,OR($AN234&gt;AY$2,ISBLANK($AN234))),AY$2-$Z234,"")</f>
        <v>45</v>
      </c>
      <c r="AZ234" s="6">
        <f ca="1">IF(AND(AZ$2&gt;$Z234,$Z234&gt;0,OR($AN234&gt;AZ$2,ISBLANK($AN234))),AZ$2-$Z234,"")</f>
        <v>63.382289814813703</v>
      </c>
      <c r="BA234" s="6"/>
      <c r="BB234" s="6"/>
      <c r="BC234" s="6"/>
      <c r="BD234" s="6"/>
    </row>
    <row r="235" spans="2:56" x14ac:dyDescent="0.25">
      <c r="B235" s="13">
        <f t="shared" si="42"/>
        <v>1</v>
      </c>
      <c r="C235" s="13">
        <f t="shared" si="43"/>
        <v>8</v>
      </c>
      <c r="D235" s="13">
        <f t="shared" si="44"/>
        <v>3</v>
      </c>
      <c r="E235" s="13">
        <f t="shared" si="45"/>
        <v>2018</v>
      </c>
      <c r="F235" s="13">
        <f t="shared" si="46"/>
        <v>1</v>
      </c>
      <c r="G235" s="13">
        <f t="shared" si="47"/>
        <v>9</v>
      </c>
      <c r="H235" s="13">
        <f t="shared" si="48"/>
        <v>3</v>
      </c>
      <c r="I235" s="13">
        <f t="shared" si="49"/>
        <v>2018</v>
      </c>
      <c r="J235" s="13">
        <f t="shared" si="50"/>
        <v>1</v>
      </c>
      <c r="K235" s="13">
        <f>IF(J235=1,MONTH(AK235),)</f>
        <v>9</v>
      </c>
      <c r="L235" s="13">
        <f t="shared" si="51"/>
        <v>3</v>
      </c>
      <c r="M235" s="13">
        <f t="shared" si="52"/>
        <v>2018</v>
      </c>
      <c r="N235" s="13">
        <f t="shared" si="53"/>
        <v>0</v>
      </c>
      <c r="O235" s="13">
        <f>IF(N235=1,MONTH(AN235),)</f>
        <v>0</v>
      </c>
      <c r="P235" s="13">
        <f t="shared" si="54"/>
        <v>0</v>
      </c>
      <c r="Q235" s="13">
        <f t="shared" si="55"/>
        <v>1900</v>
      </c>
      <c r="S235" s="38" t="s">
        <v>342</v>
      </c>
      <c r="T235" s="11" t="s">
        <v>325</v>
      </c>
      <c r="U235" s="11" t="s">
        <v>319</v>
      </c>
      <c r="V235" s="39" t="s">
        <v>42</v>
      </c>
      <c r="W235" s="39" t="s">
        <v>320</v>
      </c>
      <c r="X235" s="39" t="s">
        <v>343</v>
      </c>
      <c r="Y235" s="13" t="s">
        <v>328</v>
      </c>
      <c r="Z235" s="66">
        <v>43343</v>
      </c>
      <c r="AA235" s="67">
        <v>378000</v>
      </c>
      <c r="AB235" s="6">
        <v>40</v>
      </c>
      <c r="AC235" s="6">
        <v>1927.8</v>
      </c>
      <c r="AD235" s="10">
        <f>AC235/AA235</f>
        <v>5.0999999999999995E-3</v>
      </c>
      <c r="AE235" s="7" t="s">
        <v>323</v>
      </c>
      <c r="AF235" s="66">
        <v>43361</v>
      </c>
      <c r="AG235" s="67">
        <v>390000</v>
      </c>
      <c r="AH235" s="16">
        <f>AF235-Z235</f>
        <v>18</v>
      </c>
      <c r="AI235" s="16">
        <f>AG235-AA235</f>
        <v>12000</v>
      </c>
      <c r="AJ235" s="36">
        <f>AI235/AA235</f>
        <v>3.1746031746031744E-2</v>
      </c>
      <c r="AK235" s="66">
        <v>43371</v>
      </c>
      <c r="AL235" s="67">
        <v>390000</v>
      </c>
      <c r="AM235" s="6">
        <f>AK235-AF235</f>
        <v>10</v>
      </c>
      <c r="AN235" s="66"/>
      <c r="AT235" s="9"/>
      <c r="AU235" s="6" t="str">
        <f>IF(AND(AU$2&gt;$Z235,$Z235&gt;0,OR($AN235&gt;AU$2,ISBLANK($AN235))),AU$2-$Z235,"")</f>
        <v/>
      </c>
      <c r="AV235" s="6" t="str">
        <f>IF(AND(AV$2&gt;$Z235,$Z235&gt;0,OR($AN235&gt;AV$2,ISBLANK($AN235))),AV$2-$Z235,"")</f>
        <v/>
      </c>
      <c r="AW235" s="6" t="str">
        <f>IF(AND(AW$2&gt;$Z235,$Z235&gt;0,OR($AN235&gt;AW$2,ISBLANK($AN235))),AW$2-$Z235,"")</f>
        <v/>
      </c>
      <c r="AX235" s="6" t="str">
        <f>IF(AND(AX$2&gt;$Z235,$Z235&gt;0,OR($AN235&gt;AX$2,ISBLANK($AN235))),AX$2-$Z235,"")</f>
        <v/>
      </c>
      <c r="AY235" s="6">
        <f>IF(AND(AY$2&gt;$Z235,$Z235&gt;0,OR($AN235&gt;AY$2,ISBLANK($AN235))),AY$2-$Z235,"")</f>
        <v>30</v>
      </c>
      <c r="AZ235" s="6">
        <f ca="1">IF(AND(AZ$2&gt;$Z235,$Z235&gt;0,OR($AN235&gt;AZ$2,ISBLANK($AN235))),AZ$2-$Z235,"")</f>
        <v>48.382289814813703</v>
      </c>
      <c r="BA235" s="6"/>
      <c r="BB235" s="6"/>
      <c r="BC235" s="6"/>
      <c r="BD235" s="6"/>
    </row>
    <row r="236" spans="2:56" x14ac:dyDescent="0.25">
      <c r="B236" s="13">
        <f t="shared" si="42"/>
        <v>1</v>
      </c>
      <c r="C236" s="13">
        <f t="shared" si="43"/>
        <v>8</v>
      </c>
      <c r="D236" s="13">
        <f t="shared" si="44"/>
        <v>3</v>
      </c>
      <c r="E236" s="13">
        <f t="shared" si="45"/>
        <v>2018</v>
      </c>
      <c r="F236" s="13">
        <f t="shared" si="46"/>
        <v>1</v>
      </c>
      <c r="G236" s="13">
        <f t="shared" si="47"/>
        <v>9</v>
      </c>
      <c r="H236" s="13">
        <f t="shared" si="48"/>
        <v>3</v>
      </c>
      <c r="I236" s="13">
        <f t="shared" si="49"/>
        <v>2018</v>
      </c>
      <c r="J236" s="13">
        <f t="shared" si="50"/>
        <v>1</v>
      </c>
      <c r="K236" s="13">
        <f>IF(J236=1,MONTH(AK236),)</f>
        <v>9</v>
      </c>
      <c r="L236" s="13">
        <f t="shared" si="51"/>
        <v>3</v>
      </c>
      <c r="M236" s="13">
        <f t="shared" si="52"/>
        <v>2018</v>
      </c>
      <c r="N236" s="13">
        <f t="shared" si="53"/>
        <v>0</v>
      </c>
      <c r="O236" s="13">
        <f>IF(N236=1,MONTH(AN236),)</f>
        <v>0</v>
      </c>
      <c r="P236" s="13">
        <f t="shared" si="54"/>
        <v>0</v>
      </c>
      <c r="Q236" s="13">
        <f t="shared" si="55"/>
        <v>1900</v>
      </c>
      <c r="S236" s="38" t="s">
        <v>326</v>
      </c>
      <c r="T236" s="11" t="s">
        <v>42</v>
      </c>
      <c r="U236" s="11" t="s">
        <v>319</v>
      </c>
      <c r="V236" s="39" t="s">
        <v>42</v>
      </c>
      <c r="W236" s="39" t="s">
        <v>320</v>
      </c>
      <c r="X236" s="39" t="s">
        <v>327</v>
      </c>
      <c r="Y236" s="13" t="s">
        <v>328</v>
      </c>
      <c r="Z236" s="66">
        <v>43314</v>
      </c>
      <c r="AA236" s="67">
        <v>227230</v>
      </c>
      <c r="AB236" s="6">
        <v>40</v>
      </c>
      <c r="AC236" s="6">
        <v>1160.25</v>
      </c>
      <c r="AD236" s="10">
        <f>AC236/AA236</f>
        <v>5.1060599392685826E-3</v>
      </c>
      <c r="AE236" s="7" t="s">
        <v>323</v>
      </c>
      <c r="AF236" s="66">
        <v>43350</v>
      </c>
      <c r="AG236" s="67">
        <v>234800</v>
      </c>
      <c r="AH236" s="16">
        <f>AF236-Z236</f>
        <v>36</v>
      </c>
      <c r="AI236" s="16">
        <f>AG236-AA236</f>
        <v>7570</v>
      </c>
      <c r="AJ236" s="36">
        <f>AI236/AA236</f>
        <v>3.3314263081459315E-2</v>
      </c>
      <c r="AK236" s="66">
        <v>43370</v>
      </c>
      <c r="AL236" s="67">
        <v>234800</v>
      </c>
      <c r="AM236" s="6">
        <f>AK236-AF236</f>
        <v>20</v>
      </c>
      <c r="AN236" s="66"/>
      <c r="AT236" s="9"/>
      <c r="AU236" s="6" t="str">
        <f>IF(AND(AU$2&gt;$Z236,$Z236&gt;0,OR($AN236&gt;AU$2,ISBLANK($AN236))),AU$2-$Z236,"")</f>
        <v/>
      </c>
      <c r="AV236" s="6" t="str">
        <f>IF(AND(AV$2&gt;$Z236,$Z236&gt;0,OR($AN236&gt;AV$2,ISBLANK($AN236))),AV$2-$Z236,"")</f>
        <v/>
      </c>
      <c r="AW236" s="6" t="str">
        <f>IF(AND(AW$2&gt;$Z236,$Z236&gt;0,OR($AN236&gt;AW$2,ISBLANK($AN236))),AW$2-$Z236,"")</f>
        <v/>
      </c>
      <c r="AX236" s="6">
        <f>IF(AND(AX$2&gt;$Z236,$Z236&gt;0,OR($AN236&gt;AX$2,ISBLANK($AN236))),AX$2-$Z236,"")</f>
        <v>29</v>
      </c>
      <c r="AY236" s="6">
        <f>IF(AND(AY$2&gt;$Z236,$Z236&gt;0,OR($AN236&gt;AY$2,ISBLANK($AN236))),AY$2-$Z236,"")</f>
        <v>59</v>
      </c>
      <c r="AZ236" s="6">
        <f ca="1">IF(AND(AZ$2&gt;$Z236,$Z236&gt;0,OR($AN236&gt;AZ$2,ISBLANK($AN236))),AZ$2-$Z236,"")</f>
        <v>77.382289814813703</v>
      </c>
      <c r="BA236" s="6"/>
      <c r="BB236" s="6"/>
      <c r="BC236" s="6"/>
      <c r="BD236" s="6"/>
    </row>
    <row r="237" spans="2:56" x14ac:dyDescent="0.25">
      <c r="B237" s="13">
        <f t="shared" si="42"/>
        <v>1</v>
      </c>
      <c r="C237" s="13">
        <f t="shared" si="43"/>
        <v>8</v>
      </c>
      <c r="D237" s="13">
        <f t="shared" si="44"/>
        <v>3</v>
      </c>
      <c r="E237" s="13">
        <f t="shared" si="45"/>
        <v>2018</v>
      </c>
      <c r="F237" s="13">
        <f t="shared" si="46"/>
        <v>1</v>
      </c>
      <c r="G237" s="13">
        <f t="shared" si="47"/>
        <v>8</v>
      </c>
      <c r="H237" s="13">
        <f t="shared" si="48"/>
        <v>3</v>
      </c>
      <c r="I237" s="13">
        <f t="shared" si="49"/>
        <v>2018</v>
      </c>
      <c r="J237" s="13">
        <f t="shared" si="50"/>
        <v>1</v>
      </c>
      <c r="K237" s="13">
        <f>IF(J237=1,MONTH(AK237),)</f>
        <v>9</v>
      </c>
      <c r="L237" s="13">
        <f t="shared" si="51"/>
        <v>3</v>
      </c>
      <c r="M237" s="13">
        <f t="shared" si="52"/>
        <v>2018</v>
      </c>
      <c r="N237" s="13">
        <f t="shared" si="53"/>
        <v>1</v>
      </c>
      <c r="O237" s="13">
        <f>IF(N237=1,MONTH(AN237),)</f>
        <v>9</v>
      </c>
      <c r="P237" s="13">
        <f t="shared" si="54"/>
        <v>3</v>
      </c>
      <c r="Q237" s="13">
        <f t="shared" si="55"/>
        <v>2018</v>
      </c>
      <c r="S237" s="38" t="s">
        <v>494</v>
      </c>
      <c r="T237" s="11" t="s">
        <v>325</v>
      </c>
      <c r="U237" s="11" t="s">
        <v>319</v>
      </c>
      <c r="V237" s="39" t="s">
        <v>42</v>
      </c>
      <c r="W237" s="39" t="s">
        <v>320</v>
      </c>
      <c r="X237" s="39" t="s">
        <v>554</v>
      </c>
      <c r="Y237" s="13" t="s">
        <v>328</v>
      </c>
      <c r="Z237" s="66">
        <v>43321</v>
      </c>
      <c r="AA237" s="67">
        <v>355000</v>
      </c>
      <c r="AD237" s="10"/>
      <c r="AF237" s="66">
        <v>43335</v>
      </c>
      <c r="AG237" s="67">
        <v>365000</v>
      </c>
      <c r="AH237" s="16">
        <f>AF237-Z237</f>
        <v>14</v>
      </c>
      <c r="AI237" s="16">
        <f>AG237-AA237</f>
        <v>10000</v>
      </c>
      <c r="AJ237" s="36">
        <f>AI237/AA237</f>
        <v>2.8169014084507043E-2</v>
      </c>
      <c r="AK237" s="66">
        <v>43347</v>
      </c>
      <c r="AL237" s="67">
        <v>365000</v>
      </c>
      <c r="AM237" s="6">
        <f>AK237-AF237</f>
        <v>12</v>
      </c>
      <c r="AN237" s="66">
        <v>43361</v>
      </c>
      <c r="AO237" s="67">
        <v>360000</v>
      </c>
      <c r="AP237" s="6">
        <f>AN237-AK237</f>
        <v>14</v>
      </c>
      <c r="AQ237" s="6">
        <f>AH237+AM237+AP237</f>
        <v>40</v>
      </c>
      <c r="AR237" s="6">
        <f>AO237-AA237</f>
        <v>5000</v>
      </c>
      <c r="AS237" s="8">
        <f>AR237/AA237</f>
        <v>1.4084507042253521E-2</v>
      </c>
      <c r="AT237" s="9"/>
      <c r="AU237" s="6" t="str">
        <f>IF(AND(AU$2&gt;$Z237,$Z237&gt;0,OR($AN237&gt;AU$2,ISBLANK($AN237))),AU$2-$Z237,"")</f>
        <v/>
      </c>
      <c r="AV237" s="6" t="str">
        <f>IF(AND(AV$2&gt;$Z237,$Z237&gt;0,OR($AN237&gt;AV$2,ISBLANK($AN237))),AV$2-$Z237,"")</f>
        <v/>
      </c>
      <c r="AW237" s="6" t="str">
        <f>IF(AND(AW$2&gt;$Z237,$Z237&gt;0,OR($AN237&gt;AW$2,ISBLANK($AN237))),AW$2-$Z237,"")</f>
        <v/>
      </c>
      <c r="AX237" s="6">
        <f>IF(AND(AX$2&gt;$Z237,$Z237&gt;0,OR($AN237&gt;AX$2,ISBLANK($AN237))),AX$2-$Z237,"")</f>
        <v>22</v>
      </c>
      <c r="AY237" s="6" t="str">
        <f>IF(AND(AY$2&gt;$Z237,$Z237&gt;0,OR($AN237&gt;AY$2,ISBLANK($AN237))),AY$2-$Z237,"")</f>
        <v/>
      </c>
      <c r="AZ237" s="6" t="str">
        <f ca="1">IF(AND(AZ$2&gt;$Z237,$Z237&gt;0,OR($AN237&gt;AZ$2,ISBLANK($AN237))),AZ$2-$Z237,"")</f>
        <v/>
      </c>
      <c r="BA237" s="6"/>
      <c r="BB237" s="6"/>
      <c r="BC237" s="6"/>
      <c r="BD237" s="6"/>
    </row>
    <row r="238" spans="2:56" x14ac:dyDescent="0.25">
      <c r="B238" s="13">
        <f t="shared" si="42"/>
        <v>1</v>
      </c>
      <c r="C238" s="13">
        <f t="shared" si="43"/>
        <v>8</v>
      </c>
      <c r="D238" s="13">
        <f t="shared" si="44"/>
        <v>3</v>
      </c>
      <c r="E238" s="13">
        <f t="shared" si="45"/>
        <v>2018</v>
      </c>
      <c r="F238" s="13">
        <f t="shared" si="46"/>
        <v>1</v>
      </c>
      <c r="G238" s="13">
        <f t="shared" si="47"/>
        <v>9</v>
      </c>
      <c r="H238" s="13">
        <f t="shared" si="48"/>
        <v>3</v>
      </c>
      <c r="I238" s="13">
        <f t="shared" si="49"/>
        <v>2018</v>
      </c>
      <c r="J238" s="13">
        <f t="shared" si="50"/>
        <v>0</v>
      </c>
      <c r="K238" s="13">
        <f>IF(J238=1,MONTH(AK238),)</f>
        <v>0</v>
      </c>
      <c r="L238" s="13">
        <f t="shared" si="51"/>
        <v>0</v>
      </c>
      <c r="M238" s="13">
        <f t="shared" si="52"/>
        <v>1900</v>
      </c>
      <c r="N238" s="13">
        <f t="shared" si="53"/>
        <v>0</v>
      </c>
      <c r="O238" s="13">
        <f>IF(N238=1,MONTH(AN238),)</f>
        <v>0</v>
      </c>
      <c r="P238" s="13">
        <f t="shared" si="54"/>
        <v>0</v>
      </c>
      <c r="Q238" s="13">
        <f t="shared" si="55"/>
        <v>1900</v>
      </c>
      <c r="S238" s="38" t="s">
        <v>336</v>
      </c>
      <c r="T238" s="11" t="s">
        <v>325</v>
      </c>
      <c r="U238" s="11" t="s">
        <v>319</v>
      </c>
      <c r="V238" s="39" t="s">
        <v>42</v>
      </c>
      <c r="W238" s="39" t="s">
        <v>320</v>
      </c>
      <c r="X238" s="39" t="s">
        <v>337</v>
      </c>
      <c r="Y238" s="13" t="s">
        <v>328</v>
      </c>
      <c r="Z238" s="66">
        <v>43329</v>
      </c>
      <c r="AA238" s="67">
        <f>AC238/0.51%</f>
        <v>292000</v>
      </c>
      <c r="AB238" s="6">
        <v>40</v>
      </c>
      <c r="AC238" s="6">
        <v>1489.2</v>
      </c>
      <c r="AD238" s="10">
        <f>AC238/AA238</f>
        <v>5.1000000000000004E-3</v>
      </c>
      <c r="AE238" s="7" t="s">
        <v>323</v>
      </c>
      <c r="AF238" s="66">
        <v>43361</v>
      </c>
      <c r="AG238" s="67">
        <v>307800</v>
      </c>
      <c r="AH238" s="16">
        <f>AF238-Z238</f>
        <v>32</v>
      </c>
      <c r="AI238" s="16">
        <f>AG238-AA238</f>
        <v>15800</v>
      </c>
      <c r="AJ238" s="36">
        <f>AI238/AA238</f>
        <v>5.410958904109589E-2</v>
      </c>
      <c r="AN238" s="66"/>
      <c r="AT238" s="9"/>
      <c r="AU238" s="6" t="str">
        <f>IF(AND(AU$2&gt;$Z238,$Z238&gt;0,OR($AN238&gt;AU$2,ISBLANK($AN238))),AU$2-$Z238,"")</f>
        <v/>
      </c>
      <c r="AV238" s="6" t="str">
        <f>IF(AND(AV$2&gt;$Z238,$Z238&gt;0,OR($AN238&gt;AV$2,ISBLANK($AN238))),AV$2-$Z238,"")</f>
        <v/>
      </c>
      <c r="AW238" s="6" t="str">
        <f>IF(AND(AW$2&gt;$Z238,$Z238&gt;0,OR($AN238&gt;AW$2,ISBLANK($AN238))),AW$2-$Z238,"")</f>
        <v/>
      </c>
      <c r="AX238" s="6">
        <f>IF(AND(AX$2&gt;$Z238,$Z238&gt;0,OR($AN238&gt;AX$2,ISBLANK($AN238))),AX$2-$Z238,"")</f>
        <v>14</v>
      </c>
      <c r="AY238" s="6">
        <f>IF(AND(AY$2&gt;$Z238,$Z238&gt;0,OR($AN238&gt;AY$2,ISBLANK($AN238))),AY$2-$Z238,"")</f>
        <v>44</v>
      </c>
      <c r="AZ238" s="6">
        <f ca="1">IF(AND(AZ$2&gt;$Z238,$Z238&gt;0,OR($AN238&gt;AZ$2,ISBLANK($AN238))),AZ$2-$Z238,"")</f>
        <v>62.382289814813703</v>
      </c>
      <c r="BA238" s="6"/>
      <c r="BB238" s="6"/>
      <c r="BC238" s="6"/>
      <c r="BD238" s="6"/>
    </row>
    <row r="239" spans="2:56" x14ac:dyDescent="0.25">
      <c r="B239" s="13">
        <f t="shared" si="42"/>
        <v>1</v>
      </c>
      <c r="C239" s="13">
        <f t="shared" si="43"/>
        <v>10</v>
      </c>
      <c r="D239" s="13">
        <f t="shared" si="44"/>
        <v>4</v>
      </c>
      <c r="E239" s="13">
        <f t="shared" si="45"/>
        <v>2018</v>
      </c>
      <c r="F239" s="13">
        <f t="shared" si="46"/>
        <v>0</v>
      </c>
      <c r="G239" s="13">
        <f t="shared" si="47"/>
        <v>1</v>
      </c>
      <c r="H239" s="13">
        <f t="shared" si="48"/>
        <v>1</v>
      </c>
      <c r="I239" s="13">
        <f t="shared" si="49"/>
        <v>1900</v>
      </c>
      <c r="J239" s="13">
        <f t="shared" si="50"/>
        <v>0</v>
      </c>
      <c r="K239" s="13">
        <f>IF(J239=1,MONTH(AK239),)</f>
        <v>0</v>
      </c>
      <c r="L239" s="13">
        <f t="shared" si="51"/>
        <v>0</v>
      </c>
      <c r="M239" s="13">
        <f t="shared" si="52"/>
        <v>1900</v>
      </c>
      <c r="N239" s="13">
        <f t="shared" si="53"/>
        <v>0</v>
      </c>
      <c r="O239" s="13">
        <f>IF(N239=1,MONTH(AN239),)</f>
        <v>0</v>
      </c>
      <c r="P239" s="13">
        <f t="shared" si="54"/>
        <v>0</v>
      </c>
      <c r="Q239" s="13">
        <f t="shared" si="55"/>
        <v>1900</v>
      </c>
      <c r="S239" s="38" t="s">
        <v>499</v>
      </c>
      <c r="T239" s="11" t="s">
        <v>42</v>
      </c>
      <c r="U239" s="11" t="s">
        <v>319</v>
      </c>
      <c r="V239" s="39" t="s">
        <v>42</v>
      </c>
      <c r="W239" s="39" t="s">
        <v>320</v>
      </c>
      <c r="X239" s="39" t="s">
        <v>556</v>
      </c>
      <c r="Y239" s="13" t="s">
        <v>328</v>
      </c>
      <c r="Z239" s="66">
        <v>43384</v>
      </c>
      <c r="AA239" s="67">
        <v>208000</v>
      </c>
      <c r="AD239" s="10"/>
      <c r="AG239" s="67">
        <v>221900</v>
      </c>
      <c r="AH239" s="16"/>
      <c r="AI239" s="16"/>
      <c r="AJ239" s="36"/>
      <c r="AN239" s="66"/>
      <c r="AT239" s="9"/>
      <c r="AU239" s="6" t="str">
        <f>IF(AND(AU$2&gt;$Z239,$Z239&gt;0,OR($AN239&gt;AU$2,ISBLANK($AN239))),AU$2-$Z239,"")</f>
        <v/>
      </c>
      <c r="AV239" s="6" t="str">
        <f>IF(AND(AV$2&gt;$Z239,$Z239&gt;0,OR($AN239&gt;AV$2,ISBLANK($AN239))),AV$2-$Z239,"")</f>
        <v/>
      </c>
      <c r="AW239" s="6" t="str">
        <f>IF(AND(AW$2&gt;$Z239,$Z239&gt;0,OR($AN239&gt;AW$2,ISBLANK($AN239))),AW$2-$Z239,"")</f>
        <v/>
      </c>
      <c r="AX239" s="6" t="str">
        <f>IF(AND(AX$2&gt;$Z239,$Z239&gt;0,OR($AN239&gt;AX$2,ISBLANK($AN239))),AX$2-$Z239,"")</f>
        <v/>
      </c>
      <c r="AY239" s="6" t="str">
        <f>IF(AND(AY$2&gt;$Z239,$Z239&gt;0,OR($AN239&gt;AY$2,ISBLANK($AN239))),AY$2-$Z239,"")</f>
        <v/>
      </c>
      <c r="AZ239" s="6">
        <f ca="1">IF(AND(AZ$2&gt;$Z239,$Z239&gt;0,OR($AN239&gt;AZ$2,ISBLANK($AN239))),AZ$2-$Z239,"")</f>
        <v>7.3822898148137028</v>
      </c>
      <c r="BA239" s="6"/>
      <c r="BB239" s="6"/>
      <c r="BC239" s="6"/>
      <c r="BD239" s="6"/>
    </row>
    <row r="240" spans="2:56" x14ac:dyDescent="0.25">
      <c r="B240" s="13">
        <f t="shared" si="42"/>
        <v>1</v>
      </c>
      <c r="C240" s="13">
        <f t="shared" si="43"/>
        <v>9</v>
      </c>
      <c r="D240" s="13">
        <f t="shared" si="44"/>
        <v>3</v>
      </c>
      <c r="E240" s="13">
        <f t="shared" si="45"/>
        <v>2018</v>
      </c>
      <c r="F240" s="13">
        <f t="shared" si="46"/>
        <v>1</v>
      </c>
      <c r="G240" s="13">
        <f t="shared" si="47"/>
        <v>10</v>
      </c>
      <c r="H240" s="13">
        <f t="shared" si="48"/>
        <v>4</v>
      </c>
      <c r="I240" s="13">
        <f t="shared" si="49"/>
        <v>2018</v>
      </c>
      <c r="J240" s="13">
        <f t="shared" si="50"/>
        <v>0</v>
      </c>
      <c r="K240" s="13">
        <f>IF(J240=1,MONTH(AK240),)</f>
        <v>0</v>
      </c>
      <c r="L240" s="13">
        <f t="shared" si="51"/>
        <v>0</v>
      </c>
      <c r="M240" s="13">
        <f t="shared" si="52"/>
        <v>1900</v>
      </c>
      <c r="N240" s="13">
        <f t="shared" si="53"/>
        <v>0</v>
      </c>
      <c r="O240" s="13">
        <f>IF(N240=1,MONTH(AN240),)</f>
        <v>0</v>
      </c>
      <c r="P240" s="13">
        <f t="shared" si="54"/>
        <v>0</v>
      </c>
      <c r="Q240" s="13">
        <f t="shared" si="55"/>
        <v>1900</v>
      </c>
      <c r="S240" s="38" t="s">
        <v>360</v>
      </c>
      <c r="T240" s="11" t="s">
        <v>42</v>
      </c>
      <c r="U240" s="11" t="s">
        <v>319</v>
      </c>
      <c r="V240" s="39" t="s">
        <v>42</v>
      </c>
      <c r="W240" s="39" t="s">
        <v>320</v>
      </c>
      <c r="X240" s="39" t="s">
        <v>361</v>
      </c>
      <c r="Y240" s="13" t="s">
        <v>328</v>
      </c>
      <c r="Z240" s="66">
        <v>43363</v>
      </c>
      <c r="AA240" s="67">
        <f>AC240/0.51%</f>
        <v>257999.99999999997</v>
      </c>
      <c r="AB240" s="6">
        <v>40</v>
      </c>
      <c r="AC240" s="6">
        <v>1315.8</v>
      </c>
      <c r="AD240" s="10">
        <f>AC240/AA240</f>
        <v>5.1000000000000004E-3</v>
      </c>
      <c r="AE240" s="7" t="s">
        <v>323</v>
      </c>
      <c r="AF240" s="66">
        <v>43386</v>
      </c>
      <c r="AG240" s="67">
        <v>275000</v>
      </c>
      <c r="AH240" s="16">
        <f>AF240-Z240</f>
        <v>23</v>
      </c>
      <c r="AI240" s="16">
        <f>AG240-AA240</f>
        <v>17000.000000000029</v>
      </c>
      <c r="AJ240" s="36">
        <f>AI240/AA240</f>
        <v>6.5891472868217171E-2</v>
      </c>
      <c r="AN240" s="66"/>
      <c r="AT240" s="9"/>
      <c r="AU240" s="6" t="str">
        <f>IF(AND(AU$2&gt;$Z240,$Z240&gt;0,OR($AN240&gt;AU$2,ISBLANK($AN240))),AU$2-$Z240,"")</f>
        <v/>
      </c>
      <c r="AV240" s="6" t="str">
        <f>IF(AND(AV$2&gt;$Z240,$Z240&gt;0,OR($AN240&gt;AV$2,ISBLANK($AN240))),AV$2-$Z240,"")</f>
        <v/>
      </c>
      <c r="AW240" s="6" t="str">
        <f>IF(AND(AW$2&gt;$Z240,$Z240&gt;0,OR($AN240&gt;AW$2,ISBLANK($AN240))),AW$2-$Z240,"")</f>
        <v/>
      </c>
      <c r="AX240" s="6" t="str">
        <f>IF(AND(AX$2&gt;$Z240,$Z240&gt;0,OR($AN240&gt;AX$2,ISBLANK($AN240))),AX$2-$Z240,"")</f>
        <v/>
      </c>
      <c r="AY240" s="6">
        <f>IF(AND(AY$2&gt;$Z240,$Z240&gt;0,OR($AN240&gt;AY$2,ISBLANK($AN240))),AY$2-$Z240,"")</f>
        <v>10</v>
      </c>
      <c r="AZ240" s="6">
        <f ca="1">IF(AND(AZ$2&gt;$Z240,$Z240&gt;0,OR($AN240&gt;AZ$2,ISBLANK($AN240))),AZ$2-$Z240,"")</f>
        <v>28.382289814813703</v>
      </c>
      <c r="BA240" s="6"/>
      <c r="BB240" s="6"/>
      <c r="BC240" s="6"/>
      <c r="BD240" s="6"/>
    </row>
    <row r="241" spans="2:56" x14ac:dyDescent="0.25">
      <c r="B241" s="13">
        <f t="shared" si="42"/>
        <v>1</v>
      </c>
      <c r="C241" s="13">
        <f t="shared" si="43"/>
        <v>8</v>
      </c>
      <c r="D241" s="13">
        <f t="shared" si="44"/>
        <v>3</v>
      </c>
      <c r="E241" s="13">
        <f t="shared" si="45"/>
        <v>2018</v>
      </c>
      <c r="F241" s="13">
        <f t="shared" si="46"/>
        <v>1</v>
      </c>
      <c r="G241" s="13">
        <f t="shared" si="47"/>
        <v>9</v>
      </c>
      <c r="H241" s="13">
        <f t="shared" si="48"/>
        <v>3</v>
      </c>
      <c r="I241" s="13">
        <f t="shared" si="49"/>
        <v>2018</v>
      </c>
      <c r="J241" s="13">
        <f t="shared" si="50"/>
        <v>1</v>
      </c>
      <c r="K241" s="13">
        <f>IF(J241=1,MONTH(AK241),)</f>
        <v>10</v>
      </c>
      <c r="L241" s="13">
        <f t="shared" si="51"/>
        <v>4</v>
      </c>
      <c r="M241" s="13">
        <f t="shared" si="52"/>
        <v>2018</v>
      </c>
      <c r="N241" s="13">
        <f t="shared" si="53"/>
        <v>0</v>
      </c>
      <c r="O241" s="13">
        <f>IF(N241=1,MONTH(AN241),)</f>
        <v>0</v>
      </c>
      <c r="P241" s="13">
        <f t="shared" si="54"/>
        <v>0</v>
      </c>
      <c r="Q241" s="13">
        <f t="shared" si="55"/>
        <v>1900</v>
      </c>
      <c r="S241" s="38" t="s">
        <v>344</v>
      </c>
      <c r="T241" s="11" t="s">
        <v>42</v>
      </c>
      <c r="U241" s="11" t="s">
        <v>319</v>
      </c>
      <c r="V241" s="39" t="s">
        <v>42</v>
      </c>
      <c r="W241" s="39" t="s">
        <v>320</v>
      </c>
      <c r="X241" s="39" t="s">
        <v>345</v>
      </c>
      <c r="Y241" s="4" t="s">
        <v>328</v>
      </c>
      <c r="Z241" s="66">
        <v>43343</v>
      </c>
      <c r="AA241" s="67">
        <f>AC241/0.51%</f>
        <v>217999.99999999997</v>
      </c>
      <c r="AB241" s="6">
        <v>40</v>
      </c>
      <c r="AC241" s="6">
        <v>1111.8</v>
      </c>
      <c r="AD241" s="10">
        <f>AC241/AA241</f>
        <v>5.1000000000000004E-3</v>
      </c>
      <c r="AE241" s="7" t="s">
        <v>323</v>
      </c>
      <c r="AF241" s="66">
        <v>43361</v>
      </c>
      <c r="AG241" s="67">
        <v>228600</v>
      </c>
      <c r="AH241" s="16">
        <f>AF241-Z241</f>
        <v>18</v>
      </c>
      <c r="AI241" s="16">
        <f>AG241-AA241</f>
        <v>10600.000000000029</v>
      </c>
      <c r="AJ241" s="36">
        <f>AI241/AA241</f>
        <v>4.8623853211009316E-2</v>
      </c>
      <c r="AK241" s="66">
        <v>43374</v>
      </c>
      <c r="AL241" s="67">
        <v>228600</v>
      </c>
      <c r="AM241" s="6">
        <f>AK241-AF241</f>
        <v>13</v>
      </c>
      <c r="AN241" s="66"/>
      <c r="AT241" s="9"/>
      <c r="AU241" s="6" t="str">
        <f>IF(AND(AU$2&gt;$Z241,$Z241&gt;0,OR($AN241&gt;AU$2,ISBLANK($AN241))),AU$2-$Z241,"")</f>
        <v/>
      </c>
      <c r="AV241" s="6" t="str">
        <f>IF(AND(AV$2&gt;$Z241,$Z241&gt;0,OR($AN241&gt;AV$2,ISBLANK($AN241))),AV$2-$Z241,"")</f>
        <v/>
      </c>
      <c r="AW241" s="6" t="str">
        <f>IF(AND(AW$2&gt;$Z241,$Z241&gt;0,OR($AN241&gt;AW$2,ISBLANK($AN241))),AW$2-$Z241,"")</f>
        <v/>
      </c>
      <c r="AX241" s="6" t="str">
        <f>IF(AND(AX$2&gt;$Z241,$Z241&gt;0,OR($AN241&gt;AX$2,ISBLANK($AN241))),AX$2-$Z241,"")</f>
        <v/>
      </c>
      <c r="AY241" s="6">
        <f>IF(AND(AY$2&gt;$Z241,$Z241&gt;0,OR($AN241&gt;AY$2,ISBLANK($AN241))),AY$2-$Z241,"")</f>
        <v>30</v>
      </c>
      <c r="AZ241" s="6">
        <f ca="1">IF(AND(AZ$2&gt;$Z241,$Z241&gt;0,OR($AN241&gt;AZ$2,ISBLANK($AN241))),AZ$2-$Z241,"")</f>
        <v>48.382289814813703</v>
      </c>
      <c r="BA241" s="6"/>
      <c r="BB241" s="6"/>
      <c r="BC241" s="6"/>
      <c r="BD241" s="6"/>
    </row>
    <row r="242" spans="2:56" x14ac:dyDescent="0.25">
      <c r="B242" s="13">
        <f t="shared" si="42"/>
        <v>1</v>
      </c>
      <c r="C242" s="13">
        <f t="shared" si="43"/>
        <v>7</v>
      </c>
      <c r="D242" s="13">
        <f t="shared" si="44"/>
        <v>3</v>
      </c>
      <c r="E242" s="13">
        <f t="shared" si="45"/>
        <v>2018</v>
      </c>
      <c r="F242" s="13">
        <f t="shared" si="46"/>
        <v>1</v>
      </c>
      <c r="G242" s="13">
        <f t="shared" si="47"/>
        <v>8</v>
      </c>
      <c r="H242" s="13">
        <f t="shared" si="48"/>
        <v>3</v>
      </c>
      <c r="I242" s="13">
        <f t="shared" si="49"/>
        <v>2018</v>
      </c>
      <c r="J242" s="13">
        <f t="shared" si="50"/>
        <v>1</v>
      </c>
      <c r="K242" s="13">
        <f>IF(J242=1,MONTH(AK242),)</f>
        <v>8</v>
      </c>
      <c r="L242" s="13">
        <f t="shared" si="51"/>
        <v>3</v>
      </c>
      <c r="M242" s="13">
        <f t="shared" si="52"/>
        <v>2018</v>
      </c>
      <c r="N242" s="13">
        <f t="shared" si="53"/>
        <v>1</v>
      </c>
      <c r="O242" s="13">
        <f>IF(N242=1,MONTH(AN242),)</f>
        <v>9</v>
      </c>
      <c r="P242" s="13">
        <f t="shared" si="54"/>
        <v>3</v>
      </c>
      <c r="Q242" s="13">
        <f t="shared" si="55"/>
        <v>2018</v>
      </c>
      <c r="S242" s="38" t="s">
        <v>496</v>
      </c>
      <c r="T242" s="11" t="s">
        <v>42</v>
      </c>
      <c r="U242" s="11" t="s">
        <v>319</v>
      </c>
      <c r="V242" s="39" t="s">
        <v>42</v>
      </c>
      <c r="W242" s="39" t="s">
        <v>320</v>
      </c>
      <c r="X242" s="39" t="s">
        <v>558</v>
      </c>
      <c r="Y242" s="13" t="s">
        <v>328</v>
      </c>
      <c r="Z242" s="66">
        <v>43304</v>
      </c>
      <c r="AA242" s="67">
        <v>164728</v>
      </c>
      <c r="AD242" s="10"/>
      <c r="AF242" s="66">
        <v>43318</v>
      </c>
      <c r="AG242" s="67">
        <v>168800</v>
      </c>
      <c r="AH242" s="16">
        <f>AF242-Z242</f>
        <v>14</v>
      </c>
      <c r="AI242" s="16">
        <f>AG242-AA242</f>
        <v>4072</v>
      </c>
      <c r="AJ242" s="36">
        <f>AI242/AA242</f>
        <v>2.4719537662085376E-2</v>
      </c>
      <c r="AK242" s="66">
        <v>43333</v>
      </c>
      <c r="AL242" s="67">
        <v>168800</v>
      </c>
      <c r="AM242" s="6">
        <f>AK242-AF242</f>
        <v>15</v>
      </c>
      <c r="AN242" s="66">
        <v>43357</v>
      </c>
      <c r="AO242" s="67">
        <v>166250</v>
      </c>
      <c r="AP242" s="6">
        <f>AN242-AK242</f>
        <v>24</v>
      </c>
      <c r="AQ242" s="6">
        <f>AH242+AM242+AP242</f>
        <v>53</v>
      </c>
      <c r="AR242" s="6">
        <f>AO242-AA242</f>
        <v>1522</v>
      </c>
      <c r="AS242" s="8">
        <f>AR242/AA242</f>
        <v>9.2394735564081398E-3</v>
      </c>
      <c r="AT242" s="9"/>
      <c r="AU242" s="6" t="str">
        <f>IF(AND(AU$2&gt;$Z242,$Z242&gt;0,OR($AN242&gt;AU$2,ISBLANK($AN242))),AU$2-$Z242,"")</f>
        <v/>
      </c>
      <c r="AV242" s="6" t="str">
        <f>IF(AND(AV$2&gt;$Z242,$Z242&gt;0,OR($AN242&gt;AV$2,ISBLANK($AN242))),AV$2-$Z242,"")</f>
        <v/>
      </c>
      <c r="AW242" s="6">
        <f>IF(AND(AW$2&gt;$Z242,$Z242&gt;0,OR($AN242&gt;AW$2,ISBLANK($AN242))),AW$2-$Z242,"")</f>
        <v>8</v>
      </c>
      <c r="AX242" s="6">
        <f>IF(AND(AX$2&gt;$Z242,$Z242&gt;0,OR($AN242&gt;AX$2,ISBLANK($AN242))),AX$2-$Z242,"")</f>
        <v>39</v>
      </c>
      <c r="AY242" s="6" t="str">
        <f>IF(AND(AY$2&gt;$Z242,$Z242&gt;0,OR($AN242&gt;AY$2,ISBLANK($AN242))),AY$2-$Z242,"")</f>
        <v/>
      </c>
      <c r="AZ242" s="6" t="str">
        <f ca="1">IF(AND(AZ$2&gt;$Z242,$Z242&gt;0,OR($AN242&gt;AZ$2,ISBLANK($AN242))),AZ$2-$Z242,"")</f>
        <v/>
      </c>
      <c r="BA242" s="6"/>
      <c r="BB242" s="6"/>
      <c r="BC242" s="6"/>
      <c r="BD242" s="6"/>
    </row>
    <row r="243" spans="2:56" x14ac:dyDescent="0.25">
      <c r="B243" s="13">
        <f t="shared" si="42"/>
        <v>1</v>
      </c>
      <c r="C243" s="13">
        <f t="shared" si="43"/>
        <v>9</v>
      </c>
      <c r="D243" s="13">
        <f t="shared" si="44"/>
        <v>3</v>
      </c>
      <c r="E243" s="13">
        <f t="shared" si="45"/>
        <v>2018</v>
      </c>
      <c r="F243" s="13">
        <f t="shared" si="46"/>
        <v>1</v>
      </c>
      <c r="G243" s="13">
        <f t="shared" si="47"/>
        <v>10</v>
      </c>
      <c r="H243" s="13">
        <f t="shared" si="48"/>
        <v>4</v>
      </c>
      <c r="I243" s="13">
        <f t="shared" si="49"/>
        <v>2018</v>
      </c>
      <c r="J243" s="13">
        <f t="shared" si="50"/>
        <v>0</v>
      </c>
      <c r="K243" s="13">
        <f>IF(J243=1,MONTH(AK243),)</f>
        <v>0</v>
      </c>
      <c r="L243" s="13">
        <f t="shared" si="51"/>
        <v>0</v>
      </c>
      <c r="M243" s="13">
        <f t="shared" si="52"/>
        <v>1900</v>
      </c>
      <c r="N243" s="13">
        <f t="shared" si="53"/>
        <v>0</v>
      </c>
      <c r="O243" s="13">
        <f>IF(N243=1,MONTH(AN243),)</f>
        <v>0</v>
      </c>
      <c r="P243" s="13">
        <f t="shared" si="54"/>
        <v>0</v>
      </c>
      <c r="Q243" s="13">
        <f t="shared" si="55"/>
        <v>1900</v>
      </c>
      <c r="S243" s="38" t="s">
        <v>356</v>
      </c>
      <c r="T243" s="11" t="s">
        <v>42</v>
      </c>
      <c r="U243" s="11" t="s">
        <v>319</v>
      </c>
      <c r="V243" s="39" t="s">
        <v>42</v>
      </c>
      <c r="W243" s="39" t="s">
        <v>320</v>
      </c>
      <c r="X243" s="39" t="s">
        <v>357</v>
      </c>
      <c r="Y243" s="4" t="s">
        <v>328</v>
      </c>
      <c r="Z243" s="66">
        <v>43356</v>
      </c>
      <c r="AA243" s="67">
        <f>AC243/0.51%</f>
        <v>279000</v>
      </c>
      <c r="AB243" s="6">
        <v>40</v>
      </c>
      <c r="AC243" s="6">
        <v>1422.9</v>
      </c>
      <c r="AD243" s="10">
        <f>AC243/AA243</f>
        <v>5.1000000000000004E-3</v>
      </c>
      <c r="AE243" s="7" t="s">
        <v>323</v>
      </c>
      <c r="AF243" s="66">
        <v>43375</v>
      </c>
      <c r="AG243" s="67">
        <v>291700</v>
      </c>
      <c r="AH243" s="16">
        <f>AF243-Z243</f>
        <v>19</v>
      </c>
      <c r="AI243" s="16">
        <f>AG243-AA243</f>
        <v>12700</v>
      </c>
      <c r="AJ243" s="36">
        <f>AI243/AA243</f>
        <v>4.5519713261648748E-2</v>
      </c>
      <c r="AN243" s="66"/>
      <c r="AT243" s="9"/>
      <c r="AU243" s="6" t="str">
        <f>IF(AND(AU$2&gt;$Z243,$Z243&gt;0,OR($AN243&gt;AU$2,ISBLANK($AN243))),AU$2-$Z243,"")</f>
        <v/>
      </c>
      <c r="AV243" s="6" t="str">
        <f>IF(AND(AV$2&gt;$Z243,$Z243&gt;0,OR($AN243&gt;AV$2,ISBLANK($AN243))),AV$2-$Z243,"")</f>
        <v/>
      </c>
      <c r="AW243" s="6" t="str">
        <f>IF(AND(AW$2&gt;$Z243,$Z243&gt;0,OR($AN243&gt;AW$2,ISBLANK($AN243))),AW$2-$Z243,"")</f>
        <v/>
      </c>
      <c r="AX243" s="6" t="str">
        <f>IF(AND(AX$2&gt;$Z243,$Z243&gt;0,OR($AN243&gt;AX$2,ISBLANK($AN243))),AX$2-$Z243,"")</f>
        <v/>
      </c>
      <c r="AY243" s="6">
        <f>IF(AND(AY$2&gt;$Z243,$Z243&gt;0,OR($AN243&gt;AY$2,ISBLANK($AN243))),AY$2-$Z243,"")</f>
        <v>17</v>
      </c>
      <c r="AZ243" s="6">
        <f ca="1">IF(AND(AZ$2&gt;$Z243,$Z243&gt;0,OR($AN243&gt;AZ$2,ISBLANK($AN243))),AZ$2-$Z243,"")</f>
        <v>35.382289814813703</v>
      </c>
      <c r="BA243" s="6"/>
      <c r="BB243" s="6"/>
      <c r="BC243" s="6"/>
      <c r="BD243" s="6"/>
    </row>
    <row r="244" spans="2:56" x14ac:dyDescent="0.25">
      <c r="B244" s="13">
        <f t="shared" si="42"/>
        <v>1</v>
      </c>
      <c r="C244" s="13">
        <f t="shared" si="43"/>
        <v>9</v>
      </c>
      <c r="D244" s="13">
        <f t="shared" si="44"/>
        <v>3</v>
      </c>
      <c r="E244" s="13">
        <f t="shared" si="45"/>
        <v>2018</v>
      </c>
      <c r="F244" s="13">
        <f t="shared" si="46"/>
        <v>1</v>
      </c>
      <c r="G244" s="13">
        <f t="shared" si="47"/>
        <v>9</v>
      </c>
      <c r="H244" s="13">
        <f t="shared" si="48"/>
        <v>3</v>
      </c>
      <c r="I244" s="13">
        <f t="shared" si="49"/>
        <v>2018</v>
      </c>
      <c r="J244" s="13">
        <f t="shared" si="50"/>
        <v>0</v>
      </c>
      <c r="K244" s="13">
        <f>IF(J244=1,MONTH(AK244),)</f>
        <v>0</v>
      </c>
      <c r="L244" s="13">
        <f t="shared" si="51"/>
        <v>0</v>
      </c>
      <c r="M244" s="13">
        <f t="shared" si="52"/>
        <v>1900</v>
      </c>
      <c r="N244" s="13">
        <f t="shared" si="53"/>
        <v>0</v>
      </c>
      <c r="O244" s="13">
        <f>IF(N244=1,MONTH(AN244),)</f>
        <v>0</v>
      </c>
      <c r="P244" s="13">
        <f t="shared" si="54"/>
        <v>0</v>
      </c>
      <c r="Q244" s="13">
        <f t="shared" si="55"/>
        <v>1900</v>
      </c>
      <c r="S244" s="38" t="s">
        <v>354</v>
      </c>
      <c r="T244" s="11" t="s">
        <v>42</v>
      </c>
      <c r="U244" s="11" t="s">
        <v>319</v>
      </c>
      <c r="V244" s="39" t="s">
        <v>42</v>
      </c>
      <c r="W244" s="39" t="s">
        <v>320</v>
      </c>
      <c r="X244" s="39" t="s">
        <v>355</v>
      </c>
      <c r="Y244" s="13" t="s">
        <v>328</v>
      </c>
      <c r="Z244" s="66">
        <v>43355</v>
      </c>
      <c r="AA244" s="67">
        <f>AC244/0.51%</f>
        <v>375000</v>
      </c>
      <c r="AB244" s="6">
        <v>40</v>
      </c>
      <c r="AC244" s="6">
        <v>1912.5</v>
      </c>
      <c r="AD244" s="10">
        <f>AC244/AA244</f>
        <v>5.1000000000000004E-3</v>
      </c>
      <c r="AE244" s="7" t="s">
        <v>323</v>
      </c>
      <c r="AF244" s="66">
        <v>43372</v>
      </c>
      <c r="AG244" s="67">
        <v>391900</v>
      </c>
      <c r="AH244" s="16">
        <f>AF244-Z244</f>
        <v>17</v>
      </c>
      <c r="AI244" s="16">
        <f>AG244-AA244</f>
        <v>16900</v>
      </c>
      <c r="AJ244" s="36">
        <f>AI244/AA244</f>
        <v>4.5066666666666665E-2</v>
      </c>
      <c r="AN244" s="66"/>
      <c r="AT244" s="9"/>
      <c r="AU244" s="6" t="str">
        <f>IF(AND(AU$2&gt;$Z244,$Z244&gt;0,OR($AN244&gt;AU$2,ISBLANK($AN244))),AU$2-$Z244,"")</f>
        <v/>
      </c>
      <c r="AV244" s="6" t="str">
        <f>IF(AND(AV$2&gt;$Z244,$Z244&gt;0,OR($AN244&gt;AV$2,ISBLANK($AN244))),AV$2-$Z244,"")</f>
        <v/>
      </c>
      <c r="AW244" s="6" t="str">
        <f>IF(AND(AW$2&gt;$Z244,$Z244&gt;0,OR($AN244&gt;AW$2,ISBLANK($AN244))),AW$2-$Z244,"")</f>
        <v/>
      </c>
      <c r="AX244" s="6" t="str">
        <f>IF(AND(AX$2&gt;$Z244,$Z244&gt;0,OR($AN244&gt;AX$2,ISBLANK($AN244))),AX$2-$Z244,"")</f>
        <v/>
      </c>
      <c r="AY244" s="6">
        <f>IF(AND(AY$2&gt;$Z244,$Z244&gt;0,OR($AN244&gt;AY$2,ISBLANK($AN244))),AY$2-$Z244,"")</f>
        <v>18</v>
      </c>
      <c r="AZ244" s="6">
        <f ca="1">IF(AND(AZ$2&gt;$Z244,$Z244&gt;0,OR($AN244&gt;AZ$2,ISBLANK($AN244))),AZ$2-$Z244,"")</f>
        <v>36.382289814813703</v>
      </c>
      <c r="BA244" s="6"/>
      <c r="BB244" s="6"/>
      <c r="BC244" s="6"/>
      <c r="BD244" s="6"/>
    </row>
    <row r="245" spans="2:56" x14ac:dyDescent="0.25">
      <c r="B245" s="13">
        <f t="shared" si="42"/>
        <v>1</v>
      </c>
      <c r="C245" s="13">
        <f t="shared" si="43"/>
        <v>7</v>
      </c>
      <c r="D245" s="13">
        <f t="shared" si="44"/>
        <v>3</v>
      </c>
      <c r="E245" s="13">
        <f t="shared" si="45"/>
        <v>2018</v>
      </c>
      <c r="F245" s="13">
        <f t="shared" si="46"/>
        <v>1</v>
      </c>
      <c r="G245" s="13">
        <f t="shared" si="47"/>
        <v>8</v>
      </c>
      <c r="H245" s="13">
        <f t="shared" si="48"/>
        <v>3</v>
      </c>
      <c r="I245" s="13">
        <f t="shared" si="49"/>
        <v>2018</v>
      </c>
      <c r="J245" s="13">
        <f t="shared" si="50"/>
        <v>1</v>
      </c>
      <c r="K245" s="13">
        <f>IF(J245=1,MONTH(AK245),)</f>
        <v>8</v>
      </c>
      <c r="L245" s="13">
        <f t="shared" si="51"/>
        <v>3</v>
      </c>
      <c r="M245" s="13">
        <f t="shared" si="52"/>
        <v>2018</v>
      </c>
      <c r="N245" s="13">
        <f t="shared" si="53"/>
        <v>1</v>
      </c>
      <c r="O245" s="13">
        <f>IF(N245=1,MONTH(AN245),)</f>
        <v>9</v>
      </c>
      <c r="P245" s="13">
        <f t="shared" si="54"/>
        <v>3</v>
      </c>
      <c r="Q245" s="13">
        <f t="shared" si="55"/>
        <v>2018</v>
      </c>
      <c r="S245" s="38" t="s">
        <v>491</v>
      </c>
      <c r="T245" s="11" t="s">
        <v>42</v>
      </c>
      <c r="U245" s="11" t="s">
        <v>319</v>
      </c>
      <c r="V245" s="39" t="s">
        <v>42</v>
      </c>
      <c r="W245" s="39" t="s">
        <v>320</v>
      </c>
      <c r="X245" s="39" t="s">
        <v>557</v>
      </c>
      <c r="Y245" s="4" t="s">
        <v>328</v>
      </c>
      <c r="Z245" s="66">
        <v>43293</v>
      </c>
      <c r="AA245" s="67">
        <v>335000</v>
      </c>
      <c r="AD245" s="10"/>
      <c r="AF245" s="66">
        <v>43318</v>
      </c>
      <c r="AG245" s="67">
        <v>344900</v>
      </c>
      <c r="AH245" s="16">
        <f>AF245-Z245</f>
        <v>25</v>
      </c>
      <c r="AI245" s="16">
        <f>AG245-AA245</f>
        <v>9900</v>
      </c>
      <c r="AJ245" s="36">
        <f>AI245/AA245</f>
        <v>2.955223880597015E-2</v>
      </c>
      <c r="AK245" s="66">
        <v>43326</v>
      </c>
      <c r="AL245" s="67">
        <v>344900</v>
      </c>
      <c r="AM245" s="6">
        <f>AK245-AF245</f>
        <v>8</v>
      </c>
      <c r="AN245" s="66">
        <v>43354</v>
      </c>
      <c r="AO245" s="67">
        <v>340000</v>
      </c>
      <c r="AP245" s="6">
        <f>AN245-AK245</f>
        <v>28</v>
      </c>
      <c r="AQ245" s="6">
        <f>AH245+AM245+AP245</f>
        <v>61</v>
      </c>
      <c r="AR245" s="6">
        <f>AO245-AA245</f>
        <v>5000</v>
      </c>
      <c r="AS245" s="8">
        <f>AR245/AA245</f>
        <v>1.4925373134328358E-2</v>
      </c>
      <c r="AT245" s="9"/>
      <c r="AU245" s="6" t="str">
        <f>IF(AND(AU$2&gt;$Z245,$Z245&gt;0,OR($AN245&gt;AU$2,ISBLANK($AN245))),AU$2-$Z245,"")</f>
        <v/>
      </c>
      <c r="AV245" s="6" t="str">
        <f>IF(AND(AV$2&gt;$Z245,$Z245&gt;0,OR($AN245&gt;AV$2,ISBLANK($AN245))),AV$2-$Z245,"")</f>
        <v/>
      </c>
      <c r="AW245" s="6">
        <f>IF(AND(AW$2&gt;$Z245,$Z245&gt;0,OR($AN245&gt;AW$2,ISBLANK($AN245))),AW$2-$Z245,"")</f>
        <v>19</v>
      </c>
      <c r="AX245" s="6">
        <f>IF(AND(AX$2&gt;$Z245,$Z245&gt;0,OR($AN245&gt;AX$2,ISBLANK($AN245))),AX$2-$Z245,"")</f>
        <v>50</v>
      </c>
      <c r="AY245" s="6" t="str">
        <f>IF(AND(AY$2&gt;$Z245,$Z245&gt;0,OR($AN245&gt;AY$2,ISBLANK($AN245))),AY$2-$Z245,"")</f>
        <v/>
      </c>
      <c r="AZ245" s="6" t="str">
        <f ca="1">IF(AND(AZ$2&gt;$Z245,$Z245&gt;0,OR($AN245&gt;AZ$2,ISBLANK($AN245))),AZ$2-$Z245,"")</f>
        <v/>
      </c>
      <c r="BA245" s="6"/>
      <c r="BB245" s="6"/>
      <c r="BC245" s="6"/>
      <c r="BD245" s="6"/>
    </row>
    <row r="246" spans="2:56" x14ac:dyDescent="0.25">
      <c r="B246" s="13">
        <f t="shared" si="42"/>
        <v>1</v>
      </c>
      <c r="C246" s="13">
        <f t="shared" si="43"/>
        <v>10</v>
      </c>
      <c r="D246" s="13">
        <f t="shared" si="44"/>
        <v>4</v>
      </c>
      <c r="E246" s="13">
        <f t="shared" si="45"/>
        <v>2018</v>
      </c>
      <c r="F246" s="13">
        <f t="shared" si="46"/>
        <v>0</v>
      </c>
      <c r="G246" s="13">
        <f t="shared" si="47"/>
        <v>1</v>
      </c>
      <c r="H246" s="13">
        <f t="shared" si="48"/>
        <v>1</v>
      </c>
      <c r="I246" s="13">
        <f t="shared" si="49"/>
        <v>1900</v>
      </c>
      <c r="J246" s="13">
        <f t="shared" si="50"/>
        <v>0</v>
      </c>
      <c r="K246" s="13">
        <f>IF(J246=1,MONTH(AK246),)</f>
        <v>0</v>
      </c>
      <c r="L246" s="13">
        <f t="shared" si="51"/>
        <v>0</v>
      </c>
      <c r="M246" s="13">
        <f t="shared" si="52"/>
        <v>1900</v>
      </c>
      <c r="N246" s="13">
        <f t="shared" si="53"/>
        <v>0</v>
      </c>
      <c r="O246" s="13">
        <f>IF(N246=1,MONTH(AN246),)</f>
        <v>0</v>
      </c>
      <c r="P246" s="13">
        <f t="shared" si="54"/>
        <v>0</v>
      </c>
      <c r="Q246" s="13">
        <f t="shared" si="55"/>
        <v>1900</v>
      </c>
      <c r="S246" s="38" t="s">
        <v>378</v>
      </c>
      <c r="T246" s="11" t="s">
        <v>42</v>
      </c>
      <c r="U246" s="11" t="s">
        <v>319</v>
      </c>
      <c r="V246" s="39" t="s">
        <v>42</v>
      </c>
      <c r="W246" s="39" t="s">
        <v>320</v>
      </c>
      <c r="X246" s="39" t="s">
        <v>379</v>
      </c>
      <c r="Y246" s="13" t="s">
        <v>328</v>
      </c>
      <c r="Z246" s="66">
        <v>43376</v>
      </c>
      <c r="AA246" s="67">
        <v>233300</v>
      </c>
      <c r="AB246" s="6">
        <v>40</v>
      </c>
      <c r="AC246" s="6">
        <f>AA246*0.51%</f>
        <v>1189.8300000000002</v>
      </c>
      <c r="AD246" s="10">
        <f>AC246/AA246</f>
        <v>5.1000000000000004E-3</v>
      </c>
      <c r="AE246" s="7" t="s">
        <v>323</v>
      </c>
      <c r="AG246" s="67">
        <v>239900</v>
      </c>
      <c r="AH246" s="16"/>
      <c r="AI246" s="16">
        <f>AG246-AA246</f>
        <v>6600</v>
      </c>
      <c r="AJ246" s="36">
        <f>AI246/AA246</f>
        <v>2.8289755679382769E-2</v>
      </c>
      <c r="AN246" s="66"/>
      <c r="AT246" s="9"/>
      <c r="AU246" s="6" t="str">
        <f>IF(AND(AU$2&gt;$Z246,$Z246&gt;0,OR($AN246&gt;AU$2,ISBLANK($AN246))),AU$2-$Z246,"")</f>
        <v/>
      </c>
      <c r="AV246" s="6" t="str">
        <f>IF(AND(AV$2&gt;$Z246,$Z246&gt;0,OR($AN246&gt;AV$2,ISBLANK($AN246))),AV$2-$Z246,"")</f>
        <v/>
      </c>
      <c r="AW246" s="6" t="str">
        <f>IF(AND(AW$2&gt;$Z246,$Z246&gt;0,OR($AN246&gt;AW$2,ISBLANK($AN246))),AW$2-$Z246,"")</f>
        <v/>
      </c>
      <c r="AX246" s="6" t="str">
        <f>IF(AND(AX$2&gt;$Z246,$Z246&gt;0,OR($AN246&gt;AX$2,ISBLANK($AN246))),AX$2-$Z246,"")</f>
        <v/>
      </c>
      <c r="AY246" s="6" t="str">
        <f>IF(AND(AY$2&gt;$Z246,$Z246&gt;0,OR($AN246&gt;AY$2,ISBLANK($AN246))),AY$2-$Z246,"")</f>
        <v/>
      </c>
      <c r="AZ246" s="6">
        <f ca="1">IF(AND(AZ$2&gt;$Z246,$Z246&gt;0,OR($AN246&gt;AZ$2,ISBLANK($AN246))),AZ$2-$Z246,"")</f>
        <v>15.382289814813703</v>
      </c>
      <c r="BA246" s="6"/>
      <c r="BB246" s="6"/>
      <c r="BC246" s="6"/>
      <c r="BD246" s="6"/>
    </row>
    <row r="247" spans="2:56" x14ac:dyDescent="0.25">
      <c r="B247" s="13">
        <f t="shared" si="42"/>
        <v>1</v>
      </c>
      <c r="C247" s="13">
        <f t="shared" si="43"/>
        <v>7</v>
      </c>
      <c r="D247" s="13">
        <f t="shared" si="44"/>
        <v>3</v>
      </c>
      <c r="E247" s="13">
        <f t="shared" si="45"/>
        <v>2018</v>
      </c>
      <c r="F247" s="13">
        <f t="shared" si="46"/>
        <v>1</v>
      </c>
      <c r="G247" s="13">
        <f t="shared" si="47"/>
        <v>7</v>
      </c>
      <c r="H247" s="13">
        <f t="shared" si="48"/>
        <v>3</v>
      </c>
      <c r="I247" s="13">
        <f t="shared" si="49"/>
        <v>2018</v>
      </c>
      <c r="J247" s="13">
        <f t="shared" si="50"/>
        <v>1</v>
      </c>
      <c r="K247" s="13">
        <f>IF(J247=1,MONTH(AK247),)</f>
        <v>8</v>
      </c>
      <c r="L247" s="13">
        <f t="shared" si="51"/>
        <v>3</v>
      </c>
      <c r="M247" s="13">
        <f t="shared" si="52"/>
        <v>2018</v>
      </c>
      <c r="N247" s="13">
        <f t="shared" si="53"/>
        <v>1</v>
      </c>
      <c r="O247" s="13">
        <f>IF(N247=1,MONTH(AN247),)</f>
        <v>8</v>
      </c>
      <c r="P247" s="13">
        <f t="shared" si="54"/>
        <v>3</v>
      </c>
      <c r="Q247" s="13">
        <f t="shared" si="55"/>
        <v>2018</v>
      </c>
      <c r="S247" s="38" t="s">
        <v>497</v>
      </c>
      <c r="T247" s="11" t="s">
        <v>42</v>
      </c>
      <c r="U247" s="11" t="s">
        <v>319</v>
      </c>
      <c r="V247" s="39" t="s">
        <v>42</v>
      </c>
      <c r="W247" s="39" t="s">
        <v>320</v>
      </c>
      <c r="X247" s="13" t="s">
        <v>562</v>
      </c>
      <c r="Y247" s="13" t="s">
        <v>322</v>
      </c>
      <c r="Z247" s="66">
        <v>43299</v>
      </c>
      <c r="AA247" s="67">
        <v>179000</v>
      </c>
      <c r="AD247" s="10"/>
      <c r="AF247" s="66">
        <v>43307</v>
      </c>
      <c r="AG247" s="67">
        <v>189000</v>
      </c>
      <c r="AH247" s="16">
        <f>AF247-Z247</f>
        <v>8</v>
      </c>
      <c r="AI247" s="16">
        <f>AG247-AA247</f>
        <v>10000</v>
      </c>
      <c r="AJ247" s="36">
        <f>AI247/AA247</f>
        <v>5.5865921787709494E-2</v>
      </c>
      <c r="AK247" s="66">
        <v>43313</v>
      </c>
      <c r="AL247" s="67">
        <v>189000</v>
      </c>
      <c r="AM247" s="6">
        <f>AK247-AF247</f>
        <v>6</v>
      </c>
      <c r="AN247" s="66">
        <v>43329</v>
      </c>
      <c r="AO247" s="67">
        <v>192000</v>
      </c>
      <c r="AP247" s="6">
        <f>AN247-AK247</f>
        <v>16</v>
      </c>
      <c r="AQ247" s="6">
        <f>AH247+AM247+AP247</f>
        <v>30</v>
      </c>
      <c r="AR247" s="6">
        <f>AO247-AA247</f>
        <v>13000</v>
      </c>
      <c r="AS247" s="8">
        <f>AR247/AA247</f>
        <v>7.2625698324022353E-2</v>
      </c>
      <c r="AT247" s="9"/>
      <c r="AU247" s="6" t="str">
        <f>IF(AND(AU$2&gt;$Z247,$Z247&gt;0,OR($AN247&gt;AU$2,ISBLANK($AN247))),AU$2-$Z247,"")</f>
        <v/>
      </c>
      <c r="AV247" s="6" t="str">
        <f>IF(AND(AV$2&gt;$Z247,$Z247&gt;0,OR($AN247&gt;AV$2,ISBLANK($AN247))),AV$2-$Z247,"")</f>
        <v/>
      </c>
      <c r="AW247" s="6">
        <f>IF(AND(AW$2&gt;$Z247,$Z247&gt;0,OR($AN247&gt;AW$2,ISBLANK($AN247))),AW$2-$Z247,"")</f>
        <v>13</v>
      </c>
      <c r="AX247" s="6" t="str">
        <f>IF(AND(AX$2&gt;$Z247,$Z247&gt;0,OR($AN247&gt;AX$2,ISBLANK($AN247))),AX$2-$Z247,"")</f>
        <v/>
      </c>
      <c r="AY247" s="6" t="str">
        <f>IF(AND(AY$2&gt;$Z247,$Z247&gt;0,OR($AN247&gt;AY$2,ISBLANK($AN247))),AY$2-$Z247,"")</f>
        <v/>
      </c>
      <c r="AZ247" s="6" t="str">
        <f ca="1">IF(AND(AZ$2&gt;$Z247,$Z247&gt;0,OR($AN247&gt;AZ$2,ISBLANK($AN247))),AZ$2-$Z247,"")</f>
        <v/>
      </c>
      <c r="BA247" s="6"/>
      <c r="BB247" s="6"/>
      <c r="BC247" s="6"/>
      <c r="BD247" s="6"/>
    </row>
    <row r="248" spans="2:56" x14ac:dyDescent="0.25">
      <c r="B248" s="13">
        <f t="shared" si="42"/>
        <v>1</v>
      </c>
      <c r="C248" s="13">
        <f t="shared" si="43"/>
        <v>9</v>
      </c>
      <c r="D248" s="13">
        <f t="shared" si="44"/>
        <v>3</v>
      </c>
      <c r="E248" s="13">
        <f t="shared" si="45"/>
        <v>2018</v>
      </c>
      <c r="F248" s="13">
        <f t="shared" si="46"/>
        <v>0</v>
      </c>
      <c r="G248" s="13">
        <f t="shared" si="47"/>
        <v>1</v>
      </c>
      <c r="H248" s="13">
        <f t="shared" si="48"/>
        <v>1</v>
      </c>
      <c r="I248" s="13">
        <f t="shared" si="49"/>
        <v>1900</v>
      </c>
      <c r="J248" s="13">
        <f t="shared" si="50"/>
        <v>0</v>
      </c>
      <c r="K248" s="13">
        <f>IF(J248=1,MONTH(AK248),)</f>
        <v>0</v>
      </c>
      <c r="L248" s="13">
        <f t="shared" si="51"/>
        <v>0</v>
      </c>
      <c r="M248" s="13">
        <f t="shared" si="52"/>
        <v>1900</v>
      </c>
      <c r="N248" s="13">
        <f t="shared" si="53"/>
        <v>0</v>
      </c>
      <c r="O248" s="13">
        <f>IF(N248=1,MONTH(AN248),)</f>
        <v>0</v>
      </c>
      <c r="P248" s="13">
        <f t="shared" si="54"/>
        <v>0</v>
      </c>
      <c r="Q248" s="13">
        <f t="shared" si="55"/>
        <v>1900</v>
      </c>
      <c r="S248" s="38" t="s">
        <v>368</v>
      </c>
      <c r="T248" s="11" t="s">
        <v>42</v>
      </c>
      <c r="U248" s="11" t="s">
        <v>319</v>
      </c>
      <c r="V248" s="39" t="s">
        <v>42</v>
      </c>
      <c r="W248" s="39" t="s">
        <v>320</v>
      </c>
      <c r="X248" s="39" t="s">
        <v>369</v>
      </c>
      <c r="Y248" s="13" t="s">
        <v>328</v>
      </c>
      <c r="Z248" s="66">
        <v>43371</v>
      </c>
      <c r="AA248" s="67">
        <v>145000</v>
      </c>
      <c r="AB248" s="6">
        <v>40</v>
      </c>
      <c r="AC248" s="6">
        <v>1050.5999999999999</v>
      </c>
      <c r="AD248" s="10">
        <f>AC248/AA248</f>
        <v>7.2455172413793097E-3</v>
      </c>
      <c r="AE248" s="7" t="s">
        <v>323</v>
      </c>
      <c r="AG248" s="67">
        <v>156600</v>
      </c>
      <c r="AH248" s="16"/>
      <c r="AI248" s="16">
        <f>AG248-AA248</f>
        <v>11600</v>
      </c>
      <c r="AJ248" s="36">
        <f>AI248/AA248</f>
        <v>0.08</v>
      </c>
      <c r="AN248" s="66"/>
      <c r="AT248" s="9"/>
      <c r="AU248" s="6" t="str">
        <f>IF(AND(AU$2&gt;$Z248,$Z248&gt;0,OR($AN248&gt;AU$2,ISBLANK($AN248))),AU$2-$Z248,"")</f>
        <v/>
      </c>
      <c r="AV248" s="6" t="str">
        <f>IF(AND(AV$2&gt;$Z248,$Z248&gt;0,OR($AN248&gt;AV$2,ISBLANK($AN248))),AV$2-$Z248,"")</f>
        <v/>
      </c>
      <c r="AW248" s="6" t="str">
        <f>IF(AND(AW$2&gt;$Z248,$Z248&gt;0,OR($AN248&gt;AW$2,ISBLANK($AN248))),AW$2-$Z248,"")</f>
        <v/>
      </c>
      <c r="AX248" s="6" t="str">
        <f>IF(AND(AX$2&gt;$Z248,$Z248&gt;0,OR($AN248&gt;AX$2,ISBLANK($AN248))),AX$2-$Z248,"")</f>
        <v/>
      </c>
      <c r="AY248" s="6">
        <f>IF(AND(AY$2&gt;$Z248,$Z248&gt;0,OR($AN248&gt;AY$2,ISBLANK($AN248))),AY$2-$Z248,"")</f>
        <v>2</v>
      </c>
      <c r="AZ248" s="6">
        <f ca="1">IF(AND(AZ$2&gt;$Z248,$Z248&gt;0,OR($AN248&gt;AZ$2,ISBLANK($AN248))),AZ$2-$Z248,"")</f>
        <v>20.382289814813703</v>
      </c>
      <c r="BA248" s="6"/>
      <c r="BB248" s="6"/>
      <c r="BC248" s="6"/>
      <c r="BD248" s="6"/>
    </row>
    <row r="249" spans="2:56" x14ac:dyDescent="0.25">
      <c r="B249" s="13">
        <f t="shared" si="42"/>
        <v>1</v>
      </c>
      <c r="C249" s="13">
        <f t="shared" si="43"/>
        <v>10</v>
      </c>
      <c r="D249" s="13">
        <f t="shared" si="44"/>
        <v>4</v>
      </c>
      <c r="E249" s="13">
        <f t="shared" si="45"/>
        <v>2018</v>
      </c>
      <c r="F249" s="13">
        <f t="shared" si="46"/>
        <v>0</v>
      </c>
      <c r="G249" s="13">
        <f t="shared" si="47"/>
        <v>1</v>
      </c>
      <c r="H249" s="13">
        <f t="shared" si="48"/>
        <v>1</v>
      </c>
      <c r="I249" s="13">
        <f t="shared" si="49"/>
        <v>1900</v>
      </c>
      <c r="J249" s="13">
        <f t="shared" si="50"/>
        <v>0</v>
      </c>
      <c r="K249" s="13">
        <f>IF(J249=1,MONTH(AK249),)</f>
        <v>0</v>
      </c>
      <c r="L249" s="13">
        <f t="shared" si="51"/>
        <v>0</v>
      </c>
      <c r="M249" s="13">
        <f t="shared" si="52"/>
        <v>1900</v>
      </c>
      <c r="N249" s="13">
        <f t="shared" si="53"/>
        <v>0</v>
      </c>
      <c r="O249" s="13">
        <f>IF(N249=1,MONTH(AN249),)</f>
        <v>0</v>
      </c>
      <c r="P249" s="13">
        <f t="shared" si="54"/>
        <v>0</v>
      </c>
      <c r="Q249" s="13">
        <f t="shared" si="55"/>
        <v>1900</v>
      </c>
      <c r="S249" s="38" t="s">
        <v>501</v>
      </c>
      <c r="T249" s="11" t="s">
        <v>334</v>
      </c>
      <c r="U249" s="11" t="s">
        <v>319</v>
      </c>
      <c r="V249" s="39" t="s">
        <v>42</v>
      </c>
      <c r="W249" s="39" t="s">
        <v>320</v>
      </c>
      <c r="X249" s="39" t="s">
        <v>559</v>
      </c>
      <c r="Y249" s="13" t="s">
        <v>328</v>
      </c>
      <c r="Z249" s="66">
        <v>43384</v>
      </c>
      <c r="AA249" s="67">
        <v>326300</v>
      </c>
      <c r="AD249" s="10"/>
      <c r="AG249" s="67">
        <v>334900</v>
      </c>
      <c r="AH249" s="16"/>
      <c r="AI249" s="16">
        <f>AG249-AA249</f>
        <v>8600</v>
      </c>
      <c r="AJ249" s="36">
        <f>AI249/AA249</f>
        <v>2.6356114005516396E-2</v>
      </c>
      <c r="AN249" s="66"/>
      <c r="AT249" s="9"/>
      <c r="AU249" s="6" t="str">
        <f>IF(AND(AU$2&gt;$Z249,$Z249&gt;0,OR($AN249&gt;AU$2,ISBLANK($AN249))),AU$2-$Z249,"")</f>
        <v/>
      </c>
      <c r="AV249" s="6" t="str">
        <f>IF(AND(AV$2&gt;$Z249,$Z249&gt;0,OR($AN249&gt;AV$2,ISBLANK($AN249))),AV$2-$Z249,"")</f>
        <v/>
      </c>
      <c r="AW249" s="6" t="str">
        <f>IF(AND(AW$2&gt;$Z249,$Z249&gt;0,OR($AN249&gt;AW$2,ISBLANK($AN249))),AW$2-$Z249,"")</f>
        <v/>
      </c>
      <c r="AX249" s="6" t="str">
        <f>IF(AND(AX$2&gt;$Z249,$Z249&gt;0,OR($AN249&gt;AX$2,ISBLANK($AN249))),AX$2-$Z249,"")</f>
        <v/>
      </c>
      <c r="AY249" s="6" t="str">
        <f>IF(AND(AY$2&gt;$Z249,$Z249&gt;0,OR($AN249&gt;AY$2,ISBLANK($AN249))),AY$2-$Z249,"")</f>
        <v/>
      </c>
      <c r="AZ249" s="6">
        <f ca="1">IF(AND(AZ$2&gt;$Z249,$Z249&gt;0,OR($AN249&gt;AZ$2,ISBLANK($AN249))),AZ$2-$Z249,"")</f>
        <v>7.3822898148137028</v>
      </c>
      <c r="BA249" s="6"/>
      <c r="BB249" s="6"/>
      <c r="BC249" s="6"/>
      <c r="BD249" s="6"/>
    </row>
    <row r="250" spans="2:56" x14ac:dyDescent="0.2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X250" s="39"/>
      <c r="Y250" s="13"/>
      <c r="AD250" s="10"/>
      <c r="AH250" s="16"/>
      <c r="AI250" s="16"/>
      <c r="AJ250" s="36"/>
      <c r="AN250" s="66"/>
      <c r="AT250" s="9"/>
      <c r="AU250" s="6"/>
      <c r="AV250" s="6"/>
      <c r="AW250" s="6"/>
      <c r="AX250" s="6"/>
      <c r="AY250" s="6"/>
      <c r="AZ250" s="6"/>
      <c r="BA250" s="6"/>
      <c r="BB250" s="6"/>
      <c r="BC250" s="6"/>
      <c r="BD250" s="6"/>
    </row>
    <row r="251" spans="2:56" x14ac:dyDescent="0.2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X251" s="39"/>
      <c r="Y251" s="13"/>
      <c r="AD251" s="10"/>
      <c r="AH251" s="16"/>
      <c r="AI251" s="16"/>
      <c r="AJ251" s="36"/>
      <c r="AN251" s="66"/>
      <c r="AT251" s="9"/>
      <c r="AU251" s="6"/>
      <c r="AV251" s="6"/>
      <c r="AW251" s="6"/>
      <c r="AX251" s="6"/>
      <c r="AY251" s="6"/>
      <c r="AZ251" s="6"/>
      <c r="BA251" s="6"/>
      <c r="BB251" s="6"/>
      <c r="BC251" s="6"/>
      <c r="BD251" s="6"/>
    </row>
    <row r="252" spans="2:56" x14ac:dyDescent="0.2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X252" s="39"/>
      <c r="Y252" s="13"/>
      <c r="AD252" s="10"/>
      <c r="AH252" s="16"/>
      <c r="AI252" s="16"/>
      <c r="AJ252" s="36"/>
      <c r="AN252" s="66"/>
      <c r="AT252" s="9"/>
      <c r="AU252" s="6"/>
      <c r="AV252" s="6"/>
      <c r="AW252" s="6"/>
      <c r="AX252" s="6"/>
      <c r="AY252" s="6"/>
      <c r="AZ252" s="6"/>
      <c r="BA252" s="6"/>
      <c r="BB252" s="6"/>
      <c r="BC252" s="6"/>
      <c r="BD252" s="6"/>
    </row>
    <row r="253" spans="2:56" x14ac:dyDescent="0.2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X253" s="39"/>
      <c r="Y253" s="13"/>
      <c r="AD253" s="10"/>
      <c r="AH253" s="16"/>
      <c r="AI253" s="16"/>
      <c r="AJ253" s="36"/>
      <c r="AN253" s="66"/>
      <c r="AT253" s="9"/>
      <c r="AU253" s="6"/>
      <c r="AV253" s="6"/>
      <c r="AW253" s="6"/>
      <c r="AX253" s="6"/>
      <c r="AY253" s="6"/>
      <c r="AZ253" s="6"/>
      <c r="BA253" s="6"/>
      <c r="BB253" s="6"/>
      <c r="BC253" s="6"/>
      <c r="BD253" s="6"/>
    </row>
    <row r="254" spans="2:56" x14ac:dyDescent="0.2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X254" s="39"/>
      <c r="Y254" s="13"/>
      <c r="AD254" s="10"/>
      <c r="AH254" s="16"/>
      <c r="AI254" s="16"/>
      <c r="AJ254" s="36"/>
      <c r="AN254" s="66"/>
      <c r="AT254" s="9"/>
      <c r="AU254" s="6"/>
      <c r="AV254" s="6"/>
      <c r="AW254" s="6"/>
      <c r="AX254" s="6"/>
      <c r="AY254" s="6"/>
      <c r="AZ254" s="6"/>
      <c r="BA254" s="6"/>
      <c r="BB254" s="6"/>
      <c r="BC254" s="6"/>
      <c r="BD254" s="6"/>
    </row>
    <row r="255" spans="2:56" x14ac:dyDescent="0.2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X255" s="39"/>
      <c r="Y255" s="13"/>
      <c r="AD255" s="10"/>
      <c r="AH255" s="16"/>
      <c r="AI255" s="16"/>
      <c r="AJ255" s="36"/>
      <c r="AN255" s="66"/>
      <c r="AT255" s="9"/>
      <c r="AU255" s="6"/>
      <c r="AV255" s="6"/>
      <c r="AW255" s="6"/>
      <c r="AX255" s="6"/>
      <c r="AY255" s="6"/>
      <c r="AZ255" s="6"/>
      <c r="BA255" s="6"/>
      <c r="BB255" s="6"/>
      <c r="BC255" s="6"/>
      <c r="BD255" s="6"/>
    </row>
    <row r="256" spans="2:56" x14ac:dyDescent="0.2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X256" s="39"/>
      <c r="Y256" s="13"/>
      <c r="AD256" s="10"/>
      <c r="AH256" s="16"/>
      <c r="AI256" s="16"/>
      <c r="AJ256" s="36"/>
      <c r="AN256" s="66"/>
      <c r="AT256" s="9"/>
      <c r="AU256" s="6"/>
      <c r="AV256" s="6"/>
      <c r="AW256" s="6"/>
      <c r="AX256" s="6"/>
      <c r="AY256" s="6"/>
      <c r="AZ256" s="6"/>
      <c r="BA256" s="6"/>
      <c r="BB256" s="6"/>
      <c r="BC256" s="6"/>
      <c r="BD256" s="6"/>
    </row>
    <row r="257" spans="2:56" x14ac:dyDescent="0.2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X257" s="39"/>
      <c r="Y257" s="13"/>
      <c r="AD257" s="10"/>
      <c r="AH257" s="16"/>
      <c r="AI257" s="16"/>
      <c r="AJ257" s="36"/>
      <c r="AN257" s="66"/>
      <c r="AT257" s="9"/>
      <c r="AU257" s="6"/>
      <c r="AV257" s="6"/>
      <c r="AW257" s="6"/>
      <c r="AX257" s="6"/>
      <c r="AY257" s="6"/>
      <c r="AZ257" s="6"/>
      <c r="BA257" s="6"/>
      <c r="BB257" s="6"/>
      <c r="BC257" s="6"/>
      <c r="BD257" s="6"/>
    </row>
    <row r="258" spans="2:56" x14ac:dyDescent="0.2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X258" s="39"/>
      <c r="Y258" s="13"/>
      <c r="AD258" s="10"/>
      <c r="AH258" s="16"/>
      <c r="AI258" s="16"/>
      <c r="AJ258" s="36"/>
      <c r="AN258" s="66"/>
      <c r="AT258" s="9"/>
      <c r="AU258" s="6"/>
      <c r="AV258" s="6"/>
      <c r="AW258" s="6"/>
      <c r="AX258" s="6"/>
      <c r="AY258" s="6"/>
      <c r="AZ258" s="6"/>
      <c r="BA258" s="6"/>
      <c r="BB258" s="6"/>
      <c r="BC258" s="6"/>
      <c r="BD258" s="6"/>
    </row>
    <row r="259" spans="2:56" x14ac:dyDescent="0.2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X259" s="39"/>
      <c r="Y259" s="13"/>
      <c r="AD259" s="10"/>
      <c r="AH259" s="16"/>
      <c r="AI259" s="16"/>
      <c r="AJ259" s="36"/>
      <c r="AN259" s="66"/>
      <c r="AT259" s="9"/>
      <c r="AU259" s="6"/>
      <c r="AV259" s="6"/>
      <c r="AW259" s="6"/>
      <c r="AX259" s="6"/>
      <c r="AY259" s="6"/>
      <c r="AZ259" s="6"/>
      <c r="BA259" s="6"/>
      <c r="BB259" s="6"/>
      <c r="BC259" s="6"/>
      <c r="BD259" s="6"/>
    </row>
    <row r="260" spans="2:56" x14ac:dyDescent="0.2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X260" s="39"/>
      <c r="Y260" s="13"/>
      <c r="AD260" s="10"/>
      <c r="AH260" s="16"/>
      <c r="AI260" s="16"/>
      <c r="AJ260" s="36"/>
      <c r="AN260" s="66"/>
      <c r="AT260" s="9"/>
      <c r="AU260" s="6"/>
      <c r="AV260" s="6"/>
      <c r="AW260" s="6"/>
      <c r="AX260" s="6"/>
      <c r="AY260" s="6"/>
      <c r="AZ260" s="6"/>
      <c r="BA260" s="6"/>
      <c r="BB260" s="6"/>
      <c r="BC260" s="6"/>
      <c r="BD260" s="6"/>
    </row>
    <row r="261" spans="2:56" x14ac:dyDescent="0.2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X261" s="39"/>
      <c r="Y261" s="13"/>
      <c r="AD261" s="10"/>
      <c r="AH261" s="16"/>
      <c r="AI261" s="16"/>
      <c r="AJ261" s="36"/>
      <c r="AN261" s="66"/>
      <c r="AT261" s="9"/>
      <c r="AU261" s="6"/>
      <c r="AV261" s="6"/>
      <c r="AW261" s="6"/>
      <c r="AX261" s="6"/>
      <c r="AY261" s="6"/>
      <c r="AZ261" s="6"/>
      <c r="BA261" s="6"/>
      <c r="BB261" s="6"/>
      <c r="BC261" s="6"/>
      <c r="BD261" s="6"/>
    </row>
    <row r="262" spans="2:56" x14ac:dyDescent="0.2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X262" s="39"/>
      <c r="Y262" s="13"/>
      <c r="AD262" s="10"/>
      <c r="AH262" s="16"/>
      <c r="AI262" s="16"/>
      <c r="AJ262" s="36"/>
      <c r="AN262" s="66"/>
      <c r="AT262" s="9"/>
      <c r="AU262" s="6"/>
      <c r="AV262" s="6"/>
      <c r="AW262" s="6"/>
      <c r="AX262" s="6"/>
      <c r="AY262" s="6"/>
      <c r="AZ262" s="6"/>
      <c r="BA262" s="6"/>
      <c r="BB262" s="6"/>
      <c r="BC262" s="6"/>
      <c r="BD262" s="6"/>
    </row>
  </sheetData>
  <sortState ref="A203:XET241">
    <sortCondition ref="X203:X241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B24"/>
  <sheetViews>
    <sheetView workbookViewId="0">
      <selection activeCell="I34" sqref="I34"/>
    </sheetView>
  </sheetViews>
  <sheetFormatPr defaultRowHeight="15" x14ac:dyDescent="0.25"/>
  <cols>
    <col min="1" max="1" width="1.7109375" style="13" customWidth="1"/>
    <col min="2" max="2" width="6.7109375" style="13" customWidth="1"/>
    <col min="3" max="3" width="3.7109375" style="13" customWidth="1"/>
    <col min="4" max="4" width="14.7109375" style="12" customWidth="1"/>
    <col min="5" max="24" width="10.7109375" style="9" customWidth="1"/>
    <col min="25" max="25" width="9.140625" style="13"/>
    <col min="26" max="27" width="10.7109375" style="9" customWidth="1"/>
    <col min="28" max="16384" width="9.140625" style="13"/>
  </cols>
  <sheetData>
    <row r="2" spans="2:28" x14ac:dyDescent="0.25">
      <c r="D2" s="12" t="s">
        <v>516</v>
      </c>
      <c r="E2" s="60"/>
    </row>
    <row r="3" spans="2:28" x14ac:dyDescent="0.25">
      <c r="D3" s="12" t="s">
        <v>517</v>
      </c>
      <c r="E3" s="60"/>
    </row>
    <row r="4" spans="2:28" x14ac:dyDescent="0.25">
      <c r="E4" s="9">
        <f>E3-E2</f>
        <v>0</v>
      </c>
    </row>
    <row r="6" spans="2:28" x14ac:dyDescent="0.25">
      <c r="D6" s="34" t="s">
        <v>582</v>
      </c>
      <c r="E6" s="45" t="s">
        <v>384</v>
      </c>
      <c r="F6" s="46"/>
      <c r="G6" s="47"/>
      <c r="H6" s="32" t="s">
        <v>450</v>
      </c>
      <c r="I6" s="45" t="s">
        <v>410</v>
      </c>
      <c r="J6" s="46"/>
      <c r="K6" s="46"/>
      <c r="L6" s="47"/>
      <c r="M6" s="45" t="s">
        <v>406</v>
      </c>
      <c r="N6" s="46"/>
      <c r="O6" s="47"/>
      <c r="P6" s="45" t="s">
        <v>398</v>
      </c>
      <c r="Q6" s="46"/>
      <c r="R6" s="46"/>
      <c r="S6" s="46"/>
      <c r="T6" s="46"/>
      <c r="U6" s="47"/>
      <c r="V6" s="45" t="s">
        <v>453</v>
      </c>
      <c r="W6" s="46"/>
      <c r="X6" s="47"/>
      <c r="Z6" s="45" t="s">
        <v>456</v>
      </c>
      <c r="AA6" s="46"/>
    </row>
    <row r="7" spans="2:28" x14ac:dyDescent="0.25">
      <c r="D7" s="30" t="s">
        <v>449</v>
      </c>
      <c r="E7" s="20" t="s">
        <v>385</v>
      </c>
      <c r="F7" s="18" t="s">
        <v>391</v>
      </c>
      <c r="G7" s="23" t="s">
        <v>389</v>
      </c>
      <c r="H7" s="18" t="s">
        <v>409</v>
      </c>
      <c r="I7" s="20" t="s">
        <v>385</v>
      </c>
      <c r="J7" s="18" t="s">
        <v>388</v>
      </c>
      <c r="K7" s="18" t="s">
        <v>388</v>
      </c>
      <c r="L7" s="23" t="s">
        <v>394</v>
      </c>
      <c r="M7" s="20" t="s">
        <v>385</v>
      </c>
      <c r="N7" s="18" t="s">
        <v>404</v>
      </c>
      <c r="O7" s="23" t="s">
        <v>394</v>
      </c>
      <c r="P7" s="20" t="s">
        <v>385</v>
      </c>
      <c r="Q7" s="18" t="s">
        <v>454</v>
      </c>
      <c r="R7" s="18" t="s">
        <v>399</v>
      </c>
      <c r="S7" s="18" t="s">
        <v>399</v>
      </c>
      <c r="T7" s="18" t="s">
        <v>394</v>
      </c>
      <c r="U7" s="23" t="s">
        <v>393</v>
      </c>
      <c r="V7" s="20" t="s">
        <v>385</v>
      </c>
      <c r="W7" s="18" t="s">
        <v>404</v>
      </c>
      <c r="X7" s="23" t="s">
        <v>448</v>
      </c>
      <c r="Z7" s="20" t="s">
        <v>385</v>
      </c>
      <c r="AA7" s="18" t="s">
        <v>404</v>
      </c>
    </row>
    <row r="8" spans="2:28" ht="15.75" thickBot="1" x14ac:dyDescent="0.3">
      <c r="D8" s="31"/>
      <c r="E8" s="21" t="s">
        <v>390</v>
      </c>
      <c r="F8" s="19" t="s">
        <v>452</v>
      </c>
      <c r="G8" s="24" t="s">
        <v>387</v>
      </c>
      <c r="H8" s="19" t="s">
        <v>451</v>
      </c>
      <c r="I8" s="21" t="s">
        <v>392</v>
      </c>
      <c r="J8" s="19" t="s">
        <v>397</v>
      </c>
      <c r="K8" s="19" t="s">
        <v>396</v>
      </c>
      <c r="L8" s="24" t="s">
        <v>395</v>
      </c>
      <c r="M8" s="21" t="s">
        <v>22</v>
      </c>
      <c r="N8" s="19" t="s">
        <v>386</v>
      </c>
      <c r="O8" s="24" t="s">
        <v>400</v>
      </c>
      <c r="P8" s="21" t="s">
        <v>23</v>
      </c>
      <c r="Q8" s="19" t="s">
        <v>386</v>
      </c>
      <c r="R8" s="19" t="s">
        <v>397</v>
      </c>
      <c r="S8" s="19" t="s">
        <v>396</v>
      </c>
      <c r="T8" s="19" t="s">
        <v>447</v>
      </c>
      <c r="U8" s="24" t="s">
        <v>402</v>
      </c>
      <c r="V8" s="21" t="s">
        <v>21</v>
      </c>
      <c r="W8" s="19" t="s">
        <v>386</v>
      </c>
      <c r="X8" s="24" t="s">
        <v>403</v>
      </c>
      <c r="Z8" s="21" t="s">
        <v>22</v>
      </c>
      <c r="AA8" s="19" t="s">
        <v>386</v>
      </c>
    </row>
    <row r="9" spans="2:28" x14ac:dyDescent="0.25">
      <c r="B9" s="13">
        <f t="shared" ref="B9:B11" si="0">YEAR(D9)</f>
        <v>2018</v>
      </c>
      <c r="C9" s="13">
        <v>2</v>
      </c>
      <c r="D9" s="29">
        <v>43281</v>
      </c>
      <c r="E9" s="27"/>
      <c r="F9" s="22"/>
      <c r="G9" s="28"/>
      <c r="H9" s="17"/>
      <c r="I9" s="27"/>
      <c r="J9" s="25"/>
      <c r="K9" s="26"/>
      <c r="L9" s="28"/>
      <c r="M9" s="27"/>
      <c r="N9" s="22"/>
      <c r="O9" s="28"/>
      <c r="P9" s="27"/>
      <c r="Q9" s="22"/>
      <c r="R9" s="25"/>
      <c r="S9" s="26"/>
      <c r="T9" s="25"/>
      <c r="U9" s="28"/>
      <c r="V9" s="27"/>
      <c r="W9" s="22"/>
      <c r="X9" s="28"/>
      <c r="Z9" s="27"/>
      <c r="AA9" s="22"/>
    </row>
    <row r="10" spans="2:28" x14ac:dyDescent="0.25">
      <c r="B10" s="13">
        <f t="shared" si="0"/>
        <v>2018</v>
      </c>
      <c r="C10" s="13">
        <v>3</v>
      </c>
      <c r="D10" s="29">
        <v>43373</v>
      </c>
      <c r="E10" s="27"/>
      <c r="F10" s="22"/>
      <c r="G10" s="28"/>
      <c r="H10" s="17"/>
      <c r="I10" s="27"/>
      <c r="J10" s="25"/>
      <c r="K10" s="26"/>
      <c r="L10" s="28"/>
      <c r="M10" s="27"/>
      <c r="N10" s="22"/>
      <c r="O10" s="28"/>
      <c r="P10" s="27"/>
      <c r="Q10" s="22"/>
      <c r="R10" s="25"/>
      <c r="S10" s="26"/>
      <c r="T10" s="25"/>
      <c r="U10" s="28"/>
      <c r="V10" s="27"/>
      <c r="W10" s="22"/>
      <c r="X10" s="28"/>
      <c r="Z10" s="27">
        <f>M10-P10</f>
        <v>0</v>
      </c>
      <c r="AA10" s="22">
        <f>N10-Q10</f>
        <v>0</v>
      </c>
    </row>
    <row r="11" spans="2:28" x14ac:dyDescent="0.25">
      <c r="B11" s="13">
        <f t="shared" si="0"/>
        <v>2018</v>
      </c>
      <c r="C11" s="13">
        <v>4</v>
      </c>
      <c r="D11" s="29">
        <v>43465</v>
      </c>
      <c r="E11" s="27">
        <f>COUNTIFS(Data!$E:$E,$B11,Data!$D:$D,$C11,Data!$V:$V,$D$6,Data!$B:$B,1)</f>
        <v>0</v>
      </c>
      <c r="F11" s="22">
        <f>SUMIFS(Data!$AA:$AA,Data!$E:$E,$B11,Data!$D:$D,$C11,Data!$V:$V,$D$6)/1000000</f>
        <v>0</v>
      </c>
      <c r="G11" s="28" t="e">
        <f>AVERAGEIFS(Data!$AA:$AA,Data!$E:$E,$B11,Data!$D:$D,$C11,Data!$V:$V,$D$6,Data!$B:$B,1)/1000</f>
        <v>#DIV/0!</v>
      </c>
      <c r="H11" s="17">
        <f>(E11+E10)-(I10+I11)</f>
        <v>0</v>
      </c>
      <c r="I11" s="27">
        <f>COUNTIFS(Data!$I:$I,$B11,Data!$H:$H,$C11,Data!$V:$V,$D$6,Data!$F:$F,1)</f>
        <v>0</v>
      </c>
      <c r="J11" s="25" t="e">
        <f>AVERAGEIFS(Data!$AI:$AI,Data!$I:$I,$B11,Data!$H:$H,$C11,Data!$V:$V,$D$6,Data!$F:$F,1)</f>
        <v>#DIV/0!</v>
      </c>
      <c r="K11" s="26" t="e">
        <f>AVERAGEIFS(Data!$AG:$AG,Data!$I:$I,$B11,Data!$H:$H,$C11,Data!$V:$V,$D$6,Data!$F:$F,1)/AVERAGEIFS(Data!$AA:$AA,Data!$I:$I,$B11,Data!$H:$H,$C11,Data!$V:$V,$D$6,Data!$F:$F,1)-1</f>
        <v>#DIV/0!</v>
      </c>
      <c r="L11" s="28" t="e">
        <f>AVERAGEIFS(Data!$AH:$AH,Data!$I:$I,$B11,Data!$H:$H,$C11,Data!$V:$V,$D$6,Data!$F:$F,1)</f>
        <v>#DIV/0!</v>
      </c>
      <c r="M11" s="27">
        <f>COUNTIFS(Data!$M:$M,$B11,Data!$L:$L,$C11,Data!$V:$V,$D$6,Data!$J:$J,1)</f>
        <v>0</v>
      </c>
      <c r="N11" s="22">
        <f>SUMIFS(Data!$AL:$AL,Data!$M:$M,$B11,Data!$L:$L,$C11,Data!$V:$V,$D$6,Data!$J:$J,1)/1000000</f>
        <v>0</v>
      </c>
      <c r="O11" s="28" t="e">
        <f>AVERAGEIFS(Data!$AM:$AM,Data!$M:$M,$B11,Data!$L:$L,$C11,Data!$V:$V,$D$6,Data!$J:$J,1)</f>
        <v>#DIV/0!</v>
      </c>
      <c r="P11" s="27">
        <f>COUNTIFS(Data!$Q:$Q,$B11,Data!$P:$P,$C11,Data!$V:$V,$D$6,Data!$N:$N,1)</f>
        <v>0</v>
      </c>
      <c r="Q11" s="22">
        <f>SUMIFS(Data!$AO:$AO,Data!$Q:$Q,$B11,Data!$P:$P,$C11,Data!$V:$V,$D$6)/1000000</f>
        <v>0</v>
      </c>
      <c r="R11" s="25" t="e">
        <f>AVERAGEIFS(Data!$AR:$AR,Data!$Q:$Q,$B11,Data!$P:$P,$C11,Data!$V:$V,$D$6,Data!$N:$N,1)</f>
        <v>#DIV/0!</v>
      </c>
      <c r="S11" s="26" t="e">
        <f>AVERAGEIFS(Data!$AO:$AO,Data!$Q:$Q,$B11,Data!$P:$P,$C11,Data!$V:$V,$D$6,Data!$N:$N,1)/AVERAGEIFS(Data!$AA:$AA,Data!$Q:$Q,$B11,Data!$P:$P,$C11,Data!$V:$V,$D$6,Data!$N:$N,1)-1</f>
        <v>#DIV/0!</v>
      </c>
      <c r="T11" s="25" t="e">
        <f>AVERAGEIFS(Data!$AP:$AP,Data!$Q:$Q,$B11,Data!$P:$P,$C11,Data!$V:$V,$D$6,Data!$N:$N,1)</f>
        <v>#DIV/0!</v>
      </c>
      <c r="U11" s="28" t="e">
        <f>AVERAGEIFS(Data!$AQ:$AQ,Data!$Q:$Q,$B11,Data!$P:$P,$C11,Data!$V:$V,$D$6,Data!$N:$N,1)</f>
        <v>#DIV/0!</v>
      </c>
      <c r="V11" s="27">
        <f>V10+E11-P11</f>
        <v>0</v>
      </c>
      <c r="W11" s="22">
        <f>W10+F11-Q11</f>
        <v>0</v>
      </c>
      <c r="X11" s="28" t="e">
        <f>AVERAGEIFS(Data!$AZ:$AZ,Data!$B:$B,1,Data!$V:$V,$D$6)</f>
        <v>#DIV/0!</v>
      </c>
      <c r="Z11" s="27">
        <f>M11-P11</f>
        <v>0</v>
      </c>
      <c r="AA11" s="22">
        <f>N11-Q11</f>
        <v>0</v>
      </c>
    </row>
    <row r="13" spans="2:28" x14ac:dyDescent="0.25">
      <c r="E13" s="6"/>
    </row>
    <row r="14" spans="2:28" x14ac:dyDescent="0.25">
      <c r="E14" s="6"/>
    </row>
    <row r="15" spans="2:28" x14ac:dyDescent="0.25">
      <c r="E15" s="6"/>
    </row>
    <row r="16" spans="2:28" x14ac:dyDescent="0.25">
      <c r="D16" s="34" t="str">
        <f>D6</f>
        <v>Denver</v>
      </c>
      <c r="E16" s="45" t="s">
        <v>384</v>
      </c>
      <c r="F16" s="46"/>
      <c r="G16" s="47"/>
      <c r="H16" s="32" t="s">
        <v>450</v>
      </c>
      <c r="I16" s="45" t="s">
        <v>410</v>
      </c>
      <c r="J16" s="46"/>
      <c r="K16" s="46"/>
      <c r="L16" s="47"/>
      <c r="M16" s="45" t="s">
        <v>406</v>
      </c>
      <c r="N16" s="46"/>
      <c r="O16" s="47"/>
      <c r="P16" s="45" t="s">
        <v>398</v>
      </c>
      <c r="Q16" s="46"/>
      <c r="R16" s="46"/>
      <c r="S16" s="46"/>
      <c r="T16" s="46"/>
      <c r="U16" s="47"/>
      <c r="V16" s="45" t="s">
        <v>453</v>
      </c>
      <c r="W16" s="46"/>
      <c r="X16" s="47"/>
      <c r="Y16"/>
      <c r="Z16"/>
      <c r="AA16"/>
      <c r="AB16"/>
    </row>
    <row r="17" spans="2:28" x14ac:dyDescent="0.25">
      <c r="D17" s="30" t="s">
        <v>449</v>
      </c>
      <c r="E17" s="20" t="s">
        <v>385</v>
      </c>
      <c r="F17" s="18" t="s">
        <v>391</v>
      </c>
      <c r="G17" s="23" t="s">
        <v>389</v>
      </c>
      <c r="H17" s="18" t="s">
        <v>409</v>
      </c>
      <c r="I17" s="20" t="s">
        <v>385</v>
      </c>
      <c r="J17" s="18" t="s">
        <v>388</v>
      </c>
      <c r="K17" s="18" t="s">
        <v>388</v>
      </c>
      <c r="L17" s="23" t="s">
        <v>394</v>
      </c>
      <c r="M17" s="20" t="s">
        <v>385</v>
      </c>
      <c r="N17" s="18" t="s">
        <v>404</v>
      </c>
      <c r="O17" s="23" t="s">
        <v>394</v>
      </c>
      <c r="P17" s="20" t="s">
        <v>385</v>
      </c>
      <c r="Q17" s="18" t="s">
        <v>454</v>
      </c>
      <c r="R17" s="18" t="s">
        <v>399</v>
      </c>
      <c r="S17" s="18" t="s">
        <v>399</v>
      </c>
      <c r="T17" s="18" t="s">
        <v>394</v>
      </c>
      <c r="U17" s="23" t="s">
        <v>393</v>
      </c>
      <c r="V17" s="20" t="s">
        <v>385</v>
      </c>
      <c r="W17" s="18" t="s">
        <v>404</v>
      </c>
      <c r="X17" s="23" t="s">
        <v>448</v>
      </c>
      <c r="Y17"/>
      <c r="Z17"/>
      <c r="AA17"/>
      <c r="AB17"/>
    </row>
    <row r="18" spans="2:28" ht="15.75" thickBot="1" x14ac:dyDescent="0.3">
      <c r="D18" s="31"/>
      <c r="E18" s="21" t="s">
        <v>390</v>
      </c>
      <c r="F18" s="19" t="s">
        <v>452</v>
      </c>
      <c r="G18" s="24" t="s">
        <v>387</v>
      </c>
      <c r="H18" s="19" t="s">
        <v>451</v>
      </c>
      <c r="I18" s="21" t="s">
        <v>392</v>
      </c>
      <c r="J18" s="19" t="s">
        <v>397</v>
      </c>
      <c r="K18" s="19" t="s">
        <v>396</v>
      </c>
      <c r="L18" s="24" t="s">
        <v>395</v>
      </c>
      <c r="M18" s="21" t="s">
        <v>22</v>
      </c>
      <c r="N18" s="19" t="s">
        <v>386</v>
      </c>
      <c r="O18" s="24" t="s">
        <v>400</v>
      </c>
      <c r="P18" s="21" t="s">
        <v>23</v>
      </c>
      <c r="Q18" s="19" t="s">
        <v>386</v>
      </c>
      <c r="R18" s="19" t="s">
        <v>397</v>
      </c>
      <c r="S18" s="19" t="s">
        <v>396</v>
      </c>
      <c r="T18" s="19" t="s">
        <v>447</v>
      </c>
      <c r="U18" s="24" t="s">
        <v>402</v>
      </c>
      <c r="V18" s="21" t="s">
        <v>21</v>
      </c>
      <c r="W18" s="19" t="s">
        <v>386</v>
      </c>
      <c r="X18" s="24" t="s">
        <v>403</v>
      </c>
      <c r="Y18"/>
      <c r="Z18"/>
      <c r="AA18"/>
      <c r="AB18"/>
    </row>
    <row r="19" spans="2:28" x14ac:dyDescent="0.25">
      <c r="B19" s="13">
        <f>YEAR(D19)</f>
        <v>2018</v>
      </c>
      <c r="C19" s="13">
        <f>MONTH(D19)</f>
        <v>5</v>
      </c>
      <c r="D19" s="29">
        <v>43251</v>
      </c>
      <c r="E19" s="27"/>
      <c r="F19" s="22"/>
      <c r="G19" s="28"/>
      <c r="H19" s="17"/>
      <c r="I19" s="27"/>
      <c r="J19" s="25"/>
      <c r="K19" s="26"/>
      <c r="L19" s="28"/>
      <c r="M19" s="27"/>
      <c r="N19" s="22"/>
      <c r="O19" s="28"/>
      <c r="P19" s="27"/>
      <c r="Q19" s="22"/>
      <c r="R19" s="25"/>
      <c r="S19" s="26"/>
      <c r="T19" s="25"/>
      <c r="U19" s="28"/>
      <c r="V19" s="27"/>
      <c r="W19" s="22"/>
      <c r="X19" s="28"/>
      <c r="Y19"/>
      <c r="Z19"/>
      <c r="AA19"/>
      <c r="AB19"/>
    </row>
    <row r="20" spans="2:28" x14ac:dyDescent="0.25">
      <c r="B20" s="13">
        <f t="shared" ref="B20:B24" si="1">YEAR(D20)</f>
        <v>2018</v>
      </c>
      <c r="C20" s="13">
        <f t="shared" ref="C20:C24" si="2">MONTH(D20)</f>
        <v>6</v>
      </c>
      <c r="D20" s="29">
        <v>43281</v>
      </c>
      <c r="E20" s="27"/>
      <c r="F20" s="22"/>
      <c r="G20" s="28"/>
      <c r="H20" s="17"/>
      <c r="I20" s="27"/>
      <c r="J20" s="25"/>
      <c r="K20" s="26"/>
      <c r="L20" s="28"/>
      <c r="M20" s="27"/>
      <c r="N20" s="22"/>
      <c r="O20" s="28"/>
      <c r="P20" s="27"/>
      <c r="Q20" s="22"/>
      <c r="R20" s="25"/>
      <c r="S20" s="26"/>
      <c r="T20" s="25"/>
      <c r="U20" s="28"/>
      <c r="V20" s="27"/>
      <c r="W20" s="22"/>
      <c r="X20" s="28"/>
      <c r="Y20"/>
      <c r="Z20"/>
      <c r="AA20"/>
    </row>
    <row r="21" spans="2:28" x14ac:dyDescent="0.25">
      <c r="B21" s="13">
        <f t="shared" si="1"/>
        <v>2018</v>
      </c>
      <c r="C21" s="13">
        <f t="shared" si="2"/>
        <v>7</v>
      </c>
      <c r="D21" s="29">
        <v>43312</v>
      </c>
      <c r="E21" s="27"/>
      <c r="F21" s="22"/>
      <c r="G21" s="28"/>
      <c r="H21" s="17"/>
      <c r="I21" s="27"/>
      <c r="J21" s="25"/>
      <c r="K21" s="26"/>
      <c r="L21" s="28"/>
      <c r="M21" s="27"/>
      <c r="N21" s="22"/>
      <c r="O21" s="28"/>
      <c r="P21" s="27"/>
      <c r="Q21" s="22"/>
      <c r="R21" s="25"/>
      <c r="S21" s="26"/>
      <c r="T21" s="25"/>
      <c r="U21" s="28"/>
      <c r="V21" s="27"/>
      <c r="W21" s="22"/>
      <c r="X21" s="28"/>
      <c r="Y21"/>
      <c r="Z21"/>
      <c r="AA21"/>
    </row>
    <row r="22" spans="2:28" x14ac:dyDescent="0.25">
      <c r="B22" s="13">
        <f t="shared" si="1"/>
        <v>2018</v>
      </c>
      <c r="C22" s="13">
        <f t="shared" si="2"/>
        <v>8</v>
      </c>
      <c r="D22" s="29">
        <v>43343</v>
      </c>
      <c r="E22" s="27"/>
      <c r="F22" s="22"/>
      <c r="G22" s="28"/>
      <c r="H22" s="17"/>
      <c r="I22" s="27"/>
      <c r="J22" s="25"/>
      <c r="K22" s="26"/>
      <c r="L22" s="28"/>
      <c r="M22" s="27"/>
      <c r="N22" s="22"/>
      <c r="O22" s="28"/>
      <c r="P22" s="27"/>
      <c r="Q22" s="22"/>
      <c r="R22" s="25"/>
      <c r="S22" s="26"/>
      <c r="T22" s="25"/>
      <c r="U22" s="28"/>
      <c r="V22" s="27"/>
      <c r="W22" s="22"/>
      <c r="X22" s="28"/>
      <c r="Y22"/>
      <c r="Z22"/>
      <c r="AA22"/>
    </row>
    <row r="23" spans="2:28" x14ac:dyDescent="0.25">
      <c r="B23" s="13">
        <f t="shared" si="1"/>
        <v>2018</v>
      </c>
      <c r="C23" s="13">
        <f t="shared" si="2"/>
        <v>9</v>
      </c>
      <c r="D23" s="29">
        <v>43373</v>
      </c>
      <c r="E23" s="27"/>
      <c r="F23" s="22"/>
      <c r="G23" s="28"/>
      <c r="H23" s="17"/>
      <c r="I23" s="27"/>
      <c r="J23" s="25"/>
      <c r="K23" s="26"/>
      <c r="L23" s="28"/>
      <c r="M23" s="27"/>
      <c r="N23" s="22"/>
      <c r="O23" s="28"/>
      <c r="P23" s="27"/>
      <c r="Q23" s="22"/>
      <c r="R23" s="25"/>
      <c r="S23" s="26"/>
      <c r="T23" s="25"/>
      <c r="U23" s="28"/>
      <c r="V23" s="27"/>
      <c r="W23" s="22"/>
      <c r="X23" s="28"/>
      <c r="Y23"/>
      <c r="Z23"/>
      <c r="AA23"/>
    </row>
    <row r="24" spans="2:28" x14ac:dyDescent="0.25">
      <c r="B24" s="13">
        <f t="shared" si="1"/>
        <v>2018</v>
      </c>
      <c r="C24" s="13">
        <f t="shared" si="2"/>
        <v>10</v>
      </c>
      <c r="D24" s="29">
        <v>43404</v>
      </c>
      <c r="E24" s="27">
        <f>COUNTIFS(Data!$E:$E,$B24,Data!$C:$C,$C24,Data!$V:$V,$D$6,Data!$B:$B,1)</f>
        <v>0</v>
      </c>
      <c r="F24" s="22">
        <f>SUMIFS(Data!$AA:$AA,Data!$E:$E,$B24,Data!$C:$C,$C24,Data!$V:$V,$D$6)/1000000</f>
        <v>0</v>
      </c>
      <c r="G24" s="28" t="e">
        <f>AVERAGEIFS(Data!$AA:$AA,Data!$E:$E,$B24,Data!$C:$C,$C24,Data!$V:$V,$D$6,Data!$B:$B,1)/1000</f>
        <v>#DIV/0!</v>
      </c>
      <c r="H24" s="17">
        <f t="shared" ref="H24" si="3">(E24+E23)-(I23+I24)</f>
        <v>0</v>
      </c>
      <c r="I24" s="27">
        <f>COUNTIFS(Data!$I:$I,$B24,Data!$G:$G,$C24,Data!$V:$V,$D$6,Data!$F:$F,1)</f>
        <v>0</v>
      </c>
      <c r="J24" s="25" t="e">
        <f>AVERAGEIFS(Data!$AI:$AI,Data!$I:$I,$B24,Data!$G:$G,$C24,Data!$V:$V,$D$6,Data!$F:$F,1)</f>
        <v>#DIV/0!</v>
      </c>
      <c r="K24" s="26" t="e">
        <f>AVERAGEIFS(Data!$AG:$AG,Data!$I:$I,$B24,Data!$G:$G,$C24,Data!$V:$V,$D$6,Data!$F:$F,1)/AVERAGEIFS(Data!$AA:$AA,Data!$I:$I,$B24,Data!$G:$G,$C24,Data!$V:$V,$D$6,Data!$F:$F,1)-1</f>
        <v>#DIV/0!</v>
      </c>
      <c r="L24" s="28" t="e">
        <f>AVERAGEIFS(Data!$AH:$AH,Data!$I:$I,$B24,Data!$G:$G,$C24,Data!$V:$V,$D$6,Data!$F:$F,1)</f>
        <v>#DIV/0!</v>
      </c>
      <c r="M24" s="27">
        <f>COUNTIFS(Data!$M:$M,$B24,Data!$K:$K,$C24,Data!$V:$V,$D$6,Data!$J:$J,1)</f>
        <v>0</v>
      </c>
      <c r="N24" s="22">
        <f>SUMIFS(Data!$AL:$AL,Data!$M:$M,$B24,Data!$K:$K,$C24,Data!$V:$V,$D$6,Data!$J:$J,1)/1000000</f>
        <v>0</v>
      </c>
      <c r="O24" s="28" t="e">
        <f>AVERAGEIFS(Data!$AM:$AM,Data!$M:$M,$B24,Data!$K:$K,$C24,Data!$V:$V,$D$6,Data!$J:$J,1)</f>
        <v>#DIV/0!</v>
      </c>
      <c r="P24" s="27">
        <f>COUNTIFS(Data!$Q:$Q,$B24,Data!$O:$O,$C24,Data!$V:$V,$D$6,Data!$N:$N,1)</f>
        <v>0</v>
      </c>
      <c r="Q24" s="22">
        <f>SUMIFS(Data!$AO:$AO,Data!$Q:$Q,$B24,Data!$O:$O,$C24,Data!$V:$V,$D$6)/1000000</f>
        <v>0</v>
      </c>
      <c r="R24" s="25" t="e">
        <f>AVERAGEIFS(Data!$AR:$AR,Data!$Q:$Q,$B24,Data!$O:$O,$C24,Data!$V:$V,$D$6,Data!$N:$N,1)</f>
        <v>#DIV/0!</v>
      </c>
      <c r="S24" s="26" t="e">
        <f>AVERAGEIFS(Data!$AO:$AO,Data!$Q:$Q,$B24,Data!$O:$O,$C24,Data!$V:$V,$D$6,Data!$N:$N,1)/AVERAGEIFS(Data!$AA:$AA,Data!$Q:$Q,$B24,Data!$O:$O,$C24,Data!$V:$V,$D$6,Data!$N:$N,1)-1</f>
        <v>#DIV/0!</v>
      </c>
      <c r="T24" s="25" t="e">
        <f>AVERAGEIFS(Data!$AP:$AP,Data!$Q:$Q,$B24,Data!$O:$O,$C24,Data!$V:$V,$D$6,Data!$N:$N,1)</f>
        <v>#DIV/0!</v>
      </c>
      <c r="U24" s="28" t="e">
        <f>AVERAGEIFS(Data!$AQ:$AQ,Data!$Q:$Q,$B24,Data!$O:$O,$C24,Data!$V:$V,$D$6,Data!$N:$N,1)</f>
        <v>#DIV/0!</v>
      </c>
      <c r="V24" s="27">
        <f t="shared" ref="V24:W24" si="4">V23+E24-P24</f>
        <v>0</v>
      </c>
      <c r="W24" s="22">
        <f t="shared" si="4"/>
        <v>0</v>
      </c>
      <c r="X24" s="28" t="e">
        <f>AVERAGEIFS(Data!$AZ:$AZ,Data!$B:$B,1,Data!$V:$V,$D$6)</f>
        <v>#DIV/0!</v>
      </c>
      <c r="Y24"/>
      <c r="Z24"/>
      <c r="AA24"/>
    </row>
  </sheetData>
  <mergeCells count="11">
    <mergeCell ref="E16:G16"/>
    <mergeCell ref="I16:L16"/>
    <mergeCell ref="M16:O16"/>
    <mergeCell ref="P16:U16"/>
    <mergeCell ref="V16:X16"/>
    <mergeCell ref="E6:G6"/>
    <mergeCell ref="I6:L6"/>
    <mergeCell ref="M6:O6"/>
    <mergeCell ref="P6:U6"/>
    <mergeCell ref="V6:X6"/>
    <mergeCell ref="Z6:AA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B24"/>
  <sheetViews>
    <sheetView workbookViewId="0">
      <selection activeCell="I34" sqref="I34"/>
    </sheetView>
  </sheetViews>
  <sheetFormatPr defaultRowHeight="15" x14ac:dyDescent="0.25"/>
  <cols>
    <col min="1" max="1" width="1.7109375" style="13" customWidth="1"/>
    <col min="2" max="2" width="6.7109375" style="13" customWidth="1"/>
    <col min="3" max="3" width="3.7109375" style="13" customWidth="1"/>
    <col min="4" max="4" width="14.7109375" style="12" customWidth="1"/>
    <col min="5" max="24" width="10.7109375" style="9" customWidth="1"/>
    <col min="25" max="25" width="9.140625" style="13"/>
    <col min="26" max="27" width="10.7109375" style="9" customWidth="1"/>
    <col min="28" max="16384" width="9.140625" style="13"/>
  </cols>
  <sheetData>
    <row r="2" spans="2:28" x14ac:dyDescent="0.25">
      <c r="D2" s="12" t="s">
        <v>516</v>
      </c>
      <c r="E2" s="60"/>
    </row>
    <row r="3" spans="2:28" x14ac:dyDescent="0.25">
      <c r="D3" s="12" t="s">
        <v>517</v>
      </c>
      <c r="E3" s="60"/>
    </row>
    <row r="4" spans="2:28" x14ac:dyDescent="0.25">
      <c r="E4" s="9">
        <f>E3-E2</f>
        <v>0</v>
      </c>
    </row>
    <row r="6" spans="2:28" x14ac:dyDescent="0.25">
      <c r="D6" s="34" t="s">
        <v>586</v>
      </c>
      <c r="E6" s="45" t="s">
        <v>384</v>
      </c>
      <c r="F6" s="46"/>
      <c r="G6" s="47"/>
      <c r="H6" s="32" t="s">
        <v>450</v>
      </c>
      <c r="I6" s="45" t="s">
        <v>410</v>
      </c>
      <c r="J6" s="46"/>
      <c r="K6" s="46"/>
      <c r="L6" s="47"/>
      <c r="M6" s="45" t="s">
        <v>406</v>
      </c>
      <c r="N6" s="46"/>
      <c r="O6" s="47"/>
      <c r="P6" s="45" t="s">
        <v>398</v>
      </c>
      <c r="Q6" s="46"/>
      <c r="R6" s="46"/>
      <c r="S6" s="46"/>
      <c r="T6" s="46"/>
      <c r="U6" s="47"/>
      <c r="V6" s="45" t="s">
        <v>453</v>
      </c>
      <c r="W6" s="46"/>
      <c r="X6" s="47"/>
      <c r="Z6" s="45" t="s">
        <v>456</v>
      </c>
      <c r="AA6" s="46"/>
    </row>
    <row r="7" spans="2:28" x14ac:dyDescent="0.25">
      <c r="D7" s="30" t="s">
        <v>449</v>
      </c>
      <c r="E7" s="20" t="s">
        <v>385</v>
      </c>
      <c r="F7" s="18" t="s">
        <v>391</v>
      </c>
      <c r="G7" s="23" t="s">
        <v>389</v>
      </c>
      <c r="H7" s="18" t="s">
        <v>409</v>
      </c>
      <c r="I7" s="20" t="s">
        <v>385</v>
      </c>
      <c r="J7" s="18" t="s">
        <v>388</v>
      </c>
      <c r="K7" s="18" t="s">
        <v>388</v>
      </c>
      <c r="L7" s="23" t="s">
        <v>394</v>
      </c>
      <c r="M7" s="20" t="s">
        <v>385</v>
      </c>
      <c r="N7" s="18" t="s">
        <v>404</v>
      </c>
      <c r="O7" s="23" t="s">
        <v>394</v>
      </c>
      <c r="P7" s="20" t="s">
        <v>385</v>
      </c>
      <c r="Q7" s="18" t="s">
        <v>454</v>
      </c>
      <c r="R7" s="18" t="s">
        <v>399</v>
      </c>
      <c r="S7" s="18" t="s">
        <v>399</v>
      </c>
      <c r="T7" s="18" t="s">
        <v>394</v>
      </c>
      <c r="U7" s="23" t="s">
        <v>393</v>
      </c>
      <c r="V7" s="20" t="s">
        <v>385</v>
      </c>
      <c r="W7" s="18" t="s">
        <v>404</v>
      </c>
      <c r="X7" s="23" t="s">
        <v>448</v>
      </c>
      <c r="Z7" s="20" t="s">
        <v>385</v>
      </c>
      <c r="AA7" s="18" t="s">
        <v>404</v>
      </c>
    </row>
    <row r="8" spans="2:28" ht="15.75" thickBot="1" x14ac:dyDescent="0.3">
      <c r="D8" s="31"/>
      <c r="E8" s="21" t="s">
        <v>390</v>
      </c>
      <c r="F8" s="19" t="s">
        <v>452</v>
      </c>
      <c r="G8" s="24" t="s">
        <v>387</v>
      </c>
      <c r="H8" s="19" t="s">
        <v>451</v>
      </c>
      <c r="I8" s="21" t="s">
        <v>392</v>
      </c>
      <c r="J8" s="19" t="s">
        <v>397</v>
      </c>
      <c r="K8" s="19" t="s">
        <v>396</v>
      </c>
      <c r="L8" s="24" t="s">
        <v>395</v>
      </c>
      <c r="M8" s="21" t="s">
        <v>22</v>
      </c>
      <c r="N8" s="19" t="s">
        <v>386</v>
      </c>
      <c r="O8" s="24" t="s">
        <v>400</v>
      </c>
      <c r="P8" s="21" t="s">
        <v>23</v>
      </c>
      <c r="Q8" s="19" t="s">
        <v>386</v>
      </c>
      <c r="R8" s="19" t="s">
        <v>397</v>
      </c>
      <c r="S8" s="19" t="s">
        <v>396</v>
      </c>
      <c r="T8" s="19" t="s">
        <v>447</v>
      </c>
      <c r="U8" s="24" t="s">
        <v>402</v>
      </c>
      <c r="V8" s="21" t="s">
        <v>21</v>
      </c>
      <c r="W8" s="19" t="s">
        <v>386</v>
      </c>
      <c r="X8" s="24" t="s">
        <v>403</v>
      </c>
      <c r="Z8" s="21" t="s">
        <v>22</v>
      </c>
      <c r="AA8" s="19" t="s">
        <v>386</v>
      </c>
    </row>
    <row r="9" spans="2:28" x14ac:dyDescent="0.25">
      <c r="B9" s="13">
        <f t="shared" ref="B9:B11" si="0">YEAR(D9)</f>
        <v>2018</v>
      </c>
      <c r="C9" s="13">
        <v>2</v>
      </c>
      <c r="D9" s="29">
        <v>43281</v>
      </c>
      <c r="E9" s="27"/>
      <c r="F9" s="22"/>
      <c r="G9" s="28"/>
      <c r="H9" s="17"/>
      <c r="I9" s="27"/>
      <c r="J9" s="25"/>
      <c r="K9" s="26"/>
      <c r="L9" s="28"/>
      <c r="M9" s="27"/>
      <c r="N9" s="22"/>
      <c r="O9" s="28"/>
      <c r="P9" s="27"/>
      <c r="Q9" s="22"/>
      <c r="R9" s="25"/>
      <c r="S9" s="26"/>
      <c r="T9" s="25"/>
      <c r="U9" s="28"/>
      <c r="V9" s="27"/>
      <c r="W9" s="22"/>
      <c r="X9" s="28"/>
      <c r="Z9" s="27"/>
      <c r="AA9" s="22"/>
    </row>
    <row r="10" spans="2:28" x14ac:dyDescent="0.25">
      <c r="B10" s="13">
        <f t="shared" si="0"/>
        <v>2018</v>
      </c>
      <c r="C10" s="13">
        <v>3</v>
      </c>
      <c r="D10" s="29">
        <v>43373</v>
      </c>
      <c r="E10" s="27"/>
      <c r="F10" s="22"/>
      <c r="G10" s="28"/>
      <c r="H10" s="17"/>
      <c r="I10" s="27"/>
      <c r="J10" s="25"/>
      <c r="K10" s="26"/>
      <c r="L10" s="28"/>
      <c r="M10" s="27"/>
      <c r="N10" s="22"/>
      <c r="O10" s="28"/>
      <c r="P10" s="27"/>
      <c r="Q10" s="22"/>
      <c r="R10" s="25"/>
      <c r="S10" s="26"/>
      <c r="T10" s="25"/>
      <c r="U10" s="28"/>
      <c r="V10" s="27"/>
      <c r="W10" s="22"/>
      <c r="X10" s="28"/>
      <c r="Z10" s="27">
        <f>M10-P10</f>
        <v>0</v>
      </c>
      <c r="AA10" s="22">
        <f>N10-Q10</f>
        <v>0</v>
      </c>
    </row>
    <row r="11" spans="2:28" x14ac:dyDescent="0.25">
      <c r="B11" s="13">
        <f t="shared" si="0"/>
        <v>2018</v>
      </c>
      <c r="C11" s="13">
        <v>4</v>
      </c>
      <c r="D11" s="29">
        <v>43465</v>
      </c>
      <c r="E11" s="27">
        <f>COUNTIFS(Data!$E:$E,$B11,Data!$D:$D,$C11,Data!$V:$V,$D$6,Data!$B:$B,1)</f>
        <v>0</v>
      </c>
      <c r="F11" s="22">
        <f>SUMIFS(Data!$AA:$AA,Data!$E:$E,$B11,Data!$D:$D,$C11,Data!$V:$V,$D$6)/1000000</f>
        <v>0</v>
      </c>
      <c r="G11" s="28" t="e">
        <f>AVERAGEIFS(Data!$AA:$AA,Data!$E:$E,$B11,Data!$D:$D,$C11,Data!$V:$V,$D$6,Data!$B:$B,1)/1000</f>
        <v>#DIV/0!</v>
      </c>
      <c r="H11" s="17">
        <f>(E11+E10)-(I10+I11)</f>
        <v>0</v>
      </c>
      <c r="I11" s="27">
        <f>COUNTIFS(Data!$I:$I,$B11,Data!$H:$H,$C11,Data!$V:$V,$D$6,Data!$F:$F,1)</f>
        <v>0</v>
      </c>
      <c r="J11" s="25" t="e">
        <f>AVERAGEIFS(Data!$AI:$AI,Data!$I:$I,$B11,Data!$H:$H,$C11,Data!$V:$V,$D$6,Data!$F:$F,1)</f>
        <v>#DIV/0!</v>
      </c>
      <c r="K11" s="26" t="e">
        <f>AVERAGEIFS(Data!$AG:$AG,Data!$I:$I,$B11,Data!$H:$H,$C11,Data!$V:$V,$D$6,Data!$F:$F,1)/AVERAGEIFS(Data!$AA:$AA,Data!$I:$I,$B11,Data!$H:$H,$C11,Data!$V:$V,$D$6,Data!$F:$F,1)-1</f>
        <v>#DIV/0!</v>
      </c>
      <c r="L11" s="28" t="e">
        <f>AVERAGEIFS(Data!$AH:$AH,Data!$I:$I,$B11,Data!$H:$H,$C11,Data!$V:$V,$D$6,Data!$F:$F,1)</f>
        <v>#DIV/0!</v>
      </c>
      <c r="M11" s="27">
        <f>COUNTIFS(Data!$M:$M,$B11,Data!$L:$L,$C11,Data!$V:$V,$D$6,Data!$J:$J,1)</f>
        <v>0</v>
      </c>
      <c r="N11" s="22">
        <f>SUMIFS(Data!$AL:$AL,Data!$M:$M,$B11,Data!$L:$L,$C11,Data!$V:$V,$D$6,Data!$J:$J,1)/1000000</f>
        <v>0</v>
      </c>
      <c r="O11" s="28" t="e">
        <f>AVERAGEIFS(Data!$AM:$AM,Data!$M:$M,$B11,Data!$L:$L,$C11,Data!$V:$V,$D$6,Data!$J:$J,1)</f>
        <v>#DIV/0!</v>
      </c>
      <c r="P11" s="27">
        <f>COUNTIFS(Data!$Q:$Q,$B11,Data!$P:$P,$C11,Data!$V:$V,$D$6,Data!$N:$N,1)</f>
        <v>0</v>
      </c>
      <c r="Q11" s="22">
        <f>SUMIFS(Data!$AO:$AO,Data!$Q:$Q,$B11,Data!$P:$P,$C11,Data!$V:$V,$D$6)/1000000</f>
        <v>0</v>
      </c>
      <c r="R11" s="25" t="e">
        <f>AVERAGEIFS(Data!$AR:$AR,Data!$Q:$Q,$B11,Data!$P:$P,$C11,Data!$V:$V,$D$6,Data!$N:$N,1)</f>
        <v>#DIV/0!</v>
      </c>
      <c r="S11" s="26" t="e">
        <f>AVERAGEIFS(Data!$AO:$AO,Data!$Q:$Q,$B11,Data!$P:$P,$C11,Data!$V:$V,$D$6,Data!$N:$N,1)/AVERAGEIFS(Data!$AA:$AA,Data!$Q:$Q,$B11,Data!$P:$P,$C11,Data!$V:$V,$D$6,Data!$N:$N,1)-1</f>
        <v>#DIV/0!</v>
      </c>
      <c r="T11" s="25" t="e">
        <f>AVERAGEIFS(Data!$AP:$AP,Data!$Q:$Q,$B11,Data!$P:$P,$C11,Data!$V:$V,$D$6,Data!$N:$N,1)</f>
        <v>#DIV/0!</v>
      </c>
      <c r="U11" s="28" t="e">
        <f>AVERAGEIFS(Data!$AQ:$AQ,Data!$Q:$Q,$B11,Data!$P:$P,$C11,Data!$V:$V,$D$6,Data!$N:$N,1)</f>
        <v>#DIV/0!</v>
      </c>
      <c r="V11" s="27">
        <f>V10+E11-P11</f>
        <v>0</v>
      </c>
      <c r="W11" s="22">
        <f>W10+F11-Q11</f>
        <v>0</v>
      </c>
      <c r="X11" s="28" t="e">
        <f>AVERAGEIFS(Data!$AZ:$AZ,Data!$B:$B,1,Data!$V:$V,$D$6)</f>
        <v>#DIV/0!</v>
      </c>
      <c r="Z11" s="27">
        <f>M11-P11</f>
        <v>0</v>
      </c>
      <c r="AA11" s="22">
        <f>N11-Q11</f>
        <v>0</v>
      </c>
    </row>
    <row r="13" spans="2:28" x14ac:dyDescent="0.25">
      <c r="E13" s="6"/>
    </row>
    <row r="14" spans="2:28" x14ac:dyDescent="0.25">
      <c r="E14" s="6"/>
    </row>
    <row r="15" spans="2:28" x14ac:dyDescent="0.25">
      <c r="E15" s="6"/>
    </row>
    <row r="16" spans="2:28" x14ac:dyDescent="0.25">
      <c r="D16" s="34" t="str">
        <f>D6</f>
        <v>Charlotte</v>
      </c>
      <c r="E16" s="45" t="s">
        <v>384</v>
      </c>
      <c r="F16" s="46"/>
      <c r="G16" s="47"/>
      <c r="H16" s="32" t="s">
        <v>450</v>
      </c>
      <c r="I16" s="45" t="s">
        <v>410</v>
      </c>
      <c r="J16" s="46"/>
      <c r="K16" s="46"/>
      <c r="L16" s="47"/>
      <c r="M16" s="45" t="s">
        <v>406</v>
      </c>
      <c r="N16" s="46"/>
      <c r="O16" s="47"/>
      <c r="P16" s="45" t="s">
        <v>398</v>
      </c>
      <c r="Q16" s="46"/>
      <c r="R16" s="46"/>
      <c r="S16" s="46"/>
      <c r="T16" s="46"/>
      <c r="U16" s="47"/>
      <c r="V16" s="45" t="s">
        <v>453</v>
      </c>
      <c r="W16" s="46"/>
      <c r="X16" s="47"/>
      <c r="Y16"/>
      <c r="Z16"/>
      <c r="AA16"/>
      <c r="AB16"/>
    </row>
    <row r="17" spans="2:28" x14ac:dyDescent="0.25">
      <c r="D17" s="30" t="s">
        <v>449</v>
      </c>
      <c r="E17" s="20" t="s">
        <v>385</v>
      </c>
      <c r="F17" s="18" t="s">
        <v>391</v>
      </c>
      <c r="G17" s="23" t="s">
        <v>389</v>
      </c>
      <c r="H17" s="18" t="s">
        <v>409</v>
      </c>
      <c r="I17" s="20" t="s">
        <v>385</v>
      </c>
      <c r="J17" s="18" t="s">
        <v>388</v>
      </c>
      <c r="K17" s="18" t="s">
        <v>388</v>
      </c>
      <c r="L17" s="23" t="s">
        <v>394</v>
      </c>
      <c r="M17" s="20" t="s">
        <v>385</v>
      </c>
      <c r="N17" s="18" t="s">
        <v>404</v>
      </c>
      <c r="O17" s="23" t="s">
        <v>394</v>
      </c>
      <c r="P17" s="20" t="s">
        <v>385</v>
      </c>
      <c r="Q17" s="18" t="s">
        <v>454</v>
      </c>
      <c r="R17" s="18" t="s">
        <v>399</v>
      </c>
      <c r="S17" s="18" t="s">
        <v>399</v>
      </c>
      <c r="T17" s="18" t="s">
        <v>394</v>
      </c>
      <c r="U17" s="23" t="s">
        <v>393</v>
      </c>
      <c r="V17" s="20" t="s">
        <v>385</v>
      </c>
      <c r="W17" s="18" t="s">
        <v>404</v>
      </c>
      <c r="X17" s="23" t="s">
        <v>448</v>
      </c>
      <c r="Y17"/>
      <c r="Z17"/>
      <c r="AA17"/>
      <c r="AB17"/>
    </row>
    <row r="18" spans="2:28" ht="15.75" thickBot="1" x14ac:dyDescent="0.3">
      <c r="D18" s="31"/>
      <c r="E18" s="21" t="s">
        <v>390</v>
      </c>
      <c r="F18" s="19" t="s">
        <v>452</v>
      </c>
      <c r="G18" s="24" t="s">
        <v>387</v>
      </c>
      <c r="H18" s="19" t="s">
        <v>451</v>
      </c>
      <c r="I18" s="21" t="s">
        <v>392</v>
      </c>
      <c r="J18" s="19" t="s">
        <v>397</v>
      </c>
      <c r="K18" s="19" t="s">
        <v>396</v>
      </c>
      <c r="L18" s="24" t="s">
        <v>395</v>
      </c>
      <c r="M18" s="21" t="s">
        <v>22</v>
      </c>
      <c r="N18" s="19" t="s">
        <v>386</v>
      </c>
      <c r="O18" s="24" t="s">
        <v>400</v>
      </c>
      <c r="P18" s="21" t="s">
        <v>23</v>
      </c>
      <c r="Q18" s="19" t="s">
        <v>386</v>
      </c>
      <c r="R18" s="19" t="s">
        <v>397</v>
      </c>
      <c r="S18" s="19" t="s">
        <v>396</v>
      </c>
      <c r="T18" s="19" t="s">
        <v>447</v>
      </c>
      <c r="U18" s="24" t="s">
        <v>402</v>
      </c>
      <c r="V18" s="21" t="s">
        <v>21</v>
      </c>
      <c r="W18" s="19" t="s">
        <v>386</v>
      </c>
      <c r="X18" s="24" t="s">
        <v>403</v>
      </c>
      <c r="Y18"/>
      <c r="Z18"/>
      <c r="AA18"/>
      <c r="AB18"/>
    </row>
    <row r="19" spans="2:28" x14ac:dyDescent="0.25">
      <c r="B19" s="13">
        <f>YEAR(D19)</f>
        <v>2018</v>
      </c>
      <c r="C19" s="13">
        <f>MONTH(D19)</f>
        <v>5</v>
      </c>
      <c r="D19" s="29">
        <v>43251</v>
      </c>
      <c r="E19" s="27"/>
      <c r="F19" s="22"/>
      <c r="G19" s="28"/>
      <c r="H19" s="17"/>
      <c r="I19" s="27"/>
      <c r="J19" s="25"/>
      <c r="K19" s="26"/>
      <c r="L19" s="28"/>
      <c r="M19" s="27"/>
      <c r="N19" s="22"/>
      <c r="O19" s="28"/>
      <c r="P19" s="27"/>
      <c r="Q19" s="22"/>
      <c r="R19" s="25"/>
      <c r="S19" s="26"/>
      <c r="T19" s="25"/>
      <c r="U19" s="28"/>
      <c r="V19" s="27"/>
      <c r="W19" s="22"/>
      <c r="X19" s="28"/>
      <c r="Y19"/>
      <c r="Z19"/>
      <c r="AA19"/>
      <c r="AB19"/>
    </row>
    <row r="20" spans="2:28" x14ac:dyDescent="0.25">
      <c r="B20" s="13">
        <f t="shared" ref="B20:B24" si="1">YEAR(D20)</f>
        <v>2018</v>
      </c>
      <c r="C20" s="13">
        <f t="shared" ref="C20:C24" si="2">MONTH(D20)</f>
        <v>6</v>
      </c>
      <c r="D20" s="29">
        <v>43281</v>
      </c>
      <c r="E20" s="27"/>
      <c r="F20" s="22"/>
      <c r="G20" s="28"/>
      <c r="H20" s="17"/>
      <c r="I20" s="27"/>
      <c r="J20" s="25"/>
      <c r="K20" s="26"/>
      <c r="L20" s="28"/>
      <c r="M20" s="27"/>
      <c r="N20" s="22"/>
      <c r="O20" s="28"/>
      <c r="P20" s="27"/>
      <c r="Q20" s="22"/>
      <c r="R20" s="25"/>
      <c r="S20" s="26"/>
      <c r="T20" s="25"/>
      <c r="U20" s="28"/>
      <c r="V20" s="27"/>
      <c r="W20" s="22"/>
      <c r="X20" s="28"/>
      <c r="Y20"/>
      <c r="Z20"/>
      <c r="AA20"/>
    </row>
    <row r="21" spans="2:28" x14ac:dyDescent="0.25">
      <c r="B21" s="13">
        <f t="shared" si="1"/>
        <v>2018</v>
      </c>
      <c r="C21" s="13">
        <f t="shared" si="2"/>
        <v>7</v>
      </c>
      <c r="D21" s="29">
        <v>43312</v>
      </c>
      <c r="E21" s="27"/>
      <c r="F21" s="22"/>
      <c r="G21" s="28"/>
      <c r="H21" s="17"/>
      <c r="I21" s="27"/>
      <c r="J21" s="25"/>
      <c r="K21" s="26"/>
      <c r="L21" s="28"/>
      <c r="M21" s="27"/>
      <c r="N21" s="22"/>
      <c r="O21" s="28"/>
      <c r="P21" s="27"/>
      <c r="Q21" s="22"/>
      <c r="R21" s="25"/>
      <c r="S21" s="26"/>
      <c r="T21" s="25"/>
      <c r="U21" s="28"/>
      <c r="V21" s="27"/>
      <c r="W21" s="22"/>
      <c r="X21" s="28"/>
      <c r="Y21"/>
      <c r="Z21"/>
      <c r="AA21"/>
    </row>
    <row r="22" spans="2:28" x14ac:dyDescent="0.25">
      <c r="B22" s="13">
        <f t="shared" si="1"/>
        <v>2018</v>
      </c>
      <c r="C22" s="13">
        <f t="shared" si="2"/>
        <v>8</v>
      </c>
      <c r="D22" s="29">
        <v>43343</v>
      </c>
      <c r="E22" s="27"/>
      <c r="F22" s="22"/>
      <c r="G22" s="28"/>
      <c r="H22" s="17"/>
      <c r="I22" s="27"/>
      <c r="J22" s="25"/>
      <c r="K22" s="26"/>
      <c r="L22" s="28"/>
      <c r="M22" s="27"/>
      <c r="N22" s="22"/>
      <c r="O22" s="28"/>
      <c r="P22" s="27"/>
      <c r="Q22" s="22"/>
      <c r="R22" s="25"/>
      <c r="S22" s="26"/>
      <c r="T22" s="25"/>
      <c r="U22" s="28"/>
      <c r="V22" s="27"/>
      <c r="W22" s="22"/>
      <c r="X22" s="28"/>
      <c r="Y22"/>
      <c r="Z22"/>
      <c r="AA22"/>
    </row>
    <row r="23" spans="2:28" x14ac:dyDescent="0.25">
      <c r="B23" s="13">
        <f t="shared" si="1"/>
        <v>2018</v>
      </c>
      <c r="C23" s="13">
        <f t="shared" si="2"/>
        <v>9</v>
      </c>
      <c r="D23" s="29">
        <v>43373</v>
      </c>
      <c r="E23" s="27"/>
      <c r="F23" s="22"/>
      <c r="G23" s="28"/>
      <c r="H23" s="17"/>
      <c r="I23" s="27"/>
      <c r="J23" s="25"/>
      <c r="K23" s="26"/>
      <c r="L23" s="28"/>
      <c r="M23" s="27"/>
      <c r="N23" s="22"/>
      <c r="O23" s="28"/>
      <c r="P23" s="27"/>
      <c r="Q23" s="22"/>
      <c r="R23" s="25"/>
      <c r="S23" s="26"/>
      <c r="T23" s="25"/>
      <c r="U23" s="28"/>
      <c r="V23" s="27"/>
      <c r="W23" s="22"/>
      <c r="X23" s="28"/>
      <c r="Y23"/>
      <c r="Z23"/>
      <c r="AA23"/>
    </row>
    <row r="24" spans="2:28" x14ac:dyDescent="0.25">
      <c r="B24" s="13">
        <f t="shared" si="1"/>
        <v>2018</v>
      </c>
      <c r="C24" s="13">
        <f t="shared" si="2"/>
        <v>10</v>
      </c>
      <c r="D24" s="29">
        <v>43404</v>
      </c>
      <c r="E24" s="27">
        <f>COUNTIFS(Data!$E:$E,$B24,Data!$C:$C,$C24,Data!$V:$V,$D$6,Data!$B:$B,1)</f>
        <v>0</v>
      </c>
      <c r="F24" s="22">
        <f>SUMIFS(Data!$AA:$AA,Data!$E:$E,$B24,Data!$C:$C,$C24,Data!$V:$V,$D$6)/1000000</f>
        <v>0</v>
      </c>
      <c r="G24" s="28" t="e">
        <f>AVERAGEIFS(Data!$AA:$AA,Data!$E:$E,$B24,Data!$C:$C,$C24,Data!$V:$V,$D$6,Data!$B:$B,1)/1000</f>
        <v>#DIV/0!</v>
      </c>
      <c r="H24" s="17">
        <f t="shared" ref="H24" si="3">(E24+E23)-(I23+I24)</f>
        <v>0</v>
      </c>
      <c r="I24" s="27">
        <f>COUNTIFS(Data!$I:$I,$B24,Data!$G:$G,$C24,Data!$V:$V,$D$6,Data!$F:$F,1)</f>
        <v>0</v>
      </c>
      <c r="J24" s="25" t="e">
        <f>AVERAGEIFS(Data!$AI:$AI,Data!$I:$I,$B24,Data!$G:$G,$C24,Data!$V:$V,$D$6,Data!$F:$F,1)</f>
        <v>#DIV/0!</v>
      </c>
      <c r="K24" s="26" t="e">
        <f>AVERAGEIFS(Data!$AG:$AG,Data!$I:$I,$B24,Data!$G:$G,$C24,Data!$V:$V,$D$6,Data!$F:$F,1)/AVERAGEIFS(Data!$AA:$AA,Data!$I:$I,$B24,Data!$G:$G,$C24,Data!$V:$V,$D$6,Data!$F:$F,1)-1</f>
        <v>#DIV/0!</v>
      </c>
      <c r="L24" s="28" t="e">
        <f>AVERAGEIFS(Data!$AH:$AH,Data!$I:$I,$B24,Data!$G:$G,$C24,Data!$V:$V,$D$6,Data!$F:$F,1)</f>
        <v>#DIV/0!</v>
      </c>
      <c r="M24" s="27">
        <f>COUNTIFS(Data!$M:$M,$B24,Data!$K:$K,$C24,Data!$V:$V,$D$6,Data!$J:$J,1)</f>
        <v>0</v>
      </c>
      <c r="N24" s="22">
        <f>SUMIFS(Data!$AL:$AL,Data!$M:$M,$B24,Data!$K:$K,$C24,Data!$V:$V,$D$6,Data!$J:$J,1)/1000000</f>
        <v>0</v>
      </c>
      <c r="O24" s="28" t="e">
        <f>AVERAGEIFS(Data!$AM:$AM,Data!$M:$M,$B24,Data!$K:$K,$C24,Data!$V:$V,$D$6,Data!$J:$J,1)</f>
        <v>#DIV/0!</v>
      </c>
      <c r="P24" s="27">
        <f>COUNTIFS(Data!$Q:$Q,$B24,Data!$O:$O,$C24,Data!$V:$V,$D$6,Data!$N:$N,1)</f>
        <v>0</v>
      </c>
      <c r="Q24" s="22">
        <f>SUMIFS(Data!$AO:$AO,Data!$Q:$Q,$B24,Data!$O:$O,$C24,Data!$V:$V,$D$6)/1000000</f>
        <v>0</v>
      </c>
      <c r="R24" s="25" t="e">
        <f>AVERAGEIFS(Data!$AR:$AR,Data!$Q:$Q,$B24,Data!$O:$O,$C24,Data!$V:$V,$D$6,Data!$N:$N,1)</f>
        <v>#DIV/0!</v>
      </c>
      <c r="S24" s="26" t="e">
        <f>AVERAGEIFS(Data!$AO:$AO,Data!$Q:$Q,$B24,Data!$O:$O,$C24,Data!$V:$V,$D$6,Data!$N:$N,1)/AVERAGEIFS(Data!$AA:$AA,Data!$Q:$Q,$B24,Data!$O:$O,$C24,Data!$V:$V,$D$6,Data!$N:$N,1)-1</f>
        <v>#DIV/0!</v>
      </c>
      <c r="T24" s="25" t="e">
        <f>AVERAGEIFS(Data!$AP:$AP,Data!$Q:$Q,$B24,Data!$O:$O,$C24,Data!$V:$V,$D$6,Data!$N:$N,1)</f>
        <v>#DIV/0!</v>
      </c>
      <c r="U24" s="28" t="e">
        <f>AVERAGEIFS(Data!$AQ:$AQ,Data!$Q:$Q,$B24,Data!$O:$O,$C24,Data!$V:$V,$D$6,Data!$N:$N,1)</f>
        <v>#DIV/0!</v>
      </c>
      <c r="V24" s="27">
        <f t="shared" ref="V24:W24" si="4">V23+E24-P24</f>
        <v>0</v>
      </c>
      <c r="W24" s="22">
        <f t="shared" si="4"/>
        <v>0</v>
      </c>
      <c r="X24" s="28" t="e">
        <f>AVERAGEIFS(Data!$AZ:$AZ,Data!$B:$B,1,Data!$V:$V,$D$6)</f>
        <v>#DIV/0!</v>
      </c>
      <c r="Y24"/>
      <c r="Z24"/>
      <c r="AA24"/>
    </row>
  </sheetData>
  <mergeCells count="11">
    <mergeCell ref="E16:G16"/>
    <mergeCell ref="I16:L16"/>
    <mergeCell ref="M16:O16"/>
    <mergeCell ref="P16:U16"/>
    <mergeCell ref="V16:X16"/>
    <mergeCell ref="E6:G6"/>
    <mergeCell ref="I6:L6"/>
    <mergeCell ref="M6:O6"/>
    <mergeCell ref="P6:U6"/>
    <mergeCell ref="V6:X6"/>
    <mergeCell ref="Z6:AA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B24"/>
  <sheetViews>
    <sheetView workbookViewId="0">
      <selection activeCell="G40" sqref="G40"/>
    </sheetView>
  </sheetViews>
  <sheetFormatPr defaultRowHeight="15" x14ac:dyDescent="0.25"/>
  <cols>
    <col min="1" max="1" width="1.7109375" style="13" customWidth="1"/>
    <col min="2" max="2" width="6.7109375" style="13" customWidth="1"/>
    <col min="3" max="3" width="3.7109375" style="13" customWidth="1"/>
    <col min="4" max="4" width="14.7109375" style="12" customWidth="1"/>
    <col min="5" max="24" width="10.7109375" style="9" customWidth="1"/>
    <col min="25" max="25" width="9.140625" style="13"/>
    <col min="26" max="27" width="10.7109375" style="9" customWidth="1"/>
    <col min="28" max="16384" width="9.140625" style="13"/>
  </cols>
  <sheetData>
    <row r="2" spans="2:28" x14ac:dyDescent="0.25">
      <c r="D2" s="12" t="s">
        <v>516</v>
      </c>
      <c r="E2" s="60"/>
    </row>
    <row r="3" spans="2:28" x14ac:dyDescent="0.25">
      <c r="D3" s="12" t="s">
        <v>517</v>
      </c>
      <c r="E3" s="60"/>
    </row>
    <row r="4" spans="2:28" x14ac:dyDescent="0.25">
      <c r="E4" s="9">
        <f>E3-E2</f>
        <v>0</v>
      </c>
    </row>
    <row r="6" spans="2:28" x14ac:dyDescent="0.25">
      <c r="D6" s="34" t="s">
        <v>587</v>
      </c>
      <c r="E6" s="45" t="s">
        <v>384</v>
      </c>
      <c r="F6" s="46"/>
      <c r="G6" s="47"/>
      <c r="H6" s="32" t="s">
        <v>450</v>
      </c>
      <c r="I6" s="45" t="s">
        <v>410</v>
      </c>
      <c r="J6" s="46"/>
      <c r="K6" s="46"/>
      <c r="L6" s="47"/>
      <c r="M6" s="45" t="s">
        <v>406</v>
      </c>
      <c r="N6" s="46"/>
      <c r="O6" s="47"/>
      <c r="P6" s="45" t="s">
        <v>398</v>
      </c>
      <c r="Q6" s="46"/>
      <c r="R6" s="46"/>
      <c r="S6" s="46"/>
      <c r="T6" s="46"/>
      <c r="U6" s="47"/>
      <c r="V6" s="45" t="s">
        <v>453</v>
      </c>
      <c r="W6" s="46"/>
      <c r="X6" s="47"/>
      <c r="Z6" s="45" t="s">
        <v>456</v>
      </c>
      <c r="AA6" s="46"/>
    </row>
    <row r="7" spans="2:28" x14ac:dyDescent="0.25">
      <c r="D7" s="30" t="s">
        <v>449</v>
      </c>
      <c r="E7" s="20" t="s">
        <v>385</v>
      </c>
      <c r="F7" s="18" t="s">
        <v>391</v>
      </c>
      <c r="G7" s="23" t="s">
        <v>389</v>
      </c>
      <c r="H7" s="18" t="s">
        <v>409</v>
      </c>
      <c r="I7" s="20" t="s">
        <v>385</v>
      </c>
      <c r="J7" s="18" t="s">
        <v>388</v>
      </c>
      <c r="K7" s="18" t="s">
        <v>388</v>
      </c>
      <c r="L7" s="23" t="s">
        <v>394</v>
      </c>
      <c r="M7" s="20" t="s">
        <v>385</v>
      </c>
      <c r="N7" s="18" t="s">
        <v>404</v>
      </c>
      <c r="O7" s="23" t="s">
        <v>394</v>
      </c>
      <c r="P7" s="20" t="s">
        <v>385</v>
      </c>
      <c r="Q7" s="18" t="s">
        <v>454</v>
      </c>
      <c r="R7" s="18" t="s">
        <v>399</v>
      </c>
      <c r="S7" s="18" t="s">
        <v>399</v>
      </c>
      <c r="T7" s="18" t="s">
        <v>394</v>
      </c>
      <c r="U7" s="23" t="s">
        <v>393</v>
      </c>
      <c r="V7" s="20" t="s">
        <v>385</v>
      </c>
      <c r="W7" s="18" t="s">
        <v>404</v>
      </c>
      <c r="X7" s="23" t="s">
        <v>448</v>
      </c>
      <c r="Z7" s="20" t="s">
        <v>385</v>
      </c>
      <c r="AA7" s="18" t="s">
        <v>404</v>
      </c>
    </row>
    <row r="8" spans="2:28" ht="15.75" thickBot="1" x14ac:dyDescent="0.3">
      <c r="D8" s="31"/>
      <c r="E8" s="21" t="s">
        <v>390</v>
      </c>
      <c r="F8" s="19" t="s">
        <v>452</v>
      </c>
      <c r="G8" s="24" t="s">
        <v>387</v>
      </c>
      <c r="H8" s="19" t="s">
        <v>451</v>
      </c>
      <c r="I8" s="21" t="s">
        <v>392</v>
      </c>
      <c r="J8" s="19" t="s">
        <v>397</v>
      </c>
      <c r="K8" s="19" t="s">
        <v>396</v>
      </c>
      <c r="L8" s="24" t="s">
        <v>395</v>
      </c>
      <c r="M8" s="21" t="s">
        <v>22</v>
      </c>
      <c r="N8" s="19" t="s">
        <v>386</v>
      </c>
      <c r="O8" s="24" t="s">
        <v>400</v>
      </c>
      <c r="P8" s="21" t="s">
        <v>23</v>
      </c>
      <c r="Q8" s="19" t="s">
        <v>386</v>
      </c>
      <c r="R8" s="19" t="s">
        <v>397</v>
      </c>
      <c r="S8" s="19" t="s">
        <v>396</v>
      </c>
      <c r="T8" s="19" t="s">
        <v>447</v>
      </c>
      <c r="U8" s="24" t="s">
        <v>402</v>
      </c>
      <c r="V8" s="21" t="s">
        <v>21</v>
      </c>
      <c r="W8" s="19" t="s">
        <v>386</v>
      </c>
      <c r="X8" s="24" t="s">
        <v>403</v>
      </c>
      <c r="Z8" s="21" t="s">
        <v>22</v>
      </c>
      <c r="AA8" s="19" t="s">
        <v>386</v>
      </c>
    </row>
    <row r="9" spans="2:28" x14ac:dyDescent="0.25">
      <c r="B9" s="13">
        <f t="shared" ref="B9:B11" si="0">YEAR(D9)</f>
        <v>2018</v>
      </c>
      <c r="C9" s="13">
        <v>2</v>
      </c>
      <c r="D9" s="29">
        <v>43281</v>
      </c>
      <c r="E9" s="27"/>
      <c r="F9" s="22"/>
      <c r="G9" s="28"/>
      <c r="H9" s="17"/>
      <c r="I9" s="27"/>
      <c r="J9" s="25"/>
      <c r="K9" s="26"/>
      <c r="L9" s="28"/>
      <c r="M9" s="27"/>
      <c r="N9" s="22"/>
      <c r="O9" s="28"/>
      <c r="P9" s="27"/>
      <c r="Q9" s="22"/>
      <c r="R9" s="25"/>
      <c r="S9" s="26"/>
      <c r="T9" s="25"/>
      <c r="U9" s="28"/>
      <c r="V9" s="27"/>
      <c r="W9" s="22"/>
      <c r="X9" s="28"/>
      <c r="Z9" s="27"/>
      <c r="AA9" s="22"/>
    </row>
    <row r="10" spans="2:28" x14ac:dyDescent="0.25">
      <c r="B10" s="13">
        <f t="shared" si="0"/>
        <v>2018</v>
      </c>
      <c r="C10" s="13">
        <v>3</v>
      </c>
      <c r="D10" s="29">
        <v>43373</v>
      </c>
      <c r="E10" s="27"/>
      <c r="F10" s="22"/>
      <c r="G10" s="28"/>
      <c r="H10" s="17"/>
      <c r="I10" s="27"/>
      <c r="J10" s="25"/>
      <c r="K10" s="26"/>
      <c r="L10" s="28"/>
      <c r="M10" s="27"/>
      <c r="N10" s="22"/>
      <c r="O10" s="28"/>
      <c r="P10" s="27"/>
      <c r="Q10" s="22"/>
      <c r="R10" s="25"/>
      <c r="S10" s="26"/>
      <c r="T10" s="25"/>
      <c r="U10" s="28"/>
      <c r="V10" s="27"/>
      <c r="W10" s="22"/>
      <c r="X10" s="28"/>
      <c r="Z10" s="27">
        <f>M10-P10</f>
        <v>0</v>
      </c>
      <c r="AA10" s="22">
        <f>N10-Q10</f>
        <v>0</v>
      </c>
    </row>
    <row r="11" spans="2:28" x14ac:dyDescent="0.25">
      <c r="B11" s="13">
        <f t="shared" si="0"/>
        <v>2018</v>
      </c>
      <c r="C11" s="13">
        <v>4</v>
      </c>
      <c r="D11" s="29">
        <v>43465</v>
      </c>
      <c r="E11" s="27">
        <f>COUNTIFS(Data!$E:$E,$B11,Data!$D:$D,$C11,Data!$V:$V,$D$6,Data!$B:$B,1)</f>
        <v>0</v>
      </c>
      <c r="F11" s="22">
        <f>SUMIFS(Data!$AA:$AA,Data!$E:$E,$B11,Data!$D:$D,$C11,Data!$V:$V,$D$6)/1000000</f>
        <v>0</v>
      </c>
      <c r="G11" s="28" t="e">
        <f>AVERAGEIFS(Data!$AA:$AA,Data!$E:$E,$B11,Data!$D:$D,$C11,Data!$V:$V,$D$6,Data!$B:$B,1)/1000</f>
        <v>#DIV/0!</v>
      </c>
      <c r="H11" s="17">
        <f>(E11+E10)-(I10+I11)</f>
        <v>0</v>
      </c>
      <c r="I11" s="27">
        <f>COUNTIFS(Data!$I:$I,$B11,Data!$H:$H,$C11,Data!$V:$V,$D$6,Data!$F:$F,1)</f>
        <v>0</v>
      </c>
      <c r="J11" s="25" t="e">
        <f>AVERAGEIFS(Data!$AI:$AI,Data!$I:$I,$B11,Data!$H:$H,$C11,Data!$V:$V,$D$6,Data!$F:$F,1)</f>
        <v>#DIV/0!</v>
      </c>
      <c r="K11" s="26" t="e">
        <f>AVERAGEIFS(Data!$AG:$AG,Data!$I:$I,$B11,Data!$H:$H,$C11,Data!$V:$V,$D$6,Data!$F:$F,1)/AVERAGEIFS(Data!$AA:$AA,Data!$I:$I,$B11,Data!$H:$H,$C11,Data!$V:$V,$D$6,Data!$F:$F,1)-1</f>
        <v>#DIV/0!</v>
      </c>
      <c r="L11" s="28" t="e">
        <f>AVERAGEIFS(Data!$AH:$AH,Data!$I:$I,$B11,Data!$H:$H,$C11,Data!$V:$V,$D$6,Data!$F:$F,1)</f>
        <v>#DIV/0!</v>
      </c>
      <c r="M11" s="27">
        <f>COUNTIFS(Data!$M:$M,$B11,Data!$L:$L,$C11,Data!$V:$V,$D$6,Data!$J:$J,1)</f>
        <v>0</v>
      </c>
      <c r="N11" s="22">
        <f>SUMIFS(Data!$AL:$AL,Data!$M:$M,$B11,Data!$L:$L,$C11,Data!$V:$V,$D$6,Data!$J:$J,1)/1000000</f>
        <v>0</v>
      </c>
      <c r="O11" s="28" t="e">
        <f>AVERAGEIFS(Data!$AM:$AM,Data!$M:$M,$B11,Data!$L:$L,$C11,Data!$V:$V,$D$6,Data!$J:$J,1)</f>
        <v>#DIV/0!</v>
      </c>
      <c r="P11" s="27">
        <f>COUNTIFS(Data!$Q:$Q,$B11,Data!$P:$P,$C11,Data!$V:$V,$D$6,Data!$N:$N,1)</f>
        <v>0</v>
      </c>
      <c r="Q11" s="22">
        <f>SUMIFS(Data!$AO:$AO,Data!$Q:$Q,$B11,Data!$P:$P,$C11,Data!$V:$V,$D$6)/1000000</f>
        <v>0</v>
      </c>
      <c r="R11" s="25" t="e">
        <f>AVERAGEIFS(Data!$AR:$AR,Data!$Q:$Q,$B11,Data!$P:$P,$C11,Data!$V:$V,$D$6,Data!$N:$N,1)</f>
        <v>#DIV/0!</v>
      </c>
      <c r="S11" s="26" t="e">
        <f>AVERAGEIFS(Data!$AO:$AO,Data!$Q:$Q,$B11,Data!$P:$P,$C11,Data!$V:$V,$D$6,Data!$N:$N,1)/AVERAGEIFS(Data!$AA:$AA,Data!$Q:$Q,$B11,Data!$P:$P,$C11,Data!$V:$V,$D$6,Data!$N:$N,1)-1</f>
        <v>#DIV/0!</v>
      </c>
      <c r="T11" s="25" t="e">
        <f>AVERAGEIFS(Data!$AP:$AP,Data!$Q:$Q,$B11,Data!$P:$P,$C11,Data!$V:$V,$D$6,Data!$N:$N,1)</f>
        <v>#DIV/0!</v>
      </c>
      <c r="U11" s="28" t="e">
        <f>AVERAGEIFS(Data!$AQ:$AQ,Data!$Q:$Q,$B11,Data!$P:$P,$C11,Data!$V:$V,$D$6,Data!$N:$N,1)</f>
        <v>#DIV/0!</v>
      </c>
      <c r="V11" s="27">
        <f>V10+E11-P11</f>
        <v>0</v>
      </c>
      <c r="W11" s="22">
        <f>W10+F11-Q11</f>
        <v>0</v>
      </c>
      <c r="X11" s="28" t="e">
        <f>AVERAGEIFS(Data!$AZ:$AZ,Data!$B:$B,1,Data!$V:$V,$D$6)</f>
        <v>#DIV/0!</v>
      </c>
      <c r="Z11" s="27">
        <f>M11-P11</f>
        <v>0</v>
      </c>
      <c r="AA11" s="22">
        <f>N11-Q11</f>
        <v>0</v>
      </c>
    </row>
    <row r="13" spans="2:28" x14ac:dyDescent="0.25">
      <c r="E13" s="6"/>
    </row>
    <row r="14" spans="2:28" x14ac:dyDescent="0.25">
      <c r="E14" s="6"/>
    </row>
    <row r="15" spans="2:28" x14ac:dyDescent="0.25">
      <c r="E15" s="6"/>
    </row>
    <row r="16" spans="2:28" x14ac:dyDescent="0.25">
      <c r="D16" s="34" t="str">
        <f>D6</f>
        <v>Raleigh</v>
      </c>
      <c r="E16" s="45" t="s">
        <v>384</v>
      </c>
      <c r="F16" s="46"/>
      <c r="G16" s="47"/>
      <c r="H16" s="32" t="s">
        <v>450</v>
      </c>
      <c r="I16" s="45" t="s">
        <v>410</v>
      </c>
      <c r="J16" s="46"/>
      <c r="K16" s="46"/>
      <c r="L16" s="47"/>
      <c r="M16" s="45" t="s">
        <v>406</v>
      </c>
      <c r="N16" s="46"/>
      <c r="O16" s="47"/>
      <c r="P16" s="45" t="s">
        <v>398</v>
      </c>
      <c r="Q16" s="46"/>
      <c r="R16" s="46"/>
      <c r="S16" s="46"/>
      <c r="T16" s="46"/>
      <c r="U16" s="47"/>
      <c r="V16" s="45" t="s">
        <v>453</v>
      </c>
      <c r="W16" s="46"/>
      <c r="X16" s="47"/>
      <c r="Y16"/>
      <c r="Z16"/>
      <c r="AA16"/>
      <c r="AB16"/>
    </row>
    <row r="17" spans="2:28" x14ac:dyDescent="0.25">
      <c r="D17" s="30" t="s">
        <v>449</v>
      </c>
      <c r="E17" s="20" t="s">
        <v>385</v>
      </c>
      <c r="F17" s="18" t="s">
        <v>391</v>
      </c>
      <c r="G17" s="23" t="s">
        <v>389</v>
      </c>
      <c r="H17" s="18" t="s">
        <v>409</v>
      </c>
      <c r="I17" s="20" t="s">
        <v>385</v>
      </c>
      <c r="J17" s="18" t="s">
        <v>388</v>
      </c>
      <c r="K17" s="18" t="s">
        <v>388</v>
      </c>
      <c r="L17" s="23" t="s">
        <v>394</v>
      </c>
      <c r="M17" s="20" t="s">
        <v>385</v>
      </c>
      <c r="N17" s="18" t="s">
        <v>404</v>
      </c>
      <c r="O17" s="23" t="s">
        <v>394</v>
      </c>
      <c r="P17" s="20" t="s">
        <v>385</v>
      </c>
      <c r="Q17" s="18" t="s">
        <v>454</v>
      </c>
      <c r="R17" s="18" t="s">
        <v>399</v>
      </c>
      <c r="S17" s="18" t="s">
        <v>399</v>
      </c>
      <c r="T17" s="18" t="s">
        <v>394</v>
      </c>
      <c r="U17" s="23" t="s">
        <v>393</v>
      </c>
      <c r="V17" s="20" t="s">
        <v>385</v>
      </c>
      <c r="W17" s="18" t="s">
        <v>404</v>
      </c>
      <c r="X17" s="23" t="s">
        <v>448</v>
      </c>
      <c r="Y17"/>
      <c r="Z17"/>
      <c r="AA17"/>
      <c r="AB17"/>
    </row>
    <row r="18" spans="2:28" ht="15.75" thickBot="1" x14ac:dyDescent="0.3">
      <c r="D18" s="31"/>
      <c r="E18" s="21" t="s">
        <v>390</v>
      </c>
      <c r="F18" s="19" t="s">
        <v>452</v>
      </c>
      <c r="G18" s="24" t="s">
        <v>387</v>
      </c>
      <c r="H18" s="19" t="s">
        <v>451</v>
      </c>
      <c r="I18" s="21" t="s">
        <v>392</v>
      </c>
      <c r="J18" s="19" t="s">
        <v>397</v>
      </c>
      <c r="K18" s="19" t="s">
        <v>396</v>
      </c>
      <c r="L18" s="24" t="s">
        <v>395</v>
      </c>
      <c r="M18" s="21" t="s">
        <v>22</v>
      </c>
      <c r="N18" s="19" t="s">
        <v>386</v>
      </c>
      <c r="O18" s="24" t="s">
        <v>400</v>
      </c>
      <c r="P18" s="21" t="s">
        <v>23</v>
      </c>
      <c r="Q18" s="19" t="s">
        <v>386</v>
      </c>
      <c r="R18" s="19" t="s">
        <v>397</v>
      </c>
      <c r="S18" s="19" t="s">
        <v>396</v>
      </c>
      <c r="T18" s="19" t="s">
        <v>447</v>
      </c>
      <c r="U18" s="24" t="s">
        <v>402</v>
      </c>
      <c r="V18" s="21" t="s">
        <v>21</v>
      </c>
      <c r="W18" s="19" t="s">
        <v>386</v>
      </c>
      <c r="X18" s="24" t="s">
        <v>403</v>
      </c>
      <c r="Y18"/>
      <c r="Z18"/>
      <c r="AA18"/>
      <c r="AB18"/>
    </row>
    <row r="19" spans="2:28" x14ac:dyDescent="0.25">
      <c r="B19" s="13">
        <f>YEAR(D19)</f>
        <v>2018</v>
      </c>
      <c r="C19" s="13">
        <f>MONTH(D19)</f>
        <v>5</v>
      </c>
      <c r="D19" s="29">
        <v>43251</v>
      </c>
      <c r="E19" s="27"/>
      <c r="F19" s="22"/>
      <c r="G19" s="28"/>
      <c r="H19" s="17"/>
      <c r="I19" s="27"/>
      <c r="J19" s="25"/>
      <c r="K19" s="26"/>
      <c r="L19" s="28"/>
      <c r="M19" s="27"/>
      <c r="N19" s="22"/>
      <c r="O19" s="28"/>
      <c r="P19" s="27"/>
      <c r="Q19" s="22"/>
      <c r="R19" s="25"/>
      <c r="S19" s="26"/>
      <c r="T19" s="25"/>
      <c r="U19" s="28"/>
      <c r="V19" s="27"/>
      <c r="W19" s="22"/>
      <c r="X19" s="28"/>
      <c r="Y19"/>
      <c r="Z19"/>
      <c r="AA19"/>
      <c r="AB19"/>
    </row>
    <row r="20" spans="2:28" x14ac:dyDescent="0.25">
      <c r="B20" s="13">
        <f t="shared" ref="B20:B24" si="1">YEAR(D20)</f>
        <v>2018</v>
      </c>
      <c r="C20" s="13">
        <f t="shared" ref="C20:C24" si="2">MONTH(D20)</f>
        <v>6</v>
      </c>
      <c r="D20" s="29">
        <v>43281</v>
      </c>
      <c r="E20" s="27"/>
      <c r="F20" s="22"/>
      <c r="G20" s="28"/>
      <c r="H20" s="17"/>
      <c r="I20" s="27"/>
      <c r="J20" s="25"/>
      <c r="K20" s="26"/>
      <c r="L20" s="28"/>
      <c r="M20" s="27"/>
      <c r="N20" s="22"/>
      <c r="O20" s="28"/>
      <c r="P20" s="27"/>
      <c r="Q20" s="22"/>
      <c r="R20" s="25"/>
      <c r="S20" s="26"/>
      <c r="T20" s="25"/>
      <c r="U20" s="28"/>
      <c r="V20" s="27"/>
      <c r="W20" s="22"/>
      <c r="X20" s="28"/>
      <c r="Y20"/>
      <c r="Z20"/>
      <c r="AA20"/>
    </row>
    <row r="21" spans="2:28" x14ac:dyDescent="0.25">
      <c r="B21" s="13">
        <f t="shared" si="1"/>
        <v>2018</v>
      </c>
      <c r="C21" s="13">
        <f t="shared" si="2"/>
        <v>7</v>
      </c>
      <c r="D21" s="29">
        <v>43312</v>
      </c>
      <c r="E21" s="27"/>
      <c r="F21" s="22"/>
      <c r="G21" s="28"/>
      <c r="H21" s="17"/>
      <c r="I21" s="27"/>
      <c r="J21" s="25"/>
      <c r="K21" s="26"/>
      <c r="L21" s="28"/>
      <c r="M21" s="27"/>
      <c r="N21" s="22"/>
      <c r="O21" s="28"/>
      <c r="P21" s="27"/>
      <c r="Q21" s="22"/>
      <c r="R21" s="25"/>
      <c r="S21" s="26"/>
      <c r="T21" s="25"/>
      <c r="U21" s="28"/>
      <c r="V21" s="27"/>
      <c r="W21" s="22"/>
      <c r="X21" s="28"/>
      <c r="Y21"/>
      <c r="Z21"/>
      <c r="AA21"/>
    </row>
    <row r="22" spans="2:28" x14ac:dyDescent="0.25">
      <c r="B22" s="13">
        <f t="shared" si="1"/>
        <v>2018</v>
      </c>
      <c r="C22" s="13">
        <f t="shared" si="2"/>
        <v>8</v>
      </c>
      <c r="D22" s="29">
        <v>43343</v>
      </c>
      <c r="E22" s="27"/>
      <c r="F22" s="22"/>
      <c r="G22" s="28"/>
      <c r="H22" s="17"/>
      <c r="I22" s="27"/>
      <c r="J22" s="25"/>
      <c r="K22" s="26"/>
      <c r="L22" s="28"/>
      <c r="M22" s="27"/>
      <c r="N22" s="22"/>
      <c r="O22" s="28"/>
      <c r="P22" s="27"/>
      <c r="Q22" s="22"/>
      <c r="R22" s="25"/>
      <c r="S22" s="26"/>
      <c r="T22" s="25"/>
      <c r="U22" s="28"/>
      <c r="V22" s="27"/>
      <c r="W22" s="22"/>
      <c r="X22" s="28"/>
      <c r="Y22"/>
      <c r="Z22"/>
      <c r="AA22"/>
    </row>
    <row r="23" spans="2:28" x14ac:dyDescent="0.25">
      <c r="B23" s="13">
        <f t="shared" si="1"/>
        <v>2018</v>
      </c>
      <c r="C23" s="13">
        <f t="shared" si="2"/>
        <v>9</v>
      </c>
      <c r="D23" s="29">
        <v>43373</v>
      </c>
      <c r="E23" s="27"/>
      <c r="F23" s="22"/>
      <c r="G23" s="28"/>
      <c r="H23" s="17"/>
      <c r="I23" s="27"/>
      <c r="J23" s="25"/>
      <c r="K23" s="26"/>
      <c r="L23" s="28"/>
      <c r="M23" s="27"/>
      <c r="N23" s="22"/>
      <c r="O23" s="28"/>
      <c r="P23" s="27"/>
      <c r="Q23" s="22"/>
      <c r="R23" s="25"/>
      <c r="S23" s="26"/>
      <c r="T23" s="25"/>
      <c r="U23" s="28"/>
      <c r="V23" s="27"/>
      <c r="W23" s="22"/>
      <c r="X23" s="28"/>
      <c r="Y23"/>
      <c r="Z23"/>
      <c r="AA23"/>
    </row>
    <row r="24" spans="2:28" x14ac:dyDescent="0.25">
      <c r="B24" s="13">
        <f t="shared" si="1"/>
        <v>2018</v>
      </c>
      <c r="C24" s="13">
        <f t="shared" si="2"/>
        <v>10</v>
      </c>
      <c r="D24" s="29">
        <v>43404</v>
      </c>
      <c r="E24" s="27">
        <f>COUNTIFS(Data!$E:$E,$B24,Data!$C:$C,$C24,Data!$V:$V,$D$6,Data!$B:$B,1)</f>
        <v>0</v>
      </c>
      <c r="F24" s="22">
        <f>SUMIFS(Data!$AA:$AA,Data!$E:$E,$B24,Data!$C:$C,$C24,Data!$V:$V,$D$6)/1000000</f>
        <v>0</v>
      </c>
      <c r="G24" s="28" t="e">
        <f>AVERAGEIFS(Data!$AA:$AA,Data!$E:$E,$B24,Data!$C:$C,$C24,Data!$V:$V,$D$6,Data!$B:$B,1)/1000</f>
        <v>#DIV/0!</v>
      </c>
      <c r="H24" s="17">
        <f t="shared" ref="H24" si="3">(E24+E23)-(I23+I24)</f>
        <v>0</v>
      </c>
      <c r="I24" s="27">
        <f>COUNTIFS(Data!$I:$I,$B24,Data!$G:$G,$C24,Data!$V:$V,$D$6,Data!$F:$F,1)</f>
        <v>0</v>
      </c>
      <c r="J24" s="25" t="e">
        <f>AVERAGEIFS(Data!$AI:$AI,Data!$I:$I,$B24,Data!$G:$G,$C24,Data!$V:$V,$D$6,Data!$F:$F,1)</f>
        <v>#DIV/0!</v>
      </c>
      <c r="K24" s="26" t="e">
        <f>AVERAGEIFS(Data!$AG:$AG,Data!$I:$I,$B24,Data!$G:$G,$C24,Data!$V:$V,$D$6,Data!$F:$F,1)/AVERAGEIFS(Data!$AA:$AA,Data!$I:$I,$B24,Data!$G:$G,$C24,Data!$V:$V,$D$6,Data!$F:$F,1)-1</f>
        <v>#DIV/0!</v>
      </c>
      <c r="L24" s="28" t="e">
        <f>AVERAGEIFS(Data!$AH:$AH,Data!$I:$I,$B24,Data!$G:$G,$C24,Data!$V:$V,$D$6,Data!$F:$F,1)</f>
        <v>#DIV/0!</v>
      </c>
      <c r="M24" s="27">
        <f>COUNTIFS(Data!$M:$M,$B24,Data!$K:$K,$C24,Data!$V:$V,$D$6,Data!$J:$J,1)</f>
        <v>0</v>
      </c>
      <c r="N24" s="22">
        <f>SUMIFS(Data!$AL:$AL,Data!$M:$M,$B24,Data!$K:$K,$C24,Data!$V:$V,$D$6,Data!$J:$J,1)/1000000</f>
        <v>0</v>
      </c>
      <c r="O24" s="28" t="e">
        <f>AVERAGEIFS(Data!$AM:$AM,Data!$M:$M,$B24,Data!$K:$K,$C24,Data!$V:$V,$D$6,Data!$J:$J,1)</f>
        <v>#DIV/0!</v>
      </c>
      <c r="P24" s="27">
        <f>COUNTIFS(Data!$Q:$Q,$B24,Data!$O:$O,$C24,Data!$V:$V,$D$6,Data!$N:$N,1)</f>
        <v>0</v>
      </c>
      <c r="Q24" s="22">
        <f>SUMIFS(Data!$AO:$AO,Data!$Q:$Q,$B24,Data!$O:$O,$C24,Data!$V:$V,$D$6)/1000000</f>
        <v>0</v>
      </c>
      <c r="R24" s="25" t="e">
        <f>AVERAGEIFS(Data!$AR:$AR,Data!$Q:$Q,$B24,Data!$O:$O,$C24,Data!$V:$V,$D$6,Data!$N:$N,1)</f>
        <v>#DIV/0!</v>
      </c>
      <c r="S24" s="26" t="e">
        <f>AVERAGEIFS(Data!$AO:$AO,Data!$Q:$Q,$B24,Data!$O:$O,$C24,Data!$V:$V,$D$6,Data!$N:$N,1)/AVERAGEIFS(Data!$AA:$AA,Data!$Q:$Q,$B24,Data!$O:$O,$C24,Data!$V:$V,$D$6,Data!$N:$N,1)-1</f>
        <v>#DIV/0!</v>
      </c>
      <c r="T24" s="25" t="e">
        <f>AVERAGEIFS(Data!$AP:$AP,Data!$Q:$Q,$B24,Data!$O:$O,$C24,Data!$V:$V,$D$6,Data!$N:$N,1)</f>
        <v>#DIV/0!</v>
      </c>
      <c r="U24" s="28" t="e">
        <f>AVERAGEIFS(Data!$AQ:$AQ,Data!$Q:$Q,$B24,Data!$O:$O,$C24,Data!$V:$V,$D$6,Data!$N:$N,1)</f>
        <v>#DIV/0!</v>
      </c>
      <c r="V24" s="27">
        <f t="shared" ref="V24:W24" si="4">V23+E24-P24</f>
        <v>0</v>
      </c>
      <c r="W24" s="22">
        <f t="shared" si="4"/>
        <v>0</v>
      </c>
      <c r="X24" s="28" t="e">
        <f>AVERAGEIFS(Data!$AZ:$AZ,Data!$B:$B,1,Data!$V:$V,$D$6)</f>
        <v>#DIV/0!</v>
      </c>
      <c r="Y24"/>
      <c r="Z24"/>
      <c r="AA24"/>
    </row>
  </sheetData>
  <mergeCells count="11">
    <mergeCell ref="E16:G16"/>
    <mergeCell ref="I16:L16"/>
    <mergeCell ref="M16:O16"/>
    <mergeCell ref="P16:U16"/>
    <mergeCell ref="V16:X16"/>
    <mergeCell ref="E6:G6"/>
    <mergeCell ref="I6:L6"/>
    <mergeCell ref="M6:O6"/>
    <mergeCell ref="P6:U6"/>
    <mergeCell ref="V6:X6"/>
    <mergeCell ref="Z6:A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8:L21"/>
  <sheetViews>
    <sheetView workbookViewId="0">
      <selection activeCell="J11" sqref="J11"/>
    </sheetView>
  </sheetViews>
  <sheetFormatPr defaultColWidth="10.7109375" defaultRowHeight="15" x14ac:dyDescent="0.25"/>
  <cols>
    <col min="1" max="1" width="2.7109375" customWidth="1"/>
  </cols>
  <sheetData>
    <row r="18" spans="2:12" x14ac:dyDescent="0.25">
      <c r="B18" s="14" t="s">
        <v>461</v>
      </c>
      <c r="F18" s="14" t="s">
        <v>462</v>
      </c>
    </row>
    <row r="19" spans="2:12" x14ac:dyDescent="0.25">
      <c r="B19" s="14"/>
      <c r="F19" s="14"/>
    </row>
    <row r="21" spans="2:12" x14ac:dyDescent="0.25">
      <c r="K21" s="9"/>
      <c r="L2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G127"/>
  <sheetViews>
    <sheetView workbookViewId="0">
      <selection activeCell="A131" sqref="A131:XFD150"/>
    </sheetView>
  </sheetViews>
  <sheetFormatPr defaultRowHeight="15" x14ac:dyDescent="0.25"/>
  <cols>
    <col min="1" max="1" width="2.7109375" style="48" customWidth="1"/>
    <col min="2" max="2" width="8.7109375" style="49" customWidth="1"/>
    <col min="3" max="3" width="8.7109375" style="50" customWidth="1"/>
    <col min="4" max="4" width="31.28515625" style="50" bestFit="1" customWidth="1"/>
    <col min="5" max="5" width="31.42578125" style="50" bestFit="1" customWidth="1"/>
    <col min="6" max="7" width="10.7109375" style="48" customWidth="1"/>
    <col min="8" max="8" width="2.7109375" style="48" customWidth="1"/>
    <col min="9" max="16" width="10.7109375" style="48" customWidth="1"/>
    <col min="17" max="16384" width="9.140625" style="48"/>
  </cols>
  <sheetData>
    <row r="2" spans="1:7" x14ac:dyDescent="0.25">
      <c r="B2" s="49" t="s">
        <v>581</v>
      </c>
      <c r="C2" s="50" t="s">
        <v>580</v>
      </c>
      <c r="D2" s="50" t="s">
        <v>384</v>
      </c>
      <c r="E2" s="50" t="s">
        <v>464</v>
      </c>
    </row>
    <row r="3" spans="1:7" x14ac:dyDescent="0.25">
      <c r="A3" s="51"/>
      <c r="B3" s="52">
        <v>0</v>
      </c>
      <c r="C3" s="50">
        <f>COUNTIFS(Data!$B:$B,1,Data!$AA:$AA,"&gt;0",Data!$AA:$AA,"&lt;=50000")</f>
        <v>0</v>
      </c>
      <c r="D3" s="53">
        <f>C3/C$15</f>
        <v>0</v>
      </c>
      <c r="E3" s="54">
        <f>D3</f>
        <v>0</v>
      </c>
    </row>
    <row r="4" spans="1:7" x14ac:dyDescent="0.25">
      <c r="A4" s="55"/>
      <c r="B4" s="52">
        <v>50</v>
      </c>
      <c r="C4" s="50">
        <f>COUNTIFS(Data!$B:$B,1,Data!$AA:$AA,"&gt;0",Data!$AA:$AA,"&lt;=50000")</f>
        <v>0</v>
      </c>
      <c r="D4" s="53">
        <f t="shared" ref="D4:D15" si="0">C4/C$15</f>
        <v>0</v>
      </c>
      <c r="E4" s="54">
        <f>E3+D4</f>
        <v>0</v>
      </c>
    </row>
    <row r="5" spans="1:7" x14ac:dyDescent="0.25">
      <c r="A5" s="55"/>
      <c r="B5" s="52">
        <v>100</v>
      </c>
      <c r="C5" s="50">
        <f>COUNTIFS(Data!$B:$B,1,Data!$AA:$AA,"&gt;50000",Data!$AA:$AA,"&lt;=100000")</f>
        <v>0</v>
      </c>
      <c r="D5" s="53">
        <f t="shared" si="0"/>
        <v>0</v>
      </c>
      <c r="E5" s="54">
        <f t="shared" ref="E5:E14" si="1">E4+D5</f>
        <v>0</v>
      </c>
    </row>
    <row r="6" spans="1:7" x14ac:dyDescent="0.25">
      <c r="A6" s="55"/>
      <c r="B6" s="52">
        <v>150</v>
      </c>
      <c r="C6" s="50">
        <f>COUNTIFS(Data!$B:$B,1,Data!$AA:$AA,"&gt;100000",Data!$AA:$AA,"&lt;=150000")</f>
        <v>6</v>
      </c>
      <c r="D6" s="53">
        <f t="shared" si="0"/>
        <v>2.4390243902439025E-2</v>
      </c>
      <c r="E6" s="54">
        <f t="shared" si="1"/>
        <v>2.4390243902439025E-2</v>
      </c>
    </row>
    <row r="7" spans="1:7" x14ac:dyDescent="0.25">
      <c r="A7" s="55"/>
      <c r="B7" s="52">
        <v>200</v>
      </c>
      <c r="C7" s="50">
        <f>COUNTIFS(Data!$B:$B,1,Data!$AA:$AA,"&gt;150000",Data!$AA:$AA,"&lt;=200000")</f>
        <v>19</v>
      </c>
      <c r="D7" s="53">
        <f t="shared" si="0"/>
        <v>7.7235772357723581E-2</v>
      </c>
      <c r="E7" s="54">
        <f t="shared" si="1"/>
        <v>0.1016260162601626</v>
      </c>
      <c r="G7" s="56" t="s">
        <v>563</v>
      </c>
    </row>
    <row r="8" spans="1:7" x14ac:dyDescent="0.25">
      <c r="A8" s="55"/>
      <c r="B8" s="52">
        <v>250</v>
      </c>
      <c r="C8" s="50">
        <f>COUNTIFS(Data!$B:$B,1,Data!$AA:$AA,"&gt;200000",Data!$AA:$AA,"&lt;=250000")</f>
        <v>51</v>
      </c>
      <c r="D8" s="53">
        <f t="shared" si="0"/>
        <v>0.2073170731707317</v>
      </c>
      <c r="E8" s="54">
        <f t="shared" si="1"/>
        <v>0.30894308943089432</v>
      </c>
      <c r="G8" s="57">
        <f>D8+D9+D10+D11</f>
        <v>0.7357723577235773</v>
      </c>
    </row>
    <row r="9" spans="1:7" x14ac:dyDescent="0.25">
      <c r="A9" s="55"/>
      <c r="B9" s="52">
        <v>300</v>
      </c>
      <c r="C9" s="50">
        <f>COUNTIFS(Data!$B:$B,1,Data!$AA:$AA,"&gt;250000",Data!$AA:$AA,"&lt;=300000")</f>
        <v>41</v>
      </c>
      <c r="D9" s="53">
        <f t="shared" si="0"/>
        <v>0.16666666666666666</v>
      </c>
      <c r="E9" s="54">
        <f t="shared" si="1"/>
        <v>0.47560975609756095</v>
      </c>
    </row>
    <row r="10" spans="1:7" x14ac:dyDescent="0.25">
      <c r="A10" s="55"/>
      <c r="B10" s="52">
        <v>350</v>
      </c>
      <c r="C10" s="50">
        <f>COUNTIFS(Data!$B:$B,1,Data!$AA:$AA,"&gt;300000",Data!$AA:$AA,"&lt;=350000")</f>
        <v>47</v>
      </c>
      <c r="D10" s="53">
        <f t="shared" si="0"/>
        <v>0.1910569105691057</v>
      </c>
      <c r="E10" s="54">
        <f t="shared" si="1"/>
        <v>0.66666666666666663</v>
      </c>
    </row>
    <row r="11" spans="1:7" x14ac:dyDescent="0.25">
      <c r="A11" s="55"/>
      <c r="B11" s="52">
        <v>400</v>
      </c>
      <c r="C11" s="50">
        <f>COUNTIFS(Data!$B:$B,1,Data!$AA:$AA,"&gt;350000",Data!$AA:$AA,"&lt;=400000")</f>
        <v>42</v>
      </c>
      <c r="D11" s="53">
        <f t="shared" si="0"/>
        <v>0.17073170731707318</v>
      </c>
      <c r="E11" s="54">
        <f t="shared" si="1"/>
        <v>0.83739837398373984</v>
      </c>
    </row>
    <row r="12" spans="1:7" x14ac:dyDescent="0.25">
      <c r="A12" s="55"/>
      <c r="B12" s="52">
        <v>450</v>
      </c>
      <c r="C12" s="50">
        <f>COUNTIFS(Data!$B:$B,1,Data!$AA:$AA,"&gt;400000",Data!$AA:$AA,"&lt;=450000")</f>
        <v>28</v>
      </c>
      <c r="D12" s="53">
        <f t="shared" si="0"/>
        <v>0.11382113821138211</v>
      </c>
      <c r="E12" s="54">
        <f t="shared" si="1"/>
        <v>0.95121951219512191</v>
      </c>
    </row>
    <row r="13" spans="1:7" x14ac:dyDescent="0.25">
      <c r="A13" s="55"/>
      <c r="B13" s="52">
        <v>500</v>
      </c>
      <c r="C13" s="50">
        <f>COUNTIFS(Data!$B:$B,1,Data!$AA:$AA,"&gt;450000",Data!$AA:$AA,"&lt;=500000")</f>
        <v>10</v>
      </c>
      <c r="D13" s="53">
        <f t="shared" si="0"/>
        <v>4.065040650406504E-2</v>
      </c>
      <c r="E13" s="54">
        <f t="shared" si="1"/>
        <v>0.99186991869918695</v>
      </c>
    </row>
    <row r="14" spans="1:7" x14ac:dyDescent="0.25">
      <c r="A14" s="55"/>
      <c r="B14" s="49" t="s">
        <v>463</v>
      </c>
      <c r="C14" s="50">
        <f>COUNTIFS(Data!$B:$B,1,Data!$AA:$AA,"&gt;500000",Data!$AA:$AA,"&lt;=1000000000")</f>
        <v>2</v>
      </c>
      <c r="D14" s="53">
        <f t="shared" si="0"/>
        <v>8.130081300813009E-3</v>
      </c>
      <c r="E14" s="54">
        <f t="shared" si="1"/>
        <v>1</v>
      </c>
    </row>
    <row r="15" spans="1:7" x14ac:dyDescent="0.25">
      <c r="A15" s="51"/>
      <c r="B15" s="58"/>
      <c r="C15" s="59">
        <f>SUM(C3:C14)</f>
        <v>246</v>
      </c>
      <c r="D15" s="53">
        <f t="shared" si="0"/>
        <v>1</v>
      </c>
      <c r="E15" s="54"/>
    </row>
    <row r="20" spans="2:7" x14ac:dyDescent="0.25">
      <c r="B20" s="49" t="s">
        <v>581</v>
      </c>
      <c r="C20" s="50" t="s">
        <v>580</v>
      </c>
      <c r="D20" s="50" t="s">
        <v>467</v>
      </c>
      <c r="E20" s="50" t="s">
        <v>464</v>
      </c>
    </row>
    <row r="21" spans="2:7" x14ac:dyDescent="0.25">
      <c r="B21" s="52">
        <v>-5000</v>
      </c>
      <c r="D21" s="53">
        <f>C21/C$32</f>
        <v>0</v>
      </c>
      <c r="E21" s="54">
        <f>D21</f>
        <v>0</v>
      </c>
    </row>
    <row r="22" spans="2:7" x14ac:dyDescent="0.25">
      <c r="B22" s="52">
        <v>0</v>
      </c>
      <c r="C22" s="50">
        <f>COUNTIFS(Data!$B:$B,1,Data!$AG:$AG,"&gt;0",Data!$AI:$AI,"&gt;-5000",Data!$AI:$AI,"&lt;=0")</f>
        <v>3</v>
      </c>
      <c r="D22" s="53">
        <f>C22/C$32</f>
        <v>1.2552301255230125E-2</v>
      </c>
      <c r="E22" s="54">
        <f>E21+D22</f>
        <v>1.2552301255230125E-2</v>
      </c>
    </row>
    <row r="23" spans="2:7" x14ac:dyDescent="0.25">
      <c r="B23" s="52">
        <v>5000</v>
      </c>
      <c r="C23" s="50">
        <f>COUNTIFS(Data!$B:$B,1,Data!$AG:$AG,"&gt;0",Data!$AI:$AI,"&gt;0000",Data!$AI:$AI,"&lt;=5000")</f>
        <v>19</v>
      </c>
      <c r="D23" s="53">
        <f>C23/C$32</f>
        <v>7.9497907949790794E-2</v>
      </c>
      <c r="E23" s="54">
        <f>E22+D23</f>
        <v>9.2050209205020925E-2</v>
      </c>
      <c r="G23" s="56" t="s">
        <v>564</v>
      </c>
    </row>
    <row r="24" spans="2:7" x14ac:dyDescent="0.25">
      <c r="B24" s="52">
        <v>10000</v>
      </c>
      <c r="C24" s="50">
        <f>COUNTIFS(Data!$B:$B,1,Data!$AG:$AG,"&gt;0",Data!$AI:$AI,"&gt;5000",Data!$AI:$AI,"&lt;=10000")</f>
        <v>82</v>
      </c>
      <c r="D24" s="53">
        <f>C24/C$32</f>
        <v>0.34309623430962344</v>
      </c>
      <c r="E24" s="54">
        <f>E23+D24</f>
        <v>0.43514644351464438</v>
      </c>
      <c r="G24" s="57">
        <f>D24+D25+D26</f>
        <v>0.85355648535564843</v>
      </c>
    </row>
    <row r="25" spans="2:7" x14ac:dyDescent="0.25">
      <c r="B25" s="52">
        <v>15000</v>
      </c>
      <c r="C25" s="50">
        <f>COUNTIFS(Data!$B:$B,1,Data!$AG:$AG,"&gt;0",Data!$AI:$AI,"&gt;10000",Data!$AI:$AI,"&lt;=15000")</f>
        <v>79</v>
      </c>
      <c r="D25" s="53">
        <f>C25/C$32</f>
        <v>0.33054393305439328</v>
      </c>
      <c r="E25" s="54">
        <f>E24+D25</f>
        <v>0.76569037656903771</v>
      </c>
    </row>
    <row r="26" spans="2:7" x14ac:dyDescent="0.25">
      <c r="B26" s="52">
        <v>20000</v>
      </c>
      <c r="C26" s="50">
        <f>COUNTIFS(Data!$B:$B,1,Data!$AG:$AG,"&gt;0",Data!$AI:$AI,"&gt;15000",Data!$AI:$AI,"&lt;=20000")</f>
        <v>43</v>
      </c>
      <c r="D26" s="53">
        <f>C26/C$32</f>
        <v>0.1799163179916318</v>
      </c>
      <c r="E26" s="54">
        <f>E25+D26</f>
        <v>0.94560669456066948</v>
      </c>
    </row>
    <row r="27" spans="2:7" x14ac:dyDescent="0.25">
      <c r="B27" s="52">
        <v>25000</v>
      </c>
      <c r="C27" s="50">
        <f>COUNTIFS(Data!$B:$B,1,Data!$AG:$AG,"&gt;0",Data!$AI:$AI,"&gt;20000",Data!$AI:$AI,"&lt;=25000")</f>
        <v>6</v>
      </c>
      <c r="D27" s="53">
        <f>C27/C$32</f>
        <v>2.5104602510460251E-2</v>
      </c>
      <c r="E27" s="54">
        <f>E26+D27</f>
        <v>0.97071129707112969</v>
      </c>
    </row>
    <row r="28" spans="2:7" x14ac:dyDescent="0.25">
      <c r="B28" s="52">
        <v>30000</v>
      </c>
      <c r="C28" s="50">
        <f>COUNTIFS(Data!$B:$B,1,Data!$AG:$AG,"&gt;0",Data!$AI:$AI,"&gt;25000",Data!$AI:$AI,"&lt;=30000")</f>
        <v>5</v>
      </c>
      <c r="D28" s="53">
        <f>C28/C$32</f>
        <v>2.0920502092050208E-2</v>
      </c>
      <c r="E28" s="54">
        <f>E27+D28</f>
        <v>0.99163179916317989</v>
      </c>
    </row>
    <row r="29" spans="2:7" x14ac:dyDescent="0.25">
      <c r="B29" s="52">
        <v>35000</v>
      </c>
      <c r="C29" s="50">
        <f>COUNTIFS(Data!$B:$B,1,Data!$AG:$AG,"&gt;0",Data!$AI:$AI,"&gt;30000",Data!$AI:$AI,"&lt;=35000")</f>
        <v>2</v>
      </c>
      <c r="D29" s="53">
        <f>C29/C$32</f>
        <v>8.368200836820083E-3</v>
      </c>
      <c r="E29" s="54">
        <f>E28+D29</f>
        <v>1</v>
      </c>
    </row>
    <row r="30" spans="2:7" x14ac:dyDescent="0.25">
      <c r="B30" s="52">
        <v>40000</v>
      </c>
      <c r="C30" s="50">
        <f>COUNTIFS(Data!$B:$B,1,Data!$AG:$AG,"&gt;0",Data!$AI:$AI,"&gt;35000",Data!$AI:$AI,"&lt;=40000")</f>
        <v>0</v>
      </c>
      <c r="D30" s="53">
        <f>C30/C$32</f>
        <v>0</v>
      </c>
      <c r="E30" s="54">
        <f>E29+D30</f>
        <v>1</v>
      </c>
    </row>
    <row r="31" spans="2:7" x14ac:dyDescent="0.25">
      <c r="B31" s="49" t="s">
        <v>463</v>
      </c>
      <c r="C31" s="50">
        <f>COUNTIFS(Data!$B:$B,1,Data!$AG:$AG,"&gt;0",Data!$AI:$AI,"&gt;40000",Data!$AI:$AI,"&lt;=1000000000")</f>
        <v>0</v>
      </c>
      <c r="D31" s="53">
        <f>C31/C$32</f>
        <v>0</v>
      </c>
      <c r="E31" s="54">
        <f>E29+D31</f>
        <v>1</v>
      </c>
    </row>
    <row r="32" spans="2:7" x14ac:dyDescent="0.25">
      <c r="B32" s="58"/>
      <c r="C32" s="59">
        <f>SUM(C21:C31)</f>
        <v>239</v>
      </c>
      <c r="D32" s="53">
        <f>C32/C$32</f>
        <v>1</v>
      </c>
      <c r="E32" s="54"/>
    </row>
    <row r="38" spans="2:7" x14ac:dyDescent="0.25">
      <c r="B38" s="49" t="s">
        <v>581</v>
      </c>
      <c r="C38" s="50" t="s">
        <v>580</v>
      </c>
      <c r="D38" s="50" t="s">
        <v>468</v>
      </c>
      <c r="E38" s="50" t="s">
        <v>464</v>
      </c>
    </row>
    <row r="39" spans="2:7" x14ac:dyDescent="0.25">
      <c r="B39" s="52">
        <v>-10000</v>
      </c>
      <c r="C39" s="50">
        <v>0</v>
      </c>
      <c r="D39" s="53">
        <f>C39/C$51</f>
        <v>0</v>
      </c>
      <c r="E39" s="54">
        <f>D39</f>
        <v>0</v>
      </c>
    </row>
    <row r="40" spans="2:7" x14ac:dyDescent="0.25">
      <c r="B40" s="52">
        <v>-5000</v>
      </c>
      <c r="C40" s="50">
        <f>COUNTIFS(Data!$N:$N,1,Data!$AO:$AO,"&gt;0",Data!$AR:$AR,"&gt;-10000",Data!$AR:$AR,"&lt;=-5000")</f>
        <v>2</v>
      </c>
      <c r="D40" s="53">
        <f>C40/C$51</f>
        <v>4.3478260869565216E-2</v>
      </c>
      <c r="E40" s="54">
        <f>E39+D40</f>
        <v>4.3478260869565216E-2</v>
      </c>
      <c r="G40" s="57">
        <f>D40+D41</f>
        <v>6.5217391304347824E-2</v>
      </c>
    </row>
    <row r="41" spans="2:7" x14ac:dyDescent="0.25">
      <c r="B41" s="52">
        <v>0</v>
      </c>
      <c r="C41" s="50">
        <f>COUNTIFS(Data!$N:$N,1,Data!$AO:$AO,"&gt;0",Data!$AR:$AR,"&gt;-5000",Data!$AR:$AR,"&lt;=0")</f>
        <v>1</v>
      </c>
      <c r="D41" s="53">
        <f>C41/C$51</f>
        <v>2.1739130434782608E-2</v>
      </c>
      <c r="E41" s="54">
        <f>E40+D41</f>
        <v>6.5217391304347824E-2</v>
      </c>
    </row>
    <row r="42" spans="2:7" x14ac:dyDescent="0.25">
      <c r="B42" s="52">
        <v>5000</v>
      </c>
      <c r="C42" s="50">
        <f>COUNTIFS(Data!$N:$N,1,Data!$AO:$AO,"&gt;0",Data!$AR:$AR,"&gt;0",Data!$AR:$AR,"&lt;=5000")</f>
        <v>15</v>
      </c>
      <c r="D42" s="53">
        <f>C42/C$51</f>
        <v>0.32608695652173914</v>
      </c>
      <c r="E42" s="54">
        <f>E41+D42</f>
        <v>0.39130434782608697</v>
      </c>
    </row>
    <row r="43" spans="2:7" x14ac:dyDescent="0.25">
      <c r="B43" s="52">
        <v>10000</v>
      </c>
      <c r="C43" s="50">
        <f>COUNTIFS(Data!$N:$N,1,Data!$AO:$AO,"&gt;0",Data!$AR:$AR,"&gt;5000",Data!$AR:$AR,"&lt;=10000")</f>
        <v>10</v>
      </c>
      <c r="D43" s="53">
        <f>C43/C$51</f>
        <v>0.21739130434782608</v>
      </c>
      <c r="E43" s="54">
        <f>E42+D43</f>
        <v>0.60869565217391308</v>
      </c>
    </row>
    <row r="44" spans="2:7" x14ac:dyDescent="0.25">
      <c r="B44" s="52">
        <v>15000</v>
      </c>
      <c r="C44" s="50">
        <f>COUNTIFS(Data!$N:$N,1,Data!$AO:$AO,"&gt;0",Data!$AR:$AR,"&gt;10000",Data!$AR:$AR,"&lt;=15000")</f>
        <v>11</v>
      </c>
      <c r="D44" s="53">
        <f>C44/C$51</f>
        <v>0.2391304347826087</v>
      </c>
      <c r="E44" s="54">
        <f>E43+D44</f>
        <v>0.84782608695652173</v>
      </c>
    </row>
    <row r="45" spans="2:7" x14ac:dyDescent="0.25">
      <c r="B45" s="52">
        <v>20000</v>
      </c>
      <c r="C45" s="50">
        <f>COUNTIFS(Data!$N:$N,1,Data!$AO:$AO,"&gt;0",Data!$AR:$AR,"&gt;15000",Data!$AR:$AR,"&lt;=20000")</f>
        <v>5</v>
      </c>
      <c r="D45" s="53">
        <f>C45/C$51</f>
        <v>0.10869565217391304</v>
      </c>
      <c r="E45" s="54">
        <f>E44+D45</f>
        <v>0.95652173913043481</v>
      </c>
    </row>
    <row r="46" spans="2:7" x14ac:dyDescent="0.25">
      <c r="B46" s="52">
        <v>25000</v>
      </c>
      <c r="C46" s="50">
        <f>COUNTIFS(Data!$N:$N,1,Data!$AO:$AO,"&gt;0",Data!$AR:$AR,"&gt;20000",Data!$AR:$AR,"&lt;=25000")</f>
        <v>1</v>
      </c>
      <c r="D46" s="53">
        <f>C46/C$51</f>
        <v>2.1739130434782608E-2</v>
      </c>
      <c r="E46" s="54">
        <f>E45+D46</f>
        <v>0.97826086956521741</v>
      </c>
      <c r="G46" s="57">
        <f>D46+D48</f>
        <v>4.3478260869565216E-2</v>
      </c>
    </row>
    <row r="47" spans="2:7" x14ac:dyDescent="0.25">
      <c r="B47" s="52">
        <v>30000</v>
      </c>
      <c r="C47" s="50">
        <f>COUNTIFS(Data!$N:$N,1,Data!$AO:$AO,"&gt;0",Data!$AR:$AR,"&gt;25000",Data!$AR:$AR,"&lt;=30000")</f>
        <v>0</v>
      </c>
      <c r="D47" s="53">
        <f>C47/C$51</f>
        <v>0</v>
      </c>
      <c r="E47" s="54">
        <f>E46+D47</f>
        <v>0.97826086956521741</v>
      </c>
    </row>
    <row r="48" spans="2:7" x14ac:dyDescent="0.25">
      <c r="B48" s="52">
        <v>35000</v>
      </c>
      <c r="C48" s="50">
        <f>COUNTIFS(Data!$N:$N,1,Data!$AO:$AO,"&gt;0",Data!$AR:$AR,"&gt;30000",Data!$AR:$AR,"&lt;=35000")</f>
        <v>1</v>
      </c>
      <c r="D48" s="53">
        <f>C48/C$51</f>
        <v>2.1739130434782608E-2</v>
      </c>
      <c r="E48" s="54">
        <f>E47+D48</f>
        <v>1</v>
      </c>
    </row>
    <row r="49" spans="2:7" x14ac:dyDescent="0.25">
      <c r="B49" s="52">
        <v>40000</v>
      </c>
      <c r="C49" s="50">
        <f>COUNTIFS(Data!$N:$N,1,Data!$AO:$AO,"&gt;0",Data!$AR:$AR,"&gt;35000",Data!$AR:$AR,"&lt;=40000")</f>
        <v>0</v>
      </c>
      <c r="D49" s="53">
        <f>C49/C$51</f>
        <v>0</v>
      </c>
      <c r="E49" s="54">
        <f>E48+D49</f>
        <v>1</v>
      </c>
    </row>
    <row r="50" spans="2:7" x14ac:dyDescent="0.25">
      <c r="B50" s="49" t="s">
        <v>463</v>
      </c>
      <c r="C50" s="50">
        <f>COUNTIFS(Data!$N:$N,1,Data!$AO:$AO,"&gt;0",Data!$AR:$AR,"&gt;40000",Data!$AR:$AR,"&lt;=1000000000")</f>
        <v>0</v>
      </c>
      <c r="D50" s="53">
        <f>C50/C$51</f>
        <v>0</v>
      </c>
      <c r="E50" s="54">
        <f>E49+D50</f>
        <v>1</v>
      </c>
    </row>
    <row r="51" spans="2:7" x14ac:dyDescent="0.25">
      <c r="B51" s="58"/>
      <c r="C51" s="59">
        <f>SUM(C39:C50)</f>
        <v>46</v>
      </c>
      <c r="D51" s="53">
        <f>C51/C$51</f>
        <v>1</v>
      </c>
      <c r="E51" s="54"/>
    </row>
    <row r="56" spans="2:7" x14ac:dyDescent="0.25">
      <c r="B56" s="49" t="s">
        <v>581</v>
      </c>
      <c r="C56" s="50" t="s">
        <v>580</v>
      </c>
      <c r="D56" s="50" t="s">
        <v>465</v>
      </c>
      <c r="E56" s="50" t="s">
        <v>464</v>
      </c>
    </row>
    <row r="57" spans="2:7" x14ac:dyDescent="0.25">
      <c r="B57" s="52">
        <v>0</v>
      </c>
      <c r="D57" s="53">
        <f>C57/C$67</f>
        <v>0</v>
      </c>
      <c r="E57" s="54">
        <f>D57</f>
        <v>0</v>
      </c>
    </row>
    <row r="58" spans="2:7" x14ac:dyDescent="0.25">
      <c r="B58" s="52">
        <v>7</v>
      </c>
      <c r="C58" s="50">
        <f>COUNTIFS(Data!$B:$B,1,Data!$AH:$AH,"&gt;0",Data!$AH:$AH,"&lt;=7")</f>
        <v>3</v>
      </c>
      <c r="D58" s="53">
        <f>C58/C$67</f>
        <v>1.7857142857142856E-2</v>
      </c>
      <c r="E58" s="54">
        <f>E57+D58</f>
        <v>1.7857142857142856E-2</v>
      </c>
    </row>
    <row r="59" spans="2:7" x14ac:dyDescent="0.25">
      <c r="B59" s="52">
        <v>14</v>
      </c>
      <c r="C59" s="50">
        <f>COUNTIFS(Data!$B:$B,1,Data!$AH:$AH,"&gt;7",Data!$AH:$AH,"&lt;=14")</f>
        <v>66</v>
      </c>
      <c r="D59" s="53">
        <f>C59/C$67</f>
        <v>0.39285714285714285</v>
      </c>
      <c r="E59" s="54">
        <f>E58+D59</f>
        <v>0.4107142857142857</v>
      </c>
      <c r="G59" s="56" t="s">
        <v>565</v>
      </c>
    </row>
    <row r="60" spans="2:7" x14ac:dyDescent="0.25">
      <c r="B60" s="52">
        <v>21</v>
      </c>
      <c r="C60" s="50">
        <f>COUNTIFS(Data!$B:$B,1,Data!$AH:$AH,"&gt;14",Data!$AH:$AH,"&lt;=21")</f>
        <v>62</v>
      </c>
      <c r="D60" s="53">
        <f>C60/C$67</f>
        <v>0.36904761904761907</v>
      </c>
      <c r="E60" s="54">
        <f>E59+D60</f>
        <v>0.77976190476190477</v>
      </c>
      <c r="G60" s="57">
        <f>D59+D60</f>
        <v>0.76190476190476186</v>
      </c>
    </row>
    <row r="61" spans="2:7" x14ac:dyDescent="0.25">
      <c r="B61" s="52">
        <v>28</v>
      </c>
      <c r="C61" s="50">
        <f>COUNTIFS(Data!$B:$B,1,Data!$AH:$AH,"&gt;21",Data!$AH:$AH,"&lt;=28")</f>
        <v>28</v>
      </c>
      <c r="D61" s="53">
        <f>C61/C$67</f>
        <v>0.16666666666666666</v>
      </c>
      <c r="E61" s="54">
        <f>E60+D61</f>
        <v>0.9464285714285714</v>
      </c>
    </row>
    <row r="62" spans="2:7" x14ac:dyDescent="0.25">
      <c r="B62" s="52">
        <v>35</v>
      </c>
      <c r="C62" s="50">
        <f>COUNTIFS(Data!$B:$B,1,Data!$AH:$AH,"&gt;28",Data!$AH:$AH,"&lt;=35")</f>
        <v>7</v>
      </c>
      <c r="D62" s="53">
        <f>C62/C$67</f>
        <v>4.1666666666666664E-2</v>
      </c>
      <c r="E62" s="54">
        <f>E61+D62</f>
        <v>0.98809523809523803</v>
      </c>
    </row>
    <row r="63" spans="2:7" x14ac:dyDescent="0.25">
      <c r="B63" s="52">
        <v>42</v>
      </c>
      <c r="C63" s="50">
        <f>COUNTIFS(Data!$B:$B,1,Data!$AH:$AH,"&gt;35",Data!$AH:$AH,"&lt;=42")</f>
        <v>1</v>
      </c>
      <c r="D63" s="53">
        <f>C63/C$67</f>
        <v>5.9523809523809521E-3</v>
      </c>
      <c r="E63" s="54">
        <f>E62+D63</f>
        <v>0.99404761904761896</v>
      </c>
    </row>
    <row r="64" spans="2:7" x14ac:dyDescent="0.25">
      <c r="B64" s="52">
        <v>49</v>
      </c>
      <c r="C64" s="50">
        <f>COUNTIFS(Data!$B:$B,1,Data!$AH:$AH,"&gt;42",Data!$AH:$AH,"&lt;=49")</f>
        <v>1</v>
      </c>
      <c r="D64" s="53">
        <f>C64/C$67</f>
        <v>5.9523809523809521E-3</v>
      </c>
      <c r="E64" s="54">
        <f>E63+D64</f>
        <v>0.99999999999999989</v>
      </c>
    </row>
    <row r="65" spans="2:7" x14ac:dyDescent="0.25">
      <c r="B65" s="52">
        <v>56</v>
      </c>
      <c r="C65" s="50">
        <f>COUNTIFS(Data!$B:$B,1,Data!$AH:$AH,"&gt;49",Data!$AH:$AH,"&lt;=56")</f>
        <v>0</v>
      </c>
      <c r="D65" s="53">
        <f>C65/C$67</f>
        <v>0</v>
      </c>
      <c r="E65" s="54">
        <f>E64+D65</f>
        <v>0.99999999999999989</v>
      </c>
    </row>
    <row r="66" spans="2:7" x14ac:dyDescent="0.25">
      <c r="B66" s="49" t="s">
        <v>463</v>
      </c>
      <c r="C66" s="50">
        <f>COUNTIFS(Data!$B:$B,1,Data!$AH:$AH,"&gt;56",Data!$AH:$AH,"&lt;=1000")</f>
        <v>0</v>
      </c>
      <c r="D66" s="53">
        <f>C66/C$67</f>
        <v>0</v>
      </c>
      <c r="E66" s="54">
        <f>E65+D66</f>
        <v>0.99999999999999989</v>
      </c>
    </row>
    <row r="67" spans="2:7" x14ac:dyDescent="0.25">
      <c r="B67" s="58"/>
      <c r="C67" s="59">
        <f>SUM(C57:C66)</f>
        <v>168</v>
      </c>
      <c r="D67" s="53">
        <f>C67/C$67</f>
        <v>1</v>
      </c>
      <c r="E67" s="54"/>
    </row>
    <row r="73" spans="2:7" x14ac:dyDescent="0.25">
      <c r="B73" s="49" t="s">
        <v>581</v>
      </c>
      <c r="C73" s="50" t="s">
        <v>580</v>
      </c>
      <c r="D73" s="50" t="s">
        <v>18</v>
      </c>
      <c r="E73" s="50" t="s">
        <v>464</v>
      </c>
    </row>
    <row r="74" spans="2:7" x14ac:dyDescent="0.25">
      <c r="B74" s="52">
        <v>0</v>
      </c>
      <c r="D74" s="53">
        <f>C74/C$90</f>
        <v>0</v>
      </c>
      <c r="E74" s="54">
        <f>D74</f>
        <v>0</v>
      </c>
    </row>
    <row r="75" spans="2:7" x14ac:dyDescent="0.25">
      <c r="B75" s="52">
        <v>7</v>
      </c>
      <c r="C75" s="50">
        <f>COUNTIFS(Data!$J:$J,1,Data!$AM:$AM,"&gt;0",Data!$AM:$AM,"&lt;=7")</f>
        <v>20</v>
      </c>
      <c r="D75" s="53">
        <f>C75/C$90</f>
        <v>0.25974025974025972</v>
      </c>
      <c r="E75" s="54">
        <f>E74+D75</f>
        <v>0.25974025974025972</v>
      </c>
      <c r="G75" s="56" t="s">
        <v>566</v>
      </c>
    </row>
    <row r="76" spans="2:7" x14ac:dyDescent="0.25">
      <c r="B76" s="52">
        <v>14</v>
      </c>
      <c r="C76" s="50">
        <f>COUNTIFS(Data!$J:$J,1,Data!$AM:$AM,"&gt;7",Data!$AM:$AM,"&lt;=14")</f>
        <v>26</v>
      </c>
      <c r="D76" s="53">
        <f>C76/C$90</f>
        <v>0.33766233766233766</v>
      </c>
      <c r="E76" s="54">
        <f>E75+D76</f>
        <v>0.59740259740259738</v>
      </c>
      <c r="G76" s="57">
        <f>D76+D75</f>
        <v>0.59740259740259738</v>
      </c>
    </row>
    <row r="77" spans="2:7" x14ac:dyDescent="0.25">
      <c r="B77" s="52">
        <v>21</v>
      </c>
      <c r="C77" s="50">
        <f>COUNTIFS(Data!$J:$J,1,Data!$AM:$AM,"&gt;14",Data!$AM:$AM,"&lt;=21")</f>
        <v>10</v>
      </c>
      <c r="D77" s="53">
        <f>C77/C$90</f>
        <v>0.12987012987012986</v>
      </c>
      <c r="E77" s="54">
        <f>E76+D77</f>
        <v>0.72727272727272729</v>
      </c>
    </row>
    <row r="78" spans="2:7" x14ac:dyDescent="0.25">
      <c r="B78" s="52">
        <v>28</v>
      </c>
      <c r="C78" s="50">
        <f>COUNTIFS(Data!$J:$J,1,Data!$AM:$AM,"&gt;21",Data!$AM:$AM,"&lt;=28")</f>
        <v>6</v>
      </c>
      <c r="D78" s="53">
        <f>C78/C$90</f>
        <v>7.792207792207792E-2</v>
      </c>
      <c r="E78" s="54">
        <f>E77+D78</f>
        <v>0.80519480519480524</v>
      </c>
    </row>
    <row r="79" spans="2:7" x14ac:dyDescent="0.25">
      <c r="B79" s="52">
        <v>35</v>
      </c>
      <c r="C79" s="50">
        <f>COUNTIFS(Data!$J:$J,1,Data!$AM:$AM,"&gt;28",Data!$AM:$AM,"&lt;=35")</f>
        <v>2</v>
      </c>
      <c r="D79" s="53">
        <f>C79/C$90</f>
        <v>2.5974025974025976E-2</v>
      </c>
      <c r="E79" s="54">
        <f>E78+D79</f>
        <v>0.83116883116883122</v>
      </c>
    </row>
    <row r="80" spans="2:7" x14ac:dyDescent="0.25">
      <c r="B80" s="52">
        <v>42</v>
      </c>
      <c r="C80" s="50">
        <f>COUNTIFS(Data!$J:$J,1,Data!$AM:$AM,"&gt;35",Data!$AM:$AM,"&lt;=42")</f>
        <v>2</v>
      </c>
      <c r="D80" s="53">
        <f>C80/C$90</f>
        <v>2.5974025974025976E-2</v>
      </c>
      <c r="E80" s="54">
        <f>E79+D80</f>
        <v>0.85714285714285721</v>
      </c>
    </row>
    <row r="81" spans="2:5" x14ac:dyDescent="0.25">
      <c r="B81" s="52">
        <v>49</v>
      </c>
      <c r="C81" s="50">
        <f>COUNTIFS(Data!$J:$J,1,Data!$AM:$AM,"&gt;42",Data!$AM:$AM,"&lt;=49")</f>
        <v>3</v>
      </c>
      <c r="D81" s="53">
        <f>C81/C$90</f>
        <v>3.896103896103896E-2</v>
      </c>
      <c r="E81" s="54">
        <f>E80+D81</f>
        <v>0.89610389610389618</v>
      </c>
    </row>
    <row r="82" spans="2:5" x14ac:dyDescent="0.25">
      <c r="B82" s="52">
        <v>56</v>
      </c>
      <c r="C82" s="50">
        <f>COUNTIFS(Data!$J:$J,1,Data!$AM:$AM,"&gt;49",Data!$AM:$AM,"&lt;=56")</f>
        <v>0</v>
      </c>
      <c r="D82" s="53">
        <f>C82/C$90</f>
        <v>0</v>
      </c>
      <c r="E82" s="54">
        <f>E81+D82</f>
        <v>0.89610389610389618</v>
      </c>
    </row>
    <row r="83" spans="2:5" x14ac:dyDescent="0.25">
      <c r="B83" s="52">
        <v>63</v>
      </c>
      <c r="C83" s="50">
        <f>COUNTIFS(Data!$J:$J,1,Data!$AM:$AM,"&gt;56",Data!$AM:$AM,"&lt;=63")</f>
        <v>2</v>
      </c>
      <c r="D83" s="53">
        <f>C83/C$90</f>
        <v>2.5974025974025976E-2</v>
      </c>
      <c r="E83" s="54">
        <f>E82+D83</f>
        <v>0.92207792207792216</v>
      </c>
    </row>
    <row r="84" spans="2:5" x14ac:dyDescent="0.25">
      <c r="B84" s="52">
        <v>70</v>
      </c>
      <c r="C84" s="50">
        <f>COUNTIFS(Data!$J:$J,1,Data!$AM:$AM,"&gt;63",Data!$AM:$AM,"&lt;=70")</f>
        <v>2</v>
      </c>
      <c r="D84" s="53">
        <f>C84/C$90</f>
        <v>2.5974025974025976E-2</v>
      </c>
      <c r="E84" s="54">
        <f>E83+D84</f>
        <v>0.94805194805194815</v>
      </c>
    </row>
    <row r="85" spans="2:5" x14ac:dyDescent="0.25">
      <c r="B85" s="52">
        <v>77</v>
      </c>
      <c r="C85" s="50">
        <f>COUNTIFS(Data!$J:$J,1,Data!$AM:$AM,"&gt;70",Data!$AM:$AM,"&lt;=77")</f>
        <v>1</v>
      </c>
      <c r="D85" s="53">
        <f>C85/C$90</f>
        <v>1.2987012987012988E-2</v>
      </c>
      <c r="E85" s="54">
        <f>E84+D85</f>
        <v>0.96103896103896114</v>
      </c>
    </row>
    <row r="86" spans="2:5" x14ac:dyDescent="0.25">
      <c r="B86" s="52">
        <v>84</v>
      </c>
      <c r="C86" s="50">
        <f>COUNTIFS(Data!$J:$J,1,Data!$AM:$AM,"&gt;77",Data!$AM:$AM,"&lt;=84")</f>
        <v>2</v>
      </c>
      <c r="D86" s="53">
        <f>C86/C$90</f>
        <v>2.5974025974025976E-2</v>
      </c>
      <c r="E86" s="54">
        <f>E85+D86</f>
        <v>0.98701298701298712</v>
      </c>
    </row>
    <row r="87" spans="2:5" x14ac:dyDescent="0.25">
      <c r="B87" s="52">
        <v>91</v>
      </c>
      <c r="C87" s="50">
        <f>COUNTIFS(Data!$J:$J,1,Data!$AM:$AM,"&gt;84",Data!$AM:$AM,"&lt;=91")</f>
        <v>0</v>
      </c>
      <c r="D87" s="53">
        <f>C87/C$90</f>
        <v>0</v>
      </c>
      <c r="E87" s="54">
        <f>E86+D87</f>
        <v>0.98701298701298712</v>
      </c>
    </row>
    <row r="88" spans="2:5" x14ac:dyDescent="0.25">
      <c r="B88" s="52">
        <v>98</v>
      </c>
      <c r="C88" s="50">
        <f>COUNTIFS(Data!$J:$J,1,Data!$AM:$AM,"&gt;91",Data!$AM:$AM,"&lt;=98")</f>
        <v>1</v>
      </c>
      <c r="D88" s="53">
        <f>C88/C$90</f>
        <v>1.2987012987012988E-2</v>
      </c>
      <c r="E88" s="54">
        <f>E87+D88</f>
        <v>1</v>
      </c>
    </row>
    <row r="89" spans="2:5" x14ac:dyDescent="0.25">
      <c r="B89" s="49" t="s">
        <v>463</v>
      </c>
      <c r="C89" s="50">
        <f>COUNTIFS(Data!$J:$J,1,Data!$AM:$AM,"&gt;98",Data!$AM:$AM,"&lt;=1000")</f>
        <v>0</v>
      </c>
      <c r="D89" s="53">
        <f>C89/C$90</f>
        <v>0</v>
      </c>
      <c r="E89" s="54">
        <f>E88+D89</f>
        <v>1</v>
      </c>
    </row>
    <row r="90" spans="2:5" x14ac:dyDescent="0.25">
      <c r="B90" s="58"/>
      <c r="C90" s="59">
        <f>SUM(C74:C89)</f>
        <v>77</v>
      </c>
      <c r="D90" s="53">
        <f>C90/C$90</f>
        <v>1</v>
      </c>
      <c r="E90" s="54"/>
    </row>
    <row r="94" spans="2:5" x14ac:dyDescent="0.25">
      <c r="B94" s="49" t="s">
        <v>581</v>
      </c>
      <c r="C94" s="50" t="s">
        <v>580</v>
      </c>
      <c r="D94" s="50" t="s">
        <v>445</v>
      </c>
      <c r="E94" s="50" t="s">
        <v>464</v>
      </c>
    </row>
    <row r="95" spans="2:5" x14ac:dyDescent="0.25">
      <c r="B95" s="52">
        <v>0</v>
      </c>
      <c r="D95" s="53">
        <f>C95/C$105</f>
        <v>0</v>
      </c>
      <c r="E95" s="54">
        <f>D95</f>
        <v>0</v>
      </c>
    </row>
    <row r="96" spans="2:5" x14ac:dyDescent="0.25">
      <c r="B96" s="52">
        <v>7</v>
      </c>
      <c r="C96" s="50">
        <f>COUNTIFS(Data!$J:$J,1,Data!$AP:$AP,"&gt;0",Data!$AP:$AP,"&lt;=7")</f>
        <v>0</v>
      </c>
      <c r="D96" s="53">
        <f>C96/C$105</f>
        <v>0</v>
      </c>
      <c r="E96" s="54">
        <f>E95+D96</f>
        <v>0</v>
      </c>
    </row>
    <row r="97" spans="2:5" x14ac:dyDescent="0.25">
      <c r="B97" s="52">
        <v>14</v>
      </c>
      <c r="C97" s="50">
        <f>COUNTIFS(Data!$J:$J,1,Data!$AP:$AP,"&gt;7",Data!$AP:$AP,"&lt;=14")</f>
        <v>8</v>
      </c>
      <c r="D97" s="53">
        <f>C97/C$105</f>
        <v>0.18181818181818182</v>
      </c>
      <c r="E97" s="54">
        <f>E96+D97</f>
        <v>0.18181818181818182</v>
      </c>
    </row>
    <row r="98" spans="2:5" x14ac:dyDescent="0.25">
      <c r="B98" s="52">
        <v>21</v>
      </c>
      <c r="C98" s="50">
        <f>COUNTIFS(Data!$J:$J,1,Data!$AP:$AP,"&gt;14",Data!$AP:$AP,"&lt;=21")</f>
        <v>8</v>
      </c>
      <c r="D98" s="53">
        <f>C98/C$105</f>
        <v>0.18181818181818182</v>
      </c>
      <c r="E98" s="54">
        <f>E97+D98</f>
        <v>0.36363636363636365</v>
      </c>
    </row>
    <row r="99" spans="2:5" x14ac:dyDescent="0.25">
      <c r="B99" s="52">
        <v>28</v>
      </c>
      <c r="C99" s="50">
        <f>COUNTIFS(Data!$J:$J,1,Data!$AP:$AP,"&gt;21",Data!$AP:$AP,"&lt;=28")</f>
        <v>15</v>
      </c>
      <c r="D99" s="53">
        <f>C99/C$105</f>
        <v>0.34090909090909088</v>
      </c>
      <c r="E99" s="54">
        <f>E98+D99</f>
        <v>0.70454545454545459</v>
      </c>
    </row>
    <row r="100" spans="2:5" x14ac:dyDescent="0.25">
      <c r="B100" s="52">
        <v>35</v>
      </c>
      <c r="C100" s="50">
        <f>COUNTIFS(Data!$J:$J,1,Data!$AP:$AP,"&gt;28",Data!$AP:$AP,"&lt;=35")</f>
        <v>10</v>
      </c>
      <c r="D100" s="53">
        <f>C100/C$105</f>
        <v>0.22727272727272727</v>
      </c>
      <c r="E100" s="54">
        <f>E99+D100</f>
        <v>0.93181818181818188</v>
      </c>
    </row>
    <row r="101" spans="2:5" x14ac:dyDescent="0.25">
      <c r="B101" s="52">
        <v>42</v>
      </c>
      <c r="C101" s="50">
        <f>COUNTIFS(Data!$J:$J,1,Data!$AP:$AP,"&gt;35",Data!$AP:$AP,"&lt;=42")</f>
        <v>3</v>
      </c>
      <c r="D101" s="53">
        <f>C101/C$105</f>
        <v>6.8181818181818177E-2</v>
      </c>
      <c r="E101" s="54">
        <f>E100+D101</f>
        <v>1</v>
      </c>
    </row>
    <row r="102" spans="2:5" x14ac:dyDescent="0.25">
      <c r="B102" s="52">
        <v>49</v>
      </c>
      <c r="C102" s="50">
        <f>COUNTIFS(Data!$J:$J,1,Data!$AP:$AP,"&gt;42",Data!$AP:$AP,"&lt;=49")</f>
        <v>0</v>
      </c>
      <c r="D102" s="53">
        <f>C102/C$105</f>
        <v>0</v>
      </c>
      <c r="E102" s="54">
        <f>E101+D102</f>
        <v>1</v>
      </c>
    </row>
    <row r="103" spans="2:5" x14ac:dyDescent="0.25">
      <c r="B103" s="52">
        <v>56</v>
      </c>
      <c r="C103" s="50">
        <f>COUNTIFS(Data!$J:$J,1,Data!$AP:$AP,"&gt;49",Data!$AP:$AP,"&lt;=56")</f>
        <v>0</v>
      </c>
      <c r="D103" s="53">
        <f>C103/C$105</f>
        <v>0</v>
      </c>
      <c r="E103" s="54">
        <f>E102+D103</f>
        <v>1</v>
      </c>
    </row>
    <row r="104" spans="2:5" x14ac:dyDescent="0.25">
      <c r="B104" s="49" t="s">
        <v>463</v>
      </c>
      <c r="C104" s="50">
        <f>COUNTIFS(Data!$J:$J,1,Data!$AP:$AP,"&gt;56",Data!$AP:$AP,"&lt;=1000")</f>
        <v>0</v>
      </c>
      <c r="D104" s="53">
        <f>C104/C$105</f>
        <v>0</v>
      </c>
      <c r="E104" s="54">
        <f>E103+D104</f>
        <v>1</v>
      </c>
    </row>
    <row r="105" spans="2:5" x14ac:dyDescent="0.25">
      <c r="B105" s="58"/>
      <c r="C105" s="59">
        <f>SUM(C95:C104)</f>
        <v>44</v>
      </c>
      <c r="D105" s="53">
        <f>C105/C$105</f>
        <v>1</v>
      </c>
      <c r="E105" s="54"/>
    </row>
    <row r="111" spans="2:5" x14ac:dyDescent="0.25">
      <c r="B111" s="49" t="s">
        <v>581</v>
      </c>
      <c r="C111" s="50" t="s">
        <v>580</v>
      </c>
      <c r="D111" s="50" t="s">
        <v>466</v>
      </c>
      <c r="E111" s="50" t="s">
        <v>464</v>
      </c>
    </row>
    <row r="112" spans="2:5" x14ac:dyDescent="0.25">
      <c r="B112" s="52">
        <v>0</v>
      </c>
      <c r="C112" s="50">
        <v>0</v>
      </c>
      <c r="D112" s="53">
        <f>C112/C$127</f>
        <v>0</v>
      </c>
      <c r="E112" s="54">
        <f>D112</f>
        <v>0</v>
      </c>
    </row>
    <row r="113" spans="2:5" x14ac:dyDescent="0.25">
      <c r="B113" s="52">
        <v>7</v>
      </c>
      <c r="C113" s="50">
        <f>COUNTIFS(Data!$J:$J,1,Data!$AQ:$AQ,"&gt;0",Data!$AQ:$AQ,"&lt;=7")</f>
        <v>0</v>
      </c>
      <c r="D113" s="53">
        <f>C113/C$127</f>
        <v>0</v>
      </c>
      <c r="E113" s="54">
        <f>E112+D113</f>
        <v>0</v>
      </c>
    </row>
    <row r="114" spans="2:5" x14ac:dyDescent="0.25">
      <c r="B114" s="52">
        <v>14</v>
      </c>
      <c r="C114" s="50">
        <f>COUNTIFS(Data!$J:$J,1,Data!$AQ:$AQ,"&gt;7",Data!$AQ:$AQ,"&lt;=14")</f>
        <v>0</v>
      </c>
      <c r="D114" s="53">
        <f>C114/C$127</f>
        <v>0</v>
      </c>
      <c r="E114" s="54">
        <f>E113+D114</f>
        <v>0</v>
      </c>
    </row>
    <row r="115" spans="2:5" x14ac:dyDescent="0.25">
      <c r="B115" s="52">
        <v>21</v>
      </c>
      <c r="C115" s="50">
        <f>COUNTIFS(Data!$J:$J,1,Data!$AQ:$AQ,"&gt;14",Data!$AQ:$AQ,"&lt;=21")</f>
        <v>0</v>
      </c>
      <c r="D115" s="53">
        <f>C115/C$127</f>
        <v>0</v>
      </c>
      <c r="E115" s="54">
        <f>E114+D115</f>
        <v>0</v>
      </c>
    </row>
    <row r="116" spans="2:5" x14ac:dyDescent="0.25">
      <c r="B116" s="52">
        <v>28</v>
      </c>
      <c r="C116" s="50">
        <f>COUNTIFS(Data!$J:$J,1,Data!$AQ:$AQ,"&gt;21",Data!$AQ:$AQ,"&lt;=28")</f>
        <v>1</v>
      </c>
      <c r="D116" s="53">
        <f>C116/C$127</f>
        <v>2.2222222222222223E-2</v>
      </c>
      <c r="E116" s="54">
        <f>E115+D116</f>
        <v>2.2222222222222223E-2</v>
      </c>
    </row>
    <row r="117" spans="2:5" x14ac:dyDescent="0.25">
      <c r="B117" s="52">
        <v>35</v>
      </c>
      <c r="C117" s="50">
        <f>COUNTIFS(Data!$J:$J,1,Data!$AQ:$AQ,"&gt;28",Data!$AQ:$AQ,"&lt;=35")</f>
        <v>4</v>
      </c>
      <c r="D117" s="53">
        <f>C117/C$127</f>
        <v>8.8888888888888892E-2</v>
      </c>
      <c r="E117" s="54">
        <f>E116+D117</f>
        <v>0.11111111111111112</v>
      </c>
    </row>
    <row r="118" spans="2:5" x14ac:dyDescent="0.25">
      <c r="B118" s="52">
        <v>42</v>
      </c>
      <c r="C118" s="50">
        <f>COUNTIFS(Data!$J:$J,1,Data!$AQ:$AQ,"&gt;35",Data!$AQ:$AQ,"&lt;=42")</f>
        <v>7</v>
      </c>
      <c r="D118" s="53">
        <f>C118/C$127</f>
        <v>0.15555555555555556</v>
      </c>
      <c r="E118" s="54">
        <f>E117+D118</f>
        <v>0.26666666666666666</v>
      </c>
    </row>
    <row r="119" spans="2:5" x14ac:dyDescent="0.25">
      <c r="B119" s="52">
        <v>49</v>
      </c>
      <c r="C119" s="50">
        <f>COUNTIFS(Data!$J:$J,1,Data!$AQ:$AQ,"&gt;42",Data!$AQ:$AQ,"&lt;=49")</f>
        <v>4</v>
      </c>
      <c r="D119" s="53">
        <f>C119/C$127</f>
        <v>8.8888888888888892E-2</v>
      </c>
      <c r="E119" s="54">
        <f>E118+D119</f>
        <v>0.35555555555555557</v>
      </c>
    </row>
    <row r="120" spans="2:5" x14ac:dyDescent="0.25">
      <c r="B120" s="52">
        <v>56</v>
      </c>
      <c r="C120" s="50">
        <f>COUNTIFS(Data!$J:$J,1,Data!$AQ:$AQ,"&gt;49",Data!$AQ:$AQ,"&lt;=56")</f>
        <v>12</v>
      </c>
      <c r="D120" s="53">
        <f>C120/C$127</f>
        <v>0.26666666666666666</v>
      </c>
      <c r="E120" s="54">
        <f>E119+D120</f>
        <v>0.62222222222222223</v>
      </c>
    </row>
    <row r="121" spans="2:5" x14ac:dyDescent="0.25">
      <c r="B121" s="52">
        <v>63</v>
      </c>
      <c r="C121" s="50">
        <f>COUNTIFS(Data!$J:$J,1,Data!$AQ:$AQ,"&gt;56",Data!$AQ:$AQ,"&lt;=63")</f>
        <v>8</v>
      </c>
      <c r="D121" s="53">
        <f>C121/C$127</f>
        <v>0.17777777777777778</v>
      </c>
      <c r="E121" s="54">
        <f>E120+D121</f>
        <v>0.8</v>
      </c>
    </row>
    <row r="122" spans="2:5" x14ac:dyDescent="0.25">
      <c r="B122" s="52">
        <v>70</v>
      </c>
      <c r="C122" s="50">
        <f>COUNTIFS(Data!$J:$J,1,Data!$AQ:$AQ,"&gt;63",Data!$AQ:$AQ,"&lt;=70")</f>
        <v>3</v>
      </c>
      <c r="D122" s="53">
        <f>C122/C$127</f>
        <v>6.6666666666666666E-2</v>
      </c>
      <c r="E122" s="54">
        <f>E121+D122</f>
        <v>0.8666666666666667</v>
      </c>
    </row>
    <row r="123" spans="2:5" x14ac:dyDescent="0.25">
      <c r="B123" s="52">
        <v>77</v>
      </c>
      <c r="C123" s="50">
        <f>COUNTIFS(Data!$J:$J,1,Data!$AQ:$AQ,"&gt;70",Data!$AQ:$AQ,"&lt;=77")</f>
        <v>2</v>
      </c>
      <c r="D123" s="53">
        <f>C123/C$127</f>
        <v>4.4444444444444446E-2</v>
      </c>
      <c r="E123" s="54">
        <f>E122+D123</f>
        <v>0.91111111111111109</v>
      </c>
    </row>
    <row r="124" spans="2:5" x14ac:dyDescent="0.25">
      <c r="B124" s="52">
        <v>84</v>
      </c>
      <c r="C124" s="50">
        <f>COUNTIFS(Data!$J:$J,1,Data!$AQ:$AQ,"&gt;77",Data!$AQ:$AQ,"&lt;=84")</f>
        <v>1</v>
      </c>
      <c r="D124" s="53">
        <f>C124/C$127</f>
        <v>2.2222222222222223E-2</v>
      </c>
      <c r="E124" s="54">
        <f>E123+D124</f>
        <v>0.93333333333333335</v>
      </c>
    </row>
    <row r="125" spans="2:5" x14ac:dyDescent="0.25">
      <c r="B125" s="52">
        <v>91</v>
      </c>
      <c r="C125" s="50">
        <f>COUNTIFS(Data!$J:$J,1,Data!$AQ:$AQ,"&gt;84",Data!$AQ:$AQ,"&lt;=91")</f>
        <v>0</v>
      </c>
      <c r="D125" s="53">
        <f>C125/C$127</f>
        <v>0</v>
      </c>
      <c r="E125" s="54">
        <f>E124+D125</f>
        <v>0.93333333333333335</v>
      </c>
    </row>
    <row r="126" spans="2:5" x14ac:dyDescent="0.25">
      <c r="B126" s="49" t="s">
        <v>463</v>
      </c>
      <c r="C126" s="50">
        <f>COUNTIFS(Data!$J:$J,1,Data!$AQ:$AQ,"&gt;91",Data!$AQ:$AQ,"&lt;=1000")</f>
        <v>3</v>
      </c>
      <c r="D126" s="53">
        <f>C126/C$127</f>
        <v>6.6666666666666666E-2</v>
      </c>
      <c r="E126" s="54">
        <f>E125+D126</f>
        <v>1</v>
      </c>
    </row>
    <row r="127" spans="2:5" x14ac:dyDescent="0.25">
      <c r="B127" s="58"/>
      <c r="C127" s="59">
        <f>SUM(C112:C126)</f>
        <v>45</v>
      </c>
      <c r="D127" s="53">
        <f>C127/C$127</f>
        <v>1</v>
      </c>
      <c r="E127" s="54"/>
    </row>
  </sheetData>
  <sortState ref="B3:B13">
    <sortCondition ref="B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2:I36"/>
  <sheetViews>
    <sheetView workbookViewId="0">
      <selection activeCell="N18" sqref="N18"/>
    </sheetView>
  </sheetViews>
  <sheetFormatPr defaultRowHeight="15" x14ac:dyDescent="0.25"/>
  <cols>
    <col min="1" max="1" width="2.7109375" customWidth="1"/>
    <col min="2" max="2" width="10.7109375" style="1" customWidth="1"/>
    <col min="3" max="6" width="10.7109375" style="3" customWidth="1"/>
    <col min="7" max="15" width="10.7109375" customWidth="1"/>
  </cols>
  <sheetData>
    <row r="22" spans="2:9" x14ac:dyDescent="0.25">
      <c r="C22" s="44">
        <f>C23/$C23</f>
        <v>1</v>
      </c>
      <c r="D22" s="44">
        <f>D23/$C23</f>
        <v>0.82113821138211385</v>
      </c>
      <c r="E22" s="44">
        <f t="shared" ref="E22:I22" si="0">E23/$C23</f>
        <v>0.15853658536585366</v>
      </c>
      <c r="F22" s="44">
        <f t="shared" si="0"/>
        <v>2.032520325203252E-2</v>
      </c>
      <c r="G22" s="44">
        <f t="shared" si="0"/>
        <v>0</v>
      </c>
      <c r="H22" s="44">
        <f t="shared" si="0"/>
        <v>0</v>
      </c>
      <c r="I22" s="44">
        <f t="shared" si="0"/>
        <v>0</v>
      </c>
    </row>
    <row r="23" spans="2:9" x14ac:dyDescent="0.25">
      <c r="B23" s="62" t="s">
        <v>588</v>
      </c>
      <c r="C23" s="2">
        <f>SUM(C25:C36)</f>
        <v>246</v>
      </c>
      <c r="D23" s="2">
        <f t="shared" ref="D23:I23" si="1">SUM(D25:D36)</f>
        <v>202</v>
      </c>
      <c r="E23" s="2">
        <f t="shared" si="1"/>
        <v>39</v>
      </c>
      <c r="F23" s="2">
        <f t="shared" si="1"/>
        <v>5</v>
      </c>
      <c r="G23" s="2">
        <f t="shared" si="1"/>
        <v>0</v>
      </c>
      <c r="H23" s="2">
        <f t="shared" si="1"/>
        <v>0</v>
      </c>
      <c r="I23" s="2">
        <f t="shared" si="1"/>
        <v>0</v>
      </c>
    </row>
    <row r="24" spans="2:9" x14ac:dyDescent="0.25">
      <c r="B24" s="62" t="s">
        <v>469</v>
      </c>
      <c r="C24" s="3" t="s">
        <v>470</v>
      </c>
      <c r="D24" s="3" t="s">
        <v>38</v>
      </c>
      <c r="E24" s="3" t="s">
        <v>42</v>
      </c>
      <c r="F24" s="3" t="s">
        <v>514</v>
      </c>
      <c r="G24" s="3" t="s">
        <v>582</v>
      </c>
      <c r="H24" s="3" t="s">
        <v>586</v>
      </c>
      <c r="I24" s="3" t="s">
        <v>587</v>
      </c>
    </row>
    <row r="25" spans="2:9" x14ac:dyDescent="0.25">
      <c r="B25" s="62">
        <v>1</v>
      </c>
      <c r="C25" s="2">
        <f>USA!E19</f>
        <v>3</v>
      </c>
      <c r="D25" s="2">
        <f>PHO!E19</f>
        <v>3</v>
      </c>
      <c r="E25" s="2">
        <f>LV!E21</f>
        <v>5</v>
      </c>
      <c r="F25" s="2">
        <f>ATL!E11</f>
        <v>5</v>
      </c>
    </row>
    <row r="26" spans="2:9" x14ac:dyDescent="0.25">
      <c r="B26" s="62">
        <v>2</v>
      </c>
      <c r="C26" s="2">
        <f>USA!E20</f>
        <v>16</v>
      </c>
      <c r="D26" s="2">
        <f>PHO!E20</f>
        <v>16</v>
      </c>
      <c r="E26" s="2">
        <f>LV!E22</f>
        <v>11</v>
      </c>
      <c r="F26" s="2"/>
    </row>
    <row r="27" spans="2:9" x14ac:dyDescent="0.25">
      <c r="B27" s="62">
        <v>3</v>
      </c>
      <c r="C27" s="2">
        <f>USA!E21</f>
        <v>36</v>
      </c>
      <c r="D27" s="2">
        <f>PHO!E21</f>
        <v>31</v>
      </c>
      <c r="E27" s="2">
        <f>LV!E23</f>
        <v>13</v>
      </c>
      <c r="F27" s="2"/>
    </row>
    <row r="28" spans="2:9" x14ac:dyDescent="0.25">
      <c r="B28" s="62">
        <v>4</v>
      </c>
      <c r="C28" s="2">
        <f>USA!E22</f>
        <v>55</v>
      </c>
      <c r="D28" s="2">
        <f>PHO!E22</f>
        <v>44</v>
      </c>
      <c r="E28" s="2">
        <f>LV!E24</f>
        <v>10</v>
      </c>
      <c r="F28" s="2"/>
    </row>
    <row r="29" spans="2:9" x14ac:dyDescent="0.25">
      <c r="B29" s="62">
        <v>5</v>
      </c>
      <c r="C29" s="2">
        <f>USA!E23</f>
        <v>76</v>
      </c>
      <c r="D29" s="2">
        <f>PHO!E23</f>
        <v>63</v>
      </c>
    </row>
    <row r="30" spans="2:9" x14ac:dyDescent="0.25">
      <c r="B30" s="62">
        <v>6</v>
      </c>
      <c r="C30" s="2">
        <f>USA!E24</f>
        <v>60</v>
      </c>
      <c r="D30" s="2">
        <f>PHO!E24</f>
        <v>45</v>
      </c>
    </row>
    <row r="31" spans="2:9" x14ac:dyDescent="0.25">
      <c r="B31" s="62">
        <v>7</v>
      </c>
      <c r="C31" s="2"/>
      <c r="D31" s="2"/>
    </row>
    <row r="32" spans="2:9" x14ac:dyDescent="0.25">
      <c r="B32" s="62">
        <v>8</v>
      </c>
      <c r="C32" s="2"/>
    </row>
    <row r="33" spans="2:3" x14ac:dyDescent="0.25">
      <c r="B33" s="62">
        <v>9</v>
      </c>
      <c r="C33" s="2"/>
    </row>
    <row r="34" spans="2:3" x14ac:dyDescent="0.25">
      <c r="B34" s="62">
        <v>10</v>
      </c>
      <c r="C34" s="2"/>
    </row>
    <row r="35" spans="2:3" x14ac:dyDescent="0.25">
      <c r="B35" s="62">
        <v>11</v>
      </c>
      <c r="C35" s="2"/>
    </row>
    <row r="36" spans="2:3" x14ac:dyDescent="0.25">
      <c r="B36" s="62">
        <v>12</v>
      </c>
      <c r="C3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C22"/>
  <sheetViews>
    <sheetView workbookViewId="0">
      <selection activeCell="G34" sqref="G34"/>
    </sheetView>
  </sheetViews>
  <sheetFormatPr defaultRowHeight="15" x14ac:dyDescent="0.25"/>
  <cols>
    <col min="1" max="1" width="2.7109375" customWidth="1"/>
    <col min="2" max="2" width="42.7109375" customWidth="1"/>
    <col min="3" max="3" width="16.7109375" style="3" customWidth="1"/>
  </cols>
  <sheetData>
    <row r="2" spans="2:3" x14ac:dyDescent="0.25">
      <c r="C2" s="3" t="s">
        <v>589</v>
      </c>
    </row>
    <row r="3" spans="2:3" x14ac:dyDescent="0.25">
      <c r="B3" t="s">
        <v>583</v>
      </c>
    </row>
    <row r="4" spans="2:3" x14ac:dyDescent="0.25">
      <c r="B4" t="s">
        <v>584</v>
      </c>
    </row>
    <row r="5" spans="2:3" x14ac:dyDescent="0.25">
      <c r="B5" s="61" t="s">
        <v>585</v>
      </c>
      <c r="C5" s="15">
        <f>USA!Q10</f>
        <v>11.12825</v>
      </c>
    </row>
    <row r="7" spans="2:3" x14ac:dyDescent="0.25">
      <c r="B7" s="61" t="s">
        <v>590</v>
      </c>
      <c r="C7" s="15">
        <f>USA!Q11</f>
        <v>3.3917999999999999</v>
      </c>
    </row>
    <row r="8" spans="2:3" x14ac:dyDescent="0.25">
      <c r="B8" s="61" t="s">
        <v>591</v>
      </c>
      <c r="C8" s="15">
        <f>USA!AA10</f>
        <v>3.2158499999999997</v>
      </c>
    </row>
    <row r="9" spans="2:3" x14ac:dyDescent="0.25">
      <c r="B9" s="14" t="s">
        <v>592</v>
      </c>
      <c r="C9" s="15">
        <f>USA!AA11</f>
        <v>4.9718999999999998</v>
      </c>
    </row>
    <row r="10" spans="2:3" x14ac:dyDescent="0.25">
      <c r="B10" s="14" t="s">
        <v>593</v>
      </c>
      <c r="C10" s="15">
        <f>C7+C8+C9</f>
        <v>11.579549999999999</v>
      </c>
    </row>
    <row r="11" spans="2:3" x14ac:dyDescent="0.25">
      <c r="B11" s="14"/>
    </row>
    <row r="12" spans="2:3" x14ac:dyDescent="0.25">
      <c r="B12" s="14" t="s">
        <v>594</v>
      </c>
      <c r="C12" s="15">
        <f>(USA!F10+USA!F9)-(USA!Q10+USA!Q9)-(USA!AA11+USA!AA10)</f>
        <v>37.677406999999995</v>
      </c>
    </row>
    <row r="13" spans="2:3" x14ac:dyDescent="0.25">
      <c r="B13" s="14" t="s">
        <v>595</v>
      </c>
      <c r="C13" s="63">
        <v>0.9</v>
      </c>
    </row>
    <row r="14" spans="2:3" x14ac:dyDescent="0.25">
      <c r="B14" s="14" t="s">
        <v>596</v>
      </c>
      <c r="C14" s="15">
        <f>C12*C13</f>
        <v>33.909666299999998</v>
      </c>
    </row>
    <row r="15" spans="2:3" x14ac:dyDescent="0.25">
      <c r="B15" s="14"/>
    </row>
    <row r="16" spans="2:3" x14ac:dyDescent="0.25">
      <c r="B16" s="14" t="s">
        <v>597</v>
      </c>
      <c r="C16" s="64">
        <f>C3+C4+C5+C10</f>
        <v>22.707799999999999</v>
      </c>
    </row>
    <row r="17" spans="2:3" x14ac:dyDescent="0.25">
      <c r="B17" s="14" t="s">
        <v>598</v>
      </c>
      <c r="C17" s="64">
        <f>C3+C4+C5+C14</f>
        <v>45.037916299999999</v>
      </c>
    </row>
    <row r="18" spans="2:3" x14ac:dyDescent="0.25">
      <c r="B18" s="14"/>
    </row>
    <row r="19" spans="2:3" x14ac:dyDescent="0.25">
      <c r="B19" s="61"/>
    </row>
    <row r="20" spans="2:3" x14ac:dyDescent="0.25">
      <c r="B20" s="12"/>
      <c r="C20" s="9"/>
    </row>
    <row r="21" spans="2:3" x14ac:dyDescent="0.25">
      <c r="B21" s="61"/>
      <c r="C21" s="15"/>
    </row>
    <row r="22" spans="2:3" x14ac:dyDescent="0.25">
      <c r="B22" s="14"/>
      <c r="C2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D26"/>
  <sheetViews>
    <sheetView workbookViewId="0">
      <selection activeCell="G40" sqref="G40"/>
    </sheetView>
  </sheetViews>
  <sheetFormatPr defaultRowHeight="15" x14ac:dyDescent="0.25"/>
  <cols>
    <col min="1" max="1" width="1.7109375" style="4" customWidth="1"/>
    <col min="2" max="2" width="6.7109375" style="4" customWidth="1"/>
    <col min="3" max="3" width="3.7109375" style="4" customWidth="1"/>
    <col min="4" max="4" width="20.7109375" style="12" customWidth="1"/>
    <col min="5" max="24" width="10.7109375" style="9" customWidth="1"/>
    <col min="25" max="25" width="10.7109375" style="4" customWidth="1"/>
    <col min="26" max="27" width="10.7109375" style="9" customWidth="1"/>
    <col min="28" max="48" width="10.7109375" style="4" customWidth="1"/>
    <col min="49" max="16384" width="9.140625" style="4"/>
  </cols>
  <sheetData>
    <row r="1" spans="2:30" s="13" customFormat="1" x14ac:dyDescent="0.25">
      <c r="D1" s="12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Z1" s="9"/>
      <c r="AA1" s="9"/>
    </row>
    <row r="2" spans="2:30" s="13" customFormat="1" x14ac:dyDescent="0.25">
      <c r="D2" s="12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Z2" s="9"/>
      <c r="AA2" s="9"/>
    </row>
    <row r="3" spans="2:30" s="13" customFormat="1" x14ac:dyDescent="0.25">
      <c r="D3" s="12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Z3" s="9"/>
      <c r="AA3" s="9"/>
    </row>
    <row r="4" spans="2:30" s="13" customFormat="1" x14ac:dyDescent="0.25">
      <c r="D4" s="12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Z4" s="9"/>
      <c r="AA4" s="9"/>
    </row>
    <row r="5" spans="2:30" s="13" customFormat="1" x14ac:dyDescent="0.25">
      <c r="D5" s="14"/>
      <c r="G5" s="1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C5" s="9"/>
      <c r="AD5" s="9"/>
    </row>
    <row r="6" spans="2:30" x14ac:dyDescent="0.25">
      <c r="D6" s="34" t="s">
        <v>460</v>
      </c>
      <c r="E6" s="45" t="s">
        <v>384</v>
      </c>
      <c r="F6" s="46"/>
      <c r="G6" s="47"/>
      <c r="H6" s="32" t="s">
        <v>450</v>
      </c>
      <c r="I6" s="45" t="s">
        <v>410</v>
      </c>
      <c r="J6" s="46"/>
      <c r="K6" s="46"/>
      <c r="L6" s="47"/>
      <c r="M6" s="45" t="s">
        <v>406</v>
      </c>
      <c r="N6" s="46"/>
      <c r="O6" s="47"/>
      <c r="P6" s="45" t="s">
        <v>398</v>
      </c>
      <c r="Q6" s="46"/>
      <c r="R6" s="46"/>
      <c r="S6" s="46"/>
      <c r="T6" s="46"/>
      <c r="U6" s="47"/>
      <c r="V6" s="45" t="s">
        <v>453</v>
      </c>
      <c r="W6" s="46"/>
      <c r="X6" s="47"/>
      <c r="Z6" s="45" t="s">
        <v>456</v>
      </c>
      <c r="AA6" s="46"/>
    </row>
    <row r="7" spans="2:30" x14ac:dyDescent="0.25">
      <c r="D7" s="30" t="s">
        <v>449</v>
      </c>
      <c r="E7" s="20" t="s">
        <v>385</v>
      </c>
      <c r="F7" s="18" t="s">
        <v>391</v>
      </c>
      <c r="G7" s="23" t="s">
        <v>389</v>
      </c>
      <c r="H7" s="18" t="s">
        <v>409</v>
      </c>
      <c r="I7" s="20" t="s">
        <v>385</v>
      </c>
      <c r="J7" s="18" t="s">
        <v>388</v>
      </c>
      <c r="K7" s="18" t="s">
        <v>388</v>
      </c>
      <c r="L7" s="23" t="s">
        <v>394</v>
      </c>
      <c r="M7" s="20" t="s">
        <v>385</v>
      </c>
      <c r="N7" s="18" t="s">
        <v>404</v>
      </c>
      <c r="O7" s="23" t="s">
        <v>394</v>
      </c>
      <c r="P7" s="20" t="s">
        <v>385</v>
      </c>
      <c r="Q7" s="18" t="s">
        <v>454</v>
      </c>
      <c r="R7" s="18" t="s">
        <v>399</v>
      </c>
      <c r="S7" s="18" t="s">
        <v>399</v>
      </c>
      <c r="T7" s="18" t="s">
        <v>394</v>
      </c>
      <c r="U7" s="23" t="s">
        <v>393</v>
      </c>
      <c r="V7" s="20" t="s">
        <v>385</v>
      </c>
      <c r="W7" s="18" t="s">
        <v>404</v>
      </c>
      <c r="X7" s="23" t="s">
        <v>448</v>
      </c>
      <c r="Z7" s="20" t="s">
        <v>457</v>
      </c>
      <c r="AA7" s="18" t="s">
        <v>404</v>
      </c>
    </row>
    <row r="8" spans="2:30" ht="15.75" thickBot="1" x14ac:dyDescent="0.3">
      <c r="D8" s="31"/>
      <c r="E8" s="21" t="s">
        <v>390</v>
      </c>
      <c r="F8" s="19" t="s">
        <v>452</v>
      </c>
      <c r="G8" s="24" t="s">
        <v>387</v>
      </c>
      <c r="H8" s="19" t="s">
        <v>451</v>
      </c>
      <c r="I8" s="21" t="s">
        <v>392</v>
      </c>
      <c r="J8" s="19" t="s">
        <v>397</v>
      </c>
      <c r="K8" s="19" t="s">
        <v>396</v>
      </c>
      <c r="L8" s="24" t="s">
        <v>395</v>
      </c>
      <c r="M8" s="21" t="s">
        <v>22</v>
      </c>
      <c r="N8" s="19" t="s">
        <v>386</v>
      </c>
      <c r="O8" s="24" t="s">
        <v>400</v>
      </c>
      <c r="P8" s="21" t="s">
        <v>23</v>
      </c>
      <c r="Q8" s="19" t="s">
        <v>386</v>
      </c>
      <c r="R8" s="19" t="s">
        <v>397</v>
      </c>
      <c r="S8" s="19" t="s">
        <v>396</v>
      </c>
      <c r="T8" s="19" t="s">
        <v>447</v>
      </c>
      <c r="U8" s="24" t="s">
        <v>402</v>
      </c>
      <c r="V8" s="21" t="s">
        <v>21</v>
      </c>
      <c r="W8" s="19" t="s">
        <v>386</v>
      </c>
      <c r="X8" s="24" t="s">
        <v>403</v>
      </c>
      <c r="Z8" s="21" t="s">
        <v>22</v>
      </c>
      <c r="AA8" s="19" t="s">
        <v>386</v>
      </c>
    </row>
    <row r="9" spans="2:30" x14ac:dyDescent="0.25">
      <c r="B9" s="4">
        <f t="shared" ref="B9:B11" si="0">YEAR(D9)</f>
        <v>2018</v>
      </c>
      <c r="C9" s="4">
        <v>2</v>
      </c>
      <c r="D9" s="29">
        <v>43281</v>
      </c>
      <c r="E9" s="27">
        <f>COUNTIFS(Data!$E:$E,$B9,Data!$D:$D,$C9,Data!$B:$B,1)</f>
        <v>19</v>
      </c>
      <c r="F9" s="22">
        <f>SUMIFS(Data!$AA:$AA,Data!$E:$E,$B9,Data!$D:$D,$C9)/1000000</f>
        <v>6.0549999999999997</v>
      </c>
      <c r="G9" s="28">
        <f>AVERAGEIFS(Data!$AA:$AA,Data!$E:$E,$B9,Data!$D:$D,$C9,Data!$B:$B,1)/1000</f>
        <v>318.68421052631578</v>
      </c>
      <c r="H9" s="17">
        <f>E9-I9</f>
        <v>8</v>
      </c>
      <c r="I9" s="27">
        <f>COUNTIFS(Data!$I:$I,$B9,Data!$H:$H,$C9,Data!$F:$F,1)</f>
        <v>11</v>
      </c>
      <c r="J9" s="25">
        <f>AVERAGEIFS(Data!$AI:$AI,Data!$I:$I,$B9,Data!$H:$H,$C9,Data!$F:$F,1)</f>
        <v>8345.454545454546</v>
      </c>
      <c r="K9" s="26">
        <f>AVERAGEIFS(Data!$AG:$AG,Data!$I:$I,$B9,Data!$H:$H,$C9,Data!$F:$F,1)/AVERAGEIFS(Data!$AA:$AA,Data!$I:$I,$B9,Data!$H:$H,$C9,Data!$F:$F,1)-1</f>
        <v>2.4905046120455632E-2</v>
      </c>
      <c r="L9" s="28">
        <f>AVERAGEIFS(Data!$AH:$AH,Data!$I:$I,$B9,Data!$H:$H,$C9,Data!$F:$F,1)</f>
        <v>11.818181818181818</v>
      </c>
      <c r="M9" s="27"/>
      <c r="N9" s="22"/>
      <c r="O9" s="28"/>
      <c r="P9" s="27"/>
      <c r="Q9" s="22"/>
      <c r="R9" s="25"/>
      <c r="S9" s="26"/>
      <c r="T9" s="25"/>
      <c r="U9" s="28"/>
      <c r="V9" s="27">
        <f>E9-P9</f>
        <v>19</v>
      </c>
      <c r="W9" s="22">
        <f>F9-Q9</f>
        <v>6.0549999999999997</v>
      </c>
      <c r="X9" s="28">
        <f>AVERAGEIFS(Data!$AV:$AV,Data!$B:$B,1)</f>
        <v>16.842105263157894</v>
      </c>
      <c r="Z9" s="27"/>
      <c r="AA9" s="22"/>
    </row>
    <row r="10" spans="2:30" x14ac:dyDescent="0.25">
      <c r="B10" s="4">
        <f t="shared" si="0"/>
        <v>2018</v>
      </c>
      <c r="C10" s="4">
        <v>3</v>
      </c>
      <c r="D10" s="29">
        <v>43373</v>
      </c>
      <c r="E10" s="27">
        <f>COUNTIFS(Data!$E:$E,$B10,Data!$D:$D,$C10,Data!$B:$B,1)</f>
        <v>167</v>
      </c>
      <c r="F10" s="22">
        <f>SUMIFS(Data!$AA:$AA,Data!$E:$E,$B10,Data!$D:$D,$C10)/1000000</f>
        <v>50.938406999999998</v>
      </c>
      <c r="G10" s="28">
        <f>AVERAGEIFS(Data!$AA:$AA,Data!$E:$E,$B10,Data!$D:$D,$C10,Data!$B:$B,1)/1000</f>
        <v>305.02040119760477</v>
      </c>
      <c r="H10" s="17">
        <f>(E10+E9)-(I9+I10)</f>
        <v>61</v>
      </c>
      <c r="I10" s="27">
        <f>COUNTIFS(Data!$I:$I,$B10,Data!$H:$H,$C10,Data!$F:$F,1)</f>
        <v>114</v>
      </c>
      <c r="J10" s="25">
        <f>AVERAGEIFS(Data!$AI:$AI,Data!$I:$I,$B10,Data!$H:$H,$C10,Data!$F:$F,1)</f>
        <v>12348.473684210527</v>
      </c>
      <c r="K10" s="26">
        <f>AVERAGEIFS(Data!$AG:$AG,Data!$I:$I,$B10,Data!$H:$H,$C10,Data!$F:$F,1)/AVERAGEIFS(Data!$AA:$AA,Data!$I:$I,$B10,Data!$H:$H,$C10,Data!$F:$F,1)-1</f>
        <v>3.9096794899674769E-2</v>
      </c>
      <c r="L10" s="28">
        <f>AVERAGEIFS(Data!$AH:$AH,Data!$I:$I,$B10,Data!$H:$H,$C10,Data!$F:$F,1)</f>
        <v>17.421052631578949</v>
      </c>
      <c r="M10" s="27">
        <f>COUNTIFS(Data!$M:$M,$B10,Data!$L:$L,$C10,Data!$J:$J,1)</f>
        <v>46</v>
      </c>
      <c r="N10" s="22">
        <f>SUMIFS(Data!$AL:$AL,Data!$M:$M,$B10,Data!$L:$L,$C10,Data!$J:$J,1)/1000000</f>
        <v>14.344099999999999</v>
      </c>
      <c r="O10" s="28">
        <f>AVERAGEIFS(Data!$AM:$AM,Data!$M:$M,$B10,Data!$L:$L,$C10,Data!$J:$J,1)</f>
        <v>16.804347826086957</v>
      </c>
      <c r="P10" s="27">
        <f>COUNTIFS(Data!$Q:$Q,$B10,Data!$P:$P,$C10,Data!$N:$N,1)</f>
        <v>36</v>
      </c>
      <c r="Q10" s="22">
        <f>SUMIFS(Data!$AO:$AO,Data!$Q:$Q,$B10,Data!$P:$P,$C10)/1000000</f>
        <v>11.12825</v>
      </c>
      <c r="R10" s="25">
        <f>AVERAGEIFS(Data!$AR:$AR,Data!$Q:$Q,$B10,Data!$P:$P,$C10,Data!$N:$N,1)</f>
        <v>8163.333333333333</v>
      </c>
      <c r="S10" s="26">
        <f>AVERAGEIFS(Data!$AO:$AO,Data!$Q:$Q,$B10,Data!$P:$P,$C10,Data!$N:$N,1)/AVERAGEIFS(Data!$AA:$AA,Data!$Q:$Q,$B10,Data!$P:$P,$C10,Data!$N:$N,1)-1</f>
        <v>2.7124788981731207E-2</v>
      </c>
      <c r="T10" s="25">
        <f>AVERAGEIFS(Data!$AP:$AP,Data!$Q:$Q,$B10,Data!$P:$P,$C10,Data!$N:$N,1)</f>
        <v>23.428571428571427</v>
      </c>
      <c r="U10" s="28">
        <f>AVERAGEIFS(Data!$AQ:$AQ,Data!$Q:$Q,$B10,Data!$P:$P,$C10,Data!$N:$N,1)</f>
        <v>53.833333333333336</v>
      </c>
      <c r="V10" s="27">
        <f>V9+E10-P10</f>
        <v>150</v>
      </c>
      <c r="W10" s="22">
        <f>W9+F10-Q10</f>
        <v>45.865156999999996</v>
      </c>
      <c r="X10" s="28">
        <f>AVERAGEIFS(Data!$AY:$AY,Data!$B:$B,1)</f>
        <v>32.033333333333331</v>
      </c>
      <c r="Z10" s="27">
        <f>M10-P10</f>
        <v>10</v>
      </c>
      <c r="AA10" s="22">
        <f>N10-Q10</f>
        <v>3.2158499999999997</v>
      </c>
    </row>
    <row r="11" spans="2:30" x14ac:dyDescent="0.25">
      <c r="B11" s="4">
        <f t="shared" si="0"/>
        <v>2018</v>
      </c>
      <c r="C11" s="4">
        <v>4</v>
      </c>
      <c r="D11" s="29">
        <v>43465</v>
      </c>
      <c r="E11" s="27">
        <f>COUNTIFS(Data!$E:$E,$B11,Data!$D:$D,$C11,Data!$B:$B,1)</f>
        <v>60</v>
      </c>
      <c r="F11" s="22">
        <f>SUMIFS(Data!$AA:$AA,Data!$E:$E,$B11,Data!$D:$D,$C11)/1000000</f>
        <v>18.786735</v>
      </c>
      <c r="G11" s="28">
        <f>AVERAGEIFS(Data!$AA:$AA,Data!$E:$E,$B11,Data!$D:$D,$C11,Data!$B:$B,1)/1000</f>
        <v>313.11225000000002</v>
      </c>
      <c r="H11" s="17">
        <f>(E11+E10)-(I10+I11)</f>
        <v>70</v>
      </c>
      <c r="I11" s="27">
        <f>COUNTIFS(Data!$I:$I,$B11,Data!$H:$H,$C11,Data!$F:$F,1)</f>
        <v>43</v>
      </c>
      <c r="J11" s="25">
        <f>AVERAGEIFS(Data!$AI:$AI,Data!$I:$I,$B11,Data!$H:$H,$C11,Data!$F:$F,1)</f>
        <v>12211.976744186049</v>
      </c>
      <c r="K11" s="26">
        <f>AVERAGEIFS(Data!$AG:$AG,Data!$I:$I,$B11,Data!$H:$H,$C11,Data!$F:$F,1)/AVERAGEIFS(Data!$AA:$AA,Data!$I:$I,$B11,Data!$H:$H,$C11,Data!$F:$F,1)-1</f>
        <v>4.4433547681774987E-2</v>
      </c>
      <c r="L11" s="28">
        <f>AVERAGEIFS(Data!$AH:$AH,Data!$I:$I,$B11,Data!$H:$H,$C11,Data!$F:$F,1)</f>
        <v>18.13953488372093</v>
      </c>
      <c r="M11" s="27">
        <f>COUNTIFS(Data!$M:$M,$B11,Data!$L:$L,$C11,Data!$J:$J,1)</f>
        <v>29</v>
      </c>
      <c r="N11" s="22">
        <f>SUMIFS(Data!$AL:$AL,Data!$M:$M,$B11,Data!$L:$L,$C11,Data!$J:$J,1)/1000000</f>
        <v>8.3636999999999997</v>
      </c>
      <c r="O11" s="28">
        <f>AVERAGEIFS(Data!$AM:$AM,Data!$M:$M,$B11,Data!$L:$L,$C11,Data!$J:$J,1)</f>
        <v>26.448275862068964</v>
      </c>
      <c r="P11" s="27">
        <f>COUNTIFS(Data!$Q:$Q,$B11,Data!$P:$P,$C11,Data!$N:$N,1)</f>
        <v>10</v>
      </c>
      <c r="Q11" s="22">
        <f>SUMIFS(Data!$AO:$AO,Data!$Q:$Q,$B11,Data!$P:$P,$C11)/1000000</f>
        <v>3.3917999999999999</v>
      </c>
      <c r="R11" s="25">
        <f>AVERAGEIFS(Data!$AR:$AR,Data!$Q:$Q,$B11,Data!$P:$P,$C11,Data!$N:$N,1)</f>
        <v>10352.4</v>
      </c>
      <c r="S11" s="26">
        <f>AVERAGEIFS(Data!$AO:$AO,Data!$Q:$Q,$B11,Data!$P:$P,$C11,Data!$N:$N,1)/AVERAGEIFS(Data!$AA:$AA,Data!$Q:$Q,$B11,Data!$P:$P,$C11,Data!$N:$N,1)-1</f>
        <v>3.1482758746528727E-2</v>
      </c>
      <c r="T11" s="25">
        <f>AVERAGEIFS(Data!$AP:$AP,Data!$Q:$Q,$B11,Data!$P:$P,$C11,Data!$N:$N,1)</f>
        <v>22.7</v>
      </c>
      <c r="U11" s="28">
        <f>AVERAGEIFS(Data!$AQ:$AQ,Data!$Q:$Q,$B11,Data!$P:$P,$C11,Data!$N:$N,1)</f>
        <v>57</v>
      </c>
      <c r="V11" s="27">
        <f>V10+E11-P11</f>
        <v>200</v>
      </c>
      <c r="W11" s="22">
        <f>W10+F11-Q11</f>
        <v>61.260092</v>
      </c>
      <c r="X11" s="28">
        <f ca="1">AVERAGEIFS(Data!$AZ:$AZ,Data!$B:$B,1)</f>
        <v>37.517968206773503</v>
      </c>
      <c r="Z11" s="27">
        <f>M11-P11</f>
        <v>19</v>
      </c>
      <c r="AA11" s="22">
        <f>N11-Q11</f>
        <v>4.9718999999999998</v>
      </c>
    </row>
    <row r="12" spans="2:30" s="13" customFormat="1" x14ac:dyDescent="0.25">
      <c r="D12" s="12"/>
      <c r="E12" s="6"/>
      <c r="F12" s="9"/>
      <c r="G12" s="9"/>
      <c r="H12" s="9"/>
      <c r="I12" s="9"/>
      <c r="J12" s="9"/>
      <c r="K12" s="9"/>
      <c r="L12" s="9"/>
      <c r="M12" s="9"/>
      <c r="N12" s="9"/>
      <c r="O12" s="9"/>
      <c r="P12" s="6"/>
      <c r="Q12" s="6"/>
      <c r="R12" s="9"/>
      <c r="S12" s="9"/>
      <c r="T12" s="9"/>
      <c r="U12" s="9"/>
      <c r="V12" s="9"/>
      <c r="W12" s="9"/>
      <c r="X12" s="9"/>
      <c r="Z12" s="9"/>
      <c r="AA12" s="9"/>
    </row>
    <row r="13" spans="2:30" s="13" customFormat="1" x14ac:dyDescent="0.25">
      <c r="D13" s="12"/>
      <c r="E13" s="6"/>
      <c r="F13" s="9"/>
      <c r="G13" s="9"/>
      <c r="H13" s="9"/>
      <c r="I13" s="9"/>
      <c r="J13" s="9"/>
      <c r="K13" s="9"/>
      <c r="L13" s="9"/>
      <c r="M13" s="9"/>
      <c r="N13" s="9"/>
      <c r="O13" s="9"/>
      <c r="P13" s="6"/>
      <c r="Q13" s="6"/>
      <c r="R13" s="9"/>
      <c r="S13" s="9"/>
      <c r="T13" s="9"/>
      <c r="U13" s="9"/>
      <c r="V13" s="9"/>
      <c r="W13" s="9"/>
      <c r="X13" s="9"/>
      <c r="Z13" s="9"/>
      <c r="AA13" s="9"/>
    </row>
    <row r="14" spans="2:30" s="13" customFormat="1" x14ac:dyDescent="0.25">
      <c r="D14" s="12"/>
      <c r="E14" s="6"/>
      <c r="F14" s="9"/>
      <c r="G14" s="9"/>
      <c r="H14" s="9"/>
      <c r="I14" s="9"/>
      <c r="J14" s="9"/>
      <c r="K14" s="9"/>
      <c r="L14" s="9"/>
      <c r="M14" s="9"/>
      <c r="N14" s="9"/>
      <c r="O14" s="9"/>
      <c r="P14" s="6"/>
      <c r="Q14" s="6"/>
      <c r="R14" s="9"/>
      <c r="S14" s="9"/>
      <c r="T14" s="9"/>
      <c r="U14" s="9"/>
      <c r="V14" s="9"/>
      <c r="W14" s="9"/>
      <c r="X14" s="9"/>
      <c r="Z14" s="9"/>
      <c r="AA14" s="9"/>
    </row>
    <row r="15" spans="2:30" x14ac:dyDescent="0.25">
      <c r="E15" s="6"/>
    </row>
    <row r="16" spans="2:30" x14ac:dyDescent="0.25">
      <c r="D16" s="34" t="str">
        <f>D6</f>
        <v>National</v>
      </c>
      <c r="E16" s="45" t="s">
        <v>384</v>
      </c>
      <c r="F16" s="46"/>
      <c r="G16" s="47"/>
      <c r="H16" s="32" t="s">
        <v>450</v>
      </c>
      <c r="I16" s="45" t="s">
        <v>410</v>
      </c>
      <c r="J16" s="46"/>
      <c r="K16" s="46"/>
      <c r="L16" s="47"/>
      <c r="M16" s="45" t="s">
        <v>406</v>
      </c>
      <c r="N16" s="46"/>
      <c r="O16" s="47"/>
      <c r="P16" s="45" t="s">
        <v>398</v>
      </c>
      <c r="Q16" s="46"/>
      <c r="R16" s="46"/>
      <c r="S16" s="46"/>
      <c r="T16" s="46"/>
      <c r="U16" s="47"/>
      <c r="V16" s="45" t="s">
        <v>453</v>
      </c>
      <c r="W16" s="46"/>
      <c r="X16" s="47"/>
      <c r="Y16"/>
      <c r="Z16"/>
      <c r="AA16"/>
      <c r="AB16"/>
    </row>
    <row r="17" spans="2:28" x14ac:dyDescent="0.25">
      <c r="D17" s="30" t="s">
        <v>449</v>
      </c>
      <c r="E17" s="20" t="s">
        <v>385</v>
      </c>
      <c r="F17" s="18" t="s">
        <v>391</v>
      </c>
      <c r="G17" s="23" t="s">
        <v>389</v>
      </c>
      <c r="H17" s="18" t="s">
        <v>409</v>
      </c>
      <c r="I17" s="20" t="s">
        <v>385</v>
      </c>
      <c r="J17" s="18" t="s">
        <v>388</v>
      </c>
      <c r="K17" s="18" t="s">
        <v>388</v>
      </c>
      <c r="L17" s="23" t="s">
        <v>394</v>
      </c>
      <c r="M17" s="20" t="s">
        <v>385</v>
      </c>
      <c r="N17" s="18" t="s">
        <v>404</v>
      </c>
      <c r="O17" s="23" t="s">
        <v>394</v>
      </c>
      <c r="P17" s="20" t="s">
        <v>385</v>
      </c>
      <c r="Q17" s="18" t="s">
        <v>454</v>
      </c>
      <c r="R17" s="18" t="s">
        <v>399</v>
      </c>
      <c r="S17" s="18" t="s">
        <v>399</v>
      </c>
      <c r="T17" s="18" t="s">
        <v>394</v>
      </c>
      <c r="U17" s="23" t="s">
        <v>393</v>
      </c>
      <c r="V17" s="20" t="s">
        <v>385</v>
      </c>
      <c r="W17" s="18" t="s">
        <v>404</v>
      </c>
      <c r="X17" s="23" t="s">
        <v>448</v>
      </c>
      <c r="Y17"/>
      <c r="Z17"/>
      <c r="AA17"/>
      <c r="AB17"/>
    </row>
    <row r="18" spans="2:28" ht="15.75" thickBot="1" x14ac:dyDescent="0.3">
      <c r="D18" s="31"/>
      <c r="E18" s="21" t="s">
        <v>390</v>
      </c>
      <c r="F18" s="19" t="s">
        <v>452</v>
      </c>
      <c r="G18" s="24" t="s">
        <v>387</v>
      </c>
      <c r="H18" s="19" t="s">
        <v>451</v>
      </c>
      <c r="I18" s="21" t="s">
        <v>392</v>
      </c>
      <c r="J18" s="19" t="s">
        <v>397</v>
      </c>
      <c r="K18" s="19" t="s">
        <v>396</v>
      </c>
      <c r="L18" s="24" t="s">
        <v>395</v>
      </c>
      <c r="M18" s="21" t="s">
        <v>22</v>
      </c>
      <c r="N18" s="19" t="s">
        <v>386</v>
      </c>
      <c r="O18" s="24" t="s">
        <v>400</v>
      </c>
      <c r="P18" s="21" t="s">
        <v>23</v>
      </c>
      <c r="Q18" s="19" t="s">
        <v>386</v>
      </c>
      <c r="R18" s="19" t="s">
        <v>397</v>
      </c>
      <c r="S18" s="19" t="s">
        <v>396</v>
      </c>
      <c r="T18" s="19" t="s">
        <v>447</v>
      </c>
      <c r="U18" s="24" t="s">
        <v>402</v>
      </c>
      <c r="V18" s="21" t="s">
        <v>21</v>
      </c>
      <c r="W18" s="19" t="s">
        <v>386</v>
      </c>
      <c r="X18" s="24" t="s">
        <v>403</v>
      </c>
      <c r="Y18"/>
      <c r="Z18"/>
      <c r="AA18"/>
      <c r="AB18"/>
    </row>
    <row r="19" spans="2:28" x14ac:dyDescent="0.25">
      <c r="B19" s="4">
        <f>YEAR(D19)</f>
        <v>2018</v>
      </c>
      <c r="C19" s="4">
        <f>MONTH(D19)</f>
        <v>5</v>
      </c>
      <c r="D19" s="29">
        <v>43251</v>
      </c>
      <c r="E19" s="27">
        <f>COUNTIFS(Data!$E:$E,$B19,Data!$C:$C,$C19,Data!$B:$B,1)</f>
        <v>3</v>
      </c>
      <c r="F19" s="22">
        <f>SUMIFS(Data!$AA:$AA,Data!$E:$E,$B19,Data!$C:$C,$C19)/1000000</f>
        <v>0.94199999999999995</v>
      </c>
      <c r="G19" s="28">
        <f>AVERAGEIFS(Data!$AA:$AA,Data!$E:$E,$B19,Data!$C:$C,$C19,Data!$B:$B,1)/1000</f>
        <v>314</v>
      </c>
      <c r="H19" s="17">
        <f>E19-I19</f>
        <v>2</v>
      </c>
      <c r="I19" s="27">
        <f>COUNTIFS(Data!$I:$I,$B19,Data!$G:$G,$C19,Data!$F:$F,1)</f>
        <v>1</v>
      </c>
      <c r="J19" s="25">
        <f>AVERAGEIFS(Data!$AI:$AI,Data!$I:$I,$B19,Data!$G:$G,$C19,Data!$F:$F,1)</f>
        <v>15000</v>
      </c>
      <c r="K19" s="26">
        <f>AVERAGEIFS(Data!$AG:$AG,Data!$I:$I,$B19,Data!$G:$G,$C19,Data!$F:$F,1)/AVERAGEIFS(Data!$AA:$AA,Data!$I:$I,$B19,Data!$G:$G,$C19,Data!$F:$F,1)-1</f>
        <v>3.6585365853658569E-2</v>
      </c>
      <c r="L19" s="28">
        <f>AVERAGEIFS(Data!$AH:$AH,Data!$I:$I,$B19,Data!$G:$G,$C19,Data!$F:$F,1)</f>
        <v>11</v>
      </c>
      <c r="M19" s="27"/>
      <c r="N19" s="22"/>
      <c r="O19" s="28"/>
      <c r="P19" s="27"/>
      <c r="Q19" s="22"/>
      <c r="R19" s="25"/>
      <c r="S19" s="26"/>
      <c r="T19" s="25"/>
      <c r="U19" s="28"/>
      <c r="V19" s="27">
        <f>E19-P19</f>
        <v>3</v>
      </c>
      <c r="W19" s="22">
        <f>F19-Q19</f>
        <v>0.94199999999999995</v>
      </c>
      <c r="X19" s="28">
        <f>AVERAGEIFS(Data!$AU:$AU,Data!$B:$B,1)</f>
        <v>7</v>
      </c>
      <c r="Y19"/>
      <c r="Z19"/>
      <c r="AA19"/>
      <c r="AB19"/>
    </row>
    <row r="20" spans="2:28" x14ac:dyDescent="0.25">
      <c r="B20" s="4">
        <f t="shared" ref="B20:B24" si="1">YEAR(D20)</f>
        <v>2018</v>
      </c>
      <c r="C20" s="4">
        <f t="shared" ref="C20:C24" si="2">MONTH(D20)</f>
        <v>6</v>
      </c>
      <c r="D20" s="29">
        <v>43281</v>
      </c>
      <c r="E20" s="27">
        <f>COUNTIFS(Data!$E:$E,$B20,Data!$C:$C,$C20,Data!$B:$B,1)</f>
        <v>16</v>
      </c>
      <c r="F20" s="22">
        <f>SUMIFS(Data!$AA:$AA,Data!$E:$E,$B20,Data!$C:$C,$C20)/1000000</f>
        <v>5.1130000000000004</v>
      </c>
      <c r="G20" s="28">
        <f>AVERAGEIFS(Data!$AA:$AA,Data!$E:$E,$B20,Data!$C:$C,$C20,Data!$B:$B,1)/1000</f>
        <v>319.5625</v>
      </c>
      <c r="H20" s="17">
        <f>(E20+E19)-(I19+I20)</f>
        <v>8</v>
      </c>
      <c r="I20" s="27">
        <f>COUNTIFS(Data!$I:$I,$B20,Data!$G:$G,$C20,Data!$F:$F,1)</f>
        <v>10</v>
      </c>
      <c r="J20" s="25">
        <f>AVERAGEIFS(Data!$AI:$AI,Data!$I:$I,$B20,Data!$G:$G,$C20,Data!$F:$F,1)</f>
        <v>7680</v>
      </c>
      <c r="K20" s="26">
        <f>AVERAGEIFS(Data!$AG:$AG,Data!$I:$I,$B20,Data!$G:$G,$C20,Data!$F:$F,1)/AVERAGEIFS(Data!$AA:$AA,Data!$I:$I,$B20,Data!$G:$G,$C20,Data!$F:$F,1)-1</f>
        <v>2.344322344322336E-2</v>
      </c>
      <c r="L20" s="28">
        <f>AVERAGEIFS(Data!$AH:$AH,Data!$I:$I,$B20,Data!$G:$G,$C20,Data!$F:$F,1)</f>
        <v>11.9</v>
      </c>
      <c r="M20" s="27"/>
      <c r="N20" s="22"/>
      <c r="O20" s="28"/>
      <c r="P20" s="27"/>
      <c r="Q20" s="22"/>
      <c r="R20" s="25"/>
      <c r="S20" s="26"/>
      <c r="T20" s="25"/>
      <c r="U20" s="28"/>
      <c r="V20" s="27">
        <f>V19+E20-P20</f>
        <v>19</v>
      </c>
      <c r="W20" s="22">
        <f>W19+F20-Q20</f>
        <v>6.0550000000000006</v>
      </c>
      <c r="X20" s="28">
        <f>AVERAGEIFS(Data!$AV:$AV,Data!$B:$B,1)</f>
        <v>16.842105263157894</v>
      </c>
      <c r="Y20"/>
      <c r="Z20"/>
      <c r="AA20"/>
    </row>
    <row r="21" spans="2:28" x14ac:dyDescent="0.25">
      <c r="B21" s="4">
        <f t="shared" si="1"/>
        <v>2018</v>
      </c>
      <c r="C21" s="4">
        <f t="shared" si="2"/>
        <v>7</v>
      </c>
      <c r="D21" s="29">
        <v>43312</v>
      </c>
      <c r="E21" s="27">
        <f>COUNTIFS(Data!$E:$E,$B21,Data!$C:$C,$C21,Data!$B:$B,1)</f>
        <v>36</v>
      </c>
      <c r="F21" s="22">
        <f>SUMIFS(Data!$AA:$AA,Data!$E:$E,$B21,Data!$C:$C,$C21)/1000000</f>
        <v>11.261559</v>
      </c>
      <c r="G21" s="28">
        <f>AVERAGEIFS(Data!$AA:$AA,Data!$E:$E,$B21,Data!$C:$C,$C21,Data!$B:$B,1)/1000</f>
        <v>312.82108333333332</v>
      </c>
      <c r="H21" s="17">
        <f t="shared" ref="H21:H24" si="3">(E21+E20)-(I20+I21)</f>
        <v>20</v>
      </c>
      <c r="I21" s="27">
        <f>COUNTIFS(Data!$I:$I,$B21,Data!$G:$G,$C21,Data!$F:$F,1)</f>
        <v>22</v>
      </c>
      <c r="J21" s="25">
        <f>AVERAGEIFS(Data!$AI:$AI,Data!$I:$I,$B21,Data!$G:$G,$C21,Data!$F:$F,1)</f>
        <v>8555.363636363636</v>
      </c>
      <c r="K21" s="26">
        <f>AVERAGEIFS(Data!$AG:$AG,Data!$I:$I,$B21,Data!$G:$G,$C21,Data!$F:$F,1)/AVERAGEIFS(Data!$AA:$AA,Data!$I:$I,$B21,Data!$G:$G,$C21,Data!$F:$F,1)-1</f>
        <v>2.6791903754237234E-2</v>
      </c>
      <c r="L21" s="28">
        <f>AVERAGEIFS(Data!$AH:$AH,Data!$I:$I,$B21,Data!$G:$G,$C21,Data!$F:$F,1)</f>
        <v>15.5</v>
      </c>
      <c r="M21" s="27">
        <f>COUNTIFS(Data!$M:$M,$B21,Data!$K:$K,$C21,Data!$J:$J,1)</f>
        <v>13</v>
      </c>
      <c r="N21" s="22">
        <f>SUMIFS(Data!$AL:$AL,Data!$M:$M,$B21,Data!$K:$K,$C21,Data!$J:$J,1)/1000000</f>
        <v>4.1863000000000001</v>
      </c>
      <c r="O21" s="28">
        <f>AVERAGEIFS(Data!$AM:$AM,Data!$M:$M,$B21,Data!$K:$K,$C21,Data!$J:$J,1)</f>
        <v>10.23076923076923</v>
      </c>
      <c r="P21" s="27">
        <f>COUNTIFS(Data!$Q:$Q,$B21,Data!$O:$O,$C21,Data!$N:$N,1)</f>
        <v>6</v>
      </c>
      <c r="Q21" s="22">
        <f>SUMIFS(Data!$AO:$AO,Data!$Q:$Q,$B21,Data!$O:$O,$C21)/1000000</f>
        <v>1.6998</v>
      </c>
      <c r="R21" s="25">
        <f>AVERAGEIFS(Data!$AR:$AR,Data!$Q:$Q,$B21,Data!$O:$O,$C21,Data!$N:$N,1)</f>
        <v>9966.6666666666661</v>
      </c>
      <c r="S21" s="26">
        <f>AVERAGEIFS(Data!$AO:$AO,Data!$Q:$Q,$B21,Data!$O:$O,$C21,Data!$N:$N,1)/AVERAGEIFS(Data!$AA:$AA,Data!$Q:$Q,$B21,Data!$O:$O,$C21,Data!$N:$N,1)-1</f>
        <v>3.6463414634146485E-2</v>
      </c>
      <c r="T21" s="25">
        <f>AVERAGEIFS(Data!$AP:$AP,Data!$Q:$Q,$B21,Data!$O:$O,$C21,Data!$N:$N,1)</f>
        <v>19.833333333333332</v>
      </c>
      <c r="U21" s="28">
        <f>AVERAGEIFS(Data!$AQ:$AQ,Data!$Q:$Q,$B21,Data!$O:$O,$C21,Data!$N:$N,1)</f>
        <v>37.833333333333336</v>
      </c>
      <c r="V21" s="27">
        <f t="shared" ref="V21:W24" si="4">V20+E21-P21</f>
        <v>49</v>
      </c>
      <c r="W21" s="22">
        <f t="shared" si="4"/>
        <v>15.616759000000002</v>
      </c>
      <c r="X21" s="28">
        <f>AVERAGEIFS(Data!$AW:$AW,Data!$B:$B,1)</f>
        <v>25.086956521739129</v>
      </c>
      <c r="Y21"/>
      <c r="Z21"/>
      <c r="AA21"/>
    </row>
    <row r="22" spans="2:28" x14ac:dyDescent="0.25">
      <c r="B22" s="4">
        <f t="shared" si="1"/>
        <v>2018</v>
      </c>
      <c r="C22" s="4">
        <f t="shared" si="2"/>
        <v>8</v>
      </c>
      <c r="D22" s="29">
        <v>43343</v>
      </c>
      <c r="E22" s="27">
        <f>COUNTIFS(Data!$E:$E,$B22,Data!$C:$C,$C22,Data!$B:$B,1)</f>
        <v>55</v>
      </c>
      <c r="F22" s="22">
        <f>SUMIFS(Data!$AA:$AA,Data!$E:$E,$B22,Data!$C:$C,$C22)/1000000</f>
        <v>17.436508</v>
      </c>
      <c r="G22" s="28">
        <f>AVERAGEIFS(Data!$AA:$AA,Data!$E:$E,$B22,Data!$C:$C,$C22,Data!$B:$B,1)/1000</f>
        <v>317.02741818181818</v>
      </c>
      <c r="H22" s="17">
        <f t="shared" si="3"/>
        <v>30</v>
      </c>
      <c r="I22" s="27">
        <f>COUNTIFS(Data!$I:$I,$B22,Data!$G:$G,$C22,Data!$F:$F,1)</f>
        <v>39</v>
      </c>
      <c r="J22" s="25">
        <f>AVERAGEIFS(Data!$AI:$AI,Data!$I:$I,$B22,Data!$G:$G,$C22,Data!$F:$F,1)</f>
        <v>9055.7435897435917</v>
      </c>
      <c r="K22" s="26">
        <f>AVERAGEIFS(Data!$AG:$AG,Data!$I:$I,$B22,Data!$G:$G,$C22,Data!$F:$F,1)/AVERAGEIFS(Data!$AA:$AA,Data!$I:$I,$B22,Data!$G:$G,$C22,Data!$F:$F,1)-1</f>
        <v>2.9374801318736266E-2</v>
      </c>
      <c r="L22" s="28">
        <f>AVERAGEIFS(Data!$AH:$AH,Data!$I:$I,$B22,Data!$G:$G,$C22,Data!$F:$F,1)</f>
        <v>15.820512820512821</v>
      </c>
      <c r="M22" s="27">
        <f>COUNTIFS(Data!$M:$M,$B22,Data!$K:$K,$C22,Data!$J:$J,1)</f>
        <v>16</v>
      </c>
      <c r="N22" s="22">
        <f>SUMIFS(Data!$AL:$AL,Data!$M:$M,$B22,Data!$K:$K,$C22,Data!$J:$J,1)/1000000</f>
        <v>4.8025000000000002</v>
      </c>
      <c r="O22" s="28">
        <f>AVERAGEIFS(Data!$AM:$AM,Data!$M:$M,$B22,Data!$K:$K,$C22,Data!$J:$J,1)</f>
        <v>20.4375</v>
      </c>
      <c r="P22" s="27">
        <f>COUNTIFS(Data!$Q:$Q,$B22,Data!$O:$O,$C22,Data!$N:$N,1)</f>
        <v>16</v>
      </c>
      <c r="Q22" s="22">
        <f>SUMIFS(Data!$AO:$AO,Data!$Q:$Q,$B22,Data!$O:$O,$C22)/1000000</f>
        <v>5.0369000000000002</v>
      </c>
      <c r="R22" s="25">
        <f>AVERAGEIFS(Data!$AR:$AR,Data!$Q:$Q,$B22,Data!$O:$O,$C22,Data!$N:$N,1)</f>
        <v>9263.75</v>
      </c>
      <c r="S22" s="26">
        <f>AVERAGEIFS(Data!$AO:$AO,Data!$Q:$Q,$B22,Data!$O:$O,$C22,Data!$N:$N,1)/AVERAGEIFS(Data!$AA:$AA,Data!$Q:$Q,$B22,Data!$O:$O,$C22,Data!$N:$N,1)-1</f>
        <v>3.0319022721879918E-2</v>
      </c>
      <c r="T22" s="25">
        <f>AVERAGEIFS(Data!$AP:$AP,Data!$Q:$Q,$B22,Data!$O:$O,$C22,Data!$N:$N,1)</f>
        <v>23.25</v>
      </c>
      <c r="U22" s="28">
        <f>AVERAGEIFS(Data!$AQ:$AQ,Data!$Q:$Q,$B22,Data!$O:$O,$C22,Data!$N:$N,1)</f>
        <v>49.625</v>
      </c>
      <c r="V22" s="27">
        <f t="shared" si="4"/>
        <v>88</v>
      </c>
      <c r="W22" s="22">
        <f t="shared" si="4"/>
        <v>28.016367000000006</v>
      </c>
      <c r="X22" s="28">
        <f>AVERAGEIFS(Data!$AX:$AX,Data!$B:$B,1)</f>
        <v>29.936708860759495</v>
      </c>
      <c r="Y22"/>
      <c r="Z22"/>
      <c r="AA22"/>
    </row>
    <row r="23" spans="2:28" x14ac:dyDescent="0.25">
      <c r="B23" s="4">
        <f t="shared" si="1"/>
        <v>2018</v>
      </c>
      <c r="C23" s="4">
        <f t="shared" si="2"/>
        <v>9</v>
      </c>
      <c r="D23" s="29">
        <v>43373</v>
      </c>
      <c r="E23" s="27">
        <f>COUNTIFS(Data!$E:$E,$B23,Data!$C:$C,$C23,Data!$B:$B,1)</f>
        <v>76</v>
      </c>
      <c r="F23" s="22">
        <f>SUMIFS(Data!$AA:$AA,Data!$E:$E,$B23,Data!$C:$C,$C23)/1000000</f>
        <v>22.24034</v>
      </c>
      <c r="G23" s="28">
        <f>AVERAGEIFS(Data!$AA:$AA,Data!$E:$E,$B23,Data!$C:$C,$C23,Data!$B:$B,1)/1000</f>
        <v>292.63605263157893</v>
      </c>
      <c r="H23" s="17">
        <f t="shared" si="3"/>
        <v>39</v>
      </c>
      <c r="I23" s="27">
        <f>COUNTIFS(Data!$I:$I,$B23,Data!$G:$G,$C23,Data!$F:$F,1)</f>
        <v>53</v>
      </c>
      <c r="J23" s="25">
        <f>AVERAGEIFS(Data!$AI:$AI,Data!$I:$I,$B23,Data!$G:$G,$C23,Data!$F:$F,1)</f>
        <v>16345.924528301886</v>
      </c>
      <c r="K23" s="26">
        <f>AVERAGEIFS(Data!$AG:$AG,Data!$I:$I,$B23,Data!$G:$G,$C23,Data!$F:$F,1)/AVERAGEIFS(Data!$AA:$AA,Data!$I:$I,$B23,Data!$G:$G,$C23,Data!$F:$F,1)-1</f>
        <v>5.1087140993206326E-2</v>
      </c>
      <c r="L23" s="28">
        <f>AVERAGEIFS(Data!$AH:$AH,Data!$I:$I,$B23,Data!$G:$G,$C23,Data!$F:$F,1)</f>
        <v>19.39622641509434</v>
      </c>
      <c r="M23" s="27">
        <f>COUNTIFS(Data!$M:$M,$B23,Data!$K:$K,$C23,Data!$J:$J,1)</f>
        <v>17</v>
      </c>
      <c r="N23" s="22">
        <f>SUMIFS(Data!$AL:$AL,Data!$M:$M,$B23,Data!$K:$K,$C23,Data!$J:$J,1)/1000000</f>
        <v>5.3552999999999997</v>
      </c>
      <c r="O23" s="28">
        <f>AVERAGEIFS(Data!$AM:$AM,Data!$M:$M,$B23,Data!$K:$K,$C23,Data!$J:$J,1)</f>
        <v>18.411764705882351</v>
      </c>
      <c r="P23" s="27">
        <f>COUNTIFS(Data!$Q:$Q,$B23,Data!$O:$O,$C23,Data!$N:$N,1)</f>
        <v>14</v>
      </c>
      <c r="Q23" s="22">
        <f>SUMIFS(Data!$AO:$AO,Data!$Q:$Q,$B23,Data!$O:$O,$C23)/1000000</f>
        <v>4.3915499999999996</v>
      </c>
      <c r="R23" s="25">
        <f>AVERAGEIFS(Data!$AR:$AR,Data!$Q:$Q,$B23,Data!$O:$O,$C23,Data!$N:$N,1)</f>
        <v>6132.8571428571404</v>
      </c>
      <c r="S23" s="26">
        <f>AVERAGEIFS(Data!$AO:$AO,Data!$Q:$Q,$B23,Data!$O:$O,$C23,Data!$N:$N,1)/AVERAGEIFS(Data!$AA:$AA,Data!$Q:$Q,$B23,Data!$O:$O,$C23,Data!$N:$N,1)-1</f>
        <v>1.9941054743838782E-2</v>
      </c>
      <c r="T23" s="25">
        <f>AVERAGEIFS(Data!$AP:$AP,Data!$Q:$Q,$B23,Data!$O:$O,$C23,Data!$N:$N,1)</f>
        <v>25.307692307692307</v>
      </c>
      <c r="U23" s="28">
        <f>AVERAGEIFS(Data!$AQ:$AQ,Data!$Q:$Q,$B23,Data!$O:$O,$C23,Data!$N:$N,1)</f>
        <v>65.5</v>
      </c>
      <c r="V23" s="27">
        <f t="shared" si="4"/>
        <v>150</v>
      </c>
      <c r="W23" s="22">
        <f t="shared" si="4"/>
        <v>45.865157000000004</v>
      </c>
      <c r="X23" s="28">
        <f>AVERAGEIFS(Data!$AY:$AY,Data!$B:$B,1)</f>
        <v>32.033333333333331</v>
      </c>
      <c r="Y23"/>
      <c r="Z23"/>
      <c r="AA23"/>
    </row>
    <row r="24" spans="2:28" x14ac:dyDescent="0.25">
      <c r="B24" s="4">
        <f t="shared" si="1"/>
        <v>2018</v>
      </c>
      <c r="C24" s="4">
        <f t="shared" si="2"/>
        <v>10</v>
      </c>
      <c r="D24" s="29">
        <v>43404</v>
      </c>
      <c r="E24" s="27">
        <f>COUNTIFS(Data!$E:$E,$B24,Data!$C:$C,$C24,Data!$B:$B,1)</f>
        <v>60</v>
      </c>
      <c r="F24" s="22">
        <f>SUMIFS(Data!$AA:$AA,Data!$E:$E,$B24,Data!$C:$C,$C24)/1000000</f>
        <v>18.786735</v>
      </c>
      <c r="G24" s="28">
        <f>AVERAGEIFS(Data!$AA:$AA,Data!$E:$E,$B24,Data!$C:$C,$C24,Data!$B:$B,1)/1000</f>
        <v>313.11225000000002</v>
      </c>
      <c r="H24" s="17">
        <f t="shared" si="3"/>
        <v>40</v>
      </c>
      <c r="I24" s="27">
        <f>COUNTIFS(Data!$I:$I,$B24,Data!$G:$G,$C24,Data!$F:$F,1)</f>
        <v>43</v>
      </c>
      <c r="J24" s="25">
        <f>AVERAGEIFS(Data!$AI:$AI,Data!$I:$I,$B24,Data!$G:$G,$C24,Data!$F:$F,1)</f>
        <v>12211.976744186049</v>
      </c>
      <c r="K24" s="26">
        <f>AVERAGEIFS(Data!$AG:$AG,Data!$I:$I,$B24,Data!$G:$G,$C24,Data!$F:$F,1)/AVERAGEIFS(Data!$AA:$AA,Data!$I:$I,$B24,Data!$G:$G,$C24,Data!$F:$F,1)-1</f>
        <v>4.4433547681774987E-2</v>
      </c>
      <c r="L24" s="28">
        <f>AVERAGEIFS(Data!$AH:$AH,Data!$I:$I,$B24,Data!$G:$G,$C24,Data!$F:$F,1)</f>
        <v>18.13953488372093</v>
      </c>
      <c r="M24" s="27">
        <f>COUNTIFS(Data!$M:$M,$B24,Data!$K:$K,$C24,Data!$J:$J,1)</f>
        <v>29</v>
      </c>
      <c r="N24" s="22">
        <f>SUMIFS(Data!$AL:$AL,Data!$M:$M,$B24,Data!$K:$K,$C24,Data!$J:$J,1)/1000000</f>
        <v>8.3636999999999997</v>
      </c>
      <c r="O24" s="28">
        <f>AVERAGEIFS(Data!$AM:$AM,Data!$M:$M,$B24,Data!$K:$K,$C24,Data!$J:$J,1)</f>
        <v>26.448275862068964</v>
      </c>
      <c r="P24" s="27">
        <f>COUNTIFS(Data!$Q:$Q,$B24,Data!$O:$O,$C24,Data!$N:$N,1)</f>
        <v>10</v>
      </c>
      <c r="Q24" s="22">
        <f>SUMIFS(Data!$AO:$AO,Data!$Q:$Q,$B24,Data!$O:$O,$C24)/1000000</f>
        <v>3.3917999999999999</v>
      </c>
      <c r="R24" s="25">
        <f>AVERAGEIFS(Data!$AR:$AR,Data!$Q:$Q,$B24,Data!$O:$O,$C24,Data!$N:$N,1)</f>
        <v>10352.4</v>
      </c>
      <c r="S24" s="26">
        <f>AVERAGEIFS(Data!$AO:$AO,Data!$Q:$Q,$B24,Data!$O:$O,$C24,Data!$N:$N,1)/AVERAGEIFS(Data!$AA:$AA,Data!$Q:$Q,$B24,Data!$O:$O,$C24,Data!$N:$N,1)-1</f>
        <v>3.1482758746528727E-2</v>
      </c>
      <c r="T24" s="25">
        <f>AVERAGEIFS(Data!$AP:$AP,Data!$Q:$Q,$B24,Data!$O:$O,$C24,Data!$N:$N,1)</f>
        <v>22.7</v>
      </c>
      <c r="U24" s="28">
        <f>AVERAGEIFS(Data!$AQ:$AQ,Data!$Q:$Q,$B24,Data!$O:$O,$C24,Data!$N:$N,1)</f>
        <v>57</v>
      </c>
      <c r="V24" s="27">
        <f t="shared" si="4"/>
        <v>200</v>
      </c>
      <c r="W24" s="22">
        <f t="shared" si="4"/>
        <v>61.260092</v>
      </c>
      <c r="X24" s="28">
        <f ca="1">AVERAGEIFS(Data!$AZ:$AZ,Data!$B:$B,1)</f>
        <v>37.517968206773503</v>
      </c>
      <c r="Y24"/>
      <c r="Z24"/>
      <c r="AA24"/>
    </row>
    <row r="26" spans="2:28" x14ac:dyDescent="0.25">
      <c r="E26" s="6"/>
      <c r="F26" s="6"/>
    </row>
  </sheetData>
  <mergeCells count="11">
    <mergeCell ref="E16:G16"/>
    <mergeCell ref="I16:L16"/>
    <mergeCell ref="M16:O16"/>
    <mergeCell ref="P16:U16"/>
    <mergeCell ref="V16:X16"/>
    <mergeCell ref="Z6:AA6"/>
    <mergeCell ref="E6:G6"/>
    <mergeCell ref="I6:L6"/>
    <mergeCell ref="P6:U6"/>
    <mergeCell ref="M6:O6"/>
    <mergeCell ref="V6:X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B24"/>
  <sheetViews>
    <sheetView workbookViewId="0">
      <selection activeCell="I34" sqref="I34"/>
    </sheetView>
  </sheetViews>
  <sheetFormatPr defaultRowHeight="15" x14ac:dyDescent="0.25"/>
  <cols>
    <col min="1" max="1" width="1.7109375" style="4" customWidth="1"/>
    <col min="2" max="2" width="6.7109375" style="4" customWidth="1"/>
    <col min="3" max="3" width="3.7109375" style="4" customWidth="1"/>
    <col min="4" max="4" width="14.7109375" style="12" customWidth="1"/>
    <col min="5" max="24" width="10.7109375" style="9" customWidth="1"/>
    <col min="25" max="25" width="9.140625" style="4"/>
    <col min="26" max="27" width="10.7109375" style="9" customWidth="1"/>
    <col min="28" max="16384" width="9.140625" style="4"/>
  </cols>
  <sheetData>
    <row r="2" spans="2:28" x14ac:dyDescent="0.25">
      <c r="D2" s="12" t="s">
        <v>516</v>
      </c>
      <c r="E2" s="43">
        <v>43202</v>
      </c>
    </row>
    <row r="3" spans="2:28" x14ac:dyDescent="0.25">
      <c r="D3" s="12" t="s">
        <v>517</v>
      </c>
      <c r="E3" s="43">
        <v>43238</v>
      </c>
    </row>
    <row r="4" spans="2:28" x14ac:dyDescent="0.25">
      <c r="E4" s="9">
        <f>E3-E2</f>
        <v>36</v>
      </c>
    </row>
    <row r="6" spans="2:28" x14ac:dyDescent="0.25">
      <c r="D6" s="34" t="s">
        <v>38</v>
      </c>
      <c r="E6" s="45" t="s">
        <v>384</v>
      </c>
      <c r="F6" s="46"/>
      <c r="G6" s="47"/>
      <c r="H6" s="32" t="s">
        <v>450</v>
      </c>
      <c r="I6" s="45" t="s">
        <v>410</v>
      </c>
      <c r="J6" s="46"/>
      <c r="K6" s="46"/>
      <c r="L6" s="47"/>
      <c r="M6" s="45" t="s">
        <v>406</v>
      </c>
      <c r="N6" s="46"/>
      <c r="O6" s="47"/>
      <c r="P6" s="45" t="s">
        <v>398</v>
      </c>
      <c r="Q6" s="46"/>
      <c r="R6" s="46"/>
      <c r="S6" s="46"/>
      <c r="T6" s="46"/>
      <c r="U6" s="47"/>
      <c r="V6" s="45" t="s">
        <v>453</v>
      </c>
      <c r="W6" s="46"/>
      <c r="X6" s="47"/>
      <c r="Z6" s="45" t="s">
        <v>456</v>
      </c>
      <c r="AA6" s="46"/>
    </row>
    <row r="7" spans="2:28" x14ac:dyDescent="0.25">
      <c r="D7" s="30" t="s">
        <v>449</v>
      </c>
      <c r="E7" s="20" t="s">
        <v>385</v>
      </c>
      <c r="F7" s="18" t="s">
        <v>391</v>
      </c>
      <c r="G7" s="23" t="s">
        <v>389</v>
      </c>
      <c r="H7" s="18" t="s">
        <v>409</v>
      </c>
      <c r="I7" s="20" t="s">
        <v>385</v>
      </c>
      <c r="J7" s="18" t="s">
        <v>388</v>
      </c>
      <c r="K7" s="18" t="s">
        <v>388</v>
      </c>
      <c r="L7" s="23" t="s">
        <v>394</v>
      </c>
      <c r="M7" s="20" t="s">
        <v>385</v>
      </c>
      <c r="N7" s="18" t="s">
        <v>404</v>
      </c>
      <c r="O7" s="23" t="s">
        <v>394</v>
      </c>
      <c r="P7" s="20" t="s">
        <v>385</v>
      </c>
      <c r="Q7" s="18" t="s">
        <v>454</v>
      </c>
      <c r="R7" s="18" t="s">
        <v>399</v>
      </c>
      <c r="S7" s="18" t="s">
        <v>399</v>
      </c>
      <c r="T7" s="18" t="s">
        <v>394</v>
      </c>
      <c r="U7" s="23" t="s">
        <v>393</v>
      </c>
      <c r="V7" s="20" t="s">
        <v>385</v>
      </c>
      <c r="W7" s="18" t="s">
        <v>404</v>
      </c>
      <c r="X7" s="23" t="s">
        <v>448</v>
      </c>
      <c r="Z7" s="20" t="s">
        <v>385</v>
      </c>
      <c r="AA7" s="18" t="s">
        <v>404</v>
      </c>
    </row>
    <row r="8" spans="2:28" ht="15.75" thickBot="1" x14ac:dyDescent="0.3">
      <c r="D8" s="31"/>
      <c r="E8" s="21" t="s">
        <v>390</v>
      </c>
      <c r="F8" s="19" t="s">
        <v>452</v>
      </c>
      <c r="G8" s="24" t="s">
        <v>387</v>
      </c>
      <c r="H8" s="19" t="s">
        <v>451</v>
      </c>
      <c r="I8" s="21" t="s">
        <v>392</v>
      </c>
      <c r="J8" s="19" t="s">
        <v>397</v>
      </c>
      <c r="K8" s="19" t="s">
        <v>396</v>
      </c>
      <c r="L8" s="24" t="s">
        <v>395</v>
      </c>
      <c r="M8" s="21" t="s">
        <v>22</v>
      </c>
      <c r="N8" s="19" t="s">
        <v>386</v>
      </c>
      <c r="O8" s="24" t="s">
        <v>400</v>
      </c>
      <c r="P8" s="21" t="s">
        <v>23</v>
      </c>
      <c r="Q8" s="19" t="s">
        <v>386</v>
      </c>
      <c r="R8" s="19" t="s">
        <v>397</v>
      </c>
      <c r="S8" s="19" t="s">
        <v>396</v>
      </c>
      <c r="T8" s="19" t="s">
        <v>447</v>
      </c>
      <c r="U8" s="24" t="s">
        <v>402</v>
      </c>
      <c r="V8" s="21" t="s">
        <v>21</v>
      </c>
      <c r="W8" s="19" t="s">
        <v>386</v>
      </c>
      <c r="X8" s="24" t="s">
        <v>403</v>
      </c>
      <c r="Z8" s="21" t="s">
        <v>22</v>
      </c>
      <c r="AA8" s="19" t="s">
        <v>386</v>
      </c>
    </row>
    <row r="9" spans="2:28" x14ac:dyDescent="0.25">
      <c r="B9" s="4">
        <f t="shared" ref="B9:B11" si="0">YEAR(D9)</f>
        <v>2018</v>
      </c>
      <c r="C9" s="4">
        <v>2</v>
      </c>
      <c r="D9" s="29">
        <v>43281</v>
      </c>
      <c r="E9" s="27">
        <f>COUNTIFS(Data!$E:$E,$B9,Data!$D:$D,$C9,Data!$V:$V,$D$6,Data!$B:$B,1)</f>
        <v>19</v>
      </c>
      <c r="F9" s="22">
        <f>SUMIFS(Data!$AA:$AA,Data!$E:$E,$B9,Data!$D:$D,$C9,Data!$V:$V,$D$6)/1000000</f>
        <v>6.0549999999999997</v>
      </c>
      <c r="G9" s="28">
        <f>AVERAGEIFS(Data!$AA:$AA,Data!$E:$E,$B9,Data!$D:$D,$C9,Data!$V:$V,$D$6,Data!$B:$B,1)/1000</f>
        <v>318.68421052631578</v>
      </c>
      <c r="H9" s="17">
        <f>E9-I9</f>
        <v>8</v>
      </c>
      <c r="I9" s="27">
        <f>COUNTIFS(Data!$I:$I,$B9,Data!$H:$H,$C9,Data!$V:$V,$D$6,Data!$F:$F,1)</f>
        <v>11</v>
      </c>
      <c r="J9" s="25">
        <f>AVERAGEIFS(Data!$AI:$AI,Data!$I:$I,$B9,Data!$H:$H,$C9,Data!$V:$V,$D$6,Data!$F:$F,1)</f>
        <v>8345.454545454546</v>
      </c>
      <c r="K9" s="26">
        <f>AVERAGEIFS(Data!$AG:$AG,Data!$I:$I,$B9,Data!$H:$H,$C9,Data!$V:$V,$D$6,Data!$F:$F,1)/AVERAGEIFS(Data!$AA:$AA,Data!$I:$I,$B9,Data!$H:$H,$C9,Data!$V:$V,$D$6,Data!$F:$F,1)-1</f>
        <v>2.4905046120455632E-2</v>
      </c>
      <c r="L9" s="28">
        <f>AVERAGEIFS(Data!$AH:$AH,Data!$I:$I,$B9,Data!$H:$H,$C9,Data!$V:$V,$D$6,Data!$F:$F,1)</f>
        <v>11.818181818181818</v>
      </c>
      <c r="M9" s="27"/>
      <c r="N9" s="22"/>
      <c r="O9" s="28"/>
      <c r="P9" s="27"/>
      <c r="Q9" s="22"/>
      <c r="R9" s="25"/>
      <c r="S9" s="26"/>
      <c r="T9" s="25"/>
      <c r="U9" s="28"/>
      <c r="V9" s="27">
        <f>E9-P9</f>
        <v>19</v>
      </c>
      <c r="W9" s="22">
        <f>F9-Q9</f>
        <v>6.0549999999999997</v>
      </c>
      <c r="X9" s="28">
        <f>AVERAGEIFS(Data!$AV:$AV,Data!$B:$B,1,Data!$V:$V,$D$6)</f>
        <v>16.842105263157894</v>
      </c>
      <c r="Z9" s="27"/>
      <c r="AA9" s="22"/>
    </row>
    <row r="10" spans="2:28" x14ac:dyDescent="0.25">
      <c r="B10" s="4">
        <f t="shared" si="0"/>
        <v>2018</v>
      </c>
      <c r="C10" s="4">
        <v>3</v>
      </c>
      <c r="D10" s="29">
        <v>43373</v>
      </c>
      <c r="E10" s="27">
        <f>COUNTIFS(Data!$E:$E,$B10,Data!$D:$D,$C10,Data!$V:$V,$D$6,Data!$B:$B,1)</f>
        <v>138</v>
      </c>
      <c r="F10" s="22">
        <f>SUMIFS(Data!$AA:$AA,Data!$E:$E,$B10,Data!$D:$D,$C10,Data!$V:$V,$D$6)/1000000</f>
        <v>42.436360000000001</v>
      </c>
      <c r="G10" s="28">
        <f>AVERAGEIFS(Data!$AA:$AA,Data!$E:$E,$B10,Data!$D:$D,$C10,Data!$V:$V,$D$6,Data!$B:$B,1)/1000</f>
        <v>307.50985507246372</v>
      </c>
      <c r="H10" s="17">
        <f>(E10+E9)-(I9+I10)</f>
        <v>51</v>
      </c>
      <c r="I10" s="27">
        <f>COUNTIFS(Data!$I:$I,$B10,Data!$H:$H,$C10,Data!$V:$V,$D$6,Data!$F:$F,1)</f>
        <v>95</v>
      </c>
      <c r="J10" s="25">
        <f>AVERAGEIFS(Data!$AI:$AI,Data!$I:$I,$B10,Data!$H:$H,$C10,Data!$V:$V,$D$6,Data!$F:$F,1)</f>
        <v>12304.136842105263</v>
      </c>
      <c r="K10" s="26">
        <f>AVERAGEIFS(Data!$AG:$AG,Data!$I:$I,$B10,Data!$H:$H,$C10,Data!$V:$V,$D$6,Data!$F:$F,1)/AVERAGEIFS(Data!$AA:$AA,Data!$I:$I,$B10,Data!$H:$H,$C10,Data!$V:$V,$D$6,Data!$F:$F,1)-1</f>
        <v>3.8271900546028581E-2</v>
      </c>
      <c r="L10" s="28">
        <f>AVERAGEIFS(Data!$AH:$AH,Data!$I:$I,$B10,Data!$H:$H,$C10,Data!$V:$V,$D$6,Data!$F:$F,1)</f>
        <v>16.789473684210527</v>
      </c>
      <c r="M10" s="27">
        <f>COUNTIFS(Data!$M:$M,$B10,Data!$L:$L,$C10,Data!$V:$V,$D$6,Data!$J:$J,1)</f>
        <v>37</v>
      </c>
      <c r="N10" s="22">
        <f>SUMIFS(Data!$AL:$AL,Data!$M:$M,$B10,Data!$L:$L,$C10,Data!$V:$V,$D$6,Data!$J:$J,1)/1000000</f>
        <v>11.8111</v>
      </c>
      <c r="O10" s="28">
        <f>AVERAGEIFS(Data!$AM:$AM,Data!$M:$M,$B10,Data!$L:$L,$C10,Data!$V:$V,$D$6,Data!$J:$J,1)</f>
        <v>17.297297297297298</v>
      </c>
      <c r="P10" s="27">
        <f>COUNTIFS(Data!$Q:$Q,$B10,Data!$P:$P,$C10,Data!$V:$V,$D$6,Data!$N:$N,1)</f>
        <v>31</v>
      </c>
      <c r="Q10" s="22">
        <f>SUMIFS(Data!$AO:$AO,Data!$Q:$Q,$B10,Data!$P:$P,$C10,Data!$V:$V,$D$6)/1000000</f>
        <v>9.8290000000000006</v>
      </c>
      <c r="R10" s="25">
        <f>AVERAGEIFS(Data!$AR:$AR,Data!$Q:$Q,$B10,Data!$P:$P,$C10,Data!$V:$V,$D$6,Data!$N:$N,1)</f>
        <v>8714.1290322580644</v>
      </c>
      <c r="S10" s="26">
        <f>AVERAGEIFS(Data!$AO:$AO,Data!$Q:$Q,$B10,Data!$P:$P,$C10,Data!$V:$V,$D$6,Data!$N:$N,1)/AVERAGEIFS(Data!$AA:$AA,Data!$Q:$Q,$B10,Data!$P:$P,$C10,Data!$V:$V,$D$6,Data!$N:$N,1)-1</f>
        <v>2.8260477031680109E-2</v>
      </c>
      <c r="T10" s="25">
        <f>AVERAGEIFS(Data!$AP:$AP,Data!$Q:$Q,$B10,Data!$P:$P,$C10,Data!$V:$V,$D$6,Data!$N:$N,1)</f>
        <v>23.806451612903224</v>
      </c>
      <c r="U10" s="28">
        <f>AVERAGEIFS(Data!$AQ:$AQ,Data!$Q:$Q,$B10,Data!$P:$P,$C10,Data!$V:$V,$D$6,Data!$N:$N,1)</f>
        <v>55.451612903225808</v>
      </c>
      <c r="V10" s="27">
        <f>V9+E10-P10</f>
        <v>126</v>
      </c>
      <c r="W10" s="22">
        <f>W9+F10-Q10</f>
        <v>38.66236</v>
      </c>
      <c r="X10" s="28">
        <f>AVERAGEIFS(Data!$AY:$AY,Data!$B:$B,1,Data!$V:$V,$D$6)</f>
        <v>32.666666666666664</v>
      </c>
      <c r="Z10" s="27">
        <f>M10-P10</f>
        <v>6</v>
      </c>
      <c r="AA10" s="22">
        <f>N10-Q10</f>
        <v>1.9820999999999991</v>
      </c>
    </row>
    <row r="11" spans="2:28" x14ac:dyDescent="0.25">
      <c r="B11" s="4">
        <f t="shared" si="0"/>
        <v>2018</v>
      </c>
      <c r="C11" s="4">
        <v>4</v>
      </c>
      <c r="D11" s="29">
        <v>43465</v>
      </c>
      <c r="E11" s="27">
        <f>COUNTIFS(Data!$E:$E,$B11,Data!$D:$D,$C11,Data!$V:$V,$D$6,Data!$B:$B,1)</f>
        <v>45</v>
      </c>
      <c r="F11" s="22">
        <f>SUMIFS(Data!$AA:$AA,Data!$E:$E,$B11,Data!$D:$D,$C11,Data!$V:$V,$D$6)/1000000</f>
        <v>14.685635</v>
      </c>
      <c r="G11" s="28">
        <f>AVERAGEIFS(Data!$AA:$AA,Data!$E:$E,$B11,Data!$D:$D,$C11,Data!$V:$V,$D$6,Data!$B:$B,1)/1000</f>
        <v>326.34744444444442</v>
      </c>
      <c r="H11" s="17">
        <f>(E11+E10)-(I10+I11)</f>
        <v>50</v>
      </c>
      <c r="I11" s="27">
        <f>COUNTIFS(Data!$I:$I,$B11,Data!$H:$H,$C11,Data!$V:$V,$D$6,Data!$F:$F,1)</f>
        <v>38</v>
      </c>
      <c r="J11" s="25">
        <f>AVERAGEIFS(Data!$AI:$AI,Data!$I:$I,$B11,Data!$H:$H,$C11,Data!$V:$V,$D$6,Data!$F:$F,1)</f>
        <v>11881.973684210527</v>
      </c>
      <c r="K11" s="26">
        <f>AVERAGEIFS(Data!$AG:$AG,Data!$I:$I,$B11,Data!$H:$H,$C11,Data!$V:$V,$D$6,Data!$F:$F,1)/AVERAGEIFS(Data!$AA:$AA,Data!$I:$I,$B11,Data!$H:$H,$C11,Data!$V:$V,$D$6,Data!$F:$F,1)-1</f>
        <v>4.3735836573858933E-2</v>
      </c>
      <c r="L11" s="28">
        <f>AVERAGEIFS(Data!$AH:$AH,Data!$I:$I,$B11,Data!$H:$H,$C11,Data!$V:$V,$D$6,Data!$F:$F,1)</f>
        <v>17.736842105263158</v>
      </c>
      <c r="M11" s="27">
        <f>COUNTIFS(Data!$M:$M,$B11,Data!$L:$L,$C11,Data!$V:$V,$D$6,Data!$J:$J,1)</f>
        <v>26</v>
      </c>
      <c r="N11" s="22">
        <f>SUMIFS(Data!$AL:$AL,Data!$M:$M,$B11,Data!$L:$L,$C11,Data!$V:$V,$D$6,Data!$J:$J,1)/1000000</f>
        <v>7.5964</v>
      </c>
      <c r="O11" s="28">
        <f>AVERAGEIFS(Data!$AM:$AM,Data!$M:$M,$B11,Data!$L:$L,$C11,Data!$V:$V,$D$6,Data!$J:$J,1)</f>
        <v>26.346153846153847</v>
      </c>
      <c r="P11" s="27">
        <f>COUNTIFS(Data!$Q:$Q,$B11,Data!$P:$P,$C11,Data!$V:$V,$D$6,Data!$N:$N,1)</f>
        <v>8</v>
      </c>
      <c r="Q11" s="22">
        <f>SUMIFS(Data!$AO:$AO,Data!$Q:$Q,$B11,Data!$P:$P,$C11,Data!$V:$V,$D$6)/1000000</f>
        <v>2.7658</v>
      </c>
      <c r="R11" s="25">
        <f>AVERAGEIFS(Data!$AR:$AR,Data!$Q:$Q,$B11,Data!$P:$P,$C11,Data!$V:$V,$D$6,Data!$N:$N,1)</f>
        <v>7600.5</v>
      </c>
      <c r="S11" s="26">
        <f>AVERAGEIFS(Data!$AO:$AO,Data!$Q:$Q,$B11,Data!$P:$P,$C11,Data!$V:$V,$D$6,Data!$N:$N,1)/AVERAGEIFS(Data!$AA:$AA,Data!$Q:$Q,$B11,Data!$P:$P,$C11,Data!$V:$V,$D$6,Data!$N:$N,1)-1</f>
        <v>2.247840662241285E-2</v>
      </c>
      <c r="T11" s="25">
        <f>AVERAGEIFS(Data!$AP:$AP,Data!$Q:$Q,$B11,Data!$P:$P,$C11,Data!$V:$V,$D$6,Data!$N:$N,1)</f>
        <v>25.75</v>
      </c>
      <c r="U11" s="28">
        <f>AVERAGEIFS(Data!$AQ:$AQ,Data!$Q:$Q,$B11,Data!$P:$P,$C11,Data!$V:$V,$D$6,Data!$N:$N,1)</f>
        <v>60.375</v>
      </c>
      <c r="V11" s="27">
        <f>V10+E11-P11</f>
        <v>163</v>
      </c>
      <c r="W11" s="22">
        <f>W10+F11-Q11</f>
        <v>50.582194999999999</v>
      </c>
      <c r="X11" s="28">
        <f ca="1">AVERAGEIFS(Data!$AZ:$AZ,Data!$B:$B,1,Data!$V:$V,$D$6)</f>
        <v>38.857598456789013</v>
      </c>
      <c r="Z11" s="27">
        <f>M11-P11</f>
        <v>18</v>
      </c>
      <c r="AA11" s="22">
        <f>N11-Q11</f>
        <v>4.8306000000000004</v>
      </c>
    </row>
    <row r="13" spans="2:28" x14ac:dyDescent="0.25">
      <c r="E13" s="6"/>
    </row>
    <row r="14" spans="2:28" s="13" customFormat="1" x14ac:dyDescent="0.25">
      <c r="D14" s="12"/>
      <c r="E14" s="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Z14" s="9"/>
      <c r="AA14" s="9"/>
    </row>
    <row r="15" spans="2:28" s="13" customFormat="1" x14ac:dyDescent="0.25">
      <c r="D15" s="12"/>
      <c r="E15" s="6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Z15" s="9"/>
      <c r="AA15" s="9"/>
    </row>
    <row r="16" spans="2:28" x14ac:dyDescent="0.25">
      <c r="D16" s="34" t="str">
        <f>D6</f>
        <v>Phoenix</v>
      </c>
      <c r="E16" s="45" t="s">
        <v>384</v>
      </c>
      <c r="F16" s="46"/>
      <c r="G16" s="47"/>
      <c r="H16" s="32" t="s">
        <v>450</v>
      </c>
      <c r="I16" s="45" t="s">
        <v>410</v>
      </c>
      <c r="J16" s="46"/>
      <c r="K16" s="46"/>
      <c r="L16" s="47"/>
      <c r="M16" s="45" t="s">
        <v>406</v>
      </c>
      <c r="N16" s="46"/>
      <c r="O16" s="47"/>
      <c r="P16" s="45" t="s">
        <v>398</v>
      </c>
      <c r="Q16" s="46"/>
      <c r="R16" s="46"/>
      <c r="S16" s="46"/>
      <c r="T16" s="46"/>
      <c r="U16" s="47"/>
      <c r="V16" s="45" t="s">
        <v>453</v>
      </c>
      <c r="W16" s="46"/>
      <c r="X16" s="47"/>
      <c r="Y16"/>
      <c r="Z16"/>
      <c r="AA16"/>
      <c r="AB16"/>
    </row>
    <row r="17" spans="2:28" x14ac:dyDescent="0.25">
      <c r="D17" s="30" t="s">
        <v>449</v>
      </c>
      <c r="E17" s="20" t="s">
        <v>385</v>
      </c>
      <c r="F17" s="18" t="s">
        <v>391</v>
      </c>
      <c r="G17" s="23" t="s">
        <v>389</v>
      </c>
      <c r="H17" s="18" t="s">
        <v>409</v>
      </c>
      <c r="I17" s="20" t="s">
        <v>385</v>
      </c>
      <c r="J17" s="18" t="s">
        <v>388</v>
      </c>
      <c r="K17" s="18" t="s">
        <v>388</v>
      </c>
      <c r="L17" s="23" t="s">
        <v>394</v>
      </c>
      <c r="M17" s="20" t="s">
        <v>385</v>
      </c>
      <c r="N17" s="18" t="s">
        <v>404</v>
      </c>
      <c r="O17" s="23" t="s">
        <v>394</v>
      </c>
      <c r="P17" s="20" t="s">
        <v>385</v>
      </c>
      <c r="Q17" s="18" t="s">
        <v>454</v>
      </c>
      <c r="R17" s="18" t="s">
        <v>399</v>
      </c>
      <c r="S17" s="18" t="s">
        <v>399</v>
      </c>
      <c r="T17" s="18" t="s">
        <v>394</v>
      </c>
      <c r="U17" s="23" t="s">
        <v>393</v>
      </c>
      <c r="V17" s="20" t="s">
        <v>385</v>
      </c>
      <c r="W17" s="18" t="s">
        <v>404</v>
      </c>
      <c r="X17" s="23" t="s">
        <v>448</v>
      </c>
      <c r="Y17"/>
      <c r="Z17"/>
      <c r="AA17"/>
      <c r="AB17"/>
    </row>
    <row r="18" spans="2:28" ht="15.75" thickBot="1" x14ac:dyDescent="0.3">
      <c r="D18" s="31"/>
      <c r="E18" s="21" t="s">
        <v>390</v>
      </c>
      <c r="F18" s="19" t="s">
        <v>452</v>
      </c>
      <c r="G18" s="24" t="s">
        <v>387</v>
      </c>
      <c r="H18" s="19" t="s">
        <v>451</v>
      </c>
      <c r="I18" s="21" t="s">
        <v>392</v>
      </c>
      <c r="J18" s="19" t="s">
        <v>397</v>
      </c>
      <c r="K18" s="19" t="s">
        <v>396</v>
      </c>
      <c r="L18" s="24" t="s">
        <v>395</v>
      </c>
      <c r="M18" s="21" t="s">
        <v>22</v>
      </c>
      <c r="N18" s="19" t="s">
        <v>386</v>
      </c>
      <c r="O18" s="24" t="s">
        <v>400</v>
      </c>
      <c r="P18" s="21" t="s">
        <v>23</v>
      </c>
      <c r="Q18" s="19" t="s">
        <v>386</v>
      </c>
      <c r="R18" s="19" t="s">
        <v>397</v>
      </c>
      <c r="S18" s="19" t="s">
        <v>396</v>
      </c>
      <c r="T18" s="19" t="s">
        <v>447</v>
      </c>
      <c r="U18" s="24" t="s">
        <v>402</v>
      </c>
      <c r="V18" s="21" t="s">
        <v>21</v>
      </c>
      <c r="W18" s="19" t="s">
        <v>386</v>
      </c>
      <c r="X18" s="24" t="s">
        <v>403</v>
      </c>
      <c r="Y18"/>
      <c r="Z18"/>
      <c r="AA18"/>
      <c r="AB18"/>
    </row>
    <row r="19" spans="2:28" x14ac:dyDescent="0.25">
      <c r="B19" s="4">
        <f>YEAR(D19)</f>
        <v>2018</v>
      </c>
      <c r="C19" s="4">
        <f>MONTH(D19)</f>
        <v>5</v>
      </c>
      <c r="D19" s="29">
        <v>43251</v>
      </c>
      <c r="E19" s="27">
        <f>COUNTIFS(Data!$E:$E,$B19,Data!$C:$C,$C19,Data!$V:$V,$D$6,Data!$B:$B,1)</f>
        <v>3</v>
      </c>
      <c r="F19" s="22">
        <f>SUMIFS(Data!$AA:$AA,Data!$E:$E,$B19,Data!$C:$C,$C19,Data!$V:$V,$D$6)/1000000</f>
        <v>0.94199999999999995</v>
      </c>
      <c r="G19" s="28">
        <f>AVERAGEIFS(Data!$AA:$AA,Data!$E:$E,$B19,Data!$C:$C,$C19,Data!$V:$V,$D$6,Data!$B:$B,1)/1000</f>
        <v>314</v>
      </c>
      <c r="H19" s="17">
        <f>E19-I19</f>
        <v>2</v>
      </c>
      <c r="I19" s="27">
        <f>COUNTIFS(Data!$I:$I,$B19,Data!$G:$G,$C19,Data!$V:$V,$D$6,Data!$F:$F,1)</f>
        <v>1</v>
      </c>
      <c r="J19" s="25">
        <f>AVERAGEIFS(Data!$AI:$AI,Data!$I:$I,$B19,Data!$G:$G,$C19,Data!$V:$V,$D$6,Data!$F:$F,1)</f>
        <v>15000</v>
      </c>
      <c r="K19" s="26">
        <f>AVERAGEIFS(Data!$AG:$AG,Data!$I:$I,$B19,Data!$G:$G,$C19,Data!$V:$V,$D$6,Data!$F:$F,1)/AVERAGEIFS(Data!$AA:$AA,Data!$I:$I,$B19,Data!$G:$G,$C19,Data!$V:$V,$D$6,Data!$F:$F,1)-1</f>
        <v>3.6585365853658569E-2</v>
      </c>
      <c r="L19" s="28">
        <f>AVERAGEIFS(Data!$AH:$AH,Data!$I:$I,$B19,Data!$G:$G,$C19,Data!$V:$V,$D$6,Data!$F:$F,1)</f>
        <v>11</v>
      </c>
      <c r="M19" s="27"/>
      <c r="N19" s="22"/>
      <c r="O19" s="28"/>
      <c r="P19" s="27"/>
      <c r="Q19" s="22"/>
      <c r="R19" s="25"/>
      <c r="S19" s="26"/>
      <c r="T19" s="25"/>
      <c r="U19" s="28"/>
      <c r="V19" s="27">
        <f>E19-P19</f>
        <v>3</v>
      </c>
      <c r="W19" s="22">
        <f>F19-Q19</f>
        <v>0.94199999999999995</v>
      </c>
      <c r="X19" s="28">
        <f>AVERAGEIFS(Data!$AU:$AU,Data!$B:$B,1,Data!$V:$V,$D$6)</f>
        <v>7</v>
      </c>
      <c r="Y19"/>
      <c r="Z19"/>
      <c r="AA19"/>
      <c r="AB19"/>
    </row>
    <row r="20" spans="2:28" x14ac:dyDescent="0.25">
      <c r="B20" s="4">
        <f t="shared" ref="B20:B24" si="1">YEAR(D20)</f>
        <v>2018</v>
      </c>
      <c r="C20" s="4">
        <f t="shared" ref="C20:C24" si="2">MONTH(D20)</f>
        <v>6</v>
      </c>
      <c r="D20" s="29">
        <v>43281</v>
      </c>
      <c r="E20" s="27">
        <f>COUNTIFS(Data!$E:$E,$B20,Data!$C:$C,$C20,Data!$V:$V,$D$6,Data!$B:$B,1)</f>
        <v>16</v>
      </c>
      <c r="F20" s="22">
        <f>SUMIFS(Data!$AA:$AA,Data!$E:$E,$B20,Data!$C:$C,$C20,Data!$V:$V,$D$6)/1000000</f>
        <v>5.1130000000000004</v>
      </c>
      <c r="G20" s="28">
        <f>AVERAGEIFS(Data!$AA:$AA,Data!$E:$E,$B20,Data!$C:$C,$C20,Data!$V:$V,$D$6,Data!$B:$B,1)/1000</f>
        <v>319.5625</v>
      </c>
      <c r="H20" s="17">
        <f>(E20+E19)-(I19+I20)</f>
        <v>8</v>
      </c>
      <c r="I20" s="27">
        <f>COUNTIFS(Data!$I:$I,$B20,Data!$G:$G,$C20,Data!$V:$V,$D$6,Data!$F:$F,1)</f>
        <v>10</v>
      </c>
      <c r="J20" s="25">
        <f>AVERAGEIFS(Data!$AI:$AI,Data!$I:$I,$B20,Data!$G:$G,$C20,Data!$V:$V,$D$6,Data!$F:$F,1)</f>
        <v>7680</v>
      </c>
      <c r="K20" s="26">
        <f>AVERAGEIFS(Data!$AG:$AG,Data!$I:$I,$B20,Data!$G:$G,$C20,Data!$V:$V,$D$6,Data!$F:$F,1)/AVERAGEIFS(Data!$AA:$AA,Data!$I:$I,$B20,Data!$G:$G,$C20,Data!$V:$V,$D$6,Data!$F:$F,1)-1</f>
        <v>2.344322344322336E-2</v>
      </c>
      <c r="L20" s="28">
        <f>AVERAGEIFS(Data!$AH:$AH,Data!$I:$I,$B20,Data!$G:$G,$C20,Data!$V:$V,$D$6,Data!$F:$F,1)</f>
        <v>11.9</v>
      </c>
      <c r="M20" s="27"/>
      <c r="N20" s="22"/>
      <c r="O20" s="28"/>
      <c r="P20" s="27"/>
      <c r="Q20" s="22"/>
      <c r="R20" s="25"/>
      <c r="S20" s="26"/>
      <c r="T20" s="25"/>
      <c r="U20" s="28"/>
      <c r="V20" s="27">
        <f>V19+E20-P20</f>
        <v>19</v>
      </c>
      <c r="W20" s="22">
        <f>W19+F20-Q20</f>
        <v>6.0550000000000006</v>
      </c>
      <c r="X20" s="28">
        <f>AVERAGEIFS(Data!$AV:$AV,Data!$B:$B,1,Data!$V:$V,$D$6)</f>
        <v>16.842105263157894</v>
      </c>
      <c r="Y20"/>
      <c r="Z20"/>
      <c r="AA20"/>
    </row>
    <row r="21" spans="2:28" x14ac:dyDescent="0.25">
      <c r="B21" s="4">
        <f t="shared" si="1"/>
        <v>2018</v>
      </c>
      <c r="C21" s="4">
        <f t="shared" si="2"/>
        <v>7</v>
      </c>
      <c r="D21" s="29">
        <v>43312</v>
      </c>
      <c r="E21" s="27">
        <f>COUNTIFS(Data!$E:$E,$B21,Data!$C:$C,$C21,Data!$V:$V,$D$6,Data!$B:$B,1)</f>
        <v>31</v>
      </c>
      <c r="F21" s="22">
        <f>SUMIFS(Data!$AA:$AA,Data!$E:$E,$B21,Data!$C:$C,$C21,Data!$V:$V,$D$6)/1000000</f>
        <v>10.080831</v>
      </c>
      <c r="G21" s="28">
        <f>AVERAGEIFS(Data!$AA:$AA,Data!$E:$E,$B21,Data!$C:$C,$C21,Data!$V:$V,$D$6,Data!$B:$B,1)/1000</f>
        <v>325.18809677419358</v>
      </c>
      <c r="H21" s="17">
        <f t="shared" ref="H21:H24" si="3">(E21+E20)-(I20+I21)</f>
        <v>16</v>
      </c>
      <c r="I21" s="27">
        <f>COUNTIFS(Data!$I:$I,$B21,Data!$G:$G,$C21,Data!$V:$V,$D$6,Data!$F:$F,1)</f>
        <v>21</v>
      </c>
      <c r="J21" s="25">
        <f>AVERAGEIFS(Data!$AI:$AI,Data!$I:$I,$B21,Data!$G:$G,$C21,Data!$V:$V,$D$6,Data!$F:$F,1)</f>
        <v>8486.5714285714294</v>
      </c>
      <c r="K21" s="26">
        <f>AVERAGEIFS(Data!$AG:$AG,Data!$I:$I,$B21,Data!$G:$G,$C21,Data!$V:$V,$D$6,Data!$F:$F,1)/AVERAGEIFS(Data!$AA:$AA,Data!$I:$I,$B21,Data!$G:$G,$C21,Data!$V:$V,$D$6,Data!$F:$F,1)-1</f>
        <v>2.6031735644772569E-2</v>
      </c>
      <c r="L21" s="28">
        <f>AVERAGEIFS(Data!$AH:$AH,Data!$I:$I,$B21,Data!$G:$G,$C21,Data!$V:$V,$D$6,Data!$F:$F,1)</f>
        <v>15.857142857142858</v>
      </c>
      <c r="M21" s="27">
        <f>COUNTIFS(Data!$M:$M,$B21,Data!$K:$K,$C21,Data!$V:$V,$D$6,Data!$J:$J,1)</f>
        <v>13</v>
      </c>
      <c r="N21" s="22">
        <f>SUMIFS(Data!$AL:$AL,Data!$M:$M,$B21,Data!$K:$K,$C21,Data!$V:$V,$D$6,Data!$J:$J,1)/1000000</f>
        <v>4.1863000000000001</v>
      </c>
      <c r="O21" s="28">
        <f>AVERAGEIFS(Data!$AM:$AM,Data!$M:$M,$B21,Data!$K:$K,$C21,Data!$V:$V,$D$6,Data!$J:$J,1)</f>
        <v>10.23076923076923</v>
      </c>
      <c r="P21" s="27">
        <f>COUNTIFS(Data!$Q:$Q,$B21,Data!$O:$O,$C21,Data!$V:$V,$D$6,Data!$N:$N,1)</f>
        <v>6</v>
      </c>
      <c r="Q21" s="22">
        <f>SUMIFS(Data!$AO:$AO,Data!$Q:$Q,$B21,Data!$O:$O,$C21,Data!$V:$V,$D$6)/1000000</f>
        <v>1.6998</v>
      </c>
      <c r="R21" s="25">
        <f>AVERAGEIFS(Data!$AR:$AR,Data!$Q:$Q,$B21,Data!$O:$O,$C21,Data!$V:$V,$D$6,Data!$N:$N,1)</f>
        <v>9966.6666666666661</v>
      </c>
      <c r="S21" s="26">
        <f>AVERAGEIFS(Data!$AO:$AO,Data!$Q:$Q,$B21,Data!$O:$O,$C21,Data!$V:$V,$D$6,Data!$N:$N,1)/AVERAGEIFS(Data!$AA:$AA,Data!$Q:$Q,$B21,Data!$O:$O,$C21,Data!$V:$V,$D$6,Data!$N:$N,1)-1</f>
        <v>3.6463414634146485E-2</v>
      </c>
      <c r="T21" s="25">
        <f>AVERAGEIFS(Data!$AP:$AP,Data!$Q:$Q,$B21,Data!$O:$O,$C21,Data!$V:$V,$D$6,Data!$N:$N,1)</f>
        <v>19.833333333333332</v>
      </c>
      <c r="U21" s="28">
        <f>AVERAGEIFS(Data!$AQ:$AQ,Data!$Q:$Q,$B21,Data!$O:$O,$C21,Data!$V:$V,$D$6,Data!$N:$N,1)</f>
        <v>37.833333333333336</v>
      </c>
      <c r="V21" s="27">
        <f t="shared" ref="V21:V24" si="4">V20+E21-P21</f>
        <v>44</v>
      </c>
      <c r="W21" s="22">
        <f t="shared" ref="W21:W24" si="5">W20+F21-Q21</f>
        <v>14.436031</v>
      </c>
      <c r="X21" s="28">
        <f>AVERAGEIFS(Data!$AW:$AW,Data!$B:$B,1,Data!$V:$V,$D$6)</f>
        <v>26.658536585365855</v>
      </c>
      <c r="Y21"/>
      <c r="Z21"/>
      <c r="AA21"/>
    </row>
    <row r="22" spans="2:28" x14ac:dyDescent="0.25">
      <c r="B22" s="4">
        <f t="shared" si="1"/>
        <v>2018</v>
      </c>
      <c r="C22" s="4">
        <f t="shared" si="2"/>
        <v>8</v>
      </c>
      <c r="D22" s="29">
        <v>43343</v>
      </c>
      <c r="E22" s="27">
        <f>COUNTIFS(Data!$E:$E,$B22,Data!$C:$C,$C22,Data!$V:$V,$D$6,Data!$B:$B,1)</f>
        <v>44</v>
      </c>
      <c r="F22" s="22">
        <f>SUMIFS(Data!$AA:$AA,Data!$E:$E,$B22,Data!$C:$C,$C22,Data!$V:$V,$D$6)/1000000</f>
        <v>14.304088999999999</v>
      </c>
      <c r="G22" s="28">
        <f>AVERAGEIFS(Data!$AA:$AA,Data!$E:$E,$B22,Data!$C:$C,$C22,Data!$V:$V,$D$6,Data!$B:$B,1)/1000</f>
        <v>325.0929318181818</v>
      </c>
      <c r="H22" s="17">
        <f t="shared" si="3"/>
        <v>21</v>
      </c>
      <c r="I22" s="27">
        <f>COUNTIFS(Data!$I:$I,$B22,Data!$G:$G,$C22,Data!$V:$V,$D$6,Data!$F:$F,1)</f>
        <v>33</v>
      </c>
      <c r="J22" s="25">
        <f>AVERAGEIFS(Data!$AI:$AI,Data!$I:$I,$B22,Data!$G:$G,$C22,Data!$V:$V,$D$6,Data!$F:$F,1)</f>
        <v>9194</v>
      </c>
      <c r="K22" s="26">
        <f>AVERAGEIFS(Data!$AG:$AG,Data!$I:$I,$B22,Data!$G:$G,$C22,Data!$V:$V,$D$6,Data!$F:$F,1)/AVERAGEIFS(Data!$AA:$AA,Data!$I:$I,$B22,Data!$G:$G,$C22,Data!$V:$V,$D$6,Data!$F:$F,1)-1</f>
        <v>2.9527318818393322E-2</v>
      </c>
      <c r="L22" s="28">
        <f>AVERAGEIFS(Data!$AH:$AH,Data!$I:$I,$B22,Data!$G:$G,$C22,Data!$V:$V,$D$6,Data!$F:$F,1)</f>
        <v>15.636363636363637</v>
      </c>
      <c r="M22" s="27">
        <f>COUNTIFS(Data!$M:$M,$B22,Data!$K:$K,$C22,Data!$V:$V,$D$6,Data!$J:$J,1)</f>
        <v>13</v>
      </c>
      <c r="N22" s="22">
        <f>SUMIFS(Data!$AL:$AL,Data!$M:$M,$B22,Data!$K:$K,$C22,Data!$V:$V,$D$6,Data!$J:$J,1)/1000000</f>
        <v>4.0998000000000001</v>
      </c>
      <c r="O22" s="28">
        <f>AVERAGEIFS(Data!$AM:$AM,Data!$M:$M,$B22,Data!$K:$K,$C22,Data!$V:$V,$D$6,Data!$J:$J,1)</f>
        <v>22.923076923076923</v>
      </c>
      <c r="P22" s="27">
        <f>COUNTIFS(Data!$Q:$Q,$B22,Data!$O:$O,$C22,Data!$V:$V,$D$6,Data!$N:$N,1)</f>
        <v>15</v>
      </c>
      <c r="Q22" s="22">
        <f>SUMIFS(Data!$AO:$AO,Data!$Q:$Q,$B22,Data!$O:$O,$C22,Data!$V:$V,$D$6)/1000000</f>
        <v>4.8449</v>
      </c>
      <c r="R22" s="25">
        <f>AVERAGEIFS(Data!$AR:$AR,Data!$Q:$Q,$B22,Data!$O:$O,$C22,Data!$V:$V,$D$6,Data!$N:$N,1)</f>
        <v>9014.6666666666661</v>
      </c>
      <c r="S22" s="26">
        <f>AVERAGEIFS(Data!$AO:$AO,Data!$Q:$Q,$B22,Data!$O:$O,$C22,Data!$V:$V,$D$6,Data!$N:$N,1)/AVERAGEIFS(Data!$AA:$AA,Data!$Q:$Q,$B22,Data!$O:$O,$C22,Data!$V:$V,$D$6,Data!$N:$N,1)-1</f>
        <v>2.8711080158312141E-2</v>
      </c>
      <c r="T22" s="25">
        <f>AVERAGEIFS(Data!$AP:$AP,Data!$Q:$Q,$B22,Data!$O:$O,$C22,Data!$V:$V,$D$6,Data!$N:$N,1)</f>
        <v>23.733333333333334</v>
      </c>
      <c r="U22" s="28">
        <f>AVERAGEIFS(Data!$AQ:$AQ,Data!$Q:$Q,$B22,Data!$O:$O,$C22,Data!$V:$V,$D$6,Data!$N:$N,1)</f>
        <v>50.93333333333333</v>
      </c>
      <c r="V22" s="27">
        <f t="shared" si="4"/>
        <v>73</v>
      </c>
      <c r="W22" s="22">
        <f t="shared" si="5"/>
        <v>23.895219999999998</v>
      </c>
      <c r="X22" s="28">
        <f>AVERAGEIFS(Data!$AX:$AX,Data!$B:$B,1,Data!$V:$V,$D$6)</f>
        <v>31.136363636363637</v>
      </c>
      <c r="Y22"/>
      <c r="Z22"/>
      <c r="AA22"/>
    </row>
    <row r="23" spans="2:28" x14ac:dyDescent="0.25">
      <c r="B23" s="4">
        <f t="shared" si="1"/>
        <v>2018</v>
      </c>
      <c r="C23" s="4">
        <f t="shared" si="2"/>
        <v>9</v>
      </c>
      <c r="D23" s="29">
        <v>43373</v>
      </c>
      <c r="E23" s="27">
        <f>COUNTIFS(Data!$E:$E,$B23,Data!$C:$C,$C23,Data!$V:$V,$D$6,Data!$B:$B,1)</f>
        <v>63</v>
      </c>
      <c r="F23" s="22">
        <f>SUMIFS(Data!$AA:$AA,Data!$E:$E,$B23,Data!$C:$C,$C23,Data!$V:$V,$D$6)/1000000</f>
        <v>18.051439999999999</v>
      </c>
      <c r="G23" s="28">
        <f>AVERAGEIFS(Data!$AA:$AA,Data!$E:$E,$B23,Data!$C:$C,$C23,Data!$V:$V,$D$6,Data!$B:$B,1)/1000</f>
        <v>286.53079365079367</v>
      </c>
      <c r="H23" s="17">
        <f t="shared" si="3"/>
        <v>33</v>
      </c>
      <c r="I23" s="27">
        <f>COUNTIFS(Data!$I:$I,$B23,Data!$G:$G,$C23,Data!$V:$V,$D$6,Data!$F:$F,1)</f>
        <v>41</v>
      </c>
      <c r="J23" s="25">
        <f>AVERAGEIFS(Data!$AI:$AI,Data!$I:$I,$B23,Data!$G:$G,$C23,Data!$V:$V,$D$6,Data!$F:$F,1)</f>
        <v>16762.756097560974</v>
      </c>
      <c r="K23" s="26">
        <f>AVERAGEIFS(Data!$AG:$AG,Data!$I:$I,$B23,Data!$G:$G,$C23,Data!$V:$V,$D$6,Data!$F:$F,1)/AVERAGEIFS(Data!$AA:$AA,Data!$I:$I,$B23,Data!$G:$G,$C23,Data!$V:$V,$D$6,Data!$F:$F,1)-1</f>
        <v>5.1211345297323962E-2</v>
      </c>
      <c r="L23" s="28">
        <f>AVERAGEIFS(Data!$AH:$AH,Data!$I:$I,$B23,Data!$G:$G,$C23,Data!$V:$V,$D$6,Data!$F:$F,1)</f>
        <v>18.195121951219512</v>
      </c>
      <c r="M23" s="27">
        <f>COUNTIFS(Data!$M:$M,$B23,Data!$K:$K,$C23,Data!$V:$V,$D$6,Data!$J:$J,1)</f>
        <v>11</v>
      </c>
      <c r="N23" s="22">
        <f>SUMIFS(Data!$AL:$AL,Data!$M:$M,$B23,Data!$K:$K,$C23,Data!$V:$V,$D$6,Data!$J:$J,1)/1000000</f>
        <v>3.5249999999999999</v>
      </c>
      <c r="O23" s="28">
        <f>AVERAGEIFS(Data!$AM:$AM,Data!$M:$M,$B23,Data!$K:$K,$C23,Data!$V:$V,$D$6,Data!$J:$J,1)</f>
        <v>19</v>
      </c>
      <c r="P23" s="27">
        <f>COUNTIFS(Data!$Q:$Q,$B23,Data!$O:$O,$C23,Data!$V:$V,$D$6,Data!$N:$N,1)</f>
        <v>10</v>
      </c>
      <c r="Q23" s="22">
        <f>SUMIFS(Data!$AO:$AO,Data!$Q:$Q,$B23,Data!$O:$O,$C23,Data!$V:$V,$D$6)/1000000</f>
        <v>3.2843</v>
      </c>
      <c r="R23" s="25">
        <f>AVERAGEIFS(Data!$AR:$AR,Data!$Q:$Q,$B23,Data!$O:$O,$C23,Data!$V:$V,$D$6,Data!$N:$N,1)</f>
        <v>7511.8</v>
      </c>
      <c r="S23" s="26">
        <f>AVERAGEIFS(Data!$AO:$AO,Data!$Q:$Q,$B23,Data!$O:$O,$C23,Data!$V:$V,$D$6,Data!$N:$N,1)/AVERAGEIFS(Data!$AA:$AA,Data!$Q:$Q,$B23,Data!$O:$O,$C23,Data!$V:$V,$D$6,Data!$N:$N,1)-1</f>
        <v>2.3407210934125899E-2</v>
      </c>
      <c r="T23" s="25">
        <f>AVERAGEIFS(Data!$AP:$AP,Data!$Q:$Q,$B23,Data!$O:$O,$C23,Data!$V:$V,$D$6,Data!$N:$N,1)</f>
        <v>26.3</v>
      </c>
      <c r="U23" s="28">
        <f>AVERAGEIFS(Data!$AQ:$AQ,Data!$Q:$Q,$B23,Data!$O:$O,$C23,Data!$V:$V,$D$6,Data!$N:$N,1)</f>
        <v>72.8</v>
      </c>
      <c r="V23" s="27">
        <f t="shared" si="4"/>
        <v>126</v>
      </c>
      <c r="W23" s="22">
        <f t="shared" si="5"/>
        <v>38.662359999999993</v>
      </c>
      <c r="X23" s="28">
        <f>AVERAGEIFS(Data!$AY:$AY,Data!$B:$B,1,Data!$V:$V,$D$6)</f>
        <v>32.666666666666664</v>
      </c>
      <c r="Y23"/>
      <c r="Z23"/>
      <c r="AA23"/>
    </row>
    <row r="24" spans="2:28" x14ac:dyDescent="0.25">
      <c r="B24" s="4">
        <f t="shared" si="1"/>
        <v>2018</v>
      </c>
      <c r="C24" s="4">
        <f t="shared" si="2"/>
        <v>10</v>
      </c>
      <c r="D24" s="29">
        <v>43404</v>
      </c>
      <c r="E24" s="27">
        <f>COUNTIFS(Data!$E:$E,$B24,Data!$C:$C,$C24,Data!$V:$V,$D$6,Data!$B:$B,1)</f>
        <v>45</v>
      </c>
      <c r="F24" s="22">
        <f>SUMIFS(Data!$AA:$AA,Data!$E:$E,$B24,Data!$C:$C,$C24,Data!$V:$V,$D$6)/1000000</f>
        <v>14.685635</v>
      </c>
      <c r="G24" s="28">
        <f>AVERAGEIFS(Data!$AA:$AA,Data!$E:$E,$B24,Data!$C:$C,$C24,Data!$V:$V,$D$6,Data!$B:$B,1)/1000</f>
        <v>326.34744444444442</v>
      </c>
      <c r="H24" s="17">
        <f t="shared" si="3"/>
        <v>29</v>
      </c>
      <c r="I24" s="27">
        <f>COUNTIFS(Data!$I:$I,$B24,Data!$G:$G,$C24,Data!$V:$V,$D$6,Data!$F:$F,1)</f>
        <v>38</v>
      </c>
      <c r="J24" s="25">
        <f>AVERAGEIFS(Data!$AI:$AI,Data!$I:$I,$B24,Data!$G:$G,$C24,Data!$V:$V,$D$6,Data!$F:$F,1)</f>
        <v>11881.973684210527</v>
      </c>
      <c r="K24" s="26">
        <f>AVERAGEIFS(Data!$AG:$AG,Data!$I:$I,$B24,Data!$G:$G,$C24,Data!$V:$V,$D$6,Data!$F:$F,1)/AVERAGEIFS(Data!$AA:$AA,Data!$I:$I,$B24,Data!$G:$G,$C24,Data!$V:$V,$D$6,Data!$F:$F,1)-1</f>
        <v>4.3735836573858933E-2</v>
      </c>
      <c r="L24" s="28">
        <f>AVERAGEIFS(Data!$AH:$AH,Data!$I:$I,$B24,Data!$G:$G,$C24,Data!$V:$V,$D$6,Data!$F:$F,1)</f>
        <v>17.736842105263158</v>
      </c>
      <c r="M24" s="27">
        <f>COUNTIFS(Data!$M:$M,$B24,Data!$K:$K,$C24,Data!$V:$V,$D$6,Data!$J:$J,1)</f>
        <v>26</v>
      </c>
      <c r="N24" s="22">
        <f>SUMIFS(Data!$AL:$AL,Data!$M:$M,$B24,Data!$K:$K,$C24,Data!$V:$V,$D$6,Data!$J:$J,1)/1000000</f>
        <v>7.5964</v>
      </c>
      <c r="O24" s="28">
        <f>AVERAGEIFS(Data!$AM:$AM,Data!$M:$M,$B24,Data!$K:$K,$C24,Data!$V:$V,$D$6,Data!$J:$J,1)</f>
        <v>26.346153846153847</v>
      </c>
      <c r="P24" s="27">
        <f>COUNTIFS(Data!$Q:$Q,$B24,Data!$O:$O,$C24,Data!$V:$V,$D$6,Data!$N:$N,1)</f>
        <v>8</v>
      </c>
      <c r="Q24" s="22">
        <f>SUMIFS(Data!$AO:$AO,Data!$Q:$Q,$B24,Data!$O:$O,$C24,Data!$V:$V,$D$6)/1000000</f>
        <v>2.7658</v>
      </c>
      <c r="R24" s="25">
        <f>AVERAGEIFS(Data!$AR:$AR,Data!$Q:$Q,$B24,Data!$O:$O,$C24,Data!$V:$V,$D$6,Data!$N:$N,1)</f>
        <v>7600.5</v>
      </c>
      <c r="S24" s="26">
        <f>AVERAGEIFS(Data!$AO:$AO,Data!$Q:$Q,$B24,Data!$O:$O,$C24,Data!$V:$V,$D$6,Data!$N:$N,1)/AVERAGEIFS(Data!$AA:$AA,Data!$Q:$Q,$B24,Data!$O:$O,$C24,Data!$V:$V,$D$6,Data!$N:$N,1)-1</f>
        <v>2.247840662241285E-2</v>
      </c>
      <c r="T24" s="25">
        <f>AVERAGEIFS(Data!$AP:$AP,Data!$Q:$Q,$B24,Data!$O:$O,$C24,Data!$V:$V,$D$6,Data!$N:$N,1)</f>
        <v>25.75</v>
      </c>
      <c r="U24" s="28">
        <f>AVERAGEIFS(Data!$AQ:$AQ,Data!$Q:$Q,$B24,Data!$O:$O,$C24,Data!$V:$V,$D$6,Data!$N:$N,1)</f>
        <v>60.375</v>
      </c>
      <c r="V24" s="27">
        <f t="shared" si="4"/>
        <v>163</v>
      </c>
      <c r="W24" s="22">
        <f t="shared" si="5"/>
        <v>50.582194999999992</v>
      </c>
      <c r="X24" s="28">
        <f ca="1">AVERAGEIFS(Data!$AZ:$AZ,Data!$B:$B,1,Data!$V:$V,$D$6)</f>
        <v>38.857598456789013</v>
      </c>
      <c r="Y24"/>
      <c r="Z24"/>
      <c r="AA24"/>
    </row>
  </sheetData>
  <mergeCells count="11">
    <mergeCell ref="E16:G16"/>
    <mergeCell ref="I16:L16"/>
    <mergeCell ref="M16:O16"/>
    <mergeCell ref="P16:U16"/>
    <mergeCell ref="V16:X16"/>
    <mergeCell ref="Z6:AA6"/>
    <mergeCell ref="E6:G6"/>
    <mergeCell ref="I6:L6"/>
    <mergeCell ref="P6:U6"/>
    <mergeCell ref="M6:O6"/>
    <mergeCell ref="V6:X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B24"/>
  <sheetViews>
    <sheetView workbookViewId="0">
      <selection activeCell="I34" sqref="I34"/>
    </sheetView>
  </sheetViews>
  <sheetFormatPr defaultRowHeight="15" x14ac:dyDescent="0.25"/>
  <cols>
    <col min="1" max="1" width="1.7109375" style="4" customWidth="1"/>
    <col min="2" max="2" width="6.7109375" style="4" customWidth="1"/>
    <col min="3" max="3" width="3.7109375" style="4" customWidth="1"/>
    <col min="4" max="4" width="14.7109375" style="12" customWidth="1"/>
    <col min="5" max="24" width="10.7109375" style="9" customWidth="1"/>
    <col min="25" max="25" width="9.140625" style="4"/>
    <col min="26" max="27" width="10.7109375" style="9" customWidth="1"/>
    <col min="28" max="16384" width="9.140625" style="4"/>
  </cols>
  <sheetData>
    <row r="2" spans="2:28" x14ac:dyDescent="0.25">
      <c r="D2" s="12" t="s">
        <v>516</v>
      </c>
      <c r="E2" s="43">
        <v>43264</v>
      </c>
    </row>
    <row r="3" spans="2:28" x14ac:dyDescent="0.25">
      <c r="D3" s="12" t="s">
        <v>517</v>
      </c>
      <c r="E3" s="43">
        <v>43293</v>
      </c>
    </row>
    <row r="4" spans="2:28" x14ac:dyDescent="0.25">
      <c r="E4" s="9">
        <f>E3-E2</f>
        <v>29</v>
      </c>
    </row>
    <row r="6" spans="2:28" x14ac:dyDescent="0.25">
      <c r="D6" s="33" t="s">
        <v>42</v>
      </c>
      <c r="E6" s="45" t="s">
        <v>384</v>
      </c>
      <c r="F6" s="46"/>
      <c r="G6" s="47"/>
      <c r="H6" s="32" t="s">
        <v>450</v>
      </c>
      <c r="I6" s="45" t="s">
        <v>410</v>
      </c>
      <c r="J6" s="46"/>
      <c r="K6" s="46"/>
      <c r="L6" s="47"/>
      <c r="M6" s="45" t="s">
        <v>406</v>
      </c>
      <c r="N6" s="46"/>
      <c r="O6" s="47"/>
      <c r="P6" s="45" t="s">
        <v>398</v>
      </c>
      <c r="Q6" s="46"/>
      <c r="R6" s="46"/>
      <c r="S6" s="46"/>
      <c r="T6" s="46"/>
      <c r="U6" s="47"/>
      <c r="V6" s="45" t="s">
        <v>453</v>
      </c>
      <c r="W6" s="46"/>
      <c r="X6" s="47"/>
      <c r="Z6" s="45" t="s">
        <v>456</v>
      </c>
      <c r="AA6" s="46"/>
    </row>
    <row r="7" spans="2:28" x14ac:dyDescent="0.25">
      <c r="D7" s="30" t="s">
        <v>449</v>
      </c>
      <c r="E7" s="20" t="s">
        <v>385</v>
      </c>
      <c r="F7" s="18" t="s">
        <v>391</v>
      </c>
      <c r="G7" s="23" t="s">
        <v>389</v>
      </c>
      <c r="H7" s="18" t="s">
        <v>409</v>
      </c>
      <c r="I7" s="20" t="s">
        <v>385</v>
      </c>
      <c r="J7" s="18" t="s">
        <v>388</v>
      </c>
      <c r="K7" s="18" t="s">
        <v>388</v>
      </c>
      <c r="L7" s="23" t="s">
        <v>394</v>
      </c>
      <c r="M7" s="20" t="s">
        <v>385</v>
      </c>
      <c r="N7" s="18" t="s">
        <v>404</v>
      </c>
      <c r="O7" s="23" t="s">
        <v>394</v>
      </c>
      <c r="P7" s="20" t="s">
        <v>385</v>
      </c>
      <c r="Q7" s="18" t="s">
        <v>454</v>
      </c>
      <c r="R7" s="18" t="s">
        <v>399</v>
      </c>
      <c r="S7" s="18" t="s">
        <v>399</v>
      </c>
      <c r="T7" s="18" t="s">
        <v>394</v>
      </c>
      <c r="U7" s="23" t="s">
        <v>393</v>
      </c>
      <c r="V7" s="20" t="s">
        <v>385</v>
      </c>
      <c r="W7" s="18" t="s">
        <v>404</v>
      </c>
      <c r="X7" s="23" t="s">
        <v>448</v>
      </c>
      <c r="Z7" s="20" t="s">
        <v>385</v>
      </c>
      <c r="AA7" s="18" t="s">
        <v>404</v>
      </c>
    </row>
    <row r="8" spans="2:28" ht="15.75" thickBot="1" x14ac:dyDescent="0.3">
      <c r="D8" s="31"/>
      <c r="E8" s="21" t="s">
        <v>390</v>
      </c>
      <c r="F8" s="19" t="s">
        <v>452</v>
      </c>
      <c r="G8" s="24" t="s">
        <v>387</v>
      </c>
      <c r="H8" s="19" t="s">
        <v>451</v>
      </c>
      <c r="I8" s="21" t="s">
        <v>392</v>
      </c>
      <c r="J8" s="19" t="s">
        <v>397</v>
      </c>
      <c r="K8" s="19" t="s">
        <v>396</v>
      </c>
      <c r="L8" s="24" t="s">
        <v>395</v>
      </c>
      <c r="M8" s="21" t="s">
        <v>22</v>
      </c>
      <c r="N8" s="19" t="s">
        <v>386</v>
      </c>
      <c r="O8" s="24" t="s">
        <v>400</v>
      </c>
      <c r="P8" s="21" t="s">
        <v>23</v>
      </c>
      <c r="Q8" s="19" t="s">
        <v>386</v>
      </c>
      <c r="R8" s="19" t="s">
        <v>397</v>
      </c>
      <c r="S8" s="19" t="s">
        <v>396</v>
      </c>
      <c r="T8" s="19" t="s">
        <v>447</v>
      </c>
      <c r="U8" s="24" t="s">
        <v>402</v>
      </c>
      <c r="V8" s="21" t="s">
        <v>21</v>
      </c>
      <c r="W8" s="19" t="s">
        <v>386</v>
      </c>
      <c r="X8" s="24" t="s">
        <v>403</v>
      </c>
      <c r="Z8" s="21" t="s">
        <v>22</v>
      </c>
      <c r="AA8" s="19" t="s">
        <v>386</v>
      </c>
    </row>
    <row r="9" spans="2:28" x14ac:dyDescent="0.25">
      <c r="B9" s="4">
        <f t="shared" ref="B9:B11" si="0">YEAR(D9)</f>
        <v>2018</v>
      </c>
      <c r="C9" s="4">
        <v>2</v>
      </c>
      <c r="D9" s="29">
        <v>43281</v>
      </c>
      <c r="E9" s="27"/>
      <c r="F9" s="22"/>
      <c r="G9" s="28"/>
      <c r="H9" s="17"/>
      <c r="I9" s="27"/>
      <c r="J9" s="25"/>
      <c r="K9" s="26"/>
      <c r="L9" s="28"/>
      <c r="M9" s="27"/>
      <c r="N9" s="22"/>
      <c r="O9" s="28"/>
      <c r="P9" s="27"/>
      <c r="Q9" s="22"/>
      <c r="R9" s="25"/>
      <c r="S9" s="26"/>
      <c r="T9" s="25"/>
      <c r="U9" s="28"/>
      <c r="V9" s="27"/>
      <c r="W9" s="22"/>
      <c r="X9" s="28"/>
      <c r="Z9" s="27"/>
      <c r="AA9" s="22"/>
    </row>
    <row r="10" spans="2:28" x14ac:dyDescent="0.25">
      <c r="B10" s="4">
        <f t="shared" si="0"/>
        <v>2018</v>
      </c>
      <c r="C10" s="4">
        <v>3</v>
      </c>
      <c r="D10" s="29">
        <v>43373</v>
      </c>
      <c r="E10" s="27">
        <f>COUNTIFS(Data!$E:$E,$B10,Data!$D:$D,$C10,Data!$V:$V,$D$6,Data!$B:$B,1)</f>
        <v>29</v>
      </c>
      <c r="F10" s="22">
        <f>SUMIFS(Data!$AA:$AA,Data!$E:$E,$B10,Data!$D:$D,$C10,Data!$V:$V,$D$6)/1000000</f>
        <v>8.5020469999999992</v>
      </c>
      <c r="G10" s="28">
        <f>AVERAGEIFS(Data!$AA:$AA,Data!$E:$E,$B10,Data!$D:$D,$C10,Data!$V:$V,$D$6,Data!$B:$B,1)/1000</f>
        <v>293.1740344827586</v>
      </c>
      <c r="H10" s="17">
        <f>(E10+E9)-(I9+I10)</f>
        <v>10</v>
      </c>
      <c r="I10" s="27">
        <f>COUNTIFS(Data!$I:$I,$B10,Data!$H:$H,$C10,Data!$V:$V,$D$6,Data!$F:$F,1)</f>
        <v>19</v>
      </c>
      <c r="J10" s="25">
        <f>AVERAGEIFS(Data!$AI:$AI,Data!$I:$I,$B10,Data!$H:$H,$C10,Data!$V:$V,$D$6,Data!$F:$F,1)</f>
        <v>12570.157894736849</v>
      </c>
      <c r="K10" s="26">
        <f>AVERAGEIFS(Data!$AG:$AG,Data!$I:$I,$B10,Data!$H:$H,$C10,Data!$V:$V,$D$6,Data!$F:$F,1)/AVERAGEIFS(Data!$AA:$AA,Data!$I:$I,$B10,Data!$H:$H,$C10,Data!$V:$V,$D$6,Data!$F:$F,1)-1</f>
        <v>4.3707349817462937E-2</v>
      </c>
      <c r="L10" s="28">
        <f>AVERAGEIFS(Data!$AH:$AH,Data!$I:$I,$B10,Data!$H:$H,$C10,Data!$V:$V,$D$6,Data!$F:$F,1)</f>
        <v>20.578947368421051</v>
      </c>
      <c r="M10" s="27">
        <f>COUNTIFS(Data!$M:$M,$B10,Data!$L:$L,$C10,Data!$V:$V,$D$6,Data!$J:$J,1)</f>
        <v>9</v>
      </c>
      <c r="N10" s="22">
        <f>SUMIFS(Data!$AL:$AL,Data!$M:$M,$B10,Data!$L:$L,$C10,Data!$V:$V,$D$6,Data!$J:$J,1)/1000000</f>
        <v>2.5329999999999999</v>
      </c>
      <c r="O10" s="28">
        <f>AVERAGEIFS(Data!$AM:$AM,Data!$M:$M,$B10,Data!$L:$L,$C10,Data!$V:$V,$D$6,Data!$J:$J,1)</f>
        <v>14.777777777777779</v>
      </c>
      <c r="P10" s="27"/>
      <c r="Q10" s="22"/>
      <c r="R10" s="25"/>
      <c r="S10" s="26"/>
      <c r="T10" s="25"/>
      <c r="U10" s="28"/>
      <c r="V10" s="27">
        <f>V9+E10-P10</f>
        <v>29</v>
      </c>
      <c r="W10" s="22">
        <f>W9+F10-Q10</f>
        <v>8.5020469999999992</v>
      </c>
      <c r="X10" s="28">
        <f>AVERAGEIFS(Data!$AY:$AY,Data!$B:$B,1,Data!$V:$V,$D$6)</f>
        <v>28.708333333333332</v>
      </c>
      <c r="Z10" s="27">
        <f>M10-P10</f>
        <v>9</v>
      </c>
      <c r="AA10" s="22">
        <f>N10-Q10</f>
        <v>2.5329999999999999</v>
      </c>
    </row>
    <row r="11" spans="2:28" x14ac:dyDescent="0.25">
      <c r="B11" s="4">
        <f t="shared" si="0"/>
        <v>2018</v>
      </c>
      <c r="C11" s="4">
        <v>4</v>
      </c>
      <c r="D11" s="29">
        <v>43465</v>
      </c>
      <c r="E11" s="27">
        <f>COUNTIFS(Data!$E:$E,$B11,Data!$D:$D,$C11,Data!$V:$V,$D$6,Data!$B:$B,1)</f>
        <v>10</v>
      </c>
      <c r="F11" s="22">
        <f>SUMIFS(Data!$AA:$AA,Data!$E:$E,$B11,Data!$D:$D,$C11,Data!$V:$V,$D$6)/1000000</f>
        <v>2.5996999999999999</v>
      </c>
      <c r="G11" s="28">
        <f>AVERAGEIFS(Data!$AA:$AA,Data!$E:$E,$B11,Data!$D:$D,$C11,Data!$V:$V,$D$6,Data!$B:$B,1)/1000</f>
        <v>259.97000000000003</v>
      </c>
      <c r="H11" s="17">
        <f>(E11+E10)-(I10+I11)</f>
        <v>15</v>
      </c>
      <c r="I11" s="27">
        <f>COUNTIFS(Data!$I:$I,$B11,Data!$H:$H,$C11,Data!$V:$V,$D$6,Data!$F:$F,1)</f>
        <v>5</v>
      </c>
      <c r="J11" s="25">
        <f>AVERAGEIFS(Data!$AI:$AI,Data!$I:$I,$B11,Data!$H:$H,$C11,Data!$V:$V,$D$6,Data!$F:$F,1)</f>
        <v>14720.000000000018</v>
      </c>
      <c r="K11" s="26">
        <f>AVERAGEIFS(Data!$AG:$AG,Data!$I:$I,$B11,Data!$H:$H,$C11,Data!$V:$V,$D$6,Data!$F:$F,1)/AVERAGEIFS(Data!$AA:$AA,Data!$I:$I,$B11,Data!$H:$H,$C11,Data!$V:$V,$D$6,Data!$F:$F,1)-1</f>
        <v>4.9253831225322786E-2</v>
      </c>
      <c r="L11" s="28">
        <f>AVERAGEIFS(Data!$AH:$AH,Data!$I:$I,$B11,Data!$H:$H,$C11,Data!$V:$V,$D$6,Data!$F:$F,1)</f>
        <v>21.2</v>
      </c>
      <c r="M11" s="27">
        <f>COUNTIFS(Data!$M:$M,$B11,Data!$L:$L,$C11,Data!$V:$V,$D$6,Data!$J:$J,1)</f>
        <v>3</v>
      </c>
      <c r="N11" s="22">
        <f>SUMIFS(Data!$AL:$AL,Data!$M:$M,$B11,Data!$L:$L,$C11,Data!$V:$V,$D$6,Data!$J:$J,1)/1000000</f>
        <v>0.76729999999999998</v>
      </c>
      <c r="O11" s="28">
        <f>AVERAGEIFS(Data!$AM:$AM,Data!$M:$M,$B11,Data!$L:$L,$C11,Data!$V:$V,$D$6,Data!$J:$J,1)</f>
        <v>27.333333333333332</v>
      </c>
      <c r="P11" s="27">
        <f>COUNTIFS(Data!$Q:$Q,$B11,Data!$P:$P,$C11,Data!$V:$V,$D$6,Data!$N:$N,1)</f>
        <v>2</v>
      </c>
      <c r="Q11" s="22">
        <f>SUMIFS(Data!$AO:$AO,Data!$Q:$Q,$B11,Data!$P:$P,$C11,Data!$V:$V,$D$6)/1000000</f>
        <v>0.626</v>
      </c>
      <c r="R11" s="25">
        <f>AVERAGEIFS(Data!$AR:$AR,Data!$Q:$Q,$B11,Data!$P:$P,$C11,Data!$V:$V,$D$6,Data!$N:$N,1)</f>
        <v>21360</v>
      </c>
      <c r="S11" s="26">
        <f>AVERAGEIFS(Data!$AO:$AO,Data!$Q:$Q,$B11,Data!$P:$P,$C11,Data!$V:$V,$D$6,Data!$N:$N,1)/AVERAGEIFS(Data!$AA:$AA,Data!$Q:$Q,$B11,Data!$P:$P,$C11,Data!$V:$V,$D$6,Data!$N:$N,1)-1</f>
        <v>7.3240982032642954E-2</v>
      </c>
      <c r="T11" s="25">
        <f>AVERAGEIFS(Data!$AP:$AP,Data!$Q:$Q,$B11,Data!$P:$P,$C11,Data!$V:$V,$D$6,Data!$N:$N,1)</f>
        <v>10.5</v>
      </c>
      <c r="U11" s="28">
        <f>AVERAGEIFS(Data!$AQ:$AQ,Data!$Q:$Q,$B11,Data!$P:$P,$C11,Data!$V:$V,$D$6,Data!$N:$N,1)</f>
        <v>43.5</v>
      </c>
      <c r="V11" s="27">
        <f>V10+E11-P11</f>
        <v>37</v>
      </c>
      <c r="W11" s="22">
        <f>W10+F11-Q11</f>
        <v>10.475747</v>
      </c>
      <c r="X11" s="28">
        <f ca="1">AVERAGEIFS(Data!$AZ:$AZ,Data!$B:$B,1,Data!$V:$V,$D$6)</f>
        <v>35.538539814813703</v>
      </c>
      <c r="Z11" s="27">
        <f>M11-P11</f>
        <v>1</v>
      </c>
      <c r="AA11" s="22">
        <f>N11-Q11</f>
        <v>0.14129999999999998</v>
      </c>
    </row>
    <row r="12" spans="2:28" x14ac:dyDescent="0.25">
      <c r="E12" s="6"/>
    </row>
    <row r="13" spans="2:28" x14ac:dyDescent="0.25">
      <c r="E13" s="6"/>
    </row>
    <row r="14" spans="2:28" s="13" customFormat="1" x14ac:dyDescent="0.25">
      <c r="D14" s="12"/>
      <c r="E14" s="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Z14" s="9"/>
      <c r="AA14" s="9"/>
    </row>
    <row r="15" spans="2:28" s="13" customFormat="1" x14ac:dyDescent="0.25">
      <c r="D15" s="12"/>
      <c r="E15" s="6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Z15" s="9"/>
      <c r="AA15" s="9"/>
    </row>
    <row r="16" spans="2:28" x14ac:dyDescent="0.25">
      <c r="D16" s="34" t="str">
        <f>D6</f>
        <v>Las Vegas</v>
      </c>
      <c r="E16" s="45" t="s">
        <v>384</v>
      </c>
      <c r="F16" s="46"/>
      <c r="G16" s="47"/>
      <c r="H16" s="32" t="s">
        <v>450</v>
      </c>
      <c r="I16" s="45" t="s">
        <v>410</v>
      </c>
      <c r="J16" s="46"/>
      <c r="K16" s="46"/>
      <c r="L16" s="47"/>
      <c r="M16" s="45" t="s">
        <v>406</v>
      </c>
      <c r="N16" s="46"/>
      <c r="O16" s="47"/>
      <c r="P16" s="45" t="s">
        <v>398</v>
      </c>
      <c r="Q16" s="46"/>
      <c r="R16" s="46"/>
      <c r="S16" s="46"/>
      <c r="T16" s="46"/>
      <c r="U16" s="47"/>
      <c r="V16" s="45" t="s">
        <v>453</v>
      </c>
      <c r="W16" s="46"/>
      <c r="X16" s="47"/>
      <c r="Y16"/>
      <c r="Z16"/>
      <c r="AA16"/>
      <c r="AB16"/>
    </row>
    <row r="17" spans="2:28" x14ac:dyDescent="0.25">
      <c r="D17" s="30" t="s">
        <v>449</v>
      </c>
      <c r="E17" s="20" t="s">
        <v>385</v>
      </c>
      <c r="F17" s="18" t="s">
        <v>391</v>
      </c>
      <c r="G17" s="23" t="s">
        <v>389</v>
      </c>
      <c r="H17" s="18" t="s">
        <v>409</v>
      </c>
      <c r="I17" s="20" t="s">
        <v>385</v>
      </c>
      <c r="J17" s="18" t="s">
        <v>388</v>
      </c>
      <c r="K17" s="18" t="s">
        <v>388</v>
      </c>
      <c r="L17" s="23" t="s">
        <v>394</v>
      </c>
      <c r="M17" s="20" t="s">
        <v>385</v>
      </c>
      <c r="N17" s="18" t="s">
        <v>404</v>
      </c>
      <c r="O17" s="23" t="s">
        <v>394</v>
      </c>
      <c r="P17" s="20" t="s">
        <v>385</v>
      </c>
      <c r="Q17" s="18" t="s">
        <v>454</v>
      </c>
      <c r="R17" s="18" t="s">
        <v>399</v>
      </c>
      <c r="S17" s="18" t="s">
        <v>399</v>
      </c>
      <c r="T17" s="18" t="s">
        <v>394</v>
      </c>
      <c r="U17" s="23" t="s">
        <v>393</v>
      </c>
      <c r="V17" s="20" t="s">
        <v>385</v>
      </c>
      <c r="W17" s="18" t="s">
        <v>404</v>
      </c>
      <c r="X17" s="23" t="s">
        <v>448</v>
      </c>
      <c r="Y17"/>
      <c r="Z17"/>
      <c r="AA17"/>
      <c r="AB17"/>
    </row>
    <row r="18" spans="2:28" ht="15.75" thickBot="1" x14ac:dyDescent="0.3">
      <c r="D18" s="31"/>
      <c r="E18" s="21" t="s">
        <v>390</v>
      </c>
      <c r="F18" s="19" t="s">
        <v>452</v>
      </c>
      <c r="G18" s="24" t="s">
        <v>387</v>
      </c>
      <c r="H18" s="19" t="s">
        <v>451</v>
      </c>
      <c r="I18" s="21" t="s">
        <v>392</v>
      </c>
      <c r="J18" s="19" t="s">
        <v>397</v>
      </c>
      <c r="K18" s="19" t="s">
        <v>396</v>
      </c>
      <c r="L18" s="24" t="s">
        <v>395</v>
      </c>
      <c r="M18" s="21" t="s">
        <v>22</v>
      </c>
      <c r="N18" s="19" t="s">
        <v>386</v>
      </c>
      <c r="O18" s="24" t="s">
        <v>400</v>
      </c>
      <c r="P18" s="21" t="s">
        <v>23</v>
      </c>
      <c r="Q18" s="19" t="s">
        <v>386</v>
      </c>
      <c r="R18" s="19" t="s">
        <v>397</v>
      </c>
      <c r="S18" s="19" t="s">
        <v>396</v>
      </c>
      <c r="T18" s="19" t="s">
        <v>447</v>
      </c>
      <c r="U18" s="24" t="s">
        <v>402</v>
      </c>
      <c r="V18" s="21" t="s">
        <v>21</v>
      </c>
      <c r="W18" s="19" t="s">
        <v>386</v>
      </c>
      <c r="X18" s="24" t="s">
        <v>403</v>
      </c>
      <c r="Y18"/>
      <c r="Z18"/>
      <c r="AA18"/>
      <c r="AB18"/>
    </row>
    <row r="19" spans="2:28" x14ac:dyDescent="0.25">
      <c r="B19" s="4">
        <f>YEAR(D19)</f>
        <v>2018</v>
      </c>
      <c r="C19" s="4">
        <f>MONTH(D19)</f>
        <v>5</v>
      </c>
      <c r="D19" s="29">
        <v>43251</v>
      </c>
      <c r="E19" s="27"/>
      <c r="F19" s="22"/>
      <c r="G19" s="28"/>
      <c r="H19" s="17"/>
      <c r="I19" s="27"/>
      <c r="J19" s="25"/>
      <c r="K19" s="26"/>
      <c r="L19" s="28"/>
      <c r="M19" s="27"/>
      <c r="N19" s="22"/>
      <c r="O19" s="28"/>
      <c r="P19" s="27"/>
      <c r="Q19" s="22"/>
      <c r="R19" s="25"/>
      <c r="S19" s="26"/>
      <c r="T19" s="25"/>
      <c r="U19" s="28"/>
      <c r="V19" s="27"/>
      <c r="W19" s="22"/>
      <c r="X19" s="28"/>
      <c r="Y19"/>
      <c r="Z19"/>
      <c r="AA19"/>
      <c r="AB19"/>
    </row>
    <row r="20" spans="2:28" x14ac:dyDescent="0.25">
      <c r="B20" s="4">
        <f t="shared" ref="B20:B24" si="1">YEAR(D20)</f>
        <v>2018</v>
      </c>
      <c r="C20" s="4">
        <f t="shared" ref="C20:C24" si="2">MONTH(D20)</f>
        <v>6</v>
      </c>
      <c r="D20" s="29">
        <v>43281</v>
      </c>
      <c r="E20" s="27"/>
      <c r="F20" s="22"/>
      <c r="G20" s="28"/>
      <c r="H20" s="17"/>
      <c r="I20" s="27"/>
      <c r="J20" s="25"/>
      <c r="K20" s="26"/>
      <c r="L20" s="28"/>
      <c r="M20" s="27"/>
      <c r="N20" s="22"/>
      <c r="O20" s="28"/>
      <c r="P20" s="27"/>
      <c r="Q20" s="22"/>
      <c r="R20" s="25"/>
      <c r="S20" s="26"/>
      <c r="T20" s="25"/>
      <c r="U20" s="28"/>
      <c r="V20" s="27"/>
      <c r="W20" s="22"/>
      <c r="X20" s="28"/>
      <c r="Y20"/>
      <c r="Z20"/>
      <c r="AA20"/>
    </row>
    <row r="21" spans="2:28" x14ac:dyDescent="0.25">
      <c r="B21" s="4">
        <f t="shared" si="1"/>
        <v>2018</v>
      </c>
      <c r="C21" s="4">
        <f t="shared" si="2"/>
        <v>7</v>
      </c>
      <c r="D21" s="29">
        <v>43312</v>
      </c>
      <c r="E21" s="27">
        <f>COUNTIFS(Data!$E:$E,$B21,Data!$C:$C,$C21,Data!$V:$V,$D$6,Data!$B:$B,1)</f>
        <v>5</v>
      </c>
      <c r="F21" s="22">
        <f>SUMIFS(Data!$AA:$AA,Data!$E:$E,$B21,Data!$C:$C,$C21,Data!$V:$V,$D$6)/1000000</f>
        <v>1.180728</v>
      </c>
      <c r="G21" s="28">
        <f>AVERAGEIFS(Data!$AA:$AA,Data!$E:$E,$B21,Data!$C:$C,$C21,Data!$V:$V,$D$6,Data!$B:$B,1)/1000</f>
        <v>236.1456</v>
      </c>
      <c r="H21" s="17">
        <f t="shared" ref="H21:H24" si="3">(E21+E20)-(I20+I21)</f>
        <v>5</v>
      </c>
      <c r="I21" s="27"/>
      <c r="J21" s="25"/>
      <c r="K21" s="26"/>
      <c r="L21" s="28"/>
      <c r="M21" s="27"/>
      <c r="N21" s="22"/>
      <c r="O21" s="28"/>
      <c r="P21" s="27"/>
      <c r="Q21" s="22"/>
      <c r="R21" s="25"/>
      <c r="S21" s="26"/>
      <c r="T21" s="25"/>
      <c r="U21" s="28"/>
      <c r="V21" s="27">
        <f t="shared" ref="V21:W24" si="4">V20+E21-P21</f>
        <v>5</v>
      </c>
      <c r="W21" s="22">
        <f t="shared" si="4"/>
        <v>1.180728</v>
      </c>
      <c r="X21" s="28">
        <f>AVERAGEIFS(Data!$AW:$AW,Data!$B:$B,1,Data!$V:$V,$D$6)</f>
        <v>12.2</v>
      </c>
      <c r="Y21"/>
      <c r="Z21"/>
      <c r="AA21"/>
    </row>
    <row r="22" spans="2:28" x14ac:dyDescent="0.25">
      <c r="B22" s="4">
        <f t="shared" si="1"/>
        <v>2018</v>
      </c>
      <c r="C22" s="4">
        <f t="shared" si="2"/>
        <v>8</v>
      </c>
      <c r="D22" s="29">
        <v>43343</v>
      </c>
      <c r="E22" s="27">
        <f>COUNTIFS(Data!$E:$E,$B22,Data!$C:$C,$C22,Data!$V:$V,$D$6,Data!$B:$B,1)</f>
        <v>11</v>
      </c>
      <c r="F22" s="22">
        <f>SUMIFS(Data!$AA:$AA,Data!$E:$E,$B22,Data!$C:$C,$C22,Data!$V:$V,$D$6)/1000000</f>
        <v>3.1324190000000001</v>
      </c>
      <c r="G22" s="28">
        <f>AVERAGEIFS(Data!$AA:$AA,Data!$E:$E,$B22,Data!$C:$C,$C22,Data!$V:$V,$D$6,Data!$B:$B,1)/1000</f>
        <v>284.76536363636365</v>
      </c>
      <c r="H22" s="17">
        <f t="shared" si="3"/>
        <v>10</v>
      </c>
      <c r="I22" s="27">
        <f>COUNTIFS(Data!$I:$I,$B22,Data!$G:$G,$C22,Data!$V:$V,$D$6,Data!$F:$F,1)</f>
        <v>6</v>
      </c>
      <c r="J22" s="25">
        <f>AVERAGEIFS(Data!$AI:$AI,Data!$I:$I,$B22,Data!$G:$G,$C22,Data!$V:$V,$D$6,Data!$F:$F,1)</f>
        <v>8295.333333333343</v>
      </c>
      <c r="K22" s="26">
        <f>AVERAGEIFS(Data!$AG:$AG,Data!$I:$I,$B22,Data!$G:$G,$C22,Data!$V:$V,$D$6,Data!$F:$F,1)/AVERAGEIFS(Data!$AA:$AA,Data!$I:$I,$B22,Data!$G:$G,$C22,Data!$V:$V,$D$6,Data!$F:$F,1)-1</f>
        <v>2.8478115587780239E-2</v>
      </c>
      <c r="L22" s="28">
        <f>AVERAGEIFS(Data!$AH:$AH,Data!$I:$I,$B22,Data!$G:$G,$C22,Data!$V:$V,$D$6,Data!$F:$F,1)</f>
        <v>16.833333333333332</v>
      </c>
      <c r="M22" s="27"/>
      <c r="N22" s="22"/>
      <c r="O22" s="28"/>
      <c r="P22" s="27"/>
      <c r="Q22" s="22"/>
      <c r="R22" s="25"/>
      <c r="S22" s="26"/>
      <c r="T22" s="25"/>
      <c r="U22" s="28"/>
      <c r="V22" s="27">
        <f t="shared" si="4"/>
        <v>16</v>
      </c>
      <c r="W22" s="22">
        <f t="shared" si="4"/>
        <v>4.3131469999999998</v>
      </c>
      <c r="X22" s="28">
        <f>AVERAGEIFS(Data!$AX:$AX,Data!$B:$B,1,Data!$V:$V,$D$6)</f>
        <v>23.846153846153847</v>
      </c>
      <c r="Y22"/>
      <c r="Z22"/>
      <c r="AA22"/>
    </row>
    <row r="23" spans="2:28" x14ac:dyDescent="0.25">
      <c r="B23" s="4">
        <f t="shared" si="1"/>
        <v>2018</v>
      </c>
      <c r="C23" s="4">
        <f t="shared" si="2"/>
        <v>9</v>
      </c>
      <c r="D23" s="29">
        <v>43373</v>
      </c>
      <c r="E23" s="27">
        <f>COUNTIFS(Data!$E:$E,$B23,Data!$C:$C,$C23,Data!$V:$V,$D$6,Data!$B:$B,1)</f>
        <v>13</v>
      </c>
      <c r="F23" s="22">
        <f>SUMIFS(Data!$AA:$AA,Data!$E:$E,$B23,Data!$C:$C,$C23,Data!$V:$V,$D$6)/1000000</f>
        <v>4.1889000000000003</v>
      </c>
      <c r="G23" s="28">
        <f>AVERAGEIFS(Data!$AA:$AA,Data!$E:$E,$B23,Data!$C:$C,$C23,Data!$V:$V,$D$6,Data!$B:$B,1)/1000</f>
        <v>322.22307692307692</v>
      </c>
      <c r="H23" s="17">
        <f t="shared" si="3"/>
        <v>6</v>
      </c>
      <c r="I23" s="27">
        <f>COUNTIFS(Data!$I:$I,$B23,Data!$G:$G,$C23,Data!$V:$V,$D$6,Data!$F:$F,1)</f>
        <v>12</v>
      </c>
      <c r="J23" s="25">
        <f>AVERAGEIFS(Data!$AI:$AI,Data!$I:$I,$B23,Data!$G:$G,$C23,Data!$V:$V,$D$6,Data!$F:$F,1)</f>
        <v>14921.750000000007</v>
      </c>
      <c r="K23" s="26">
        <f>AVERAGEIFS(Data!$AG:$AG,Data!$I:$I,$B23,Data!$G:$G,$C23,Data!$V:$V,$D$6,Data!$F:$F,1)/AVERAGEIFS(Data!$AA:$AA,Data!$I:$I,$B23,Data!$G:$G,$C23,Data!$V:$V,$D$6,Data!$F:$F,1)-1</f>
        <v>5.0615961662566544E-2</v>
      </c>
      <c r="L23" s="28">
        <f>AVERAGEIFS(Data!$AH:$AH,Data!$I:$I,$B23,Data!$G:$G,$C23,Data!$V:$V,$D$6,Data!$F:$F,1)</f>
        <v>23.5</v>
      </c>
      <c r="M23" s="27">
        <f>COUNTIFS(Data!$M:$M,$B23,Data!$K:$K,$C23,Data!$V:$V,$D$6,Data!$J:$J,1)</f>
        <v>6</v>
      </c>
      <c r="N23" s="22">
        <f>SUMIFS(Data!$AL:$AL,Data!$M:$M,$B23,Data!$K:$K,$C23,Data!$V:$V,$D$6,Data!$J:$J,1)/1000000</f>
        <v>1.8303</v>
      </c>
      <c r="O23" s="28">
        <f>AVERAGEIFS(Data!$AM:$AM,Data!$M:$M,$B23,Data!$K:$K,$C23,Data!$V:$V,$D$6,Data!$J:$J,1)</f>
        <v>17.333333333333332</v>
      </c>
      <c r="P23" s="27"/>
      <c r="Q23" s="22"/>
      <c r="R23" s="25"/>
      <c r="S23" s="26"/>
      <c r="T23" s="25"/>
      <c r="U23" s="28"/>
      <c r="V23" s="27">
        <f t="shared" si="4"/>
        <v>29</v>
      </c>
      <c r="W23" s="22">
        <f t="shared" si="4"/>
        <v>8.502047000000001</v>
      </c>
      <c r="X23" s="28">
        <f>AVERAGEIFS(Data!$AY:$AY,Data!$B:$B,1,Data!$V:$V,$D$6)</f>
        <v>28.708333333333332</v>
      </c>
      <c r="Y23"/>
      <c r="Z23"/>
      <c r="AA23"/>
    </row>
    <row r="24" spans="2:28" x14ac:dyDescent="0.25">
      <c r="B24" s="4">
        <f t="shared" si="1"/>
        <v>2018</v>
      </c>
      <c r="C24" s="4">
        <f t="shared" si="2"/>
        <v>10</v>
      </c>
      <c r="D24" s="29">
        <v>43404</v>
      </c>
      <c r="E24" s="27">
        <f>COUNTIFS(Data!$E:$E,$B24,Data!$C:$C,$C24,Data!$V:$V,$D$6,Data!$B:$B,1)</f>
        <v>10</v>
      </c>
      <c r="F24" s="22">
        <f>SUMIFS(Data!$AA:$AA,Data!$E:$E,$B24,Data!$C:$C,$C24,Data!$V:$V,$D$6)/1000000</f>
        <v>2.5996999999999999</v>
      </c>
      <c r="G24" s="28">
        <f>AVERAGEIFS(Data!$AA:$AA,Data!$E:$E,$B24,Data!$C:$C,$C24,Data!$V:$V,$D$6,Data!$B:$B,1)/1000</f>
        <v>259.97000000000003</v>
      </c>
      <c r="H24" s="17">
        <f t="shared" si="3"/>
        <v>6</v>
      </c>
      <c r="I24" s="27">
        <f>COUNTIFS(Data!$I:$I,$B24,Data!$G:$G,$C24,Data!$V:$V,$D$6,Data!$F:$F,1)</f>
        <v>5</v>
      </c>
      <c r="J24" s="25">
        <f>AVERAGEIFS(Data!$AI:$AI,Data!$I:$I,$B24,Data!$G:$G,$C24,Data!$V:$V,$D$6,Data!$F:$F,1)</f>
        <v>14720.000000000018</v>
      </c>
      <c r="K24" s="26">
        <f>AVERAGEIFS(Data!$AG:$AG,Data!$I:$I,$B24,Data!$G:$G,$C24,Data!$V:$V,$D$6,Data!$F:$F,1)/AVERAGEIFS(Data!$AA:$AA,Data!$I:$I,$B24,Data!$G:$G,$C24,Data!$V:$V,$D$6,Data!$F:$F,1)-1</f>
        <v>4.9253831225322786E-2</v>
      </c>
      <c r="L24" s="28">
        <f>AVERAGEIFS(Data!$AH:$AH,Data!$I:$I,$B24,Data!$G:$G,$C24,Data!$V:$V,$D$6,Data!$F:$F,1)</f>
        <v>21.2</v>
      </c>
      <c r="M24" s="27">
        <f>COUNTIFS(Data!$M:$M,$B24,Data!$K:$K,$C24,Data!$V:$V,$D$6,Data!$J:$J,1)</f>
        <v>3</v>
      </c>
      <c r="N24" s="22">
        <f>SUMIFS(Data!$AL:$AL,Data!$M:$M,$B24,Data!$K:$K,$C24,Data!$V:$V,$D$6,Data!$J:$J,1)/1000000</f>
        <v>0.76729999999999998</v>
      </c>
      <c r="O24" s="28">
        <f>AVERAGEIFS(Data!$AM:$AM,Data!$M:$M,$B24,Data!$K:$K,$C24,Data!$V:$V,$D$6,Data!$J:$J,1)</f>
        <v>27.333333333333332</v>
      </c>
      <c r="P24" s="27">
        <f>COUNTIFS(Data!$Q:$Q,$B24,Data!$O:$O,$C24,Data!$V:$V,$D$6,Data!$N:$N,1)</f>
        <v>2</v>
      </c>
      <c r="Q24" s="22">
        <f>SUMIFS(Data!$AO:$AO,Data!$Q:$Q,$B24,Data!$O:$O,$C24,Data!$V:$V,$D$6)/1000000</f>
        <v>0.626</v>
      </c>
      <c r="R24" s="25">
        <f>AVERAGEIFS(Data!$AR:$AR,Data!$Q:$Q,$B24,Data!$O:$O,$C24,Data!$V:$V,$D$6,Data!$N:$N,1)</f>
        <v>21360</v>
      </c>
      <c r="S24" s="26">
        <f>AVERAGEIFS(Data!$AO:$AO,Data!$Q:$Q,$B24,Data!$O:$O,$C24,Data!$V:$V,$D$6,Data!$N:$N,1)/AVERAGEIFS(Data!$AA:$AA,Data!$Q:$Q,$B24,Data!$O:$O,$C24,Data!$V:$V,$D$6,Data!$N:$N,1)-1</f>
        <v>7.3240982032642954E-2</v>
      </c>
      <c r="T24" s="25">
        <f>AVERAGEIFS(Data!$AP:$AP,Data!$Q:$Q,$B24,Data!$O:$O,$C24,Data!$V:$V,$D$6,Data!$N:$N,1)</f>
        <v>10.5</v>
      </c>
      <c r="U24" s="28">
        <f>AVERAGEIFS(Data!$AQ:$AQ,Data!$Q:$Q,$B24,Data!$O:$O,$C24,Data!$V:$V,$D$6,Data!$N:$N,1)</f>
        <v>43.5</v>
      </c>
      <c r="V24" s="27">
        <f t="shared" si="4"/>
        <v>37</v>
      </c>
      <c r="W24" s="22">
        <f t="shared" si="4"/>
        <v>10.475747000000002</v>
      </c>
      <c r="X24" s="28">
        <f ca="1">AVERAGEIFS(Data!$AZ:$AZ,Data!$B:$B,1,Data!$V:$V,$D$6)</f>
        <v>35.538539814813703</v>
      </c>
      <c r="Y24"/>
      <c r="Z24"/>
      <c r="AA24"/>
    </row>
  </sheetData>
  <mergeCells count="11">
    <mergeCell ref="E16:G16"/>
    <mergeCell ref="I16:L16"/>
    <mergeCell ref="M16:O16"/>
    <mergeCell ref="P16:U16"/>
    <mergeCell ref="V16:X16"/>
    <mergeCell ref="Z6:AA6"/>
    <mergeCell ref="E6:G6"/>
    <mergeCell ref="I6:L6"/>
    <mergeCell ref="P6:U6"/>
    <mergeCell ref="M6:O6"/>
    <mergeCell ref="V6:X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B24"/>
  <sheetViews>
    <sheetView workbookViewId="0">
      <selection activeCell="I34" sqref="I34"/>
    </sheetView>
  </sheetViews>
  <sheetFormatPr defaultRowHeight="15" x14ac:dyDescent="0.25"/>
  <cols>
    <col min="1" max="1" width="1.7109375" style="13" customWidth="1"/>
    <col min="2" max="2" width="6.7109375" style="13" customWidth="1"/>
    <col min="3" max="3" width="3.7109375" style="13" customWidth="1"/>
    <col min="4" max="4" width="14.7109375" style="12" customWidth="1"/>
    <col min="5" max="24" width="10.7109375" style="9" customWidth="1"/>
    <col min="25" max="25" width="9.140625" style="13"/>
    <col min="26" max="27" width="10.7109375" style="9" customWidth="1"/>
    <col min="28" max="16384" width="9.140625" style="13"/>
  </cols>
  <sheetData>
    <row r="2" spans="2:28" x14ac:dyDescent="0.25">
      <c r="D2" s="12" t="s">
        <v>516</v>
      </c>
      <c r="E2" s="43">
        <v>43353</v>
      </c>
    </row>
    <row r="3" spans="2:28" x14ac:dyDescent="0.25">
      <c r="D3" s="12" t="s">
        <v>517</v>
      </c>
      <c r="E3" s="43">
        <v>43382</v>
      </c>
    </row>
    <row r="4" spans="2:28" x14ac:dyDescent="0.25">
      <c r="E4" s="9">
        <f>E3-E2</f>
        <v>29</v>
      </c>
    </row>
    <row r="6" spans="2:28" x14ac:dyDescent="0.25">
      <c r="D6" s="34" t="s">
        <v>514</v>
      </c>
      <c r="E6" s="45" t="s">
        <v>384</v>
      </c>
      <c r="F6" s="46"/>
      <c r="G6" s="47"/>
      <c r="H6" s="32" t="s">
        <v>450</v>
      </c>
      <c r="I6" s="45" t="s">
        <v>410</v>
      </c>
      <c r="J6" s="46"/>
      <c r="K6" s="46"/>
      <c r="L6" s="47"/>
      <c r="M6" s="45" t="s">
        <v>406</v>
      </c>
      <c r="N6" s="46"/>
      <c r="O6" s="47"/>
      <c r="P6" s="45" t="s">
        <v>398</v>
      </c>
      <c r="Q6" s="46"/>
      <c r="R6" s="46"/>
      <c r="S6" s="46"/>
      <c r="T6" s="46"/>
      <c r="U6" s="47"/>
      <c r="V6" s="45" t="s">
        <v>453</v>
      </c>
      <c r="W6" s="46"/>
      <c r="X6" s="47"/>
      <c r="Z6" s="45" t="s">
        <v>456</v>
      </c>
      <c r="AA6" s="46"/>
    </row>
    <row r="7" spans="2:28" x14ac:dyDescent="0.25">
      <c r="D7" s="30" t="s">
        <v>449</v>
      </c>
      <c r="E7" s="20" t="s">
        <v>385</v>
      </c>
      <c r="F7" s="18" t="s">
        <v>391</v>
      </c>
      <c r="G7" s="23" t="s">
        <v>389</v>
      </c>
      <c r="H7" s="18" t="s">
        <v>409</v>
      </c>
      <c r="I7" s="20" t="s">
        <v>385</v>
      </c>
      <c r="J7" s="18" t="s">
        <v>388</v>
      </c>
      <c r="K7" s="18" t="s">
        <v>388</v>
      </c>
      <c r="L7" s="23" t="s">
        <v>394</v>
      </c>
      <c r="M7" s="20" t="s">
        <v>385</v>
      </c>
      <c r="N7" s="18" t="s">
        <v>404</v>
      </c>
      <c r="O7" s="23" t="s">
        <v>394</v>
      </c>
      <c r="P7" s="20" t="s">
        <v>385</v>
      </c>
      <c r="Q7" s="18" t="s">
        <v>454</v>
      </c>
      <c r="R7" s="18" t="s">
        <v>399</v>
      </c>
      <c r="S7" s="18" t="s">
        <v>399</v>
      </c>
      <c r="T7" s="18" t="s">
        <v>394</v>
      </c>
      <c r="U7" s="23" t="s">
        <v>393</v>
      </c>
      <c r="V7" s="20" t="s">
        <v>385</v>
      </c>
      <c r="W7" s="18" t="s">
        <v>404</v>
      </c>
      <c r="X7" s="23" t="s">
        <v>448</v>
      </c>
      <c r="Z7" s="20" t="s">
        <v>385</v>
      </c>
      <c r="AA7" s="18" t="s">
        <v>404</v>
      </c>
    </row>
    <row r="8" spans="2:28" ht="15.75" thickBot="1" x14ac:dyDescent="0.3">
      <c r="D8" s="31"/>
      <c r="E8" s="21" t="s">
        <v>390</v>
      </c>
      <c r="F8" s="19" t="s">
        <v>452</v>
      </c>
      <c r="G8" s="24" t="s">
        <v>387</v>
      </c>
      <c r="H8" s="19" t="s">
        <v>451</v>
      </c>
      <c r="I8" s="21" t="s">
        <v>392</v>
      </c>
      <c r="J8" s="19" t="s">
        <v>397</v>
      </c>
      <c r="K8" s="19" t="s">
        <v>396</v>
      </c>
      <c r="L8" s="24" t="s">
        <v>395</v>
      </c>
      <c r="M8" s="21" t="s">
        <v>22</v>
      </c>
      <c r="N8" s="19" t="s">
        <v>386</v>
      </c>
      <c r="O8" s="24" t="s">
        <v>400</v>
      </c>
      <c r="P8" s="21" t="s">
        <v>23</v>
      </c>
      <c r="Q8" s="19" t="s">
        <v>386</v>
      </c>
      <c r="R8" s="19" t="s">
        <v>397</v>
      </c>
      <c r="S8" s="19" t="s">
        <v>396</v>
      </c>
      <c r="T8" s="19" t="s">
        <v>447</v>
      </c>
      <c r="U8" s="24" t="s">
        <v>402</v>
      </c>
      <c r="V8" s="21" t="s">
        <v>21</v>
      </c>
      <c r="W8" s="19" t="s">
        <v>386</v>
      </c>
      <c r="X8" s="24" t="s">
        <v>403</v>
      </c>
      <c r="Z8" s="21" t="s">
        <v>22</v>
      </c>
      <c r="AA8" s="19" t="s">
        <v>386</v>
      </c>
    </row>
    <row r="9" spans="2:28" x14ac:dyDescent="0.25">
      <c r="B9" s="13">
        <f t="shared" ref="B9:B11" si="0">YEAR(D9)</f>
        <v>2018</v>
      </c>
      <c r="C9" s="13">
        <v>2</v>
      </c>
      <c r="D9" s="29">
        <v>43281</v>
      </c>
      <c r="E9" s="27"/>
      <c r="F9" s="22"/>
      <c r="G9" s="28"/>
      <c r="H9" s="17"/>
      <c r="I9" s="27"/>
      <c r="J9" s="25"/>
      <c r="K9" s="26"/>
      <c r="L9" s="28"/>
      <c r="M9" s="27"/>
      <c r="N9" s="22"/>
      <c r="O9" s="28"/>
      <c r="P9" s="27"/>
      <c r="Q9" s="22"/>
      <c r="R9" s="25"/>
      <c r="S9" s="26"/>
      <c r="T9" s="25"/>
      <c r="U9" s="28"/>
      <c r="V9" s="27"/>
      <c r="W9" s="22"/>
      <c r="X9" s="28"/>
      <c r="Z9" s="27"/>
      <c r="AA9" s="22"/>
    </row>
    <row r="10" spans="2:28" x14ac:dyDescent="0.25">
      <c r="B10" s="13">
        <f t="shared" si="0"/>
        <v>2018</v>
      </c>
      <c r="C10" s="13">
        <v>3</v>
      </c>
      <c r="D10" s="29">
        <v>43373</v>
      </c>
      <c r="E10" s="27"/>
      <c r="F10" s="22"/>
      <c r="G10" s="28"/>
      <c r="H10" s="17"/>
      <c r="I10" s="27"/>
      <c r="J10" s="25"/>
      <c r="K10" s="26"/>
      <c r="L10" s="28"/>
      <c r="M10" s="27"/>
      <c r="N10" s="22"/>
      <c r="O10" s="28"/>
      <c r="P10" s="27"/>
      <c r="Q10" s="22"/>
      <c r="R10" s="25"/>
      <c r="S10" s="26"/>
      <c r="T10" s="25"/>
      <c r="U10" s="28"/>
      <c r="V10" s="27"/>
      <c r="W10" s="22"/>
      <c r="X10" s="28"/>
      <c r="Z10" s="27">
        <f>M10-P10</f>
        <v>0</v>
      </c>
      <c r="AA10" s="22">
        <f>N10-Q10</f>
        <v>0</v>
      </c>
    </row>
    <row r="11" spans="2:28" x14ac:dyDescent="0.25">
      <c r="B11" s="13">
        <f t="shared" si="0"/>
        <v>2018</v>
      </c>
      <c r="C11" s="13">
        <v>4</v>
      </c>
      <c r="D11" s="29">
        <v>43465</v>
      </c>
      <c r="E11" s="27">
        <f>COUNTIFS(Data!$E:$E,$B11,Data!$D:$D,$C11,Data!$V:$V,$D$6,Data!$B:$B,1)</f>
        <v>5</v>
      </c>
      <c r="F11" s="22">
        <f>SUMIFS(Data!$AA:$AA,Data!$E:$E,$B11,Data!$D:$D,$C11,Data!$V:$V,$D$6)/1000000</f>
        <v>1.5014000000000001</v>
      </c>
      <c r="G11" s="28">
        <f>AVERAGEIFS(Data!$AA:$AA,Data!$E:$E,$B11,Data!$D:$D,$C11,Data!$V:$V,$D$6,Data!$B:$B,1)/1000</f>
        <v>300.27999999999997</v>
      </c>
      <c r="H11" s="17">
        <f>(E11+E10)-(I10+I11)</f>
        <v>5</v>
      </c>
      <c r="I11" s="27">
        <f>COUNTIFS(Data!$I:$I,$B11,Data!$H:$H,$C11,Data!$V:$V,$D$6,Data!$F:$F,1)</f>
        <v>0</v>
      </c>
      <c r="J11" s="25" t="e">
        <f>AVERAGEIFS(Data!$AI:$AI,Data!$I:$I,$B11,Data!$H:$H,$C11,Data!$V:$V,$D$6,Data!$F:$F,1)</f>
        <v>#DIV/0!</v>
      </c>
      <c r="K11" s="26" t="e">
        <f>AVERAGEIFS(Data!$AG:$AG,Data!$I:$I,$B11,Data!$H:$H,$C11,Data!$V:$V,$D$6,Data!$F:$F,1)/AVERAGEIFS(Data!$AA:$AA,Data!$I:$I,$B11,Data!$H:$H,$C11,Data!$V:$V,$D$6,Data!$F:$F,1)-1</f>
        <v>#DIV/0!</v>
      </c>
      <c r="L11" s="28" t="e">
        <f>AVERAGEIFS(Data!$AH:$AH,Data!$I:$I,$B11,Data!$H:$H,$C11,Data!$V:$V,$D$6,Data!$F:$F,1)</f>
        <v>#DIV/0!</v>
      </c>
      <c r="M11" s="27">
        <f>COUNTIFS(Data!$M:$M,$B11,Data!$L:$L,$C11,Data!$V:$V,$D$6,Data!$J:$J,1)</f>
        <v>0</v>
      </c>
      <c r="N11" s="22">
        <f>SUMIFS(Data!$AL:$AL,Data!$M:$M,$B11,Data!$L:$L,$C11,Data!$V:$V,$D$6,Data!$J:$J,1)/1000000</f>
        <v>0</v>
      </c>
      <c r="O11" s="28" t="e">
        <f>AVERAGEIFS(Data!$AM:$AM,Data!$M:$M,$B11,Data!$L:$L,$C11,Data!$V:$V,$D$6,Data!$J:$J,1)</f>
        <v>#DIV/0!</v>
      </c>
      <c r="P11" s="27">
        <f>COUNTIFS(Data!$Q:$Q,$B11,Data!$P:$P,$C11,Data!$V:$V,$D$6,Data!$N:$N,1)</f>
        <v>0</v>
      </c>
      <c r="Q11" s="22">
        <f>SUMIFS(Data!$AO:$AO,Data!$Q:$Q,$B11,Data!$P:$P,$C11,Data!$V:$V,$D$6)/1000000</f>
        <v>0</v>
      </c>
      <c r="R11" s="25" t="e">
        <f>AVERAGEIFS(Data!$AR:$AR,Data!$Q:$Q,$B11,Data!$P:$P,$C11,Data!$V:$V,$D$6,Data!$N:$N,1)</f>
        <v>#DIV/0!</v>
      </c>
      <c r="S11" s="26" t="e">
        <f>AVERAGEIFS(Data!$AO:$AO,Data!$Q:$Q,$B11,Data!$P:$P,$C11,Data!$V:$V,$D$6,Data!$N:$N,1)/AVERAGEIFS(Data!$AA:$AA,Data!$Q:$Q,$B11,Data!$P:$P,$C11,Data!$V:$V,$D$6,Data!$N:$N,1)-1</f>
        <v>#DIV/0!</v>
      </c>
      <c r="T11" s="25" t="e">
        <f>AVERAGEIFS(Data!$AP:$AP,Data!$Q:$Q,$B11,Data!$P:$P,$C11,Data!$V:$V,$D$6,Data!$N:$N,1)</f>
        <v>#DIV/0!</v>
      </c>
      <c r="U11" s="28" t="e">
        <f>AVERAGEIFS(Data!$AQ:$AQ,Data!$Q:$Q,$B11,Data!$P:$P,$C11,Data!$V:$V,$D$6,Data!$N:$N,1)</f>
        <v>#DIV/0!</v>
      </c>
      <c r="V11" s="27">
        <f>V10+E11-P11</f>
        <v>5</v>
      </c>
      <c r="W11" s="22">
        <f>W10+F11-Q11</f>
        <v>1.5014000000000001</v>
      </c>
      <c r="X11" s="28">
        <f ca="1">AVERAGEIFS(Data!$AZ:$AZ,Data!$B:$B,1,Data!$V:$V,$D$6)</f>
        <v>6.7822898148137032</v>
      </c>
      <c r="Z11" s="27">
        <f>M11-P11</f>
        <v>0</v>
      </c>
      <c r="AA11" s="22">
        <f>N11-Q11</f>
        <v>0</v>
      </c>
    </row>
    <row r="13" spans="2:28" x14ac:dyDescent="0.25">
      <c r="E13" s="6"/>
    </row>
    <row r="14" spans="2:28" x14ac:dyDescent="0.25">
      <c r="E14" s="6"/>
    </row>
    <row r="15" spans="2:28" x14ac:dyDescent="0.25">
      <c r="E15" s="6"/>
    </row>
    <row r="16" spans="2:28" x14ac:dyDescent="0.25">
      <c r="D16" s="34" t="str">
        <f>D6</f>
        <v>Atlanta</v>
      </c>
      <c r="E16" s="45" t="s">
        <v>384</v>
      </c>
      <c r="F16" s="46"/>
      <c r="G16" s="47"/>
      <c r="H16" s="32" t="s">
        <v>450</v>
      </c>
      <c r="I16" s="45" t="s">
        <v>410</v>
      </c>
      <c r="J16" s="46"/>
      <c r="K16" s="46"/>
      <c r="L16" s="47"/>
      <c r="M16" s="45" t="s">
        <v>406</v>
      </c>
      <c r="N16" s="46"/>
      <c r="O16" s="47"/>
      <c r="P16" s="45" t="s">
        <v>398</v>
      </c>
      <c r="Q16" s="46"/>
      <c r="R16" s="46"/>
      <c r="S16" s="46"/>
      <c r="T16" s="46"/>
      <c r="U16" s="47"/>
      <c r="V16" s="45" t="s">
        <v>453</v>
      </c>
      <c r="W16" s="46"/>
      <c r="X16" s="47"/>
      <c r="Y16"/>
      <c r="Z16"/>
      <c r="AA16"/>
      <c r="AB16"/>
    </row>
    <row r="17" spans="2:28" x14ac:dyDescent="0.25">
      <c r="D17" s="30" t="s">
        <v>449</v>
      </c>
      <c r="E17" s="20" t="s">
        <v>385</v>
      </c>
      <c r="F17" s="18" t="s">
        <v>391</v>
      </c>
      <c r="G17" s="23" t="s">
        <v>389</v>
      </c>
      <c r="H17" s="18" t="s">
        <v>409</v>
      </c>
      <c r="I17" s="20" t="s">
        <v>385</v>
      </c>
      <c r="J17" s="18" t="s">
        <v>388</v>
      </c>
      <c r="K17" s="18" t="s">
        <v>388</v>
      </c>
      <c r="L17" s="23" t="s">
        <v>394</v>
      </c>
      <c r="M17" s="20" t="s">
        <v>385</v>
      </c>
      <c r="N17" s="18" t="s">
        <v>404</v>
      </c>
      <c r="O17" s="23" t="s">
        <v>394</v>
      </c>
      <c r="P17" s="20" t="s">
        <v>385</v>
      </c>
      <c r="Q17" s="18" t="s">
        <v>454</v>
      </c>
      <c r="R17" s="18" t="s">
        <v>399</v>
      </c>
      <c r="S17" s="18" t="s">
        <v>399</v>
      </c>
      <c r="T17" s="18" t="s">
        <v>394</v>
      </c>
      <c r="U17" s="23" t="s">
        <v>393</v>
      </c>
      <c r="V17" s="20" t="s">
        <v>385</v>
      </c>
      <c r="W17" s="18" t="s">
        <v>404</v>
      </c>
      <c r="X17" s="23" t="s">
        <v>448</v>
      </c>
      <c r="Y17"/>
      <c r="Z17"/>
      <c r="AA17"/>
      <c r="AB17"/>
    </row>
    <row r="18" spans="2:28" ht="15.75" thickBot="1" x14ac:dyDescent="0.3">
      <c r="D18" s="31"/>
      <c r="E18" s="21" t="s">
        <v>390</v>
      </c>
      <c r="F18" s="19" t="s">
        <v>452</v>
      </c>
      <c r="G18" s="24" t="s">
        <v>387</v>
      </c>
      <c r="H18" s="19" t="s">
        <v>451</v>
      </c>
      <c r="I18" s="21" t="s">
        <v>392</v>
      </c>
      <c r="J18" s="19" t="s">
        <v>397</v>
      </c>
      <c r="K18" s="19" t="s">
        <v>396</v>
      </c>
      <c r="L18" s="24" t="s">
        <v>395</v>
      </c>
      <c r="M18" s="21" t="s">
        <v>22</v>
      </c>
      <c r="N18" s="19" t="s">
        <v>386</v>
      </c>
      <c r="O18" s="24" t="s">
        <v>400</v>
      </c>
      <c r="P18" s="21" t="s">
        <v>23</v>
      </c>
      <c r="Q18" s="19" t="s">
        <v>386</v>
      </c>
      <c r="R18" s="19" t="s">
        <v>397</v>
      </c>
      <c r="S18" s="19" t="s">
        <v>396</v>
      </c>
      <c r="T18" s="19" t="s">
        <v>447</v>
      </c>
      <c r="U18" s="24" t="s">
        <v>402</v>
      </c>
      <c r="V18" s="21" t="s">
        <v>21</v>
      </c>
      <c r="W18" s="19" t="s">
        <v>386</v>
      </c>
      <c r="X18" s="24" t="s">
        <v>403</v>
      </c>
      <c r="Y18"/>
      <c r="Z18"/>
      <c r="AA18"/>
      <c r="AB18"/>
    </row>
    <row r="19" spans="2:28" x14ac:dyDescent="0.25">
      <c r="B19" s="13">
        <f>YEAR(D19)</f>
        <v>2018</v>
      </c>
      <c r="C19" s="13">
        <f>MONTH(D19)</f>
        <v>5</v>
      </c>
      <c r="D19" s="29">
        <v>43251</v>
      </c>
      <c r="E19" s="27"/>
      <c r="F19" s="22"/>
      <c r="G19" s="28"/>
      <c r="H19" s="17"/>
      <c r="I19" s="27"/>
      <c r="J19" s="25"/>
      <c r="K19" s="26"/>
      <c r="L19" s="28"/>
      <c r="M19" s="27"/>
      <c r="N19" s="22"/>
      <c r="O19" s="28"/>
      <c r="P19" s="27"/>
      <c r="Q19" s="22"/>
      <c r="R19" s="25"/>
      <c r="S19" s="26"/>
      <c r="T19" s="25"/>
      <c r="U19" s="28"/>
      <c r="V19" s="27"/>
      <c r="W19" s="22"/>
      <c r="X19" s="28"/>
      <c r="Y19"/>
      <c r="Z19"/>
      <c r="AA19"/>
      <c r="AB19"/>
    </row>
    <row r="20" spans="2:28" x14ac:dyDescent="0.25">
      <c r="B20" s="13">
        <f t="shared" ref="B20:B24" si="1">YEAR(D20)</f>
        <v>2018</v>
      </c>
      <c r="C20" s="13">
        <f t="shared" ref="C20:C24" si="2">MONTH(D20)</f>
        <v>6</v>
      </c>
      <c r="D20" s="29">
        <v>43281</v>
      </c>
      <c r="E20" s="27"/>
      <c r="F20" s="22"/>
      <c r="G20" s="28"/>
      <c r="H20" s="17"/>
      <c r="I20" s="27"/>
      <c r="J20" s="25"/>
      <c r="K20" s="26"/>
      <c r="L20" s="28"/>
      <c r="M20" s="27"/>
      <c r="N20" s="22"/>
      <c r="O20" s="28"/>
      <c r="P20" s="27"/>
      <c r="Q20" s="22"/>
      <c r="R20" s="25"/>
      <c r="S20" s="26"/>
      <c r="T20" s="25"/>
      <c r="U20" s="28"/>
      <c r="V20" s="27"/>
      <c r="W20" s="22"/>
      <c r="X20" s="28"/>
      <c r="Y20"/>
      <c r="Z20"/>
      <c r="AA20"/>
    </row>
    <row r="21" spans="2:28" x14ac:dyDescent="0.25">
      <c r="B21" s="13">
        <f t="shared" si="1"/>
        <v>2018</v>
      </c>
      <c r="C21" s="13">
        <f t="shared" si="2"/>
        <v>7</v>
      </c>
      <c r="D21" s="29">
        <v>43312</v>
      </c>
      <c r="E21" s="27"/>
      <c r="F21" s="22"/>
      <c r="G21" s="28"/>
      <c r="H21" s="17"/>
      <c r="I21" s="27"/>
      <c r="J21" s="25"/>
      <c r="K21" s="26"/>
      <c r="L21" s="28"/>
      <c r="M21" s="27"/>
      <c r="N21" s="22"/>
      <c r="O21" s="28"/>
      <c r="P21" s="27"/>
      <c r="Q21" s="22"/>
      <c r="R21" s="25"/>
      <c r="S21" s="26"/>
      <c r="T21" s="25"/>
      <c r="U21" s="28"/>
      <c r="V21" s="27"/>
      <c r="W21" s="22"/>
      <c r="X21" s="28"/>
      <c r="Y21"/>
      <c r="Z21"/>
      <c r="AA21"/>
    </row>
    <row r="22" spans="2:28" x14ac:dyDescent="0.25">
      <c r="B22" s="13">
        <f t="shared" si="1"/>
        <v>2018</v>
      </c>
      <c r="C22" s="13">
        <f t="shared" si="2"/>
        <v>8</v>
      </c>
      <c r="D22" s="29">
        <v>43343</v>
      </c>
      <c r="E22" s="27"/>
      <c r="F22" s="22"/>
      <c r="G22" s="28"/>
      <c r="H22" s="17"/>
      <c r="I22" s="27"/>
      <c r="J22" s="25"/>
      <c r="K22" s="26"/>
      <c r="L22" s="28"/>
      <c r="M22" s="27"/>
      <c r="N22" s="22"/>
      <c r="O22" s="28"/>
      <c r="P22" s="27"/>
      <c r="Q22" s="22"/>
      <c r="R22" s="25"/>
      <c r="S22" s="26"/>
      <c r="T22" s="25"/>
      <c r="U22" s="28"/>
      <c r="V22" s="27"/>
      <c r="W22" s="22"/>
      <c r="X22" s="28"/>
      <c r="Y22"/>
      <c r="Z22"/>
      <c r="AA22"/>
    </row>
    <row r="23" spans="2:28" x14ac:dyDescent="0.25">
      <c r="B23" s="13">
        <f t="shared" si="1"/>
        <v>2018</v>
      </c>
      <c r="C23" s="13">
        <f t="shared" si="2"/>
        <v>9</v>
      </c>
      <c r="D23" s="29">
        <v>43373</v>
      </c>
      <c r="E23" s="27"/>
      <c r="F23" s="22"/>
      <c r="G23" s="28"/>
      <c r="H23" s="17"/>
      <c r="I23" s="27"/>
      <c r="J23" s="25"/>
      <c r="K23" s="26"/>
      <c r="L23" s="28"/>
      <c r="M23" s="27"/>
      <c r="N23" s="22"/>
      <c r="O23" s="28"/>
      <c r="P23" s="27"/>
      <c r="Q23" s="22"/>
      <c r="R23" s="25"/>
      <c r="S23" s="26"/>
      <c r="T23" s="25"/>
      <c r="U23" s="28"/>
      <c r="V23" s="27"/>
      <c r="W23" s="22"/>
      <c r="X23" s="28"/>
      <c r="Y23"/>
      <c r="Z23"/>
      <c r="AA23"/>
    </row>
    <row r="24" spans="2:28" x14ac:dyDescent="0.25">
      <c r="B24" s="13">
        <f t="shared" si="1"/>
        <v>2018</v>
      </c>
      <c r="C24" s="13">
        <f t="shared" si="2"/>
        <v>10</v>
      </c>
      <c r="D24" s="29">
        <v>43404</v>
      </c>
      <c r="E24" s="27">
        <f>COUNTIFS(Data!$E:$E,$B24,Data!$C:$C,$C24,Data!$V:$V,$D$6,Data!$B:$B,1)</f>
        <v>5</v>
      </c>
      <c r="F24" s="22">
        <f>SUMIFS(Data!$AA:$AA,Data!$E:$E,$B24,Data!$C:$C,$C24,Data!$V:$V,$D$6)/1000000</f>
        <v>1.5014000000000001</v>
      </c>
      <c r="G24" s="28">
        <f>AVERAGEIFS(Data!$AA:$AA,Data!$E:$E,$B24,Data!$C:$C,$C24,Data!$V:$V,$D$6,Data!$B:$B,1)/1000</f>
        <v>300.27999999999997</v>
      </c>
      <c r="H24" s="17">
        <f t="shared" ref="H24" si="3">(E24+E23)-(I23+I24)</f>
        <v>5</v>
      </c>
      <c r="I24" s="27">
        <f>COUNTIFS(Data!$I:$I,$B24,Data!$G:$G,$C24,Data!$V:$V,$D$6,Data!$F:$F,1)</f>
        <v>0</v>
      </c>
      <c r="J24" s="25" t="e">
        <f>AVERAGEIFS(Data!$AI:$AI,Data!$I:$I,$B24,Data!$G:$G,$C24,Data!$V:$V,$D$6,Data!$F:$F,1)</f>
        <v>#DIV/0!</v>
      </c>
      <c r="K24" s="26" t="e">
        <f>AVERAGEIFS(Data!$AG:$AG,Data!$I:$I,$B24,Data!$G:$G,$C24,Data!$V:$V,$D$6,Data!$F:$F,1)/AVERAGEIFS(Data!$AA:$AA,Data!$I:$I,$B24,Data!$G:$G,$C24,Data!$V:$V,$D$6,Data!$F:$F,1)-1</f>
        <v>#DIV/0!</v>
      </c>
      <c r="L24" s="28" t="e">
        <f>AVERAGEIFS(Data!$AH:$AH,Data!$I:$I,$B24,Data!$G:$G,$C24,Data!$V:$V,$D$6,Data!$F:$F,1)</f>
        <v>#DIV/0!</v>
      </c>
      <c r="M24" s="27">
        <f>COUNTIFS(Data!$M:$M,$B24,Data!$K:$K,$C24,Data!$V:$V,$D$6,Data!$J:$J,1)</f>
        <v>0</v>
      </c>
      <c r="N24" s="22">
        <f>SUMIFS(Data!$AL:$AL,Data!$M:$M,$B24,Data!$K:$K,$C24,Data!$V:$V,$D$6,Data!$J:$J,1)/1000000</f>
        <v>0</v>
      </c>
      <c r="O24" s="28" t="e">
        <f>AVERAGEIFS(Data!$AM:$AM,Data!$M:$M,$B24,Data!$K:$K,$C24,Data!$V:$V,$D$6,Data!$J:$J,1)</f>
        <v>#DIV/0!</v>
      </c>
      <c r="P24" s="27">
        <f>COUNTIFS(Data!$Q:$Q,$B24,Data!$O:$O,$C24,Data!$V:$V,$D$6,Data!$N:$N,1)</f>
        <v>0</v>
      </c>
      <c r="Q24" s="22">
        <f>SUMIFS(Data!$AO:$AO,Data!$Q:$Q,$B24,Data!$O:$O,$C24,Data!$V:$V,$D$6)/1000000</f>
        <v>0</v>
      </c>
      <c r="R24" s="25" t="e">
        <f>AVERAGEIFS(Data!$AR:$AR,Data!$Q:$Q,$B24,Data!$O:$O,$C24,Data!$V:$V,$D$6,Data!$N:$N,1)</f>
        <v>#DIV/0!</v>
      </c>
      <c r="S24" s="26" t="e">
        <f>AVERAGEIFS(Data!$AO:$AO,Data!$Q:$Q,$B24,Data!$O:$O,$C24,Data!$V:$V,$D$6,Data!$N:$N,1)/AVERAGEIFS(Data!$AA:$AA,Data!$Q:$Q,$B24,Data!$O:$O,$C24,Data!$V:$V,$D$6,Data!$N:$N,1)-1</f>
        <v>#DIV/0!</v>
      </c>
      <c r="T24" s="25" t="e">
        <f>AVERAGEIFS(Data!$AP:$AP,Data!$Q:$Q,$B24,Data!$O:$O,$C24,Data!$V:$V,$D$6,Data!$N:$N,1)</f>
        <v>#DIV/0!</v>
      </c>
      <c r="U24" s="28" t="e">
        <f>AVERAGEIFS(Data!$AQ:$AQ,Data!$Q:$Q,$B24,Data!$O:$O,$C24,Data!$V:$V,$D$6,Data!$N:$N,1)</f>
        <v>#DIV/0!</v>
      </c>
      <c r="V24" s="27">
        <f t="shared" ref="V24:W24" si="4">V23+E24-P24</f>
        <v>5</v>
      </c>
      <c r="W24" s="22">
        <f t="shared" si="4"/>
        <v>1.5014000000000001</v>
      </c>
      <c r="X24" s="28">
        <f ca="1">AVERAGEIFS(Data!$AZ:$AZ,Data!$B:$B,1,Data!$V:$V,$D$6)</f>
        <v>6.7822898148137032</v>
      </c>
      <c r="Y24"/>
      <c r="Z24"/>
      <c r="AA24"/>
    </row>
  </sheetData>
  <mergeCells count="11">
    <mergeCell ref="Z6:AA6"/>
    <mergeCell ref="E6:G6"/>
    <mergeCell ref="I6:L6"/>
    <mergeCell ref="M6:O6"/>
    <mergeCell ref="P6:U6"/>
    <mergeCell ref="V6:X6"/>
    <mergeCell ref="E16:G16"/>
    <mergeCell ref="I16:L16"/>
    <mergeCell ref="M16:O16"/>
    <mergeCell ref="P16:U16"/>
    <mergeCell ref="V16:X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C1</vt:lpstr>
      <vt:lpstr>C2</vt:lpstr>
      <vt:lpstr>C3</vt:lpstr>
      <vt:lpstr>calc</vt:lpstr>
      <vt:lpstr>USA</vt:lpstr>
      <vt:lpstr>PHO</vt:lpstr>
      <vt:lpstr>LV</vt:lpstr>
      <vt:lpstr>ATL</vt:lpstr>
      <vt:lpstr>DEN</vt:lpstr>
      <vt:lpstr>CLT</vt:lpstr>
      <vt:lpstr>RDU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mbrooks1</dc:creator>
  <cp:lastModifiedBy>mbrooks1</cp:lastModifiedBy>
  <dcterms:created xsi:type="dcterms:W3CDTF">2018-10-09T18:34:36Z</dcterms:created>
  <dcterms:modified xsi:type="dcterms:W3CDTF">2018-10-18T13:12:41Z</dcterms:modified>
</cp:coreProperties>
</file>